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drawingml.chart+xml" PartName="/xl/charts/chart7.xml"/>
  <Override ContentType="application/vnd.openxmlformats-officedocument.drawingml.chart+xml" PartName="/xl/charts/chart27.xml"/>
  <Override ContentType="application/vnd.openxmlformats-officedocument.drawingml.chart+xml" PartName="/xl/charts/chart14.xml"/>
  <Override ContentType="application/vnd.openxmlformats-officedocument.drawingml.chart+xml" PartName="/xl/charts/chart30.xml"/>
  <Override ContentType="application/vnd.openxmlformats-officedocument.drawingml.chart+xml" PartName="/xl/charts/chart18.xml"/>
  <Override ContentType="application/vnd.openxmlformats-officedocument.drawingml.chart+xml" PartName="/xl/charts/chart43.xml"/>
  <Override ContentType="application/vnd.openxmlformats-officedocument.drawingml.chart+xml" PartName="/xl/charts/chart13.xml"/>
  <Override ContentType="application/vnd.openxmlformats-officedocument.drawingml.chart+xml" PartName="/xl/charts/chart44.xml"/>
  <Override ContentType="application/vnd.openxmlformats-officedocument.drawingml.chart+xml" PartName="/xl/charts/chart31.xml"/>
  <Override ContentType="application/vnd.openxmlformats-officedocument.drawingml.chart+xml" PartName="/xl/charts/chart26.xml"/>
  <Override ContentType="application/vnd.openxmlformats-officedocument.drawingml.chart+xml" PartName="/xl/charts/chart39.xml"/>
  <Override ContentType="application/vnd.openxmlformats-officedocument.drawingml.chart+xml" PartName="/xl/charts/chart35.xml"/>
  <Override ContentType="application/vnd.openxmlformats-officedocument.drawingml.chart+xml" PartName="/xl/charts/chart2.xml"/>
  <Override ContentType="application/vnd.openxmlformats-officedocument.drawingml.chart+xml" PartName="/xl/charts/chart22.xml"/>
  <Override ContentType="application/vnd.openxmlformats-officedocument.drawingml.chart+xml" PartName="/xl/charts/chart34.xml"/>
  <Override ContentType="application/vnd.openxmlformats-officedocument.drawingml.chart+xml" PartName="/xl/charts/chart8.xml"/>
  <Override ContentType="application/vnd.openxmlformats-officedocument.drawingml.chart+xml" PartName="/xl/charts/chart17.xml"/>
  <Override ContentType="application/vnd.openxmlformats-officedocument.drawingml.chart+xml" PartName="/xl/charts/chart42.xml"/>
  <Override ContentType="application/vnd.openxmlformats-officedocument.drawingml.chart+xml" PartName="/xl/charts/chart25.xml"/>
  <Override ContentType="application/vnd.openxmlformats-officedocument.drawingml.chart+xml" PartName="/xl/charts/chart12.xml"/>
  <Override ContentType="application/vnd.openxmlformats-officedocument.drawingml.chart+xml" PartName="/xl/charts/chart21.xml"/>
  <Override ContentType="application/vnd.openxmlformats-officedocument.drawingml.chart+xml" PartName="/xl/charts/chart3.xml"/>
  <Override ContentType="application/vnd.openxmlformats-officedocument.drawingml.chart+xml" PartName="/xl/charts/chart38.xml"/>
  <Override ContentType="application/vnd.openxmlformats-officedocument.drawingml.chart+xml" PartName="/xl/charts/chart16.xml"/>
  <Override ContentType="application/vnd.openxmlformats-officedocument.drawingml.chart+xml" PartName="/xl/charts/chart41.xml"/>
  <Override ContentType="application/vnd.openxmlformats-officedocument.drawingml.chart+xml" PartName="/xl/charts/chart11.xml"/>
  <Override ContentType="application/vnd.openxmlformats-officedocument.drawingml.chart+xml" PartName="/xl/charts/chart29.xml"/>
  <Override ContentType="application/vnd.openxmlformats-officedocument.drawingml.chart+xml" PartName="/xl/charts/chart37.xml"/>
  <Override ContentType="application/vnd.openxmlformats-officedocument.drawingml.chart+xml" PartName="/xl/charts/chart4.xml"/>
  <Override ContentType="application/vnd.openxmlformats-officedocument.drawingml.chart+xml" PartName="/xl/charts/chart20.xml"/>
  <Override ContentType="application/vnd.openxmlformats-officedocument.drawingml.chart+xml" PartName="/xl/charts/chart33.xml"/>
  <Override ContentType="application/vnd.openxmlformats-officedocument.drawingml.chart+xml" PartName="/xl/charts/chart24.xml"/>
  <Override ContentType="application/vnd.openxmlformats-officedocument.drawingml.chart+xml" PartName="/xl/charts/chart1.xml"/>
  <Override ContentType="application/vnd.openxmlformats-officedocument.drawingml.chart+xml" PartName="/xl/charts/chart28.xml"/>
  <Override ContentType="application/vnd.openxmlformats-officedocument.drawingml.chart+xml" PartName="/xl/charts/chart10.xml"/>
  <Override ContentType="application/vnd.openxmlformats-officedocument.drawingml.chart+xml" PartName="/xl/charts/chart6.xml"/>
  <Override ContentType="application/vnd.openxmlformats-officedocument.drawingml.chart+xml" PartName="/xl/charts/chart15.xml"/>
  <Override ContentType="application/vnd.openxmlformats-officedocument.drawingml.chart+xml" PartName="/xl/charts/chart40.xml"/>
  <Override ContentType="application/vnd.openxmlformats-officedocument.drawingml.chart+xml" PartName="/xl/charts/chart9.xml"/>
  <Override ContentType="application/vnd.openxmlformats-officedocument.drawingml.chart+xml" PartName="/xl/charts/chart19.xml"/>
  <Override ContentType="application/vnd.openxmlformats-officedocument.drawingml.chart+xml" PartName="/xl/charts/chart32.xml"/>
  <Override ContentType="application/vnd.openxmlformats-officedocument.drawingml.chart+xml" PartName="/xl/charts/chart5.xml"/>
  <Override ContentType="application/vnd.openxmlformats-officedocument.drawingml.chart+xml" PartName="/xl/charts/chart23.xml"/>
  <Override ContentType="application/vnd.openxmlformats-officedocument.drawingml.chart+xml" PartName="/xl/charts/chart36.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nu" sheetId="1" r:id="rId4"/>
    <sheet state="visible" name="Base" sheetId="2" r:id="rId5"/>
    <sheet state="visible" name="Métricas" sheetId="3" r:id="rId6"/>
    <sheet state="visible" name="Dash Geral" sheetId="4" r:id="rId7"/>
    <sheet state="visible" name="Dash Núcleos" sheetId="5" r:id="rId8"/>
    <sheet state="visible" name="Rescisões" sheetId="6" r:id="rId9"/>
    <sheet state="visible" name="Dash NPS" sheetId="7" r:id="rId10"/>
    <sheet state="visible" name="PCP" sheetId="8" r:id="rId11"/>
    <sheet state="visible" name="Membros" sheetId="9" r:id="rId12"/>
    <sheet state="visible" name="Evolução do Membro" sheetId="10" r:id="rId13"/>
    <sheet state="visible" name="NPS Forms" sheetId="11" r:id="rId14"/>
    <sheet state="visible" name="NPS de Resultado Forms" sheetId="12" r:id="rId15"/>
    <sheet state="visible" name="Acompanhamento quinzenal" sheetId="13" r:id="rId16"/>
    <sheet state="visible" name="NPS de resultado" sheetId="14" r:id="rId17"/>
    <sheet state="visible" name="Data de coleta NPS de resultado" sheetId="15" r:id="rId18"/>
    <sheet state="hidden" name="CSAT 2022" sheetId="16" r:id="rId19"/>
    <sheet state="hidden" name="NPS de Experiência" sheetId="17" r:id="rId20"/>
  </sheets>
  <definedNames>
    <definedName hidden="1" localSheetId="1" name="_xlnm._FilterDatabase">Base!$A$1:$AG$1538</definedName>
    <definedName hidden="1" localSheetId="8" name="_xlnm._FilterDatabase">Membros!$A$1:$AQ$217</definedName>
    <definedName hidden="1" localSheetId="12" name="_xlnm._FilterDatabase">'Acompanhamento quinzenal'!$A$1:$AL$156</definedName>
    <definedName hidden="1" localSheetId="14" name="_xlnm._FilterDatabase">'Data de coleta NPS de resultado'!$A$1:$D$2036</definedName>
    <definedName hidden="1" localSheetId="15" name="_xlnm._FilterDatabase">'CSAT 2022'!$A$1:$K$112</definedName>
    <definedName hidden="1" localSheetId="7" name="Z_2848D221_72C3_4DA4_A82A_7E2643CE4265_.wvu.FilterData">PCP!$A$1:$BH$1000</definedName>
    <definedName hidden="1" localSheetId="1" name="Z_E59F5519_B67E_4C04_A925_282050259A5B_.wvu.FilterData">Base!$A$1:$AG$1538</definedName>
  </definedNames>
  <calcPr/>
  <customWorkbookViews>
    <customWorkbookView activeSheetId="0" maximized="1" windowHeight="0" windowWidth="0" guid="{E59F5519-B67E-4C04-A925-282050259A5B}" name="Projetos NTec"/>
    <customWorkbookView activeSheetId="0" maximized="1" windowHeight="0" windowWidth="0" guid="{2848D221-72C3-4DA4-A82A-7E2643CE4265}" name="Membros NTec"/>
  </customWorkbookViews>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F1">
      <text>
        <t xml:space="preserve">Semanas úteis</t>
      </text>
    </comment>
    <comment authorId="0" ref="K1">
      <text>
        <t xml:space="preserve">Dia do kickoff com o cliente</t>
      </text>
    </comment>
    <comment authorId="0" ref="AC1">
      <text>
        <t xml:space="preserve">Se o projeto concluiu atrasado
</t>
      </text>
    </comment>
    <comment authorId="0" ref="AD1">
      <text>
        <t xml:space="preserve">Se o projeto está atrasado AGORA</t>
      </text>
    </comment>
    <comment authorId="0" ref="N30">
      <text>
        <t xml:space="preserve">Tem que ver essa certinho, completei só pra n zuar a base
</t>
      </text>
    </comment>
    <comment authorId="0" ref="N137">
      <text>
        <t xml:space="preserve">@sofia.yoshimura@polijunior.com.br
_Atribuído a sofia.yoshimura@polijunior.com.br_
	-Antônio Coelho</t>
      </text>
    </comment>
    <comment authorId="0" ref="N55">
      <text>
        <t xml:space="preserve">@sofia.yoshimura@polijunior.com.br atualizar dps
_Atribuído a sofia.yoshimura@polijunior.com.br_
	-Antônio Coelho</t>
      </text>
    </comment>
    <comment authorId="0" ref="N18">
      <text>
        <t xml:space="preserve">Coloquei só pra não zuar a base, tem q arrumar
	-Antônio Coelho</t>
      </text>
    </comment>
    <comment authorId="0" ref="A216">
      <text>
        <t xml:space="preserve">Começar agr
	-Antônio Coelho</t>
      </text>
    </comment>
    <comment authorId="0" ref="A218">
      <text>
        <t xml:space="preserve">20/05
	-Antônio Coelho</t>
      </text>
    </comment>
    <comment authorId="0" ref="A192">
      <text>
        <t xml:space="preserve">julho
	-Antônio Coelho</t>
      </text>
    </comment>
    <comment authorId="0" ref="A178">
      <text>
        <t xml:space="preserve">20/05
	-Antônio Coelho</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B21">
      <text>
        <t xml:space="preserve">Todo projeto rescindido por falha de execução recebe NPS 1</t>
      </text>
    </comment>
  </commentList>
</comments>
</file>

<file path=xl/sharedStrings.xml><?xml version="1.0" encoding="utf-8"?>
<sst xmlns="http://schemas.openxmlformats.org/spreadsheetml/2006/main" count="4315" uniqueCount="1419">
  <si>
    <t>BASE CONSOLIDADA 2024</t>
  </si>
  <si>
    <t>Esta planilha tem como intuito compilar os e realizar a análise dos dados de NPS que a Poli Júnior tem em seus núcleos</t>
  </si>
  <si>
    <t>Projeto</t>
  </si>
  <si>
    <t>Núcleo</t>
  </si>
  <si>
    <t>Portfólio</t>
  </si>
  <si>
    <t>Tipo</t>
  </si>
  <si>
    <t>Valor</t>
  </si>
  <si>
    <t>Duração no contrato (semanas)</t>
  </si>
  <si>
    <t>Nº Consultores</t>
  </si>
  <si>
    <t>Previsão de Início</t>
  </si>
  <si>
    <t>Fim Contratual</t>
  </si>
  <si>
    <t>Equipe</t>
  </si>
  <si>
    <t>Início Real</t>
  </si>
  <si>
    <t>Semanas OFF</t>
  </si>
  <si>
    <t>Fim Previsto</t>
  </si>
  <si>
    <t>Fim Real</t>
  </si>
  <si>
    <t>Status</t>
  </si>
  <si>
    <t>TEP</t>
  </si>
  <si>
    <t>Aditivo?</t>
  </si>
  <si>
    <t>CSAT coletado?</t>
  </si>
  <si>
    <t>NPS de Experiência</t>
  </si>
  <si>
    <t>NPS de Resultado</t>
  </si>
  <si>
    <t>ENB</t>
  </si>
  <si>
    <t>Coordenador/validador</t>
  </si>
  <si>
    <t>Analista 1</t>
  </si>
  <si>
    <t>Analista 2</t>
  </si>
  <si>
    <t>Analista 3</t>
  </si>
  <si>
    <t>Analista 4</t>
  </si>
  <si>
    <t>Semanas x Consultores</t>
  </si>
  <si>
    <t>Receita perdida</t>
  </si>
  <si>
    <t>Atrasado?</t>
  </si>
  <si>
    <t>Atraso</t>
  </si>
  <si>
    <t>Início Real - início previsto</t>
  </si>
  <si>
    <t>Data p/ coletar NPS de resultado</t>
  </si>
  <si>
    <t>NPS da Conceps</t>
  </si>
  <si>
    <t>Fidelização Wladimir</t>
  </si>
  <si>
    <t>NTec</t>
  </si>
  <si>
    <t>Desenvolvimento</t>
  </si>
  <si>
    <t>R$5.200,00</t>
  </si>
  <si>
    <t>Autocoordenável</t>
  </si>
  <si>
    <t>Executando</t>
  </si>
  <si>
    <t>guilherme.jacule</t>
  </si>
  <si>
    <t>Sim</t>
  </si>
  <si>
    <t>Fruta de Caiapó</t>
  </si>
  <si>
    <t>NCiv</t>
  </si>
  <si>
    <t>Completo</t>
  </si>
  <si>
    <t>Concluído</t>
  </si>
  <si>
    <t>kaua.bolonha</t>
  </si>
  <si>
    <t>Cachoeirinha</t>
  </si>
  <si>
    <t>HEE</t>
  </si>
  <si>
    <t>Coordenável</t>
  </si>
  <si>
    <t>Finalizado</t>
  </si>
  <si>
    <t>amanda.puglia</t>
  </si>
  <si>
    <t>gustavo.chiaradia</t>
  </si>
  <si>
    <t>robson.sousa</t>
  </si>
  <si>
    <t>Gabriel</t>
  </si>
  <si>
    <t>akemi.carravieri</t>
  </si>
  <si>
    <t>guilherme.mendes</t>
  </si>
  <si>
    <t>23Sul</t>
  </si>
  <si>
    <t>HE</t>
  </si>
  <si>
    <t>Concluindo pendências</t>
  </si>
  <si>
    <t>guilherme.nunes</t>
  </si>
  <si>
    <t>nathalia.valle</t>
  </si>
  <si>
    <t>Antônio</t>
  </si>
  <si>
    <t>leonardo.ramos</t>
  </si>
  <si>
    <t>bianca.vilasboas</t>
  </si>
  <si>
    <t>juliana.clark</t>
  </si>
  <si>
    <t>JKV 2.0</t>
  </si>
  <si>
    <t>Design de Interiores</t>
  </si>
  <si>
    <t>Extensão</t>
  </si>
  <si>
    <t>susana.gonzales</t>
  </si>
  <si>
    <t>Alexandre</t>
  </si>
  <si>
    <t>thiago.verdelli</t>
  </si>
  <si>
    <t>milena.ramos</t>
  </si>
  <si>
    <t>Casa LC</t>
  </si>
  <si>
    <t>24/11/2023</t>
  </si>
  <si>
    <t>22/01/2024</t>
  </si>
  <si>
    <t>joaopedro.brunheroto</t>
  </si>
  <si>
    <t>Peruíbe</t>
  </si>
  <si>
    <t>J&amp;A</t>
  </si>
  <si>
    <t>Arq/Estru</t>
  </si>
  <si>
    <t>gabriel.saad</t>
  </si>
  <si>
    <t>guilherme.honda</t>
  </si>
  <si>
    <t>Clínica Abner</t>
  </si>
  <si>
    <t>nicolle.Vannuccini</t>
  </si>
  <si>
    <t>gustavo.timbo</t>
  </si>
  <si>
    <t>Claudney</t>
  </si>
  <si>
    <t>Arquitetônico</t>
  </si>
  <si>
    <t>Emerson</t>
  </si>
  <si>
    <t>marcela.dornellas</t>
  </si>
  <si>
    <t>C&amp;L</t>
  </si>
  <si>
    <t>isabella.hayashi</t>
  </si>
  <si>
    <t>Sertãozinho</t>
  </si>
  <si>
    <t>R$ 4.200,00</t>
  </si>
  <si>
    <t>giovana.mattos</t>
  </si>
  <si>
    <t>miguel.victor</t>
  </si>
  <si>
    <t>Apto 21</t>
  </si>
  <si>
    <t>DI/HE</t>
  </si>
  <si>
    <t>Gustavo</t>
  </si>
  <si>
    <t>R$ 20.000,00</t>
  </si>
  <si>
    <t>Congelado</t>
  </si>
  <si>
    <t>Sergio</t>
  </si>
  <si>
    <t>R$ 14.940,00</t>
  </si>
  <si>
    <t>A Iniciar</t>
  </si>
  <si>
    <t>Caucaia do Alto</t>
  </si>
  <si>
    <t>R$ 17.290,42</t>
  </si>
  <si>
    <t>Albertoni</t>
  </si>
  <si>
    <t>gabriela.fernandes</t>
  </si>
  <si>
    <t>Suzano</t>
  </si>
  <si>
    <t>Arq/Hidro/Ele</t>
  </si>
  <si>
    <t>nicole.tomita</t>
  </si>
  <si>
    <t>SJC</t>
  </si>
  <si>
    <t>R$ 10.040,00</t>
  </si>
  <si>
    <t>lucas.loureiro</t>
  </si>
  <si>
    <t>luana.santos</t>
  </si>
  <si>
    <t>Datora 2.0</t>
  </si>
  <si>
    <t>NCon</t>
  </si>
  <si>
    <t>Gestão de Processos</t>
  </si>
  <si>
    <t>antonio.coelho</t>
  </si>
  <si>
    <t>arthur.staben</t>
  </si>
  <si>
    <t>anaclara.pacifico</t>
  </si>
  <si>
    <t>Einstein 2.0</t>
  </si>
  <si>
    <t>marcel.takara</t>
  </si>
  <si>
    <t>pedro.feitosa</t>
  </si>
  <si>
    <t>luis.cardoso</t>
  </si>
  <si>
    <t>joao.gomes</t>
  </si>
  <si>
    <t>PN Mental Heaven</t>
  </si>
  <si>
    <t>Plano de Negócios</t>
  </si>
  <si>
    <t>sofia.yoshimura</t>
  </si>
  <si>
    <t>beatriz.durand</t>
  </si>
  <si>
    <t>Jamef</t>
  </si>
  <si>
    <t>juliana.miyazaka</t>
  </si>
  <si>
    <t>mateus.dessimoni</t>
  </si>
  <si>
    <t>lucas.murat</t>
  </si>
  <si>
    <t>Lavoro Agro</t>
  </si>
  <si>
    <t>eduardo.villares</t>
  </si>
  <si>
    <t>pedro.amaral</t>
  </si>
  <si>
    <t>Grupo NOS - NCon</t>
  </si>
  <si>
    <t>frederico.queiroz</t>
  </si>
  <si>
    <t>Grupo SC 2.0</t>
  </si>
  <si>
    <t>MN Glória</t>
  </si>
  <si>
    <t>Banco Rendimento 2.0</t>
  </si>
  <si>
    <t>clara.milagres</t>
  </si>
  <si>
    <t>caio.arraes</t>
  </si>
  <si>
    <t>MP Itamara</t>
  </si>
  <si>
    <t>Modelagem e Projeção</t>
  </si>
  <si>
    <t>fernanda.sula</t>
  </si>
  <si>
    <t>Cless Cosméticos</t>
  </si>
  <si>
    <t>Pesquisa de Mercado</t>
  </si>
  <si>
    <t>sabrina.chui</t>
  </si>
  <si>
    <t>Solfacil</t>
  </si>
  <si>
    <t>david.choi</t>
  </si>
  <si>
    <t>MP Marianna</t>
  </si>
  <si>
    <t>joao.dias</t>
  </si>
  <si>
    <t>Oniris</t>
  </si>
  <si>
    <t>bruno.tonso</t>
  </si>
  <si>
    <t>MP Julia</t>
  </si>
  <si>
    <t>felipe.buttler</t>
  </si>
  <si>
    <t>Porto Seguro</t>
  </si>
  <si>
    <t>daniela.brandao</t>
  </si>
  <si>
    <t>MP Eduardo</t>
  </si>
  <si>
    <t>daniel.alves</t>
  </si>
  <si>
    <t>MP Hípica</t>
  </si>
  <si>
    <t>Ecobank</t>
  </si>
  <si>
    <t>carlos.ferraz</t>
  </si>
  <si>
    <t>Natural da Terra 2.0</t>
  </si>
  <si>
    <t>ji.piton</t>
  </si>
  <si>
    <t>MP Ginásio</t>
  </si>
  <si>
    <t>paulo.oliveira</t>
  </si>
  <si>
    <t>PM Manto</t>
  </si>
  <si>
    <t>vinicius.giro</t>
  </si>
  <si>
    <t>We Vets</t>
  </si>
  <si>
    <t>MP Mauro</t>
  </si>
  <si>
    <t>Ocean Health</t>
  </si>
  <si>
    <t>Ultra Inbound</t>
  </si>
  <si>
    <t>felipe.tanabe</t>
  </si>
  <si>
    <t>eduardo.lindenberg</t>
  </si>
  <si>
    <t>Datora 3.0</t>
  </si>
  <si>
    <t>diego.nozawa</t>
  </si>
  <si>
    <t>Lucas.murat</t>
  </si>
  <si>
    <t>Jus Brasil 2.0</t>
  </si>
  <si>
    <t>MP Botica</t>
  </si>
  <si>
    <t>Elopar</t>
  </si>
  <si>
    <t>Grafeno</t>
  </si>
  <si>
    <t>PM MNM</t>
  </si>
  <si>
    <t>JCA</t>
  </si>
  <si>
    <t>Klabin 3.1</t>
  </si>
  <si>
    <t>NDados</t>
  </si>
  <si>
    <t>Visualização</t>
  </si>
  <si>
    <t>Escopo</t>
  </si>
  <si>
    <t>-</t>
  </si>
  <si>
    <t>marcelo.takayama</t>
  </si>
  <si>
    <t>pedro.avila</t>
  </si>
  <si>
    <t>arthur.daisuke</t>
  </si>
  <si>
    <t>Klabin 3.4</t>
  </si>
  <si>
    <t>gustavo.trazzi</t>
  </si>
  <si>
    <t>Construmarket</t>
  </si>
  <si>
    <t>Análise de Dados</t>
  </si>
  <si>
    <t>Aster</t>
  </si>
  <si>
    <t>Grupo Salta - ANA</t>
  </si>
  <si>
    <t>caio.bella</t>
  </si>
  <si>
    <t>Costa Brasil_1</t>
  </si>
  <si>
    <t>pedro.hack</t>
  </si>
  <si>
    <t>lays.zandomingos</t>
  </si>
  <si>
    <t>matheus.rodrigues</t>
  </si>
  <si>
    <t>tomaz.gurgel</t>
  </si>
  <si>
    <t>Costa Brasil_2</t>
  </si>
  <si>
    <t>Grupo NOS - NDados</t>
  </si>
  <si>
    <t>Previsão</t>
  </si>
  <si>
    <t>hideki.hanaoka</t>
  </si>
  <si>
    <t>murilo.monteiro</t>
  </si>
  <si>
    <t>Nuclea</t>
  </si>
  <si>
    <t>Mapeamento</t>
  </si>
  <si>
    <t>CTC</t>
  </si>
  <si>
    <t>Carbonext</t>
  </si>
  <si>
    <t>Adeste</t>
  </si>
  <si>
    <t>douglas.ferreira</t>
  </si>
  <si>
    <t>Mony</t>
  </si>
  <si>
    <t>Integração</t>
  </si>
  <si>
    <t>giovane.azevedo</t>
  </si>
  <si>
    <t>Unilever</t>
  </si>
  <si>
    <t>Análise exploratória</t>
  </si>
  <si>
    <t>joaopaulo.ribeiro</t>
  </si>
  <si>
    <t>Conexis</t>
  </si>
  <si>
    <t>mateus.gurza</t>
  </si>
  <si>
    <t>catarina.sena</t>
  </si>
  <si>
    <t>Comerc</t>
  </si>
  <si>
    <t>celso.sinoka</t>
  </si>
  <si>
    <t>Grupo Via Capital</t>
  </si>
  <si>
    <t>Total Pass</t>
  </si>
  <si>
    <t>andre.helena</t>
  </si>
  <si>
    <t>pedro.nakandakari</t>
  </si>
  <si>
    <t>bernardo.teixeira</t>
  </si>
  <si>
    <t>Messer</t>
  </si>
  <si>
    <t>Metthodos</t>
  </si>
  <si>
    <t>pedro.aires</t>
  </si>
  <si>
    <t>Espaço Laser</t>
  </si>
  <si>
    <t>Vitta Saúde</t>
  </si>
  <si>
    <t>gustavo.loiola</t>
  </si>
  <si>
    <t>maria.caira</t>
  </si>
  <si>
    <t>Manusis4</t>
  </si>
  <si>
    <t>rafael.junqueira</t>
  </si>
  <si>
    <t>Bioma4me</t>
  </si>
  <si>
    <t>renan.groto</t>
  </si>
  <si>
    <t>Fire Solution</t>
  </si>
  <si>
    <t>Scheneider</t>
  </si>
  <si>
    <t>alexandre.barsam</t>
  </si>
  <si>
    <t>caio.castro</t>
  </si>
  <si>
    <t>LeafPay</t>
  </si>
  <si>
    <t>Extração</t>
  </si>
  <si>
    <t>IQVIA 2.0</t>
  </si>
  <si>
    <t>Bernardo, Coutinho, douglas, catarina</t>
  </si>
  <si>
    <t>Plena Saúde</t>
  </si>
  <si>
    <t>gabriel.moraes</t>
  </si>
  <si>
    <t>Abbott</t>
  </si>
  <si>
    <t>Obramax</t>
  </si>
  <si>
    <t>Grupo Tecnor</t>
  </si>
  <si>
    <t>Manoel - Tinder de condomínios</t>
  </si>
  <si>
    <t>Concepção</t>
  </si>
  <si>
    <t>Dev - Escritório de advocacia Ronaldo</t>
  </si>
  <si>
    <t>Buskar</t>
  </si>
  <si>
    <t>Escopo Aberto</t>
  </si>
  <si>
    <t>guilherme.savant</t>
  </si>
  <si>
    <t>leticia.falconer</t>
  </si>
  <si>
    <t>Adriane</t>
  </si>
  <si>
    <t>cauan.kazama</t>
  </si>
  <si>
    <t>iago.errera</t>
  </si>
  <si>
    <t>rafael.oka</t>
  </si>
  <si>
    <t>diogo.spaggiari</t>
  </si>
  <si>
    <t>Fidelizaçao Flashcards</t>
  </si>
  <si>
    <t>Henrique.godoy</t>
  </si>
  <si>
    <t>Deploy Tinder de Banda</t>
  </si>
  <si>
    <t>luiz.reis</t>
  </si>
  <si>
    <t>iBuild</t>
  </si>
  <si>
    <t>mariana.watanabe</t>
  </si>
  <si>
    <t>caio.pereira</t>
  </si>
  <si>
    <t>vitor.costa</t>
  </si>
  <si>
    <t>fernanda.ortiz</t>
  </si>
  <si>
    <t>Fidelização Zanella</t>
  </si>
  <si>
    <t>caina.giro</t>
  </si>
  <si>
    <t>icaro.goulart</t>
  </si>
  <si>
    <t>danteo.lira</t>
  </si>
  <si>
    <t>Fidelização Wahojobs</t>
  </si>
  <si>
    <t>lauro.solia</t>
  </si>
  <si>
    <t>App Plantões</t>
  </si>
  <si>
    <t>antonio.fassini</t>
  </si>
  <si>
    <t>gabriel.norberto</t>
  </si>
  <si>
    <t>beatriz.tavora</t>
  </si>
  <si>
    <t>gabriel.baraldi</t>
  </si>
  <si>
    <t>Hold Brasil</t>
  </si>
  <si>
    <t>lucas.aguiar</t>
  </si>
  <si>
    <t>App SAF</t>
  </si>
  <si>
    <t>ana.arejano</t>
  </si>
  <si>
    <t>mauro.martins</t>
  </si>
  <si>
    <t>gabriele.shimizu</t>
  </si>
  <si>
    <t>App Frederico</t>
  </si>
  <si>
    <t>Product Discovery</t>
  </si>
  <si>
    <t>Nordmoney</t>
  </si>
  <si>
    <t>App Luiz</t>
  </si>
  <si>
    <t>App Encyclo</t>
  </si>
  <si>
    <t>App Dani</t>
  </si>
  <si>
    <t>matheus.santos</t>
  </si>
  <si>
    <t>vitor.miyasiro</t>
  </si>
  <si>
    <t>lucas.godoy</t>
  </si>
  <si>
    <t>ricardo.rosebaum</t>
  </si>
  <si>
    <t>matheus.romano</t>
  </si>
  <si>
    <t>App Marcelo</t>
  </si>
  <si>
    <t>App We246</t>
  </si>
  <si>
    <t>thiago.velasquez</t>
  </si>
  <si>
    <t>matheus.nascimento</t>
  </si>
  <si>
    <t>pedro.oliveira</t>
  </si>
  <si>
    <t>App Talita</t>
  </si>
  <si>
    <t>carolina.costa</t>
  </si>
  <si>
    <t>moizes.avila</t>
  </si>
  <si>
    <t>alan.zisman</t>
  </si>
  <si>
    <t>App Fontecred</t>
  </si>
  <si>
    <t>amanda.mendonca</t>
  </si>
  <si>
    <t>victor.ishizaki</t>
  </si>
  <si>
    <t>bruno.barroso</t>
  </si>
  <si>
    <t>App Knauf</t>
  </si>
  <si>
    <t>Fidelização Câmera Térmica</t>
  </si>
  <si>
    <t>Fidelização Gilberto</t>
  </si>
  <si>
    <t>joao.gallego</t>
  </si>
  <si>
    <t>Fidelização RV Capital</t>
  </si>
  <si>
    <t>App Douglas</t>
  </si>
  <si>
    <t>App Angela Mariha</t>
  </si>
  <si>
    <t>bruno.santos</t>
  </si>
  <si>
    <t>Fidelização Vigi App</t>
  </si>
  <si>
    <t>joao.leal</t>
  </si>
  <si>
    <t>eduardo.goncalves</t>
  </si>
  <si>
    <t>victor.pepe</t>
  </si>
  <si>
    <t>gustavo.baeta</t>
  </si>
  <si>
    <t>0</t>
  </si>
  <si>
    <t>isabela.gregio</t>
  </si>
  <si>
    <t>joao.melo</t>
  </si>
  <si>
    <t>joao.botelho</t>
  </si>
  <si>
    <t>larissa.oliveira</t>
  </si>
  <si>
    <t>pedro.ferraz</t>
  </si>
  <si>
    <t>eduardo.kishi</t>
  </si>
  <si>
    <t>vitoria.morseli</t>
  </si>
  <si>
    <t>diogo.kenzo</t>
  </si>
  <si>
    <t>carlos.rampelotti</t>
  </si>
  <si>
    <t>julia.romero</t>
  </si>
  <si>
    <t>artur.dias</t>
  </si>
  <si>
    <t>silvia.melo</t>
  </si>
  <si>
    <t>enzo.giannoni</t>
  </si>
  <si>
    <t>vitor.iwasaki</t>
  </si>
  <si>
    <t>luis.ferreira</t>
  </si>
  <si>
    <t>pedro.porto</t>
  </si>
  <si>
    <t>isabella.utida</t>
  </si>
  <si>
    <t>guilherme.boen</t>
  </si>
  <si>
    <t>natan.palacio</t>
  </si>
  <si>
    <t>ayana.tanaka</t>
  </si>
  <si>
    <t>pedro.tinoco</t>
  </si>
  <si>
    <t>arthur.mafra</t>
  </si>
  <si>
    <t>mateus.ono</t>
  </si>
  <si>
    <t>pedro.matusita</t>
  </si>
  <si>
    <t>Gabriel.araujo</t>
  </si>
  <si>
    <t>david.aguina</t>
  </si>
  <si>
    <t>valentina.maia</t>
  </si>
  <si>
    <t>gabriel.margon</t>
  </si>
  <si>
    <t>gabriel.agra</t>
  </si>
  <si>
    <t>joao.barros</t>
  </si>
  <si>
    <t>isadora.peloso</t>
  </si>
  <si>
    <t>jose.lyra</t>
  </si>
  <si>
    <t>natalia.martins</t>
  </si>
  <si>
    <t>fernando.seraco</t>
  </si>
  <si>
    <t>Metas</t>
  </si>
  <si>
    <t>PJ</t>
  </si>
  <si>
    <t>Metas do Ciclo</t>
  </si>
  <si>
    <t>NPS</t>
  </si>
  <si>
    <t>Meta</t>
  </si>
  <si>
    <t>% ENB</t>
  </si>
  <si>
    <t>Detrator</t>
  </si>
  <si>
    <t>NPS do ciclo</t>
  </si>
  <si>
    <t>% coleta NPS</t>
  </si>
  <si>
    <t>% coleta CSAT</t>
  </si>
  <si>
    <t>Neutro</t>
  </si>
  <si>
    <t>Promotor</t>
  </si>
  <si>
    <t xml:space="preserve">NPS </t>
  </si>
  <si>
    <t>NPS de experiência</t>
  </si>
  <si>
    <t>Taxa de coleta</t>
  </si>
  <si>
    <t>NPS de resultado</t>
  </si>
  <si>
    <t>Taxa de ENB</t>
  </si>
  <si>
    <t>Projetos por membro</t>
  </si>
  <si>
    <t xml:space="preserve">Satisfação média dos membros </t>
  </si>
  <si>
    <t>ITIP de Venda</t>
  </si>
  <si>
    <t>ITIP Real</t>
  </si>
  <si>
    <t>&lt;- Itip Real NTec 01/04/2024 pra frente</t>
  </si>
  <si>
    <t>Receita perdida (atraso)</t>
  </si>
  <si>
    <t>Receita perdida (rescisão)</t>
  </si>
  <si>
    <t>Receita perdida total</t>
  </si>
  <si>
    <t>Dias executados</t>
  </si>
  <si>
    <t>Dias vendidos (concluídos)</t>
  </si>
  <si>
    <t>Taxa de execução</t>
  </si>
  <si>
    <t>Projetos atrasados agora</t>
  </si>
  <si>
    <t>% projetos em execução atrasados</t>
  </si>
  <si>
    <t>Taxa de coleta de CSAT</t>
  </si>
  <si>
    <t>Demora para iniciar o projeto</t>
  </si>
  <si>
    <t>Projetos congelados</t>
  </si>
  <si>
    <t>Projetos em execução/coord</t>
  </si>
  <si>
    <t>Progressão temporal</t>
  </si>
  <si>
    <t>Atrasados</t>
  </si>
  <si>
    <t>Em execução</t>
  </si>
  <si>
    <t>Parcela</t>
  </si>
  <si>
    <t>Dias totais atrasados</t>
  </si>
  <si>
    <t>Destrinchando para o ntec:</t>
  </si>
  <si>
    <t>Dia</t>
  </si>
  <si>
    <t>Poli Júnior</t>
  </si>
  <si>
    <t>Total</t>
  </si>
  <si>
    <t>ATRASO</t>
  </si>
  <si>
    <t>QUALIDADE DE EXECUÇÃO</t>
  </si>
  <si>
    <t>GOVERNANÇA</t>
  </si>
  <si>
    <t xml:space="preserve">ALOCAÇÃO E EFICIÊNCIA </t>
  </si>
  <si>
    <t xml:space="preserve">Portifólio </t>
  </si>
  <si>
    <t>Nº Executando</t>
  </si>
  <si>
    <t>N° Total</t>
  </si>
  <si>
    <t>Em execução atrasados</t>
  </si>
  <si>
    <t xml:space="preserve">Dias vendidos </t>
  </si>
  <si>
    <t>Taxa de Execução</t>
  </si>
  <si>
    <t>ITIP real</t>
  </si>
  <si>
    <t>Ticket Médio</t>
  </si>
  <si>
    <t>Impacto no Faturamento</t>
  </si>
  <si>
    <t xml:space="preserve">ITIP de Venda </t>
  </si>
  <si>
    <t xml:space="preserve">ITIP real </t>
  </si>
  <si>
    <t xml:space="preserve">DSaaS </t>
  </si>
  <si>
    <t>Captação</t>
  </si>
  <si>
    <t>Construção/Reforma</t>
  </si>
  <si>
    <t>Elétrico</t>
  </si>
  <si>
    <t>v</t>
  </si>
  <si>
    <t>Estrutural</t>
  </si>
  <si>
    <t>Hidráulico</t>
  </si>
  <si>
    <t>Levantamento</t>
  </si>
  <si>
    <t>Sondagem</t>
  </si>
  <si>
    <t>Fluxo de Rescisão</t>
  </si>
  <si>
    <t>Motivo da Rescisão</t>
  </si>
  <si>
    <t>Valor do Projeto</t>
  </si>
  <si>
    <t>Porcentagem paga</t>
  </si>
  <si>
    <t>Data da rescisão</t>
  </si>
  <si>
    <t>Problema de execução</t>
  </si>
  <si>
    <t>Começou com muito atraso
Comunicação ruim com os clientes
Primeira entrega não atendia os requisitos</t>
  </si>
  <si>
    <t>Problema pessoal do cliente</t>
  </si>
  <si>
    <t>Empresa muito bagunçada e o cliente não conseguiu dar andamento ao projeto</t>
  </si>
  <si>
    <t>Cachoerinha</t>
  </si>
  <si>
    <t>Venda desalinhada</t>
  </si>
  <si>
    <t>Projeto não condizia com os alinhamentos comerciais, cliente esperava outra coisa</t>
  </si>
  <si>
    <t>Design Vila Mariana</t>
  </si>
  <si>
    <t>São Carlos</t>
  </si>
  <si>
    <t xml:space="preserve">            BANCO DE DADOS - NPS de experiência</t>
  </si>
  <si>
    <t>DETRATOR</t>
  </si>
  <si>
    <t>NEUTRO</t>
  </si>
  <si>
    <t>PROMOTOR</t>
  </si>
  <si>
    <t>NPSF</t>
  </si>
  <si>
    <t>QUANT.</t>
  </si>
  <si>
    <t>Membro</t>
  </si>
  <si>
    <t>Cargo</t>
  </si>
  <si>
    <t>Alocação</t>
  </si>
  <si>
    <t>Janeiro</t>
  </si>
  <si>
    <t>Fevereiro</t>
  </si>
  <si>
    <t>Março</t>
  </si>
  <si>
    <t>Abril</t>
  </si>
  <si>
    <t>Maio</t>
  </si>
  <si>
    <t>Junho</t>
  </si>
  <si>
    <t>Julho</t>
  </si>
  <si>
    <t>Agosto</t>
  </si>
  <si>
    <t>Setembro</t>
  </si>
  <si>
    <t>Outubro</t>
  </si>
  <si>
    <t>Novembro</t>
  </si>
  <si>
    <t>Dezembro</t>
  </si>
  <si>
    <t>08/04/0202</t>
  </si>
  <si>
    <t>Membros Ativos</t>
  </si>
  <si>
    <t>núcleo</t>
  </si>
  <si>
    <t>NPS como coord</t>
  </si>
  <si>
    <t>NPS como analista</t>
  </si>
  <si>
    <t>Dias executados analista</t>
  </si>
  <si>
    <t>Dias vendidos</t>
  </si>
  <si>
    <t>Dias vendidos analista</t>
  </si>
  <si>
    <t>Taxa de execução coord</t>
  </si>
  <si>
    <t>Taxa de execução analista</t>
  </si>
  <si>
    <t>% de ENB coord</t>
  </si>
  <si>
    <t>% de ENB analista</t>
  </si>
  <si>
    <t>[C/V] Alocações</t>
  </si>
  <si>
    <t>[An. 1] Alocações</t>
  </si>
  <si>
    <t>[An. 2] Alocações</t>
  </si>
  <si>
    <t>[An. 3] Alocações</t>
  </si>
  <si>
    <t>[An. 4] Alocações</t>
  </si>
  <si>
    <t>Número de alocações total</t>
  </si>
  <si>
    <t>[Analista] Número de alocações</t>
  </si>
  <si>
    <t>Número de proj. no prazo</t>
  </si>
  <si>
    <t xml:space="preserve">Média da nota de entrega </t>
  </si>
  <si>
    <t xml:space="preserve">Média da nota de qualidade de entrega </t>
  </si>
  <si>
    <t xml:space="preserve">Média da nota de compromisso com o projeto </t>
  </si>
  <si>
    <t>Média da nota de comunicação e  dinâmica de trabalho</t>
  </si>
  <si>
    <t>Coords</t>
  </si>
  <si>
    <t>Carimbo de data/hora</t>
  </si>
  <si>
    <t>Endereço de e-mail</t>
  </si>
  <si>
    <t>Qual foi o NPS?</t>
  </si>
  <si>
    <t>Feedbacks Comercial</t>
  </si>
  <si>
    <t>Feedbacks Projetos</t>
  </si>
  <si>
    <t>Feedbacks Analistas</t>
  </si>
  <si>
    <t>Feedbacks Gerais</t>
  </si>
  <si>
    <t>Espaço para comentários</t>
  </si>
  <si>
    <t>Faz sentido usar os relatos do cliente no site e houve autorização do cliente?</t>
  </si>
  <si>
    <t>Em uma escala de 0 a 5, o quanto a equipe do projeto atendeu o que foi acordado no processo comercial?</t>
  </si>
  <si>
    <t>De 0 a 5, o quanto a equipe da Poli Júnior atendeu a sua necessidade?</t>
  </si>
  <si>
    <t>de 0 a 5, o quanto as entregas da Poli Júnior atenderam suas expectativas?</t>
  </si>
  <si>
    <t>isabella.vieira@polijunior.com.br</t>
  </si>
  <si>
    <t>Einstein</t>
  </si>
  <si>
    <t>Achou bem check e deu suas notas pro Marcel pelo CSAT, o decorrer do projeto correu bem, tiveram problemas de agenda, mas logo foi resolvido - principal problema foi o início = atraso de mais de um mês</t>
  </si>
  <si>
    <t>giovanna.grossi@polijunior.com.br</t>
  </si>
  <si>
    <t xml:space="preserve">MP Itamara </t>
  </si>
  <si>
    <t xml:space="preserve">Não falou sobre. </t>
  </si>
  <si>
    <t xml:space="preserve">Adorou muito o projeto, falou que foi tudo perfeito. Trouxemos uma visão inovadora, embasada. Viu o gasto como o primeiro investimento na empresa, ganhou um tempo muito grande. Indicaria pra todo mundo e pensa em nos procurar de novo quando tiver qualquer outra demanda. </t>
  </si>
  <si>
    <t xml:space="preserve">Amou a Fer, falou que ela é extremamente interessada, dedicada, e fofa, que foi atras dos especialistas que ela indicou. Tem um enorme carinho por ela, não faltou elogios. Disse que ela "Tem um brilho nos olhos", que sentiu que o projeto era das duas e não só dela. </t>
  </si>
  <si>
    <t xml:space="preserve">Amou </t>
  </si>
  <si>
    <t>PM Thais</t>
  </si>
  <si>
    <t xml:space="preserve">adorou a pre venda, amou a bia e a lara. Contrato confuso, contrato deu a entender que fizemos o cliente oculto por 4,5k, mas nos slides dizia outra coisa. Ficou confusa em relação a isso. </t>
  </si>
  <si>
    <t>gostou da forma que transcorreu a pesquisa. Em relação ao capital inicial de cada grande concorrente em cada região e o valor de m2 por região de aluguel, a bia falou que seria analisado mas nao foi. Analista disse que nao tinha ferramenta para analisar o m2.</t>
  </si>
  <si>
    <t xml:space="preserve">Pedro atencioso, responsável, atento as necessidades da cliente. </t>
  </si>
  <si>
    <t xml:space="preserve"> Na reunião final, apareceram outras pessoas que não se apresentaram, e ela não gostou, queria que falassem sua função. Sentiu falta da lara no report final tb. Sentiu falta de alguem mais tecnico e experiente no final, ficou sem saber quem "coordenou" o projeto. (queria o professor kkk). Sentiu que o projeto foi macro, e não micro, só foi determinado bairros e não ruas (areas com 30,40km de distancia) </t>
  </si>
  <si>
    <t>caio.pereira@polijunior.com.br</t>
  </si>
  <si>
    <t>We246</t>
  </si>
  <si>
    <t>Gostou da parte da negociação. Conseguimos dar suporte, mas queria mais rapidez. Sentiu que suprimos todas as dúvidas. Gostou da agilidade do contrato</t>
  </si>
  <si>
    <t xml:space="preserve">Gostou muito do Velas, achou ele muito rápido, vai além do que foi pedido. Em outras palavras, o Velas passa tranquilidade. </t>
  </si>
  <si>
    <t xml:space="preserve">Achou o trabalho muito bom. Os clientes que tinham maior educação na questão  de ideação e design, ficaram muito satisfeitos com o design. </t>
  </si>
  <si>
    <t xml:space="preserve">Precisa pagar, mas nosso financeiro não está cobrando. </t>
  </si>
  <si>
    <t xml:space="preserve">Se tiver novos projetos, gostaria de fazer com a gente. </t>
  </si>
  <si>
    <t xml:space="preserve">MP Gloria </t>
  </si>
  <si>
    <t xml:space="preserve">não falou </t>
  </si>
  <si>
    <t xml:space="preserve">gostou do projeto, disse que a ajudou a ter visões diferentes, pq não necessariamente oq ela acredita é de fato o mais interessante para os consumidores, então que abriu seus olhos. </t>
  </si>
  <si>
    <t>falou que deu 9 para manter a competitividade kkk</t>
  </si>
  <si>
    <t>WeVets</t>
  </si>
  <si>
    <t>nao falou</t>
  </si>
  <si>
    <t xml:space="preserve">adorou o projeto, conseguiram mapear mt bem, ouviram diferentes percepções, conseguiram pegar todos os cargos, responsabilidades e percepções de cada um.Propostas trazidas algumas foram mais aplicáveis a rotina deles do que outras, mas de forma geral gostou muito. Alguns pontos que eles não percebiam no dia a dia a gente conseguiu trazer. Gostaria de ter mais acompanhamentos presenciais, foi só um dia e ela acha que agregaria bastante ter mais. </t>
  </si>
  <si>
    <t>não comentou nada</t>
  </si>
  <si>
    <t xml:space="preserve">Disse que cumpriram tudo que foi acordado, que entendemos o escopo e fizemos direitinho, porém, ressaltou da entrega final que ele pediu para remarcar no meio pq o ppt estava com algumas informações repetidas, que precisava de mais análise e ser revisado, mas que no final cumpriram a entrega e ele gostou. </t>
  </si>
  <si>
    <t xml:space="preserve">Oniris </t>
  </si>
  <si>
    <t>gostou muito de todo processo, falou que fomos muito profissionais durante todo o processo</t>
  </si>
  <si>
    <t>amou o projeto, disse que fomos super profissionais, inclusive com a questão da ECA, que a partir do momento ela sinalizou que não tinha curtido marcamos uma reunião, elogiou muito nosso profissionalismo e adorou as nossas entregas. realmente só criticou a ECA</t>
  </si>
  <si>
    <t>Wahojobs</t>
  </si>
  <si>
    <t xml:space="preserve">Não ficou tão satisfeito. Demorou para ter um retorno (ele que entrou em contato). Achou que era mais ele indo atrás do que a gente. Na hora da fidelização, sentiu um desalinhamento da agenda. </t>
  </si>
  <si>
    <t>Achou muito bom o sistema de sprints</t>
  </si>
  <si>
    <t>Concepção: foi ok, poderia ser melhor, com mais opções e sugestões. Gostaria de ter mais opções para escolher as formas de implementar a interface. 
Desenvolvimento: bons desenvolvedores. Sempre teve a sensação de que o front-end ficava atrás em relação ao back-end (pareceu que o back tinha mais experiência).</t>
  </si>
  <si>
    <t xml:space="preserve">De modo geral, gostou. Como qualquer projeto, vê oportunidades de melhorias. Gostou do sistema de sprints. Foi importante a troca do PO. </t>
  </si>
  <si>
    <t>Achou que a troca do PO veio a ser boa para ter alguém mais técnico coordenando o projeto.
Sugestão: parte da segurança -&gt; protocolo de boas práticas de segurança para evitar ataques, por exemplo.
Site caiu várias vezes ao longo do projeto. Faltou um deploy de testes.</t>
  </si>
  <si>
    <t>juliana.miyazaka@polijunior.com.br</t>
  </si>
  <si>
    <t>Falou que houve comprometimento e a equipe era sempre acessível</t>
  </si>
  <si>
    <t>Gostou do projeto e do trabalho feito, acha que foi bem atendida</t>
  </si>
  <si>
    <t>O trabalho era extenso (+ de 100 processos) e o resultado foi bom; Feedback construtivo: como o projeto era grande, às vezes faltou organização e controle durante a execução</t>
  </si>
  <si>
    <t>Equipe foi bem engajada e solícita ao longo do projeto, principalmente, fazendo correções e ajustes nos mapeamentos; Falou do Fred que foi receptivo aos feedbacks e alinhamentos feitos durante o projeto, o que facilitou a execução</t>
  </si>
  <si>
    <t>Processo tranquilo, boa interação com os clientes (desde o comercial até a execução)</t>
  </si>
  <si>
    <t xml:space="preserve">MP Angelica </t>
  </si>
  <si>
    <t xml:space="preserve">gostou bastante do projeto e das análises e falou que seguimos mt bem prazos. só comentou q teve um pouco de dificuldade na interpretação dos dados mas que nos mostramos super a disposição pra ajudar </t>
  </si>
  <si>
    <t>Não sabe se o preço condiz com o trabalho, disse que precisa treinar melhor o que vai oferecer. Comprou pq é incentivador desse tipo de trabalho com universidades e já tava condicionado a fazer.</t>
  </si>
  <si>
    <t>Amou o Caio, mas falou que "os outros chegaram depois e falavam pouco" - ECA Jr. No geral gostou do trabalho. quando precisou aprimorar infos o Caio foi atras. o que mais gostou do trabalho foi a pesquisa com empresas que adquirem o produto. a parte financeira é mais tecnica - bem receita de bolo, n vai criticar, achou otimo, sabe como faz. no geral gostou, esperava mais mas nn sabe do que. parecia que tava aparecendo um trabalho escolar, nao um trabalho de empresa. muita teoria, as vezes essas coisas nao enchem os olhos, n quer saber a teoria de quem, poderia ter enxugado. criticas: as pessoas precisavam ser mais treinadas, alunos que estão nervosos, jogados em cima da camera, como se fosse apresentar um trabalho de escola. chamaria o caio pra trabalhar, falar mais entre a equipe antes da reunião. apresentação mt lido. enviar o trabalho antes de apresentar pra criticar. caio tem bastante conhecimento 
utilizar a pesquisa, financeiro no dia a dia só deu uma ideia
gostou muito da pesquisa de mercado sobre utilização do produto
não sabe se o valor cobrado é condizente</t>
  </si>
  <si>
    <t xml:space="preserve">Amou o Caio, disse que contrataria ele agora. Achou o mais sensato e preparado, que correu muito atras de informações. Disse que ele tem bastante conhecimento </t>
  </si>
  <si>
    <t>Não</t>
  </si>
  <si>
    <t>Fonte Cred</t>
  </si>
  <si>
    <t>Foi muito tranquilo, nos mostramos muito solicitos para receber negociações</t>
  </si>
  <si>
    <t xml:space="preserve">Tudo que está sendo pedido está sendo feito. Estão pedindo paciência </t>
  </si>
  <si>
    <t xml:space="preserve">Amanda e a equipe estão fazendo um bom trabalho. </t>
  </si>
  <si>
    <t>A priori está indo tudo bem. Suas preocupações estão em relação ao timing entre a decisão e desenvolvimento</t>
  </si>
  <si>
    <t xml:space="preserve">MP Ginásio </t>
  </si>
  <si>
    <t xml:space="preserve">nao falou nada </t>
  </si>
  <si>
    <t>deu tudo certo, no começo as coisas estavam indo bem, mas na parte financeira as coisas complicaram de entender. tinham horas que precisava de mais tempo em relação aos reunioes, tiveram algumas que foram rápidas, coisas na planilha que tem uma limitação, pelo projeto ser especifico. planilha boa, mas mt complexa e da erros. bastante coisa que teve que mudar, a versão final nao era a versão final, e tava perto da data final de entrega. talvez fazer a planilha em conjunto com o cliente, assim não tem tantos erros e não tem que ficar arrumando. problemas ao passar pro ingles, e entender que tudo ta funcionando. percebeu hoje coisas que nao estão batendo, que teve que mudar. mandou pra banco e teve que mudar pq percebeu erros, exemplo coisas que ainda estavam em portugues</t>
  </si>
  <si>
    <t>Fred e Paulo sempre muito atenciosos com tudo que foi pedido, correram bastante pra entregar as coisas no tempo e de maneira correta.</t>
  </si>
  <si>
    <t xml:space="preserve">MP Juliana/Clinica </t>
  </si>
  <si>
    <t xml:space="preserve">As primeiras reuniões foram um pouco mais rasas de conteúdo, mas quando foi construindo a relação foi ficando mais relevante. Superou as expectativas no final, tirou todas as dúvidas que eles tinham. Só elogios. </t>
  </si>
  <si>
    <t>Muito bem atendida pelo Pedro, que sempre foi muito atencioso, tirou todas as dúvidas. Pedro foi atrás do cliente oculto para descobrir o quanto os clientes estão cobrando, deu uma noção muito boa do mercado. Foi um diferencial muito bacana e que impactou muito o case, deixou ela com um brilho a mais no olhar</t>
  </si>
  <si>
    <t>Tudo ótimo.</t>
  </si>
  <si>
    <t>Não tem do que reclamar. Apenas no final o app deu uns problemas, mas foram corrigidos. Letícia foi muito proativa.</t>
  </si>
  <si>
    <t>Sabem que somos empresa júnior. Viam certas coisas que aconteciam que sabiam que era errado, mas tinham em mente que isso iria acontecer</t>
  </si>
  <si>
    <t>Já indicou o serviço para dois colegas</t>
  </si>
  <si>
    <t>MP Clínica Pet</t>
  </si>
  <si>
    <t>preço bem salgado, falou que era bem alto</t>
  </si>
  <si>
    <t xml:space="preserve">ficou incomodada com a questão da logo feito pela ECA Jr. Foi dito que não teria que pagar e no final ela teve que pagar por essa logo. Gostou do projeto, disse que foi melhorando com o passar do tempo e os feedbacks que elas passavam, que não foi perfeito o tempo todo mas no geral gostou. </t>
  </si>
  <si>
    <t xml:space="preserve">Disse que ele correu bastante atrás, sempre que precisavam de mais locais o Butler corria atrás. </t>
  </si>
  <si>
    <t>Option 1</t>
  </si>
  <si>
    <t>Foi tudo feito certo e bem feito, não esperava mais nem menos.</t>
  </si>
  <si>
    <t>MP Tadeu</t>
  </si>
  <si>
    <t>No início estavam com uma ideia diferente, mas no decorrer do projeto tiveram que adaptar a ideia, devido ao resultado (perceberam que teriam muitos gastos com o negócio e riscos envolvidos). Mas parte da decisão de não abrir o negócio veio de conversas próprias que o cliente teve com donos de franquias.
Queriam que fosse feita uma entrega mais direcionada ao modelo de franquias (comparação entre franquias, conversa com alguns donos)
Cliente sentiu que o projeto desenvolveu sua habilidade de criar e desenvolver um plano de negócio.
Seria melhor se tivessem sido apresentados dados cruzados e não apenas os dados.</t>
  </si>
  <si>
    <t>Gostou do Kadu, proativo mas faltou experiência
Cara legal, teve paciência para trabalhar com a outra sponsor kkkk</t>
  </si>
  <si>
    <t>Deu 8 por conta do preço. Se não fosse tão caro, recomendaria mais para outras pessoas.</t>
  </si>
  <si>
    <t>Jus Brasil</t>
  </si>
  <si>
    <t xml:space="preserve">projeto bem positivo, super satisfeitos, projeto bem dentro do esperado </t>
  </si>
  <si>
    <t xml:space="preserve">equipe super prestativas, sempre tiravam dúvidas, </t>
  </si>
  <si>
    <t>falta de alinhamento entre comercial e projetos, não foi vendido o que eles queriam. nao queriam mapeamento de processos, queriam um novo modelo de dimensionamento de quadro. Acredita que devemos primeiro conhecer a empresa direito (presencial) e entender se conseguimos fazer o projeto pra depois apresentar uma proposta</t>
  </si>
  <si>
    <t>Podia ter feito um projeto com mais profundidade, não houve as 3 visitas presenciais conforme foi alinhado. Disse que conversou tb com diretor de outra empresa disse que aproveitamos pouco a experiência de campo, nosso trabalho é muito mais em sala do que em campo. Tivemos dificuldades em solicitação de materiais e n foi aproveitado.</t>
  </si>
  <si>
    <t xml:space="preserve">Disse que faltou proatividade, que muitas vezes n entenderam o conceito completo e n pediram suporte. Sentiu que só nas ultimas semanas que se ajeitou , sem tempo hábil de ajustes, ficou próximo do que já tinham. Não houve inovação alguma e o trabalho nao serviu de muita coisa pra eles por isso  </t>
  </si>
  <si>
    <t>Basicamente falta de alinhamento entre comercial e projetos.</t>
  </si>
  <si>
    <t>PetLove</t>
  </si>
  <si>
    <t xml:space="preserve"> A entrega foi excelente, principalmente porque fomos calibrando com o time Petlove e Arthur os pontos de ajuste no detalhe. O resultado do trabalho foi compartilhado com a liderança e todos elogiaram o formato e riqueza do conteúdo.</t>
  </si>
  <si>
    <t>Queria deixar meu elogio ao João Arthur e toda equipe da PoliJr, todos muito atenciosos e com disponibilidade para atender nossas agendas.</t>
  </si>
  <si>
    <t>PM Eugenio</t>
  </si>
  <si>
    <t>não disse muita coisa, disse que entregamos tudo que foi prometido e gostou do projeto</t>
  </si>
  <si>
    <t>PM Aegea</t>
  </si>
  <si>
    <t xml:space="preserve">sentiu falta de um encaixe estratégico, não é fácil de fazer, precisa saber mt do negócio. SWOT, VRIO, nao fazia tanto sentido pra eles. faltou eles avisarem que isso n fazia tanto sentido. achou que teria visão mais clara disso na ótica do produtor. Gostou muito da visão das legislações dos outros países, e forma de transporte </t>
  </si>
  <si>
    <t>DOinet</t>
  </si>
  <si>
    <t>Processo comercial claro.</t>
  </si>
  <si>
    <t>Execução boa. Corresponderam.</t>
  </si>
  <si>
    <t>Correspondeu. Sem grandes comentários.</t>
  </si>
  <si>
    <t>Tempo de entrega relativo por conta da semana de provas. Tiveram um delay.</t>
  </si>
  <si>
    <t xml:space="preserve">Cliente propício para fidelização. </t>
  </si>
  <si>
    <t>guilherme.mendes@polijunior.com.br</t>
  </si>
  <si>
    <t>Sentiu falta de uma visita técnica.</t>
  </si>
  <si>
    <t>Ficou muito satisfeito com a equipe e com a solução que oferecemos.</t>
  </si>
  <si>
    <t xml:space="preserve">Parte comercial foi interessante. A forma de apresentação de projeto, formação de contrato. </t>
  </si>
  <si>
    <t>Junioridade comprometeu nossa expertise no dev</t>
  </si>
  <si>
    <t>Troca de time teve um impacto grande nos prazos</t>
  </si>
  <si>
    <t>Durou mais tempo do que gostaria. Gostou de ter um entregável. Ficou 90% concluído dentro do que esperava</t>
  </si>
  <si>
    <t xml:space="preserve">Achou interessante a forma de trabalho que temos com o SCRUM. </t>
  </si>
  <si>
    <t xml:space="preserve">Por ser um negócio novo, sentiu dificuldade na planilha financeira pois os valores mudavam muito ja que as premissas mudavam muito. mas n acha q foi nossa culpa, ela viu que conversando com outras pessoas é muito mais fácil fazer uma planilha que ja tenham dados anteriores. Só sentiu falta de pessoas mais velhas ou experientes no projeto, ela nao sabe o quanto o luis realmente bateu o caso com pessoas mais velhas e coordenadoras, n sabe se pra um projeto bem complicado a gente atenderia tao bem </t>
  </si>
  <si>
    <t>Adorou o luis, achou ele super receptivo, paciente e resiliente.</t>
  </si>
  <si>
    <t>Pedro Solfa</t>
  </si>
  <si>
    <t>Processo de venda refletiu bem nas entregas. Teve um pequeno mal entendido sobre o recebimento de pagamentos de clientes. Daniel muito bem.</t>
  </si>
  <si>
    <t>Teve muito contato com a Fernanda. Relacionamento muito bom, super solícita.</t>
  </si>
  <si>
    <t>Trabalho dos analistas muito bem alinhados com os pensamentos do cliente. Trouxeram melhorias em cima do que ele pensou. Alterações com base em críticas</t>
  </si>
  <si>
    <t>Muito mais elogios do que críticas.</t>
  </si>
  <si>
    <t>Grupo Trigo 2.0</t>
  </si>
  <si>
    <t xml:space="preserve">Gostaram muito do projeto. </t>
  </si>
  <si>
    <t xml:space="preserve">As entregas superaram as expectativas, trouxemos insights de coisas que eles ainda não sabiam. Analista super prestativo e fez tudo que eles queriam, adorou. </t>
  </si>
  <si>
    <t xml:space="preserve">PM Educantes </t>
  </si>
  <si>
    <t>paulo foi mt querido, entregou tudo, vai fazer ate outra reunião, fez mais do que foi pedido. ficou mt contente com o resultado</t>
  </si>
  <si>
    <t xml:space="preserve">Diálogos Embalados </t>
  </si>
  <si>
    <t xml:space="preserve">Elas queriam uma planilha financeira, porém tiveram dificuldade de expressar isso, elas mesmos falaram que foi culpa delas </t>
  </si>
  <si>
    <t xml:space="preserve">Trabalho muito importante, foi bem entregue, o que foi proposto a gente entregou, buscavam um produto que era bastante necessário uma análise financeira mas não souberam manifestar o desejo. </t>
  </si>
  <si>
    <t xml:space="preserve">PM Manto </t>
  </si>
  <si>
    <t xml:space="preserve">Só comentou da questão da offer que foi acordada e não rodou desse jeito, falha de comunicação </t>
  </si>
  <si>
    <t xml:space="preserve">Falou do atraso, sentiu que as entregas ficaram mt espaçadas. </t>
  </si>
  <si>
    <t xml:space="preserve">Giró foi perfeito no projeto, correu muito atras, pesquisou, motivava até ele mesmo com o projeto em si. Usou muitas fontes, pesquisas, organizou bem as infos </t>
  </si>
  <si>
    <t xml:space="preserve">nunca tinha trabalhado com a poli, foi indicação, percepção a mais positiva possível. adiantou um trabalho bacana, fizeram tudo conforme o combinado, conforme o prazo, visão de fora, entrega bem elogiada </t>
  </si>
  <si>
    <t>Mangue</t>
  </si>
  <si>
    <t>Temos apenas a construção, tendo só ideias. Não conseguiu olhar ainda, e, por isso, não deu 5.</t>
  </si>
  <si>
    <t xml:space="preserve">Não consegue avaliar ainda </t>
  </si>
  <si>
    <t>Perfeito. Os analistas e o PM estão situados na ideia de aplicativo</t>
  </si>
  <si>
    <t xml:space="preserve">Temos que liberar o acesso ao Figma urgentemente. O Jacule não liberou ele ainda. </t>
  </si>
  <si>
    <t>Dani</t>
  </si>
  <si>
    <t>Boa venda, o processo de venda</t>
  </si>
  <si>
    <t>É uma empresa júnior, então às vezes temos pausas por sermos de faculdade</t>
  </si>
  <si>
    <t>Equipe muito boa</t>
  </si>
  <si>
    <t>Demora para montar o time para começar o projeto. A transição de uma equipe para outra trouxe uma demora para imersão do time de conceps para o dev</t>
  </si>
  <si>
    <t>Achou muito bla-bla-bla e pouca objetividade.</t>
  </si>
  <si>
    <t>Eles esperavam ideias e sugestões da equipe de projetos a respeito da disposição dos móveis, mas isso não aconteceu. A sugestão dada pelas analistas do arquitetônico foi muito simples e superficial, sem muitas ideais. Houve falta de atenção nos detalhes. Eles gostariam que tivesse um questionário com algumas perguntas que eles não pensaram, perguntas relacionadas a utilização do ambiente na pratica (onde voce guarda as vassouras? onde vocês guardam os mantimentos?), e isso exigiu muito retrabalho. Esse questionário poderia amadurecer a ideia antes do briefing. Faltou atenção a saber os eletrodomésticos utilizados pelos clientes, isso deve-se perguntado sempre, os clientes ficaram bem insatisfeito nesse quesito. Os analistas assumiram algumas coisas de maneira errônea pois não foi perguntado aos clientes antes.</t>
  </si>
  <si>
    <t>Sentiram que os analistas eram muito inexperientes. Faltou proatividade. Os clientes gostavam muitos dos desenhos da Susana.</t>
  </si>
  <si>
    <t>Reconhecimento a apresentação da entrega final.</t>
  </si>
  <si>
    <t>nicole.tomita@polijunior.com.br</t>
  </si>
  <si>
    <t xml:space="preserve">crítica quanto ao prazo, pois não foi cumprido 
não tava com pressa e tava resolvendo outras coisas então não ligou muito pra isso
teve problemas de comunicação com o projeto estrutural (terceirizado) e o engenheiro teve que refazer 
no geral tudo ok 
maior crítica seria em relação ao projeto estrutural pq ele acabou consultando outros engenheiros e eles falaram que a parte da fundação tava muito conservadora (colocou muitas perfurações e vigas desnecessárias, que gerou um gasto maior que o necessário) </t>
  </si>
  <si>
    <t>foi muito legal a experiência, elogiou o esforço
entendeu que a gente é estudante</t>
  </si>
  <si>
    <t>Intensipied</t>
  </si>
  <si>
    <t>Sem nada a reclamar. O primeiro suporte foi muito bom</t>
  </si>
  <si>
    <t>Trio de início mandou muito bem</t>
  </si>
  <si>
    <t>Mineiro e Kenzo foram muito bem nas entregas, deram boas sugestões e entregaram com qualidade</t>
  </si>
  <si>
    <t>Ana P deu um suporte muito confiável</t>
  </si>
  <si>
    <t>Muito profissionais, principalmente quanto a divisão de papeis entre as áreas (comercial e projetos)</t>
  </si>
  <si>
    <t>Equipe foi bem no mapeamento dos processos e seguiram o cronograma, sendo flexível quando necessário; Mesmo sendo estudantes, não deixou a desejar; Correções foram feitas quando solicitadas; Gostou que tudo foi bem alinhado (prazos, entregas, reuniões)</t>
  </si>
  <si>
    <t>Quanto o projeto foi implementado?</t>
  </si>
  <si>
    <t>Feedbacks na implementação do projeto</t>
  </si>
  <si>
    <t>Expectativa de resultado com o projeto</t>
  </si>
  <si>
    <t>Feedbacks do resultado do projeto</t>
  </si>
  <si>
    <t>Nome do Projeto NCiv</t>
  </si>
  <si>
    <t>Nome do Projeto NTec</t>
  </si>
  <si>
    <t>Nome do Projeto NDados</t>
  </si>
  <si>
    <t>Nome do Projeto NCon</t>
  </si>
  <si>
    <r>
      <t>A qual semana as respostas a seguir se referem?</t>
    </r>
    <r>
      <rPr>
        <rFont val="Arial"/>
        <i/>
        <color theme="1"/>
      </rPr>
      <t xml:space="preserve">
Selecione a sexta-feira da quinzena à qual se refere.</t>
    </r>
  </si>
  <si>
    <t>Houve entrega parcial no período?</t>
  </si>
  <si>
    <t>Avalie a satisfação do cliente com a entrega:</t>
  </si>
  <si>
    <t>Explique a nota brevemente:</t>
  </si>
  <si>
    <t>Situação final do projeto (em relação ao prazo final)</t>
  </si>
  <si>
    <t>Qual a situação do projeto caso esteja "Dentro do prazo"? (em relação ao cronograma montado/imaginado inicialmente)</t>
  </si>
  <si>
    <t>Analista 1 [Qualidade de entrega]</t>
  </si>
  <si>
    <t>Analista 1 [Compromisso com o projeto]</t>
  </si>
  <si>
    <t>Analista 1 [Comunicação e dinâmica de trabalho]</t>
  </si>
  <si>
    <t>Dê o feedback ao analista sobre a nota recebida</t>
  </si>
  <si>
    <t>Média analista 1</t>
  </si>
  <si>
    <t>Analista 2 [Qualidade das entregas]</t>
  </si>
  <si>
    <t>Analista 2 [Compromisso com o projeto]</t>
  </si>
  <si>
    <t>Analista 2 [Comunicação e dinâmica de trabalho]</t>
  </si>
  <si>
    <t>Média analista 2</t>
  </si>
  <si>
    <t>Analista 3 [Qualidade das entregas]</t>
  </si>
  <si>
    <t>Analista 3 [Compromisso com o projeto]</t>
  </si>
  <si>
    <t>Analista 3 [Comunicação e dinâmica de trabalho]</t>
  </si>
  <si>
    <t>Média analista 3</t>
  </si>
  <si>
    <t>Analista 4 [Qualidade das entregas]</t>
  </si>
  <si>
    <t>Analista 4 [Compromisso com o projeto]</t>
  </si>
  <si>
    <t>Analista 4 [Comunicação e dinâmica de trabalho]</t>
  </si>
  <si>
    <t>Média analista 4</t>
  </si>
  <si>
    <t>Área aberta para feedbacks :)</t>
  </si>
  <si>
    <t>lucas.aguiar@polijunior.com.br</t>
  </si>
  <si>
    <t>Clube do Horto</t>
  </si>
  <si>
    <t>Estava muito feliz em ver a ideia de app delas saindo do papel</t>
  </si>
  <si>
    <t>Atrasou</t>
  </si>
  <si>
    <t>Atrasado em relação ao cronograma inicial</t>
  </si>
  <si>
    <t>Ele está muito alocado, além de estar em 5 projetos está fazendo outros editais e esta como Hunter. Por isso senti uma leve piora na qualidade da entrega, ainda assim ele é comprado com o projeto e presta converte os feedbacks bem</t>
  </si>
  <si>
    <t xml:space="preserve">Mesmo estando bem alocado tbm está se deixando bastante ao projeto e pedindo feedbacks </t>
  </si>
  <si>
    <t xml:space="preserve">No geral, a maior complicação é marcar Reviews pq ambos os analistas estão muito alocados </t>
  </si>
  <si>
    <t>amanda.puglia@polijunior.com.br</t>
  </si>
  <si>
    <t>Projeto muito atrasado, mas entregas satisfatórias</t>
  </si>
  <si>
    <t>Se comprometeu a fazer as entregas, mas não parece motivada a entregar o melhor possível para o cliente. Falta senso de urgência na realização das atividades do projeto, que mesmo que esteja atrasado precisa ser entregue o quanto antes.</t>
  </si>
  <si>
    <t>ana.arejano@polijunior.com.br</t>
  </si>
  <si>
    <t>O Matheus tem uma certa dificuldade em relação a comunicação, o que acaba atrapalhando ele bastante no projeto, visto que é o primeiro projeto dele e ele ainda está aprendendo algumas coisas.</t>
  </si>
  <si>
    <t xml:space="preserve">O Bruno está mandando muito bem no projeto, o único ponto de atenção que eu levantaria é que ele está bem alocado com 2 projetos e o cargo de SDR, então comunicação e organização vão ser essenciais nesse próximo período </t>
  </si>
  <si>
    <t>Só tenho coisas boas pra falar da Gabi, ela me surpreendeu muito desde o início do projeto e a cada daily eu fico boquiaberta com a quantidade e a qualidade de tudo que ela faz</t>
  </si>
  <si>
    <t>É um prazer ter o Luiz como analista, ele entrega as coisas sempre com muita qualidade e cuidado. O trabalho dele no Back é muito atento a qualidade de código e  criar o melhor Back possível para apoiar o front.</t>
  </si>
  <si>
    <t xml:space="preserve">É um prazer trabalhar com a equipe da SAF, sem essa equipe seria impossível ter um projeto tão bem elaborado quanto esse, além de um clima muito bom na equipe! </t>
  </si>
  <si>
    <t>Cliente satisfeito com o andamento do projeto, mas nada excepcional.</t>
  </si>
  <si>
    <t>Dentro do prazo</t>
  </si>
  <si>
    <t>Tendência a atrasar</t>
  </si>
  <si>
    <t>Poderia se comunicar mais tanto com o chapter quanto com a equipe e o cliente no caso de qualquer dúvida. De resto, faz entregas muito boas e está bem comprometido com o projeto!</t>
  </si>
  <si>
    <t xml:space="preserve">Tem trabalhado muito bem no projeto, mesmo que tenha muitas outras tarefas para realizar. </t>
  </si>
  <si>
    <t>Clientes satisfeitos mas ainda querendo alterações.</t>
  </si>
  <si>
    <t xml:space="preserve">Entregas acima da média. Tem muitas outras tarefas então às vezes acaba não priorizando o projeto, mas está muito comprometida! </t>
  </si>
  <si>
    <t>pedro.amaral@polijunior.com.br</t>
  </si>
  <si>
    <t>tem se doado bastante apesar de claramente não gostar muito do projeto, tem me ajudado muuuito, e tem uma proatividade muito grande em relação a comunicação</t>
  </si>
  <si>
    <t>Acabou não tendo muitas entregas em razão da demora do cliente, muitas vezes demora muito para responder no grupo e tem faltado com certe frequencia no check in</t>
  </si>
  <si>
    <t>Grafeno 2.0</t>
  </si>
  <si>
    <t>Em dia</t>
  </si>
  <si>
    <t>Fez uma boa entrega essa semana, porém apresentou problemas de comunicação no grupo comigo.</t>
  </si>
  <si>
    <t>Fez boas entregas, e apesar do problema de comunicação essa semana apresenta uma boa proatividade em relação a isso no geral</t>
  </si>
  <si>
    <t>MP Perfil Company</t>
  </si>
  <si>
    <t>Correu bastante atrás para fazer a primeira entrega do questionário, e tem se comunicado bem.</t>
  </si>
  <si>
    <t>PM Sérgio</t>
  </si>
  <si>
    <t>Não aconteceu muita coisa ainda no projeto, mas ressalto a proatividade para a comunicação, tanto comigo como com o cliente.</t>
  </si>
  <si>
    <t>andre.helena@polijunior.com.br</t>
  </si>
  <si>
    <t>Messer 2.0</t>
  </si>
  <si>
    <t>comprometida com o projeto, mantém comunicação ativa no grupo e já montou um bom protótipo de dash na primeira semana</t>
  </si>
  <si>
    <t xml:space="preserve">fez maior parte das paginas na dash, mantém comunicação com cliente. no entanto, falha em conseguir garantir alinhamento da equipe e ele. </t>
  </si>
  <si>
    <t>abandonou o projeto nas últimas semanas, está querendo se livrar do projeto sem fazer nada. teve uma pagina para fazer a mais de 2 semanas e não fez nada, nem comunicou com cliente. hj mandou mng por conta de uma reunião ontem q dei uma cobrada</t>
  </si>
  <si>
    <t>abandonou projeto, quer sair da PJ</t>
  </si>
  <si>
    <t>carregando nas costas</t>
  </si>
  <si>
    <t>boa comunicação, proatividade e qualidade do código</t>
  </si>
  <si>
    <t>despriorizou o projeto, tá sem fazer suas responsabilidades há bastante tempo</t>
  </si>
  <si>
    <t>Sandoz</t>
  </si>
  <si>
    <t>Adiantado</t>
  </si>
  <si>
    <t>projeto de 4 semanas, conseguiu quase matar antes de sequer começar</t>
  </si>
  <si>
    <t>Enpower</t>
  </si>
  <si>
    <t>ainda não fez nada no projeto</t>
  </si>
  <si>
    <t>também não fez quase nada no projeto</t>
  </si>
  <si>
    <t>cliente ta tiltado e quer não pagar, não vê progresso sendo feito (corretamente). segunda feira tem reuniao e vamos ter que ter uma boa entrega</t>
  </si>
  <si>
    <t>kaua.bolonha@polijunior.com.br</t>
  </si>
  <si>
    <t>Fez algumas ressalvas, mas falou q gostou, achou coerente com o que idealizava.</t>
  </si>
  <si>
    <t>Vem desempenhando satisfatóriamente, com destaque no sentido de buscar atender 100% das exigências de um cliente bastante técnico, e que nem sempre dá soluções viáveis de serem executadas. Aos poucos, é bom buscar meios de ser mais autônoma nos projetos.</t>
  </si>
  <si>
    <t>anaclara.pacifico@polijunior.com.br</t>
  </si>
  <si>
    <t>Problemas de organização e seriedade com o projeto, mas com entrega final boa.</t>
  </si>
  <si>
    <t>Entrega dentro do esperado, mas com comunicação ágil tanto no grupo com cliente quanto no grupo de equipe, mostrando proatividade</t>
  </si>
  <si>
    <t>Entrega dentro do esperado, com um pouco de falha na comunicação com o cliente no grupo</t>
  </si>
  <si>
    <t>Tendência a adiantar</t>
  </si>
  <si>
    <t>Comprometido com o projeto, com boas entregas</t>
  </si>
  <si>
    <t>PM + GP Diálogos Embalados</t>
  </si>
  <si>
    <t>Acabaram deixando a entrega para última hora</t>
  </si>
  <si>
    <t>gabriel.saad@polijunior.com.br</t>
  </si>
  <si>
    <t>Houve erro na análise do código de obras no início do projeto: o analista afirmou não necessitar de recuo lateral, mas quando o cliente levou o projeto para aprovar na prefeitura, foi exigido recuo lateral de 1.5m. Isso influenciou todo o arquitetônico e o estrutural, e praticamente o projeto vai ser refeito. Apesar de tudo, o cliente está muito satisfeito conosco, e muito mais bravo com a prefeitura em si do que a PJ</t>
  </si>
  <si>
    <t>joao.gomes@polijunior.com.br</t>
  </si>
  <si>
    <t>Durante a semana foi apresentado os mapeamentos realizados ao longo do projeto, bem como a GUT, com os gargalos coletados e priorizados. A Sponsor se mostrou satisfeita com a entrega desenvolvida durante a semana</t>
  </si>
  <si>
    <t>Qualidade de entrega - A entrega para a semana embora demandasse um tempo considerável para a execução, inclusive tendo a necessidade de coworking não representava um grande desafio técnico e ela foi realizada dentro do esperado.
Compromisso com o projeto - As entregas da semana foram realizadas dentro do prazo e com a qualidade esperada.
Comunicação e dinâmica de trabalho - Embora a entrega da semana tenha sido realizada dentro do prazo e com qualidade, ela foi realizada de ultima hora e com uma comunicação a baixo do esperado, sobrando pouco tempo para a conversão de feedbacks, que precisaram ser convertidos rapidamente.</t>
  </si>
  <si>
    <t>Petlove</t>
  </si>
  <si>
    <t>Qualidade de entrega - O projeto apresenta um desafio técnico acima do esperado em comparação com projetos do mesmo portfólio, tanto na construção do questionário quanto na análise da base de dados e esses desafios estão sendo superados e atendendo as expectativas do cliente.
Compromisso com o projeto - Vem demonstrando um interesse em concluir o projeto e realizar as entregas, mesmo com as dificuldades técnicas de execução e dificuldades de comunicação por parte do clientes.
Comunicação e dinâmica de trabalho - O analista tem apresentado uma dificuldade de comunicação, com a necessidade constante de remarcar as reuniões de planning e de review do projeto, além de uma falta de urgência para responder as mensagens no grupo de equipe.</t>
  </si>
  <si>
    <t>Reckitt</t>
  </si>
  <si>
    <t xml:space="preserve">Entrega da semana apresentou uma grande quantidade de conteúdo, além de uma boa organização que agradou a sponsor do projeto. Além disso a equipe vem demonstrando uma grande proatividade e urgência de atender as demandas solicitadas </t>
  </si>
  <si>
    <t>Qualidade de entrega - As entregas realizadas até o momento atenderam as expectativas e estão dentro do esperado, tendo em vista que de maneira geral não apresentavam uma grande dificuldade técnica e são entregas já padronizadas no portfólio de Gestão de Processos.
Compromisso com o projeto - O analista tem apresentado um compromisso elevado em relação ao projeto, tendo uma grande proatividade em querer cumprir com o prazo estipulado.
Comunicação e dinâmica de trabalho - Comunicação vem funcionando muito bem, tanto internamente, distribuindo de maneira igualitária as tasks, realizando coworking e constantemente conversando no grupo de equipe, quanto externamente, com o cliente, tendo urgência e proatividade para responder as solicitações no grupo de projeto.</t>
  </si>
  <si>
    <t>Qualidade de entrega - As entregas realizadas até o momento atenderam as expectativas e estão dentro do esperado, tendo em vista que de maneira geral não apresentavam uma grande dificuldade técnica e são entregas já padronizadas no portfólio de Gestão de Processos.
Compromisso com o projeto - O analista tem apresentado um compromisso elevado em relação ao projeto, tendo uma grande proatividade em querer cumprir com o prazo estipulado.
Comunicação e dinâmica de trabalho - Comunicação vem funcionando muito bem, principalmente internamente, distribuindo de maneira igualitária as tasks, realizando coworking, constantemente conversando no grupo de equipe e tendo urgência para atender as solicitações do coordenador, também no grupo de equipe.</t>
  </si>
  <si>
    <t>PM Educantes</t>
  </si>
  <si>
    <t>Inicialmente a equipe teve dificuldades para entender as demandas das clientes, entretanto mais recentemente esse desafio superado e as entregas passaram a focar nas dores e necessidades reais do projeto, o que foi bem recebido pelas clientes.</t>
  </si>
  <si>
    <t>Qualidade de entrega - Entregas realizadas até o momento foram boas, com o destaca para o uso de ferramentas normalmente não usadas para projetos do portfólio, como o uso de uma matriz GUT e um outro tipo de matriz de priorização que se adequaram muito bem para  o projeto e que foram bem recebidas pelas clientes.
Compromisso com o projeto - Vem apresentando um bom compromisso com o projeto, realizando as entregas no prazo e atendendo as demandas das clientes.
Comunicação e dinâmica de trabalho - Comunicação funcionando bem, apresentando com clareza as dificuldades e dúvidas em relação ao projeto, entretanto vem deixado o desenvolvimento das entregas para a última hora, próximo da apresentação do report, não tendo muito tempo para a conversão de feedbacks.</t>
  </si>
  <si>
    <t>PM Framework</t>
  </si>
  <si>
    <t>AS entregas realizadas até o momento foram bem extensas, completas e com uma qualidade realmente acima do esperado, o que vem sendo bem recebido pelo cliente</t>
  </si>
  <si>
    <t>Qualidade de entrega - As entregas realizadas pelo o analista apresentaram um nível bem alto de qualidade, com uma grande quantidade de informações e focando muito bem nas necessidades dos clientes.
Compromisso com o projeto - Vem demonstrando um compromisso constante e cadenciado com o projeto, finalizando as entregas com uma boa antecedência, dando espaço para a conversão de feeds. Além disso, a quantidade de informações e materiais produzidos em pouco tempo de projeto revelam uma grande proatividade e tempo desprendido com o projeto.
Comunicação e dinâmica de trabalho - Comunicação funcionando muito bem, apresentando as dificuldades e dúvidas em relação ao projeto. Além disso, vem tendo um bom senso de urgência para atender as demandas e necessidades do cliente no grupo de projeto</t>
  </si>
  <si>
    <t>frederico.queiroz@polijunior.com.br</t>
  </si>
  <si>
    <t>PM Hotel</t>
  </si>
  <si>
    <t>Cliente ficou satisfeito, mas apontou alguns feedbacks a serem convertidos</t>
  </si>
  <si>
    <t>Postergou os prazos para concluir as algumas entregas, o que não é ideal para a dinâmica do projeto</t>
  </si>
  <si>
    <t>Dengo 2.0</t>
  </si>
  <si>
    <t xml:space="preserve">Clientes gostaram da entrega e todos os questionamentos levantados eram sobre pontos que a equipe já estava levando em consideração </t>
  </si>
  <si>
    <t xml:space="preserve">Mesmo em um projeto desafiador, está se dedicando para solucionar as dificuldades encontradas na execução </t>
  </si>
  <si>
    <t>Se destacou muito por explorar as funcionalidades do novo sistema que está sendo usado para a execução do projeto</t>
  </si>
  <si>
    <t>Aditivo Grupo Nós</t>
  </si>
  <si>
    <t>Cliente se surpreendeu e disse que a entrega superou as expectativas</t>
  </si>
  <si>
    <t>Mostrou muita disposição ao fazer a entrega em pouco tempo e com muita qualidade. Surpreendeu e agradou muito os clientes</t>
  </si>
  <si>
    <t xml:space="preserve">Sem muitas tasks e, portanto, sem muito embasamento para avaliação </t>
  </si>
  <si>
    <t>marcelo.takayama@polijunior.com.br</t>
  </si>
  <si>
    <t>Klabin é escopo aberto e estamos tentando fazer a entrega final, mas estão insistindo em validações</t>
  </si>
  <si>
    <t>As entregas estão sendo feitas de acordo com as solicitações de alteração do cliente</t>
  </si>
  <si>
    <t>respostas bastante eficiente do analista para a cliente. Cliente quando está feliz manda emoji e ela está mandando :)</t>
  </si>
  <si>
    <t>Arthur está se mostrando bastante eficiente para fazer as entregas</t>
  </si>
  <si>
    <t>SolarGrid</t>
  </si>
  <si>
    <t>analistas estão mandando MUITO bem na execução, demonstrando bastante proatividade e comunicação acima do esperado</t>
  </si>
  <si>
    <t>Está mandando muito bem em todos os aspectos. Comunicação muito ativa com o cliente, bastante comprado com a responsabilidade do projeto e bastante qualidade em tudo q tem feito.</t>
  </si>
  <si>
    <t>Ta se mostrando bastante compromissado com o projeto, possui uma comunicação bastante ativa com a equipe, mas tem espaço para melhorar com o cliente e pode agregar mais valor às entregas que tem feito.</t>
  </si>
  <si>
    <t>Avannto</t>
  </si>
  <si>
    <t>Entregas estão sendo feitas de acordo com o previsto, muita comunicação com o cliente e eles estão vendo bastante valor no que está sendo feito.</t>
  </si>
  <si>
    <t>Vejo as entregas do tadaki sendo todas de muita qualidade e muita preocupação com a percepção do cliente. Sinto que sua comunicaçao com o cliente é muito boa, mas a comunicação com a dupla pode melhorar bastante. Parece que os dois analistas estão no mesmo projeto sem um fazer ideia do que está acontecendo na parte do outro.</t>
  </si>
  <si>
    <t>Acho que as entregas estão boas, mas não sinto o analista tão comprado com o projeto como um todo. É perceptível que o bom andar do projeto mascara um desempenho médio por parte desse analista, muito por conta da proatividade do outro analista. O gabriel tem um grande potencial, mas que não está sendo utilizado nesse projeto, sendo perceptível que não está buscando ir além do médio.</t>
  </si>
  <si>
    <t>Xtay</t>
  </si>
  <si>
    <t>Projeto iniciou bem mas deu uma desandada. Analistas estão meio em dúvida em como encontrar um bom resultado para o modelo que estão implementando</t>
  </si>
  <si>
    <t>Membro esteve bastante inativo nas últimas semanas, por conta de viagens. Voltou, mas ainda não retomou o ritmo do projeto, desperdiçando valiosos dias e colocando o projeto em perspectiva de atraso.</t>
  </si>
  <si>
    <t>LeafPay Aditivo</t>
  </si>
  <si>
    <t>Cliente parece satisfeito com a entrega final do projeto</t>
  </si>
  <si>
    <t>O caio se mostrou bastante independente ao longo de todo o projeto, conseguindo lidar bem com o encaminhar do projeto no geral. Foi bastante proativo em relação à entrega e tem uma comunicação muito boa com a cliente.</t>
  </si>
  <si>
    <t>Zoetis 2.0</t>
  </si>
  <si>
    <t>Projeto em etapa inicial. Cliente parece bastante satisfeita com o caminho que o projeto está tomando.</t>
  </si>
  <si>
    <t>Coutinho tem uma comunicação boa com a cliente, mas não está dando prioridade ao projeto, não trazendo nenhuma entrega relevante para a semana. Possui bastante potencial de fazer algo dahora no projeto, trazendo ideias bastante interessantes, mas precisa ficar comprado para isso.</t>
  </si>
  <si>
    <t>Projeto está pra terminar faz muito tempo. Cliente está satisfeito com a entrega, mas é nítido que tanto nós quanto eles deixamos o projeto de lado, o que pode trazer diminuir a satisfação do cliente. Além disso, por toda a historia que esse projeto ja teve, é dificil colocar uma nota mais alta que isso.</t>
  </si>
  <si>
    <t>foram feitas as ultimas alteracoes no layout arquitetonico e ele nao parece querer alterar mais nada</t>
  </si>
  <si>
    <t>a isabella tem se dedicado ao maximo ao projeto, sempre que a gente pede algo ela faz rapido e com qualidade</t>
  </si>
  <si>
    <t>Palmela</t>
  </si>
  <si>
    <t>nao me respondeu sobre a alteracao do layout, mas como estava procurando algo "diferente" acho que ele vai gostar</t>
  </si>
  <si>
    <t xml:space="preserve">o cliente "reclamou" da qualidade das entregas (entre aspas pois ele só disse que queria algo mais inovador, a nicolle é bem comprometida com as coisas e entrega tudo certinho, além de se comunicar bem </t>
  </si>
  <si>
    <t>PM Bruna</t>
  </si>
  <si>
    <t>guilherme.jacule@polijunior.com.br</t>
  </si>
  <si>
    <t>App Mangue</t>
  </si>
  <si>
    <t>Gostou muito de tudo que entregamos</t>
  </si>
  <si>
    <t>Ficar mais atento ao calendar, para evitar faltar em reuniões de equipe</t>
  </si>
  <si>
    <t>Entendo a situação do celular, mas mesmo em outras situações, poderia se comunicar com mais agilidade, como sobre a situação da instalação do Parellels</t>
  </si>
  <si>
    <t>Se doou muito para ir atrás dos contatos de prospecção para as entrevistas quali, mas poderia responder mais rápido os grupos.</t>
  </si>
  <si>
    <t>Numa semana mais atarefada, pós semana de provas, não conseguiu avançar muito com o projeto. Ainda assim, dentro do possível vem lidando bem com o cliente e suas eventuais exigências.</t>
  </si>
  <si>
    <t>Parece estar mais engajada com a ideia de terminar o projeto, ainda que não seja parte da sua área preferida na empresa. Num geral, buscar ter mais cuidado com algumas falas, que podem desanimar o restante da equipe.</t>
  </si>
  <si>
    <t>Não houve avanços no projeto, visto que voltou a ser executado essa semana. Ainda assim, espera-se um alto engajamento na finalização o mais rápida possível de seu portfólio agora que está em uma posição de liderança no núcleo, também para poder focar em seu novo escopo.</t>
  </si>
  <si>
    <t>Estão bem satisfeitos com o progresso</t>
  </si>
  <si>
    <t xml:space="preserve">A situação não é diferente da semana passada, a Gabi é uma excelente dev e é um prazer ter ela na equipe. </t>
  </si>
  <si>
    <t>O Luiz manda muito bem como dev, e ele sempre faz questão de me alinhar e alinhar a outra analista sobre o que está sendo feito de forma fenomenal. Também é muito focado em entregar o que faz com muita qualidade.</t>
  </si>
  <si>
    <t>Está satisfeita com o projeto como um todo, mas principalmente com os avanços do back</t>
  </si>
  <si>
    <t xml:space="preserve">O Bruno conseguiu fazer as entregas de forma muito boa, mesmo tendo diversas responsabilidades com o comercial. </t>
  </si>
  <si>
    <t>O Matheus tem entregado pouco nesse projeto, e eu não vejo ele pedindo ajuda com frequência. Mesmo com essas dificuldades, ele ainda não marcou horários com o tech lead, mesmo tendo sido encorajado diversas vezes a fazê-lo</t>
  </si>
  <si>
    <t>Muito largado</t>
  </si>
  <si>
    <t xml:space="preserve">Começou puxando a responsabilidade, mas depois que fez sua parte, abandonou </t>
  </si>
  <si>
    <t>Puxando a comunicação com o cliente</t>
  </si>
  <si>
    <t xml:space="preserve">Muito pouca proatividade </t>
  </si>
  <si>
    <t>Tem dado pouca prioridade para o projeto</t>
  </si>
  <si>
    <t>Bons modelos preditivos</t>
  </si>
  <si>
    <t>FonteCred</t>
  </si>
  <si>
    <t xml:space="preserve">Projeto mal começou </t>
  </si>
  <si>
    <t>Pouco avanço no projeto nos últimos dias, esquece de responder no grupo as vezes</t>
  </si>
  <si>
    <t xml:space="preserve">Fez as dashs muito rápido, mas não manda dúvidas cruciais do projeto no grupo </t>
  </si>
  <si>
    <t>vitor.miyasiro@polijunior.com.br</t>
  </si>
  <si>
    <t>App Sérgio</t>
  </si>
  <si>
    <t>no geral, ele gostou mas não comentou muito mais como as pessoas que gostam muito normalmente fazem</t>
  </si>
  <si>
    <t>No geral, ok. Segurou a barra quando precisou</t>
  </si>
  <si>
    <t>Essa semana acabou não tendo muita coisa, mas como sempre se comunicando muito bem dentro do grupo</t>
  </si>
  <si>
    <t>muitas vezes demora muito para responder</t>
  </si>
  <si>
    <t>MP Marlim</t>
  </si>
  <si>
    <t>semana sem entrega, mas acredito que poderia ter corrido atrás das entrevistas antes</t>
  </si>
  <si>
    <t>Fez uma boa entrega essa semana</t>
  </si>
  <si>
    <t>caina.giro@polijunior.com.br</t>
  </si>
  <si>
    <t xml:space="preserve">Por enquanto estávamos aguardando o trâmite de um analista do projeto que, por fim, foi desligado. </t>
  </si>
  <si>
    <t xml:space="preserve">Sempre fez as tasks na qual se comprometeu, entregou dentro dos prazos e manteve a comunicação </t>
  </si>
  <si>
    <t xml:space="preserve">Foi entregue o APK ao cliente que ficou satisfeito </t>
  </si>
  <si>
    <t xml:space="preserve">Excelente analista, bem capacitado e transparente </t>
  </si>
  <si>
    <t xml:space="preserve">Mas entregas que tivemos, ele estava sempre satisfeito. Mas não há entregas recentes pela dificuldade de se comunicar com ele </t>
  </si>
  <si>
    <t xml:space="preserve">Compromisso com as tarefas, entregas nos prazos e boa comunicação ao longo do projeto </t>
  </si>
  <si>
    <t xml:space="preserve">Faz as tasks dentro do tempo hábil, mas se comunica pouco e algumas faltas de alinhamentos poderiam ser evitadas </t>
  </si>
  <si>
    <t>amanda.mendonca@polijunior.com.br</t>
  </si>
  <si>
    <t>Ele gostou muito do que foi entregue</t>
  </si>
  <si>
    <t>Ainda não teve muita coisa entregue mais teve boas perguntas na kickoff</t>
  </si>
  <si>
    <t>Respeitoso no kickoff</t>
  </si>
  <si>
    <t>Site ZiliCred</t>
  </si>
  <si>
    <t>Acho que eles estão mais contentes com a organização mas ainda não teve nenhuma entrega</t>
  </si>
  <si>
    <t xml:space="preserve">Ele está demorando bastante para responder dificultando a organização </t>
  </si>
  <si>
    <t>Precisa ser um pouco mais ágil quando faz as entregas</t>
  </si>
  <si>
    <t>ainda não entregou nada mas parece comprometido</t>
  </si>
  <si>
    <t>thiago.velasquez@polijunior.com.br</t>
  </si>
  <si>
    <t>Jacule mesmo muito alocado em outras coisas consegue entregar bem e se fazer presente no projeto. Se comunica bem com os outros analistas e com o cliente.</t>
  </si>
  <si>
    <t>Gomes se destaca bastante, trabalhando em tarefas difíceis. Se preocupa muito com a qualidade das suas entregas, sendo proativo em buscar formas de melhorar e aceitando e incorporando sugestões, feedbacks e experimentos.</t>
  </si>
  <si>
    <t>Isa manda bem nas entregas, mantendo dentro do prazo no geral um bom alinhamento sobre o projeto e as tasks.</t>
  </si>
  <si>
    <t>Matheus dá importância para a situação e contexto do projeto. No quesito de qualidade de entregas, realiza entregas completas, mas em um rítimo mas lento. Sobre isso, é muito bom que você reconhece os pontos que tem mais dificuldade, se comunica e vai atrás de resolver isso. Outro ponto sobre a comunicação é que em alguns momentos sinto que falta transparência e alinhamentos sobre a situação atual das tasks ou impeditivos que estejam acontecendo. Sinto também que seria muito positivo se você entrasse mais em contato com os outros devs do projeto para trocar ideias e ajudas sobre o código.</t>
  </si>
  <si>
    <t>Faz as tasks com bastante qualidade nesse projeto, trazendo até mesmo overdelivery em alguns casos.</t>
  </si>
  <si>
    <t>Gallego manda muito bem no projeto, também entregando as tasks com uma qualidade boa. Acaba eventualmente deixando algumas dailies passarem, mas mesmo assim se mostra comprometido com o projeto.</t>
  </si>
  <si>
    <t>mariana.watanabe@polijunior.com.br</t>
  </si>
  <si>
    <t>O Xerife no geral é dedicado com o projeto, porém acho que às vezes falta um pouco de comprometimento engajamento com as tarefas</t>
  </si>
  <si>
    <t>A Larissa também se empenha em entregar as coisas porém às vezes sinto que falta um pouco de organização para fazer no prazo</t>
  </si>
  <si>
    <t xml:space="preserve">A Fefa é bem exemplar, faz as coisas com qualidade. No geral é muito alocada o que atrapalha um pouco, mas ainda sim exemplar </t>
  </si>
  <si>
    <t xml:space="preserve">Vitinho é um bom analista e empenhado em entregar o que faz com qualidade e agilidade. O maior problema talvez seja que às vezes as coisas são deixadas para última hora o que atrapalha um pouco a dinâmica </t>
  </si>
  <si>
    <t>O cliente se mostra bem satisfeito</t>
  </si>
  <si>
    <t xml:space="preserve">O Matheus no geral é dedicado. O App plantões deu uma atrapalhada no desempenho porém ele ainda se empenha no projeto </t>
  </si>
  <si>
    <t>Uma analista exemplar, faz tudo no prazo e com qualidade</t>
  </si>
  <si>
    <t>No começo era muito bom, nas últimas semanas andou faltando MUITO nas dailies por causa de outros projetos. Mas agora está dando um gás a mais</t>
  </si>
  <si>
    <t xml:space="preserve">É inegável a força de vontade dele, porém no geral ele tem bastante dificuldade o que atrasa um pouco o andamento do projeto, mas é bem esforçado </t>
  </si>
  <si>
    <t>App Lide</t>
  </si>
  <si>
    <t xml:space="preserve">Cliente se mostrou bem satisfeito com o que apresentamos </t>
  </si>
  <si>
    <t>Ainda está meio cedo para uma avaliação mais a fundo,porém para a primeira entrega se mostrou bem empenhado, que continue assimm</t>
  </si>
  <si>
    <t>No geral é bem alocado, porém ponto positivo para a entrega feita que foi muito bem pensada e executada, surpreendente</t>
  </si>
  <si>
    <t>Foram feitos muitos ajustes nessa etapa final do projeto</t>
  </si>
  <si>
    <t>Klabin 3.2</t>
  </si>
  <si>
    <t>cliente satisfeito no geral</t>
  </si>
  <si>
    <t>entrega presencial do projeto para a equipe da klabin que usará o app</t>
  </si>
  <si>
    <t>BOA APRESENTAÇÃO NA VISITA</t>
  </si>
  <si>
    <t>Cliente muito satisfeito mas medo de prazo</t>
  </si>
  <si>
    <t>Estão avançando bem no projeto, tudo dentro do prazo e cliente querendo cobrar mais, mas projeto é escopo aberto e n podemos executar 30 horas semana, estamos segurando um pouco.</t>
  </si>
  <si>
    <t>cliente pode não gostar se não tivermos um output em pouco tempo</t>
  </si>
  <si>
    <t>por estar com dificuldades, analista não está priorizando o projeto</t>
  </si>
  <si>
    <t>por estar com dificuldades, analista não está priorizando o projeto. Está comunicando pouco e não está fazendo muitas entregas</t>
  </si>
  <si>
    <t>cliente está enrolando para validar</t>
  </si>
  <si>
    <t xml:space="preserve">analista está apenas fazendo as correções do projeto no período de validação. </t>
  </si>
  <si>
    <t>não houve reunião na semana, sendo que a reunião foi desmarcada em cima da hora</t>
  </si>
  <si>
    <t>o projeto está sendo deixado de lado</t>
  </si>
  <si>
    <t>Cliente satisfeito, mas é poucas palavras por mensagem</t>
  </si>
  <si>
    <t>Bem comprometida, nunca deixou de entregar nada no prazo mesmo com outras obrigações. Sempre que tem algum problema é bem transparente.</t>
  </si>
  <si>
    <t>Faz boas entregas, mas precisa se comunicar melhor quando tem algum problema ou vai atrasar alguma entrega. Está um pouco enrolado com as entregas</t>
  </si>
  <si>
    <t>Clientes satisfeitos, mas ainda falta atender alguns pontos que eles haviam pedido.</t>
  </si>
  <si>
    <t>Qualidade das entregas muito alta, mas parece que está ficando cansada de fazer alterações.</t>
  </si>
  <si>
    <t>Chlorum solution</t>
  </si>
  <si>
    <t>Kickoff presencial deixou cliente animado</t>
  </si>
  <si>
    <t>não começou a executar</t>
  </si>
  <si>
    <t>Mesmo sem os dados, o Natan começou a trabalhar em cima da estética da dashboard, já resolvendo alguns problemas potenciais e já trazendo alguns templates de dash</t>
  </si>
  <si>
    <t>fernanda.ortiz@polijunior.com.br</t>
  </si>
  <si>
    <t>App Pedro Solfa</t>
  </si>
  <si>
    <t>Ele AMOU</t>
  </si>
  <si>
    <t>Tudo muito bom, e o app ficou lindo.</t>
  </si>
  <si>
    <t>Entregas lindíssimas e ótimas ideias</t>
  </si>
  <si>
    <t>gustavo.loiola@polijunior.com.br</t>
  </si>
  <si>
    <t>Accor</t>
  </si>
  <si>
    <t>Projeto em dia e cliente satisfeito com andamento</t>
  </si>
  <si>
    <t>gostaram de algumas análises mas ainda não estão totalmente satisfatórias</t>
  </si>
  <si>
    <t>melhorou muito nessa última reunião, no entanto, o mal planejamento de tempo ainda se destaca. por mais que tenha madrugado fazendo a apresentação, isso só aconteceu pq deixou tudo pra última hora</t>
  </si>
  <si>
    <t>esteve em semana de provas, então acabou puxando um pouco, mesmo assim, conseguiu fazer uma dash legal</t>
  </si>
  <si>
    <t>projeto provavelmente vai rescindir</t>
  </si>
  <si>
    <t>Pediu bastante alteração, mas gostou.</t>
  </si>
  <si>
    <t>Não vem fazendo as dailys, poderia melhorar nisso. Apesar disto, fez uma boa entrega no período.</t>
  </si>
  <si>
    <t>Não compromete, parece estar mais engajada agora com o projeto e querendo terminar o quanto antes, o que é bom.</t>
  </si>
  <si>
    <t>Semana difícil por conta da comunicação com a engenheira. Ponto positivo é que assumiu esta para si e aparenta estar desempenhando bem.</t>
  </si>
  <si>
    <t>não está priorizando o projeto em questão, está demorando muito para avançar nas etapas, teve alguns acontecimentos pessoais, mas ele não diz qual, exatamente é o problema para estar atrasando as entregas.</t>
  </si>
  <si>
    <t>até a fase do layout estava bem ativa com o projeto, porém agora não está mais entregando com tanta frequência e, também, não está priorizando.</t>
  </si>
  <si>
    <t>o cliente não se decide em relação à versão do layout e, portanto, está atrasando o projeto e as próximas etapas, há um "anexo" na casa e ele não sabe a medida exata dele e, como a casa é em outro país, ele só conseguirá confirmar isso próxima semana. (os projetos complementares não começaram)</t>
  </si>
  <si>
    <t>Sempre mostrando uma disposição muito grande para executar as tasks do projeto</t>
  </si>
  <si>
    <t>Cliente ficou muito satisfeito e a entrega atingiu tudo que era esperado, sem a necessidade de grandes ajustes</t>
  </si>
  <si>
    <t>Mandou muito bem ao longo de todo o projeto, demonstrando disposição para fazer as tasks necessárias e uma qualidade de entrega muito alta</t>
  </si>
  <si>
    <t xml:space="preserve">As clientes são muito alegres e educadas receptivas com </t>
  </si>
  <si>
    <t>João Siufi</t>
  </si>
  <si>
    <t>Csat 5, prototipação linda</t>
  </si>
  <si>
    <t>Dev Umberto</t>
  </si>
  <si>
    <t>Foi feito o kickoff com o cliente</t>
  </si>
  <si>
    <t>Etapa de soluções dos gargalos: pediu para que focassem mais em automatizações</t>
  </si>
  <si>
    <t>INTI</t>
  </si>
  <si>
    <t>ADM</t>
  </si>
  <si>
    <t>Participação na última quinzena foi fundamental para o projeto</t>
  </si>
  <si>
    <t>Por não ter ido na visita presencial, não teve muitas tasks, mas se mostrou sempre disponível caso precisasse dele</t>
  </si>
  <si>
    <t>Rodobens</t>
  </si>
  <si>
    <t>Cliente ressaltou que a entrega foi além do esperado e ficou extremamente satisfeita</t>
  </si>
  <si>
    <t>PM Luis Faria</t>
  </si>
  <si>
    <t>Nexa</t>
  </si>
  <si>
    <t>Cliente se mostra bem satisfeita com os resultados que estamos mostrando nas Reviews.</t>
  </si>
  <si>
    <t>Entrega com qualidade e tem uma boa visão crítica do projeto e da estrutura. Tem uma boa presença nas dailies e nas reuniões e mantém um bom alinhamento.</t>
  </si>
  <si>
    <t xml:space="preserve">Entrega com boa qualidade e se preocupa com o andamento do projeto e com a qualidade do que está entregando. </t>
  </si>
  <si>
    <t>As entregas são feitas com boa qualidade, mas em uma frequência abaixo do esperado. Sinto falta de mais iniciativa na comunicação com os outros membros do projeto e também com outras pessoas do núcleo.</t>
  </si>
  <si>
    <t>Ta mandando bem no projeto, se compromete com as entregas da sprint e entrega com qualidade.</t>
  </si>
  <si>
    <t>Analista tem progredido no projeto e conseguiu reportar durante o período</t>
  </si>
  <si>
    <t xml:space="preserve">Poderia ser mais comunicativo quanto ao que tem feito </t>
  </si>
  <si>
    <t>FS Fueling Sustainability</t>
  </si>
  <si>
    <t>Clealco</t>
  </si>
  <si>
    <t>Reports foram entregues. Cliente validou e esta dentro dos conformes</t>
  </si>
  <si>
    <t>Tem se mostrado proativo e engajado em aprender</t>
  </si>
  <si>
    <t>Tem se mostrado proativa quanto às entrevistas. Mandando bem na comunicaçao</t>
  </si>
  <si>
    <t>Gilberto é um cliente crítico que consegue perceber a situação atual do projeto. Está satisfeito mas percebe que ainda falta bastante coisa</t>
  </si>
  <si>
    <t>Nessa última sprint o você mostrou uma dedicação muito alta com o projeto, puxando muitas tasks. Também buscou ajudar os outros membros e ter ciência do objetivo do que você está realizando. Teve proatividade muito alta nas suas tarefas para entregar o máximo. Mesmo estando com o prazo apertado, não deixou de fazer as entregas com uma qualidade acima do esperado, trazendo uma boa qualidade de código e pensando na experiência do usuário.</t>
  </si>
  <si>
    <t>Nesses últimos quinze dias, o desempenho caiu em relação aos demais. A qualidade das suas entregas é boa, mas nesse período foram entregues menos coisas que o esperado. A comunicação como já foi alinhado também deixou um pouco a desejar</t>
  </si>
  <si>
    <t>Entrou no projeto antes mesmo do treinamento ser finalizado e mostrou uma proatividade absurda, assim como iniciativa para entender sobre a solução. Nesse contexto, entrega com uma boa qualidade, claro, com vários pontos de melhora que você vai desenvolver ao longo dos seus projetos. 
Poderia conversar um pouco mais sobre coisas que não tem tanta certeza para evitar fazer coisas de forma mais trabalhosa do que seria se tivesse trocado poucas palavras com alguem para pegar a orientação de qual caminho seguir. Mesmo assim, ainda sobre comunicação, é bom em mostrar a situação atual e passar alinhamentos gerais sobre o andamento das entregas.</t>
  </si>
  <si>
    <t>App + Site Luciana</t>
  </si>
  <si>
    <t>A luciana gostou muito da entrega e ficou surpresa com o nosso profissionalismo e proximidade com ela.</t>
  </si>
  <si>
    <t>É realmente muito satisfatório fazer o projeto com uma equipe engajada no projeto como é o caso da Luciana. É uma dinâmica muito boa de troca de informações e fica evidente que você tem vontade de fazer o projeto dar certo</t>
  </si>
  <si>
    <t xml:space="preserve">É realmente muito satisfatório fazer o projeto com uma equipe engajada no projeto como é o caso da Luciana. É muito uma dinâmica muito boa de troca de informações que rola nesse projeto, e também fica evidente a sua querência de fazer o projeto dar certo. </t>
  </si>
  <si>
    <t>Assentiu com a continuação para a próxima etapa, elogiou bastante a equipe.</t>
  </si>
  <si>
    <t>Não trabalhou muito recentemente, com uma dedicação maior neste momento no projeto pode ficar mais livre para focar em seus outros escopos (CI, Edital de Gerência).</t>
  </si>
  <si>
    <t>Conversa bem com equipe e cliente, porém as várias demandas da coordenação comercial estão tomando seu tempo e, com isto, não vem tendo avanços significativos no projeto. Com um pouco mais de foco termina rapidinho isso aqui!</t>
  </si>
  <si>
    <t>Semana bastante default. Perto de terminar, correr com isso!</t>
  </si>
  <si>
    <t>Itu</t>
  </si>
  <si>
    <t>Sem feeds ainda</t>
  </si>
  <si>
    <t>Questão de qualidade, por causa de termos 2 semanas de projeto já passadas, teria que ter mais a apresentar. Compromisso no sentido de comentar prazos que não consegue cumprir, deve garantir maior fidedignidade para cumprirmos com o cronograma. Comunicação bastante ineficiente, daily pouco detalhada, baixa conversão de feedbacks, pede ajuda só quando "a bomba já está estourando", em geral, buscar diagnosticar mais rápido os empecilhos relacionados ao projeto, perguntar em caso de dúvidas, pedir ajuda quando necessário e buscar ser verdadeira com relação aos prazos que estipula.</t>
  </si>
  <si>
    <t xml:space="preserve">Analista está bem sobrecarregada, é coord comercial já e ainda está em 2 projetos </t>
  </si>
  <si>
    <t>nessa ultima semana ela negligenciou um pouco as alterações que deveriam ser feitas, por causa da semana de provas, porém isso vaia cabar atrasando os outros portfólios</t>
  </si>
  <si>
    <t>joao.cardoso</t>
  </si>
  <si>
    <t xml:space="preserve">está tentando adiantar tudo que pode, não precisa cobrar, ele faz tudo sozinho </t>
  </si>
  <si>
    <t>Aegea 2.0</t>
  </si>
  <si>
    <t xml:space="preserve">Projeto congelado </t>
  </si>
  <si>
    <t>Granja</t>
  </si>
  <si>
    <t xml:space="preserve">Cliente, no geral gostou, mas sugeriu algumas alterações </t>
  </si>
  <si>
    <t xml:space="preserve">Muito comprado com o projeto e proativo para cumprir com as pendências </t>
  </si>
  <si>
    <t xml:space="preserve">sempre que eu cobro, ela faz tudo certinho, só deu uma desacelerada nessa semana (de provas) </t>
  </si>
  <si>
    <t>não teve entrega até agora, se não me engano não teve nenhuma validação com o chapter e ele ta fazendo as coisas meio fora de ordem pq achou melhor, mas acabou que ficou tudo meio perdido, e não ta conseguindo cumprir com os prazos estipulados</t>
  </si>
  <si>
    <t>Se doou muito nas últimas semanas, e mesmo com toda a dificuldade do projeto, existem grande chances de ele ser ENB</t>
  </si>
  <si>
    <t>Projeto está um pouco parado, então não tem muito o que se avaliar em relação ao analista.</t>
  </si>
  <si>
    <t xml:space="preserve">Muito focada em trazer o melhor para o projeto, se preocupando sempre com a satisfação do cliente </t>
  </si>
  <si>
    <t>MP Ele</t>
  </si>
  <si>
    <t xml:space="preserve">Vem trazendo ótimos reports dentro do projeto e junto a isso conseguiu criar uma ótima relação com o cliente, </t>
  </si>
  <si>
    <t xml:space="preserve">Em razão da dinâmica do projeto não ocorreu muita coisa a se avaliar </t>
  </si>
  <si>
    <t>Voticare 2.0</t>
  </si>
  <si>
    <t xml:space="preserve">Não tivemos entregas até agora </t>
  </si>
  <si>
    <t>Oliv-e</t>
  </si>
  <si>
    <t xml:space="preserve">Vem possuindo uma ótima proatividade, que para esse projeto será muito necessário </t>
  </si>
  <si>
    <t>CBO</t>
  </si>
  <si>
    <t>Qualidade de entrega - Ainda não foram realizadas entregas para o projeto
Compromisso com o projeto - Durante a visita presencial do projeto foi possível ver uma grande dedicação para o projeto em querer coletar o máximo de informações possíveis. Em alguns momentos inclusive teve uma postura de coordenador, o que contribuiu muito para o desenvolvimento do projeto
Comunicação e dinâmica de trabalho - Durante a visita presencial a equipe passou por alguns problemas de comunicação</t>
  </si>
  <si>
    <t>Qualidade de entrega - Ainda não foram realizadas entregas para o projeto
Compromisso com o projeto - Durante a visita presencial do projeto foi possível ver uma grande dedicação para o projeto em querer coletar o máximo de informações possíveis. Contribuiu muito para o desenvolvimento do projeto
Comunicação e dinâmica de trabalho - Durante a visita presencial a equipe passou por alguns problemas de comunicação</t>
  </si>
  <si>
    <t>ALE Combustíveis</t>
  </si>
  <si>
    <t>Cliente pareceu satisfeitos com as entregas realizadas até o momento</t>
  </si>
  <si>
    <t>Qualidade de entrega - Entregas realizadas até o momento foram dentro do espero. Cliente parece bem satisfeito
Compromisso com o projeto - Vem se dedicando absurdamente para o projeto, mesmo sendo o primeiro projeto já tem uma postura bem madura para tocar as reuniões e realizar os mapeamentos
Comunicação e dinâmica de trabalho - Comunicação vem fluindo dentro do esperado</t>
  </si>
  <si>
    <t>Qualidade de entrega - Entregas realizadas até o momento foram dentro do espero. Cliente parece bem satisfeito
Compromisso com o projeto - Vem se desenvolvendo bem ao longo do projeto apesar das dificuldades inicias. Tem contribuído positivamente para o seu desenvolvimento  
Comunicação e dinâmica de trabalho - Comunicação vem fluindo dentro do esperado</t>
  </si>
  <si>
    <t>Cliente pareceu satisfeito com as entregas realizadas</t>
  </si>
  <si>
    <t>Qualidade de entregas - Conseguiu fazer boas entregas para o projeto apesar das dificuldades para marcar as entrevistas qualitativas
Compromisso com o projeto - Foi possível perceber uma boa dedicação ao longo do projeto especialmente em correr atrás para conseguir realizar as entrevistas qualitativas
Comunicação e dinâmica do trabalho - Trabalhou muito bem ao longo do projeto, sempre atualizando o desenvolvimento das entregas</t>
  </si>
  <si>
    <t>Projeto está no início da nova etapa, apresentou um comportamento dentro do esperado em todos os critérios</t>
  </si>
  <si>
    <t>pedro.souza@polijunior.com.br</t>
  </si>
  <si>
    <t>Lino Chow</t>
  </si>
  <si>
    <t>Entrega final do projeto. Cliente esta validando mas ja convidou pra fazer um ultimo report final presencial na empresa para "estreitar laços com a Poli Júnior"</t>
  </si>
  <si>
    <t>Comunicação em relação as validações da entrega foram bem precárias. Analista trabalhou muito por conta própria e mal se comunicava durante o período</t>
  </si>
  <si>
    <t>Cliente esta validando primeira parte do DFD e primeira dash. Parece promissor</t>
  </si>
  <si>
    <t>Carlos tem sido bastante proativo e participativo no projeto. Demonstrou interesse em participar da frente de DFD (e vai em Julho), terminou uma dash e esta auxiliando em outra</t>
  </si>
  <si>
    <t xml:space="preserve">Coutinho tem sido abaixo das expectativas e não conseguiu fluir bem quanto as entregas designadas. No entanto, cabe ressaltar que teve problemas de saúde e também teve que priorizar outro projeto </t>
  </si>
  <si>
    <t>Cliente esteve ausente porque estava de férias. No meio tempo o analista conseguiu avançar significativamente e reportou com excelência o que foi feito. CSAT foi coletado e obtivemos notas máximas</t>
  </si>
  <si>
    <t>Analista tem sido um pouco trabalhoso quanto à comunicação, sendo necessário ficar entrando em comunicação continuamente</t>
  </si>
  <si>
    <t>Enviamos primeira versão do layout, mas ainda estava bem ruim, o analista não é bem ruinzinho ainda, não consegue trazer a ideia do cliente pro papel. Os clientes ainda não falaram nada, só que "vamos querer muitas alterações e vamos marcar uma reunião para isso"</t>
  </si>
  <si>
    <t>A entrega ficou bem abaixo do esperado, pois não conseguiu atender todos os detalhes e a ideia geral trazida pelos clientes. Além disso, houveram alguns erros básicos nas disposições de cômodos em arquitetura, não trazendo um layout mínimo suficiente para uma casa real. Isso tudo gerou atrasos na primeira versão do layout, para enviar aos clientes, e uma vez que vão ser necessárias alterações, há um risco de o projeto acabar atrasando</t>
  </si>
  <si>
    <t xml:space="preserve">ele disse que não teve tempo de analisar a entrega das renderizações </t>
  </si>
  <si>
    <t>atrasou um pouco as entregas, porém correu pra poder entregar o mais rápido possivel</t>
  </si>
  <si>
    <t>atrasou muito as entregas</t>
  </si>
  <si>
    <t>começou no meio dessa semana, não avançou muito pq tá com bastante coisa da PJ para fazer, tudo que o cliente pergunta ele não sabe responder ao certo e a insatisfação do cliente é nítida e sinto que ele acaba deixando um pouco de lado.</t>
  </si>
  <si>
    <t>Elogiou bastante, pediu uma entrega que n fazemos q é essencial, dai vamos inovar sob demanda</t>
  </si>
  <si>
    <t>Entendível por conta do edital, porém ainda assim largou excessivamente o projeto, não respondia sobre também.</t>
  </si>
  <si>
    <t>Tentou aliviar o trabalho da outra Coord Negócios que prestou gerência, largando totalmente o projeto. Poderia ter se comunicado melhor sobre.</t>
  </si>
  <si>
    <t>Cliente curtiu mto as entregas, trabalhou bem! Demorava um pouco em algumas entregas.</t>
  </si>
  <si>
    <t>Não comentaram ainda</t>
  </si>
  <si>
    <t>Demorou um pouco demais para a primeira entrega, os clientes tem pressa e isso foi comunicado.</t>
  </si>
  <si>
    <t>Entregas MUITO acima do esperado, demorou um pouco demais, o que colocou o projeto em atraso.</t>
  </si>
  <si>
    <t>Não converteu muitos dos feedbacks, o que foi apontado pelos clientes e depois precisou de reunião para passar claramente estes pontos.</t>
  </si>
  <si>
    <t>Entregas abaixo do esperado, não convertendo feeds após mais de um aviso sobre, uma forma de acompanhamento das mudanças mais efetiva se vê necessária. Mesmo não tendo boas entregas, também há demora excessiva na sua elaboração, mesmo que haja cobrança. Exigiu reconhecimento descabido.</t>
  </si>
  <si>
    <t>Willian</t>
  </si>
  <si>
    <t>Fizeram seus feedbacks, mas foi bem atendida a ideia original e com qualidade. Nenhum elogio nem crítica feitos.</t>
  </si>
  <si>
    <t>Trabalhando muito bem, sempre se comunica acerca das comunidades de forma acertiva e eficiente, trabalha dentro do esperado em seu primeiro projeto.</t>
  </si>
  <si>
    <t>Mapeamento: Dentro do esperado, alinhou algumas alteraçoes
Visualização: 2 dashs entregues, pequenas alterações a serem feitas</t>
  </si>
  <si>
    <t>Entrega final, esta em período de validação. Cliente está demorando pra validar</t>
  </si>
  <si>
    <t>Anglo Gold</t>
  </si>
  <si>
    <t>Mecalor</t>
  </si>
  <si>
    <t>Banco Rendimento 3.0</t>
  </si>
  <si>
    <t>Bemobi</t>
  </si>
  <si>
    <t>Essa aba da planilha tem como intuito mapear o tempo necessário para a coleta do NPS de resultado</t>
  </si>
  <si>
    <t>Tempo (meses)</t>
  </si>
  <si>
    <t>NCIV</t>
  </si>
  <si>
    <t>DSaaS</t>
  </si>
  <si>
    <t>Data de coleta</t>
  </si>
  <si>
    <t>Coletado</t>
  </si>
  <si>
    <t>PROJETO</t>
  </si>
  <si>
    <t>Nome completo.</t>
  </si>
  <si>
    <t>Nome da empresa (em caso de Pessoa Jurídica).</t>
  </si>
  <si>
    <t>As atualizações (comunicação) da equipe a respeito do andamento do projeto têm sido satisfatórias?</t>
  </si>
  <si>
    <t>Como você avaliaria a sua satisfação com a qualidade de entrega da Poli Júnior até então?</t>
  </si>
  <si>
    <t>Como você avaliaria a sua satisfação com o trabalho da Poli Júnior como um todo?</t>
  </si>
  <si>
    <t>Comente, caso ache pertinente.</t>
  </si>
  <si>
    <t>Use o espaço abaixo para deixar quaisquer sugestões, dúvidas e/ou críticas finais!</t>
  </si>
  <si>
    <t>Qual o núcleo do projeto?</t>
  </si>
  <si>
    <t>CSAT Médio</t>
  </si>
  <si>
    <t>Mobicare</t>
  </si>
  <si>
    <t>Luidi Xavier Fortunato</t>
  </si>
  <si>
    <t>Parabéns pelo trabalho. Muito gratificante trabalhar com essa galera nova e competente. Terão todos um sucesso brilhante.</t>
  </si>
  <si>
    <t>Núcleo de Tecnologia</t>
  </si>
  <si>
    <t>Vitta</t>
  </si>
  <si>
    <t>Roberta Ferreira Prado</t>
  </si>
  <si>
    <t>Os meninos sempre muito solícitos, educados, cuidadosos e fazendo entregas dentro do previsto.</t>
  </si>
  <si>
    <t>NProd</t>
  </si>
  <si>
    <t>Santa Casa dev</t>
  </si>
  <si>
    <t xml:space="preserve">Laura de Freitas Pires Cudizio </t>
  </si>
  <si>
    <t>Ariane</t>
  </si>
  <si>
    <t>Ariane Souza do Nascimento</t>
  </si>
  <si>
    <t>Aplicativo Vigi-App</t>
  </si>
  <si>
    <t>Gosto da maneira como a equipe atende às nossas solicitações.</t>
  </si>
  <si>
    <t>App Ronaldo</t>
  </si>
  <si>
    <t>Renê Borges</t>
  </si>
  <si>
    <t>Ronaldo Borges Sociedade de Advogados</t>
  </si>
  <si>
    <t>Vermount - Concep</t>
  </si>
  <si>
    <t>Rafael Magalhães</t>
  </si>
  <si>
    <t>Vermont Investimentos</t>
  </si>
  <si>
    <t>App Rodrigo</t>
  </si>
  <si>
    <t>Rodrigo Santos</t>
  </si>
  <si>
    <t>ETZ INFORMATICA LTDA</t>
  </si>
  <si>
    <t>Nosso time esta totalmente focado o que tem beneficiado o projeto.</t>
  </si>
  <si>
    <t>Agradeço o empenho do time , seriedade estou satisfeito até o momento.</t>
  </si>
  <si>
    <t>Laura Cudizio</t>
  </si>
  <si>
    <t>ETZ Informática Ltda</t>
  </si>
  <si>
    <t>Sem sobre de dúvida que teremos um belo projeto o time está bem alinhando e comprometido</t>
  </si>
  <si>
    <t>Agradeço muito o empenho está fluindo muito bem</t>
  </si>
  <si>
    <t>Marido de aluguel - conceps</t>
  </si>
  <si>
    <t>Jorge Luiz Yoshito Maeda</t>
  </si>
  <si>
    <t>Estou adorando a equipe todos estao de Parabéns!</t>
  </si>
  <si>
    <t>jorge luiz yoshito maeda</t>
  </si>
  <si>
    <t>Mundialtech</t>
  </si>
  <si>
    <t>Equipe nota 10! Show!</t>
  </si>
  <si>
    <t>Astrogildo Mariotto Fiho</t>
  </si>
  <si>
    <t>São profissionais que trabalham com carinho e competência, estão de parabens</t>
  </si>
  <si>
    <t>Sergio Bulak</t>
  </si>
  <si>
    <t>MUNDIALTECH COMERCIO DE MATERIAIS EL HD LTDA.</t>
  </si>
  <si>
    <t>Stoodi</t>
  </si>
  <si>
    <t>Marcos Fernandes</t>
  </si>
  <si>
    <t>Wilu - Dev</t>
  </si>
  <si>
    <t>Erich Benevides Diniz</t>
  </si>
  <si>
    <t xml:space="preserve">As entregas tem sido feitas com todal compromisso, assim como o posicionamento da Ross Sumie, evitando que coisas passem sem uma revisão profunda e atenta. A mesma coisa se aplica ao time como um todo. </t>
  </si>
  <si>
    <t>Quero agradecer pelo esforço e qualidade do trabalho realizado, tanto pela capacidade emocional do time de lidar com o acréscimo de demandas e informações, quanto ao profissionalismo de tomar as decisões corretas, independente de ser mais fácil ou não. Parabéns time.</t>
  </si>
  <si>
    <t>Letícia Souza Lanfredi</t>
  </si>
  <si>
    <t>Wilu</t>
  </si>
  <si>
    <t>Só elogiar a atuação da Ross como P.O e dos devs em relação ao nosso projeto! Entendemos que o prazo dado e as complexidades não são fáceis e ainda assim, o time está engajado nas entregas, está sendo ótimo!</t>
  </si>
  <si>
    <t>Luidi Fortunato</t>
  </si>
  <si>
    <t>O projeto ainda esta bem no início, só tive uma reunião para apresentar o desenvolvimento até o momento e achei nesta apresentação que os desenvolvedores ainda estavam meio crus na solução. Mas como era a primeira, ainda fico com um crédito para a segunda. Mas certamente a primeira reunião não foi super satisfatória nem surpreendente.</t>
  </si>
  <si>
    <t>Ligia</t>
  </si>
  <si>
    <t xml:space="preserve">Ligia S Moura </t>
  </si>
  <si>
    <t xml:space="preserve">Ainda não sei como será a conclusão do projeto, então sugiro uma nova avaliação posterior a entrega. </t>
  </si>
  <si>
    <t>Pitzi 3.0</t>
  </si>
  <si>
    <t>Michel Korovichenco</t>
  </si>
  <si>
    <t>Pitzi Com Br Rep e Manut de Equip Elet Ltda</t>
  </si>
  <si>
    <t>Por enquanto estamos no caminho certo e como é início estamos na fase de ajustes.</t>
  </si>
  <si>
    <t>iMed dev</t>
  </si>
  <si>
    <t>Tiago Franceschi</t>
  </si>
  <si>
    <t>Revenda de Semi-jóias concepçãl</t>
  </si>
  <si>
    <t>Thaís Mansur Fruet Ferraz</t>
  </si>
  <si>
    <t>Minha Revenda</t>
  </si>
  <si>
    <t xml:space="preserve">Acho que nesse primeiro momento deve se evitar de falar em custos e mais em viabilidade! Noto que há um padrão quando se fala das funcionalidades! Porém é apenas a primeira semana, e para os desenvolvedores ainda tudo é muito novo! Então sugiro sempre primeiro entender o problema trazer as soluções quantificadas, precificadas  ! Do que já de cara dizer que tal funcionalidade encarece o projeto! Por mais q seja óbvio para a equipe do projeto, para mim não é! Então entender os custos é o melhor caminho! Apenas esse ponto de atenção !! </t>
  </si>
  <si>
    <t xml:space="preserve">Os meninos são mto engajados, dedicados, comprometidos!! Parabéns a equipe! Até o momento estou feliz com o resultado da primeira semana! </t>
  </si>
  <si>
    <t>Leandro manutenção predial - Concepção</t>
  </si>
  <si>
    <t xml:space="preserve">Leandro Furtado </t>
  </si>
  <si>
    <t xml:space="preserve">Casa ouro </t>
  </si>
  <si>
    <t>Marcos Guedes</t>
  </si>
  <si>
    <t>MDS</t>
  </si>
  <si>
    <t>Está gostando da dinâmica; como a equipe não conhece o processo, é até bom que aprofundam bastante nas perguntas; seria extremamente importante deixar claro em quais ferramentas cada tarefa esta sendo realizada.</t>
  </si>
  <si>
    <t xml:space="preserve">Já dei o Feedback pessoalmente aos meninos com relação qdo comentam que está fora do escopo por $$ ! Para ser um pouco mais detalhado, porque para eles é simples porém pra leigos bem tanto! </t>
  </si>
  <si>
    <t xml:space="preserve">Acho eles sensacionais, engajados, comprometidos! Mto feliz com o trabalho entregue e a entrega que tiveram ! Acreditaram na minha ideia! Fico feliz com tudo isso! </t>
  </si>
  <si>
    <t>Leandro Furtado</t>
  </si>
  <si>
    <t>Casa Ouro</t>
  </si>
  <si>
    <t>Vermount - dev</t>
  </si>
  <si>
    <t>Rafael Magalhaes</t>
  </si>
  <si>
    <t xml:space="preserve">4 em comunicação = Confesso que fiquei um pouco perdido com os prazos do projeto, em relação à data de entregas mais ”vistosas” e funcionalidades. Faz parte a ansiedade do cliente em receber, então acho que podemos alinhar melhor essa expectativa na próxima reunião. </t>
  </si>
  <si>
    <t>Gero Check</t>
  </si>
  <si>
    <t>Roberto Cesar de Oliveira</t>
  </si>
  <si>
    <t>GeroCheck</t>
  </si>
  <si>
    <t>Espero que o projeto continue assim até o fim</t>
  </si>
  <si>
    <t xml:space="preserve">Andrea Bortolomedi </t>
  </si>
  <si>
    <t xml:space="preserve">AndBortolomedi </t>
  </si>
  <si>
    <t>Falta coordenação de alguém experiente, nós temos q lidar com alunos que não sabem fazer o trabalho e não são orientados da forma correta. Deixando muito a desejar.</t>
  </si>
  <si>
    <t>Marido de aluguel - Jorge - MT Reparos - Dev</t>
  </si>
  <si>
    <t xml:space="preserve">Mundialtech Engenharia </t>
  </si>
  <si>
    <t>Ana Lúcia</t>
  </si>
  <si>
    <t>Pine</t>
  </si>
  <si>
    <t>A equipe é muito atenciosa e muito proativa, com comunicação muito madura e voltada sempre para buscar e trazer novas soluções e não problemas. A qualidade de entrega não foi um 5 porque ainda falta a entrega final, então na visão dela, por isso o 4.</t>
  </si>
  <si>
    <t>Gabriel do valle Oliveira</t>
  </si>
  <si>
    <t>Gero check</t>
  </si>
  <si>
    <t xml:space="preserve">Marcus - desenvolvimento </t>
  </si>
  <si>
    <t>Marcus Margueron</t>
  </si>
  <si>
    <t>Acho que seria muito interessante que minhas discussões com a equipe de projeto fossem gravadas para não perdermos informações chave sobre o desenvolvimento do projeto. Não que tenhamos perdido, mas acho mais prudente fazermos as gravações.</t>
  </si>
  <si>
    <t>Zanno</t>
  </si>
  <si>
    <t>Cristiano Fernandes</t>
  </si>
  <si>
    <t>Roberto Oliveira</t>
  </si>
  <si>
    <t>Rafael magalhães</t>
  </si>
  <si>
    <t>Lucia Mazará</t>
  </si>
  <si>
    <t>Lais</t>
  </si>
  <si>
    <t>ConnectCar</t>
  </si>
  <si>
    <t xml:space="preserve">Marcus Margueron </t>
  </si>
  <si>
    <t>Minha Revenda (Revenda de Semi-jóias)</t>
  </si>
  <si>
    <t>Luciana</t>
  </si>
  <si>
    <t>Projeto Itapecerica 2.0</t>
  </si>
  <si>
    <t>Odair dos Santos Borges</t>
  </si>
  <si>
    <t>Projeto Vênus</t>
  </si>
  <si>
    <t>João Soares de Oliveira Neto</t>
  </si>
  <si>
    <t>Sugiro que seja feito uma barra com a progressão do projeto, as tasks do backlog e o tempo transcorrido. É importante, como cliente, ter essa ideia do montante de atividades totais do projeto, o que já foi feito, o que ainda falta e outras informações plotadas numa linha do tempo.</t>
  </si>
  <si>
    <t>O profissionalismo da equipe é formidável. Parabéns! Estamos ansiosos para ver os resultados na implementação dos produtos.</t>
  </si>
  <si>
    <t>Minners</t>
  </si>
  <si>
    <t xml:space="preserve">Julio Cezar Mourão Almeida </t>
  </si>
  <si>
    <t>Minners Oportunidades Imobiliárias</t>
  </si>
  <si>
    <t>Pessoal está muito envolvido com o projeto. Estamos gostando muito.</t>
  </si>
  <si>
    <t xml:space="preserve">Até agora parabéns para todos!! </t>
  </si>
  <si>
    <t>Track&amp;Field</t>
  </si>
  <si>
    <t xml:space="preserve">Vagner </t>
  </si>
  <si>
    <t xml:space="preserve">Falta touchpoints semanais, de resto perfeito. </t>
  </si>
  <si>
    <t>Jorge Luiz Y Maeda</t>
  </si>
  <si>
    <t xml:space="preserve">Equipe nota 10!!! </t>
  </si>
  <si>
    <t xml:space="preserve">Iter - Risolando </t>
  </si>
  <si>
    <t>Risolando Benedito Dias Junior</t>
  </si>
  <si>
    <t xml:space="preserve">Até o momento satisfeito com comprometimento e seriedade do grupo que demonstrou excepcional habilidade para compreender a "dor" e traduzi-la em formato de problemas já com as estruturas de solução. </t>
  </si>
  <si>
    <t>Éldman de Oliveira Nunes</t>
  </si>
  <si>
    <t>Andamento consistente e dentro do prazo</t>
  </si>
  <si>
    <t>Apresentar visualmente cada Sprint (o que foi feito e o que será feito para próxima reunião)</t>
  </si>
  <si>
    <t>Julio Cezar Mourão Almeida</t>
  </si>
  <si>
    <t>Por vezes algumas funcionalidades que já estava prontas acabam não funcionando na hora da reunião. Isso é 100% entendível pela complexidade e questões de tecnologia, mas as vezes pode atrapalhar a dinâmica da reunião. No mais as entregas são excelentes e bem explicadas</t>
  </si>
  <si>
    <t>So far, so good! Equipe muito criativa e empenhada em achar soluções!</t>
  </si>
  <si>
    <t>Grupo envolvido com projeto e as soluções propostas estão muito satisfatórias.</t>
  </si>
  <si>
    <t>GeroCheck - Dev</t>
  </si>
  <si>
    <t>GERO CHECK</t>
  </si>
  <si>
    <t>É difícil pois conheço muito pouco a equipe e pouco foi feito até agora</t>
  </si>
  <si>
    <t xml:space="preserve">Gostaria que o trabalho fosse mais acelerado pois a equipe chegou depois de um mês da concepção. Agora teremos semana de provas e voltamos a ficar parados. </t>
  </si>
  <si>
    <t xml:space="preserve">WeRecruiter </t>
  </si>
  <si>
    <t>Rodrigo Piassi</t>
  </si>
  <si>
    <t>Werecruiter</t>
  </si>
  <si>
    <t xml:space="preserve">O único motivo da nota 3 na primeira pergunta é o fato de uma possível paralização na execução do projeto por um prazo incompatível com nossos anseios que não foi avisado no início. </t>
  </si>
  <si>
    <t>Emir</t>
  </si>
  <si>
    <t>Núcleo de Produção</t>
  </si>
  <si>
    <t>Clotilde Assis Oliveira</t>
  </si>
  <si>
    <t xml:space="preserve">Nossa experiência tem mostrado que a equipe de saúde precisa participar das reuniões com a equipe da PoliJr. de modo permanente, porque o software será utilizado por trabalhadores da saúde. Então, como sugestão para contratos futuros, sempre que o projeto envolver equipes multiprofissionais, é importante eleger pessoas-chave para participar das reuniões com a PoliJr e, assim, evitar falhas no alcance das metas. </t>
  </si>
  <si>
    <t>GeroChek</t>
  </si>
  <si>
    <t>Acredito que as semanas de trabalho poderiam ser mais produtivas.</t>
  </si>
  <si>
    <t xml:space="preserve">Gostaria que fosse mais produtivo a entrega do serviço nas reuniões </t>
  </si>
  <si>
    <t>Renan</t>
  </si>
  <si>
    <t>Travelex 3.0</t>
  </si>
  <si>
    <t>ROBERTO CESAR DE OLIVEIRA</t>
  </si>
  <si>
    <t>Fin Tracks</t>
  </si>
  <si>
    <t>Alexandre Pureza</t>
  </si>
  <si>
    <t>Fin-Tracks</t>
  </si>
  <si>
    <t>Senti falta de no trabalho haver um processo de interação com os usuários finais, uma vez que estamos redesenhando o UX de uma aplicação que já está em Produção.</t>
  </si>
  <si>
    <t xml:space="preserve">A equipe de TI da Poli tem se dedicado ao projeto e se mostra flexível, além de se envolver na resolução de problemas com criatividade e empenho. </t>
  </si>
  <si>
    <t>Tupinambá</t>
  </si>
  <si>
    <t xml:space="preserve">Camilo Oliveira </t>
  </si>
  <si>
    <t xml:space="preserve">Tupinambá Energia </t>
  </si>
  <si>
    <t>Tivemos dificuldade no início para definir a equipe e iniciar o projeto, então não consigo dar a avaliação mais positiva, mas o que começou a ser feito agora parece promissor. Vamos continuar acompanhando nas próximas semanas.</t>
  </si>
  <si>
    <t>Tinder de Banda</t>
  </si>
  <si>
    <t xml:space="preserve">Vitório bittencourt </t>
  </si>
  <si>
    <t>Juliana</t>
  </si>
  <si>
    <t>Kamino</t>
  </si>
  <si>
    <t xml:space="preserve"> </t>
  </si>
  <si>
    <t xml:space="preserve">Mais alinhado durante a venda o que eles sabem e não sabem fazer. Poderia cuspir o que ela quer e galera ia se virar. Mesclar pessoas com mais maturidade. Achou caro pelo preço, pagaria menos pelo oq foi feito. Diferença entre report e documento. Pessoas que já entendessem das APIs abertas do mercado. </t>
  </si>
  <si>
    <t>Sas Smart</t>
  </si>
  <si>
    <t xml:space="preserve">Suelen Morais </t>
  </si>
  <si>
    <t xml:space="preserve">SAS SMART </t>
  </si>
  <si>
    <t>O trabalho está fluindo bem com avanços bem interessantes! Parabéns</t>
  </si>
  <si>
    <t>Fernanda</t>
  </si>
  <si>
    <t>OLX</t>
  </si>
  <si>
    <t>Vasco</t>
  </si>
  <si>
    <t>Semantix</t>
  </si>
  <si>
    <t>Vitório Manoel bittencourt</t>
  </si>
  <si>
    <t xml:space="preserve">Adriane Destri Grenhanin </t>
  </si>
  <si>
    <t xml:space="preserve">Conseguiram captar totalmente a minha ideia muito satisfeita </t>
  </si>
  <si>
    <t>Camilo Oliveira</t>
  </si>
  <si>
    <t>Tupinambá Energia</t>
  </si>
  <si>
    <t>Tenho gostado do que tem sido produzido, porém gostaria de uma comunicação mais próxima. Das últimas vezes quem puxou a conversa sobre status e próximos passos fomos nós e gostaria que a Poli Jr tivesse sido mais pró-ativa no sentido de confirmar o que será feito e o que precisaria de ajuste em escopo.</t>
  </si>
  <si>
    <t>Victor Gallo Otozato</t>
  </si>
  <si>
    <t>Quadra Capital</t>
  </si>
  <si>
    <t>Os 4 integrantes do time são extremamente profissionais e entregaram produtos excepcionais - Neto, Kazama, Lucio e Diogo</t>
  </si>
  <si>
    <t>GEROCHECK</t>
  </si>
  <si>
    <t>Percebi um comprometimento maior da equipe no projeto</t>
  </si>
  <si>
    <t xml:space="preserve">O projeto poderia ser mais enxuto. Gastou um tempo grande na concepção mas esse tempo não reduziu o tempo para prototipação. No alinhamento comercial, deixei claro minha expectativa de ter uma entrega concreta em cada sprint, também foi combinado que seria concluído esse mês, são 3 testes. Ao menos 02 deveriam ser concluídos, mas não temos nenhum até então. Foi alinhado que na semana de prova o projeto pararia, mas o projeto parou 30 dias fora dessa semana de provas, o que também não estava alinhado. 
 Não foi apresentado o cronograma do que seria feita e quando seria entrega, que foi solicitado por mim. Acredito que o projeto ande mais rápido agora focando no backend, mas vejo a necessidade de uma maior orientação para a entrega. </t>
  </si>
  <si>
    <t>Adriana Mallet</t>
  </si>
  <si>
    <t>SAS Smart</t>
  </si>
  <si>
    <t>Parabéns pela proatividade da equipe</t>
  </si>
  <si>
    <t>Cristiano Rocha Meneguello</t>
  </si>
  <si>
    <t>RenovatioMed</t>
  </si>
  <si>
    <t>Houve um desalinhamento com as expectativas de inicio do projeto entre o time de vendas e o time de delivery da Poli. Isso gerou expectativas no time da renovatio com o inicio do projeto, bem como a não parada dos times entre natal e ano novo. O time de vendas deve melhorar esse alinhamento.</t>
  </si>
  <si>
    <t>Ully Boscolo</t>
  </si>
  <si>
    <t>Tathiane Tioko da S Tanaka</t>
  </si>
  <si>
    <t xml:space="preserve">SAS Brasil </t>
  </si>
  <si>
    <t xml:space="preserve">Talvez deixar uma reunião periódica para alinhamento das entregas </t>
  </si>
  <si>
    <t xml:space="preserve">Experiência, </t>
  </si>
  <si>
    <t xml:space="preserve">José Camara </t>
  </si>
  <si>
    <t>Vittude</t>
  </si>
  <si>
    <t xml:space="preserve">Carlos </t>
  </si>
  <si>
    <t>Estapar</t>
  </si>
  <si>
    <t>Fernando</t>
  </si>
  <si>
    <t>GS Inima</t>
  </si>
  <si>
    <t>Fase de desenvolvimento está muito melhor do que a fase de prototipagem</t>
  </si>
  <si>
    <t>Renata dos Santos Cotis</t>
  </si>
  <si>
    <t>PACT</t>
  </si>
  <si>
    <t xml:space="preserve">Uma sugestão seria adiantar o conteúdo da pauta da reunião, seja como um descritivo do convite da reunião ou no próprio whatsapp. </t>
  </si>
  <si>
    <t>Eliézer Oliveira</t>
  </si>
  <si>
    <t>MZ</t>
  </si>
  <si>
    <t>Pierre Benazzi</t>
  </si>
  <si>
    <t>Healthmap</t>
  </si>
  <si>
    <t xml:space="preserve">Gabriela Pintar de Oliveira </t>
  </si>
  <si>
    <t>Inova Docente</t>
  </si>
  <si>
    <t>Estou muito satisfeita com tudo que eu vi até agora. Ansiosa pelas próximas etapas.</t>
  </si>
  <si>
    <t>Danilo Godoy</t>
  </si>
  <si>
    <t xml:space="preserve">Em relação ao protótipo de média fidelidade, eu acho que poderiam ter colocado todos os elementos que compõem a tela e não só um demonstrativo de algumas colunas, pois já ali é interessante ter a sensação do todo. Digo isto, pois quando fui apresentar para fazer a validação com os envolvidos (cliente e liderança da Pact) tive que bater na tecla algumas vezes dizendo que nem todas as informações estavam na tela, ou seja, deu a impressão de que o conteúdo estava "raso". Além disso, senti falta de um aprofundamento no entendimento da tela de "regras de pagamento" e explorar um UX writing, palavras que se adequem melhor ao contexto.   </t>
  </si>
  <si>
    <t xml:space="preserve">Inserir na tela todo o conteúdo estipulado para que a sensação de navegabilidade seja o mais próxima do real possível. </t>
  </si>
  <si>
    <t>Anna Júlia</t>
  </si>
  <si>
    <t>Loggi</t>
  </si>
  <si>
    <t>Ela falou que só não deu nota máxima porque o projeto ainda não acabou, e que está esperando uma entrega final com uma profundidade um pouco maior do que teve na análise dos concorrentes. No geral está gostando</t>
  </si>
  <si>
    <t>Lucas</t>
  </si>
  <si>
    <t>Pacco puppy</t>
  </si>
  <si>
    <t>Adriana Taveira</t>
  </si>
  <si>
    <t>Lucas Alves</t>
  </si>
  <si>
    <t>Iguá</t>
  </si>
  <si>
    <t>O Lucas comentou bastante sobre a comunicação distante por parte da empresa na área de cobrança do pagamento e confusão com a troca de gerentes</t>
  </si>
  <si>
    <t xml:space="preserve">SAS Smart </t>
  </si>
  <si>
    <t>Com relação às expectativas no início do projeto, a Poli Júnior...</t>
  </si>
  <si>
    <t>Quando pretende realizar a implementação do projeto?</t>
  </si>
  <si>
    <t>Em uma escala de 0 a 10, o quanto você recomendaria a Poli Júnior a um(a) amigo(a) ou colega?</t>
  </si>
  <si>
    <t>Brivia 2</t>
  </si>
  <si>
    <t>Brivia 2.0</t>
  </si>
  <si>
    <t>Atendeu às expectativas.</t>
  </si>
  <si>
    <t>João e Gustavo trabalharam super bem, contratado ficou bem satisfeitos</t>
  </si>
  <si>
    <t>Imediatamente</t>
  </si>
  <si>
    <t>Ele saiu do projeto, não sabe muito da implementação! Falar com o Allan?</t>
  </si>
  <si>
    <t>Dentro de 1 a 2 meses</t>
  </si>
  <si>
    <t>Infoprice</t>
  </si>
  <si>
    <t>Lucas Andrade</t>
  </si>
  <si>
    <t>Vitor e Alícia muito disponíveis e com boa vontade. Nítido que eram junior, mas isso ajudou na dedicação, dispostos a melhorar e apurar. Vai fidelizar sepa, querem mais ferramentas</t>
  </si>
  <si>
    <t>Sérgio</t>
  </si>
  <si>
    <t>Keego</t>
  </si>
  <si>
    <t>Parceria mais estratégica</t>
  </si>
  <si>
    <t>Sinqia</t>
  </si>
  <si>
    <t>Atenciosos, atenderam bem o escopo e o que precisavam, conseguiram entregar uma boa entrega. Satisfeito com a entrega. Doug super solícito.</t>
  </si>
  <si>
    <t>Outros projetos com a gente, sabem da potenciais.</t>
  </si>
  <si>
    <t>Erick Bastos</t>
  </si>
  <si>
    <t>Pitzi</t>
  </si>
  <si>
    <t xml:space="preserve">Ótimo, meninos atenciosos, rápidos. Eles demoraram com os dados e tabelas. Continuam dando suporte </t>
  </si>
  <si>
    <t>Doctor Post</t>
  </si>
  <si>
    <t xml:space="preserve">Viviane </t>
  </si>
  <si>
    <t>Entregou em partes, não atendendo todas expectativas.</t>
  </si>
  <si>
    <t xml:space="preserve">No final, muito triste com o financeiro, ponto decisivo. Confusão com os custos, eles não consideraram os custos da UNIFEI. Não finalizaram direito, entregaram o mesmo concorrente. </t>
  </si>
  <si>
    <t xml:space="preserve">Primeiro material superou expectativas e o segundo podia ter superado mais. </t>
  </si>
  <si>
    <t>Entregou além das expectativas.</t>
  </si>
  <si>
    <t>Lett Digital</t>
  </si>
  <si>
    <t>Leandro</t>
  </si>
  <si>
    <t>Entrega muito boa, vão ter que fazer algumas adaptações. Entrega usada pra medir entrega que entra como nível de carreira da empresa.</t>
  </si>
  <si>
    <t>Conversa no meio, pivotaram, fazendo entrega que não estava prevista</t>
  </si>
  <si>
    <t>Roberta</t>
  </si>
  <si>
    <t>Muito bom o projeto, muito receptivos. Não entendia de tecnologia, os meninos ajudaram muito, converteram os feedbacks passados. Sem pontos a questionar!</t>
  </si>
  <si>
    <t>Mad Owl</t>
  </si>
  <si>
    <t xml:space="preserve">Mad Owl </t>
  </si>
  <si>
    <t>Faltou algumas informações, concentrou onde mais vende.</t>
  </si>
  <si>
    <t>Ainda não avaliaram as entregas. Não sentiam que tinham informações o suficiente pra seguir pra segunda etapa. Trabalho foi bom, contratou nova ferramenta mas não usou completamente. Gostou da qualidade. Avaliação de escopo, o prazo foi zero condizente com o tamanho do escopo.</t>
  </si>
  <si>
    <t>Pingus</t>
  </si>
  <si>
    <t>Roselaine</t>
  </si>
  <si>
    <t>Faltou partes da planilha.</t>
  </si>
  <si>
    <t>Gostou muito do acompanhamento do projeto, muito bem atendida. Ainda analisando as entregas, ainda tem dúvidas.</t>
  </si>
  <si>
    <t>Rodrigo</t>
  </si>
  <si>
    <t>Ronaldo Advocacia</t>
  </si>
  <si>
    <t>Comentou um pouco sobre horários e bater agenda para poder marcar as reuniões</t>
  </si>
  <si>
    <t>Vermont</t>
  </si>
  <si>
    <t>Itatiba</t>
  </si>
  <si>
    <t>Esdras Messa</t>
  </si>
  <si>
    <t xml:space="preserve">Conversou, queria uma parte maior, mas nao atendiamos tudo. Fechou por causa dos diferenciais. Fez com outro profissional </t>
  </si>
  <si>
    <t xml:space="preserve">Proposta de minas, diferencial. Achou a proposta melhor. Apresentacao didatica, exemplos dos portfolios. Video. Preco achou alto, 10. Queria um pouco mais baixo, </t>
  </si>
  <si>
    <t>Russi Russi DEV</t>
  </si>
  <si>
    <t>Roberto Takitane</t>
  </si>
  <si>
    <t xml:space="preserve">Russi &amp; Russi Construtora </t>
  </si>
  <si>
    <t>Dentro de 3 a 5 meses</t>
  </si>
  <si>
    <t>Poderia haver uma maior documentação por parte da empresa júnior das reuniões e definições discutidas nos encontros. 
A equipe que nos atendeu foi muito atenciosa, sempre dando retorno das solicitações e cumprindo os prazos acordados, além de entregarem um produto final além das expectativas.
Nota final do projeto: 10!</t>
  </si>
  <si>
    <t>Domani - Conceps</t>
  </si>
  <si>
    <t>Ana Laura Sellman</t>
  </si>
  <si>
    <t>Domani</t>
  </si>
  <si>
    <t>Dentro de 6 a 9 meses</t>
  </si>
  <si>
    <t>Talvez ter mais conhecimento sobre a questão tributária de impostos sobre aplicativos</t>
  </si>
  <si>
    <t>Cristiano</t>
  </si>
  <si>
    <t>Cristiano Tonini</t>
  </si>
  <si>
    <t>Hidro Cristiano</t>
  </si>
  <si>
    <t>Preço viável, no momento ta tudo ficando muito caro e a gente vai na contra mão. Custo benefício bom. Teve erro de projeto na outra obra dele. Só queria poder estar mais disponível</t>
  </si>
  <si>
    <t>Reclame aqui</t>
  </si>
  <si>
    <t>Valton</t>
  </si>
  <si>
    <t>Reclame Aqui</t>
  </si>
  <si>
    <t xml:space="preserve">Elogiou muito o trabalho da PJ e principalmente o Vitor. </t>
  </si>
  <si>
    <t xml:space="preserve">Falou muito bem do cuidado do Vitor e da atenção que ele teve com o projeto. </t>
  </si>
  <si>
    <t>DBA Advogados</t>
  </si>
  <si>
    <t xml:space="preserve">Linda </t>
  </si>
  <si>
    <t>DB Advogados</t>
  </si>
  <si>
    <t xml:space="preserve">Um dos sócios não viu valor nas entregas. </t>
  </si>
  <si>
    <t xml:space="preserve">Adorou a equipe, pessoal muito profissional, atendimento muito bom. Final foi complicado pra agendar a apresentação, faltou priorização, disponibilidade para agendar. Sócios tinham agenda apertada e foi complicado agendar na entrega. Deveríamos ter avisado que a participação dos sócios era importante. Apresentação corrida. 
Não sabe se o modelo de mapeamento foi ideal. Não teve acompanhamento se os processos faziam sentido. 
Teve que pedir pra consolidar tudo em um to be junto. Não fez sentido a entrega dos arquivos. Mapeamentos por pessoa e não por área. 
Um sócio achou que não teve solução, outros sabem quem isso foi o contratado. </t>
  </si>
  <si>
    <t>Tiago</t>
  </si>
  <si>
    <t>Brivia</t>
  </si>
  <si>
    <t>Problemas do lado deles que fizeram com o que o projeto não andasse da maneira correta. Culpa dos dois lados. Pendências do cliente final.</t>
  </si>
  <si>
    <t>Deixou eles na mão, alguns problemas de comunicação. Poderia ter sido mais rápido, sugestões, queria a percepção de que caminho se seguir. Faltou mais visão crítica</t>
  </si>
  <si>
    <t>Tao Buriry</t>
  </si>
  <si>
    <t xml:space="preserve">Kromaki </t>
  </si>
  <si>
    <t>Tabela atendeu bastante, meninos super solícitos. Não tinham feedbacks com a agilidade necessária, devido a semana de provas e perfil de empresa. Ferramenta super útil. Usar ferramentas pras outros projetos. Ferramenta de consulta.</t>
  </si>
  <si>
    <t>Captação Fernando</t>
  </si>
  <si>
    <t xml:space="preserve">Fernando </t>
  </si>
  <si>
    <t>Reunião de alinhamento, assumidas premissas que não eram corretas</t>
  </si>
  <si>
    <t xml:space="preserve">Falta de atenção, nada que não fosse resolvido com uma reunião inicial de alinhamento. </t>
  </si>
  <si>
    <t>Ricardo Bello</t>
  </si>
  <si>
    <t xml:space="preserve">Mercado Livre </t>
  </si>
  <si>
    <t>acabou não conseguindo completar a entrega finalizada.</t>
  </si>
  <si>
    <t>Ricardo --&gt; mais distante, contato e relacionamento muito bom, atenciosos, pessoas muito boas e capacitadas. pessoas boas que estão dispostas a aprender. bom atendimento. arriscou com o escopo em que o time não tinha experiência com o que está sendo executado. projeto curto que tinha muitas coisas pra aprender. o aprendizado da linguagem acabou comprometendo o tempo, o tempo e o escopo. felixibilidade. deixar mais claro um cronograma com os eventos que estavam acontecendo. aprendizagem muito rápida. alinhar melhor horarios disponíveis e desenvolver mais linguagens.</t>
  </si>
  <si>
    <t>Gabriel Fumagalli</t>
  </si>
  <si>
    <t>Parte financeira poderia ter melhor modelagem, forte potencial de melhoria em questões de negócios diversificados</t>
  </si>
  <si>
    <t>Atendeu as expectativas, mas poderia ter mais recomendações pensando em consultoria estratégica.</t>
  </si>
  <si>
    <t xml:space="preserve">Christiane </t>
  </si>
  <si>
    <t xml:space="preserve">Bossphone </t>
  </si>
  <si>
    <t>Não pretendo implementar</t>
  </si>
  <si>
    <t>Feedbacks em relação a planilha financeira e o plano operacional. Mesmo assim, elogiou o profissionalismo e a experiência com a PJ.</t>
  </si>
  <si>
    <t xml:space="preserve">Saul </t>
  </si>
  <si>
    <t>Luminatti</t>
  </si>
  <si>
    <t xml:space="preserve">Naka corrigiu erros muito rapidamente. </t>
  </si>
  <si>
    <t xml:space="preserve">Encurtar o espaço entra as etapas iniciais de proposta e início da execução do projeto. </t>
  </si>
  <si>
    <t>Leonardo</t>
  </si>
  <si>
    <t xml:space="preserve">Santos Brasil </t>
  </si>
  <si>
    <t xml:space="preserve">Deveriam ter gastado mais tempo do projeto entendendo a demanda de acordo com o cliente. </t>
  </si>
  <si>
    <t xml:space="preserve">GeroCheck </t>
  </si>
  <si>
    <t>Kátia</t>
  </si>
  <si>
    <t>Certsign</t>
  </si>
  <si>
    <t xml:space="preserve">Experiencia muito boa ao longo do projeto, o mapeamento to be poderia ser apresentando antes. </t>
  </si>
  <si>
    <t>Cristiano, Benito e Vitor</t>
  </si>
  <si>
    <t>Fez com que todos nós que tínhamos visões diferentes sobre o projeto construíssemos uma ideia sólida para desenvolvimento.</t>
  </si>
  <si>
    <t>Hewerton Bartoli</t>
  </si>
  <si>
    <t>R3Ciclo</t>
  </si>
  <si>
    <t>Perspectiva boa de fidelização como já comentado com a equipe comercial. O cliente não responde às nossa mensagens pois está extremamente ocupado no momento devido à alta demanda da empresa.</t>
  </si>
  <si>
    <t>Mauro</t>
  </si>
  <si>
    <t>MDS 1.0</t>
  </si>
  <si>
    <t xml:space="preserve">Só elogios. </t>
  </si>
  <si>
    <t>Rejane Chedide</t>
  </si>
  <si>
    <t>Travelex Bank</t>
  </si>
  <si>
    <t>Feedback positivo, os meninos são muito bons; problema de disp do banco</t>
  </si>
  <si>
    <t>Elaine</t>
  </si>
  <si>
    <t>Cory</t>
  </si>
  <si>
    <t xml:space="preserve">Muito felizes com informações bem embasadas. Coragem de recomendar na conclusão. </t>
  </si>
  <si>
    <t xml:space="preserve">Qualidade da entrega muito para o custo benefício. </t>
  </si>
  <si>
    <t>Caue Coffone</t>
  </si>
  <si>
    <t>UFC Gym</t>
  </si>
  <si>
    <t>bem elaborado, saiu como esperava, excelente</t>
  </si>
  <si>
    <t>interação muito boa c marqueto, pesquisou, foi atrás, aprofundou no assunto</t>
  </si>
  <si>
    <t>Ocyan</t>
  </si>
  <si>
    <t xml:space="preserve">Rafael Gonçalves Magalhães </t>
  </si>
  <si>
    <t xml:space="preserve">Vermont investimentos </t>
  </si>
  <si>
    <t xml:space="preserve">Acredita que o PO ou o Coordenador na concepção poderia ter identificado um dor do cliente que ajudaria na implementação do projeto </t>
  </si>
  <si>
    <t xml:space="preserve">Conseguimos tocar o projeto de forma independente </t>
  </si>
  <si>
    <t>Raul</t>
  </si>
  <si>
    <t>Conectcar</t>
  </si>
  <si>
    <t>João</t>
  </si>
  <si>
    <t>Bernoulli</t>
  </si>
  <si>
    <t xml:space="preserve">Vasco </t>
  </si>
  <si>
    <t xml:space="preserve">Poderiamos ter evitado o atraso. </t>
  </si>
  <si>
    <t xml:space="preserve">Rafaela </t>
  </si>
  <si>
    <t>Trancoso Homes</t>
  </si>
  <si>
    <t>João Paulo Bottecchia</t>
  </si>
  <si>
    <t>Clóvis Miller Júnior</t>
  </si>
  <si>
    <t>NordMoney</t>
  </si>
  <si>
    <t>Bruno Moura</t>
  </si>
  <si>
    <t>Vem pra Noite</t>
  </si>
  <si>
    <t>Andréa Silva Araujo</t>
  </si>
  <si>
    <t xml:space="preserve">iHelpers </t>
  </si>
  <si>
    <t xml:space="preserve">Renan Alvarenga </t>
  </si>
  <si>
    <t>Travelex</t>
  </si>
  <si>
    <t xml:space="preserve">Larissa </t>
  </si>
  <si>
    <t>Solstar</t>
  </si>
</sst>
</file>

<file path=xl/styles.xml><?xml version="1.0" encoding="utf-8"?>
<styleSheet xmlns="http://schemas.openxmlformats.org/spreadsheetml/2006/main" xmlns:x14ac="http://schemas.microsoft.com/office/spreadsheetml/2009/9/ac" xmlns:mc="http://schemas.openxmlformats.org/markup-compatibility/2006">
  <numFmts count="10">
    <numFmt numFmtId="164" formatCode="[$R$ -416]#,##0.00"/>
    <numFmt numFmtId="165" formatCode="dd/MM/yyyy"/>
    <numFmt numFmtId="166" formatCode="0.0"/>
    <numFmt numFmtId="167" formatCode="_([$R$ -416]* #,##0.00_);_([$R$ -416]* \(#,##0.00\);_([$R$ -416]* &quot;-&quot;??_);_(@_)"/>
    <numFmt numFmtId="168" formatCode="[$R$]#,##0.00"/>
    <numFmt numFmtId="169" formatCode="&quot;$&quot;#,##0.00"/>
    <numFmt numFmtId="170" formatCode="dd/mm"/>
    <numFmt numFmtId="171" formatCode="[$R$ -416]#,##0"/>
    <numFmt numFmtId="172" formatCode="m/d/yyyy h:mm:ss"/>
    <numFmt numFmtId="173" formatCode="0.000"/>
  </numFmts>
  <fonts count="47">
    <font>
      <sz val="10.0"/>
      <color rgb="FF000000"/>
      <name val="Arial"/>
      <scheme val="minor"/>
    </font>
    <font>
      <color theme="1"/>
      <name val="Arial"/>
    </font>
    <font>
      <b/>
      <sz val="28.0"/>
      <color rgb="FFFFFFFF"/>
      <name val="Montserrat"/>
    </font>
    <font>
      <sz val="12.0"/>
      <color rgb="FF000000"/>
      <name val="Montserrat"/>
    </font>
    <font>
      <b/>
      <sz val="9.0"/>
      <color rgb="FFFFFFFF"/>
      <name val="Arial"/>
    </font>
    <font>
      <b/>
      <sz val="9.0"/>
      <color rgb="FFFFFFFF"/>
      <name val="Montserrat"/>
    </font>
    <font>
      <b/>
      <color theme="0"/>
      <name val="Arial"/>
      <scheme val="minor"/>
    </font>
    <font>
      <b/>
      <sz val="8.0"/>
      <color rgb="FFFFFFFF"/>
      <name val="Arial"/>
      <scheme val="minor"/>
    </font>
    <font>
      <b/>
      <color rgb="FFFFFFFF"/>
      <name val="Arial"/>
      <scheme val="minor"/>
    </font>
    <font>
      <sz val="10.0"/>
      <color theme="1"/>
      <name val="Montserrat"/>
    </font>
    <font>
      <sz val="10.0"/>
      <color rgb="FFFFFFFF"/>
      <name val="Montserrat"/>
    </font>
    <font>
      <color theme="1"/>
      <name val="Montserrat"/>
    </font>
    <font>
      <sz val="10.0"/>
      <color rgb="FF000000"/>
      <name val="Montserrat"/>
    </font>
    <font>
      <sz val="9.0"/>
      <color rgb="FF000000"/>
      <name val="&quot;Google Sans Mono&quot;"/>
    </font>
    <font>
      <sz val="10.0"/>
      <color theme="0"/>
      <name val="Montserrat"/>
    </font>
    <font>
      <sz val="7.0"/>
      <color rgb="FF000000"/>
      <name val="Montserrat"/>
    </font>
    <font>
      <color rgb="FF000000"/>
      <name val="Montserrat"/>
    </font>
    <font>
      <color theme="1"/>
      <name val="Arial"/>
      <scheme val="minor"/>
    </font>
    <font>
      <b/>
      <color theme="1"/>
      <name val="Arial"/>
      <scheme val="minor"/>
    </font>
    <font>
      <sz val="11.0"/>
      <color theme="1"/>
      <name val="&quot;Söhne Mono&quot;"/>
    </font>
    <font>
      <sz val="9.0"/>
      <color rgb="FF000000"/>
      <name val="Arial"/>
      <scheme val="minor"/>
    </font>
    <font>
      <b/>
      <sz val="19.0"/>
      <color rgb="FF000000"/>
      <name val="Montserrat"/>
    </font>
    <font/>
    <font>
      <b/>
      <sz val="19.0"/>
      <color theme="1"/>
      <name val="Montserrat"/>
    </font>
    <font>
      <b/>
      <sz val="19.0"/>
      <color rgb="FF004E95"/>
      <name val="Montserrat"/>
    </font>
    <font>
      <b/>
      <sz val="19.0"/>
      <color rgb="FFFBBC04"/>
      <name val="Montserrat"/>
    </font>
    <font>
      <b/>
      <sz val="36.0"/>
      <color rgb="FFFBBC04"/>
      <name val="Montserrat"/>
    </font>
    <font>
      <b/>
      <sz val="36.0"/>
      <color rgb="FF00AA81"/>
      <name val="Montserrat"/>
    </font>
    <font>
      <b/>
      <sz val="36.0"/>
      <color rgb="FF8430CE"/>
      <name val="Montserrat"/>
    </font>
    <font>
      <b/>
      <sz val="36.0"/>
      <color rgb="FF004E95"/>
      <name val="Montserrat"/>
    </font>
    <font>
      <b/>
      <sz val="10.0"/>
      <color rgb="FF000000"/>
      <name val="Montserrat"/>
    </font>
    <font>
      <b/>
      <sz val="8.0"/>
      <color rgb="FF000000"/>
      <name val="Montserrat"/>
    </font>
    <font>
      <sz val="9.0"/>
      <color rgb="FF000000"/>
      <name val="Montserrat"/>
    </font>
    <font>
      <color rgb="FF000000"/>
      <name val="Arial"/>
    </font>
    <font>
      <sz val="10.0"/>
      <color rgb="FF000000"/>
      <name val="Arial"/>
    </font>
    <font>
      <b/>
      <sz val="36.0"/>
      <color rgb="FFFFFFFF"/>
      <name val="Montserrat"/>
    </font>
    <font>
      <b/>
      <sz val="36.0"/>
      <color rgb="FFFFFFFF"/>
      <name val="Titillium Web"/>
    </font>
    <font>
      <b/>
      <sz val="14.0"/>
      <color rgb="FF00325E"/>
      <name val="Titillium Web"/>
    </font>
    <font>
      <b/>
      <sz val="14.0"/>
      <color rgb="FFFFFFFF"/>
      <name val="Titillium Web"/>
    </font>
    <font>
      <color rgb="FF000000"/>
      <name val="Arial"/>
      <scheme val="minor"/>
    </font>
    <font>
      <b/>
      <sz val="14.0"/>
      <color rgb="FF000000"/>
      <name val="Titillium Web"/>
    </font>
    <font>
      <b/>
      <color theme="1"/>
      <name val="Montserrat"/>
    </font>
    <font>
      <sz val="11.0"/>
      <color rgb="FF1F1F1F"/>
      <name val="&quot;Google Sans&quot;"/>
    </font>
    <font>
      <b/>
      <sz val="10.0"/>
      <color rgb="FFFFFFFF"/>
      <name val="Montserrat"/>
    </font>
    <font>
      <b/>
      <color rgb="FF073763"/>
      <name val="Roboto"/>
    </font>
    <font>
      <b/>
      <sz val="9.0"/>
      <color rgb="FFFFFFFF"/>
      <name val="Roboto"/>
    </font>
    <font>
      <sz val="9.0"/>
      <color rgb="FFFFFFFF"/>
      <name val="Roboto"/>
    </font>
  </fonts>
  <fills count="29">
    <fill>
      <patternFill patternType="none"/>
    </fill>
    <fill>
      <patternFill patternType="lightGray"/>
    </fill>
    <fill>
      <patternFill patternType="solid">
        <fgColor rgb="FF004E95"/>
        <bgColor rgb="FF004E95"/>
      </patternFill>
    </fill>
    <fill>
      <patternFill patternType="solid">
        <fgColor rgb="FFFFFFFF"/>
        <bgColor rgb="FFFFFFFF"/>
      </patternFill>
    </fill>
    <fill>
      <patternFill patternType="solid">
        <fgColor rgb="FF1155CC"/>
        <bgColor rgb="FF1155CC"/>
      </patternFill>
    </fill>
    <fill>
      <patternFill patternType="solid">
        <fgColor rgb="FF1C4587"/>
        <bgColor rgb="FF1C4587"/>
      </patternFill>
    </fill>
    <fill>
      <patternFill patternType="solid">
        <fgColor theme="0"/>
        <bgColor theme="0"/>
      </patternFill>
    </fill>
    <fill>
      <patternFill patternType="solid">
        <fgColor rgb="FFFFE599"/>
        <bgColor rgb="FFFFE599"/>
      </patternFill>
    </fill>
    <fill>
      <patternFill patternType="solid">
        <fgColor rgb="FFB6D7A8"/>
        <bgColor rgb="FFB6D7A8"/>
      </patternFill>
    </fill>
    <fill>
      <patternFill patternType="solid">
        <fgColor rgb="FFEA9999"/>
        <bgColor rgb="FFEA9999"/>
      </patternFill>
    </fill>
    <fill>
      <patternFill patternType="solid">
        <fgColor rgb="FFC9DAF8"/>
        <bgColor rgb="FFC9DAF8"/>
      </patternFill>
    </fill>
    <fill>
      <patternFill patternType="solid">
        <fgColor rgb="FFCFE2F3"/>
        <bgColor rgb="FFCFE2F3"/>
      </patternFill>
    </fill>
    <fill>
      <patternFill patternType="solid">
        <fgColor rgb="FFFF8C01"/>
        <bgColor rgb="FFFF8C01"/>
      </patternFill>
    </fill>
    <fill>
      <patternFill patternType="solid">
        <fgColor rgb="FF073763"/>
        <bgColor rgb="FF073763"/>
      </patternFill>
    </fill>
    <fill>
      <patternFill patternType="solid">
        <fgColor rgb="FF990000"/>
        <bgColor rgb="FF990000"/>
      </patternFill>
    </fill>
    <fill>
      <patternFill patternType="solid">
        <fgColor rgb="FFBF9000"/>
        <bgColor rgb="FFBF9000"/>
      </patternFill>
    </fill>
    <fill>
      <patternFill patternType="solid">
        <fgColor rgb="FF38761D"/>
        <bgColor rgb="FF38761D"/>
      </patternFill>
    </fill>
    <fill>
      <patternFill patternType="solid">
        <fgColor rgb="FFD9D9D9"/>
        <bgColor rgb="FFD9D9D9"/>
      </patternFill>
    </fill>
    <fill>
      <patternFill patternType="solid">
        <fgColor rgb="FF000000"/>
        <bgColor rgb="FF000000"/>
      </patternFill>
    </fill>
    <fill>
      <patternFill patternType="solid">
        <fgColor rgb="FF00325E"/>
        <bgColor rgb="FF00325E"/>
      </patternFill>
    </fill>
    <fill>
      <patternFill patternType="solid">
        <fgColor rgb="FFFBBC04"/>
        <bgColor rgb="FFFBBC04"/>
      </patternFill>
    </fill>
    <fill>
      <patternFill patternType="solid">
        <fgColor rgb="FF00AA81"/>
        <bgColor rgb="FF00AA81"/>
      </patternFill>
    </fill>
    <fill>
      <patternFill patternType="solid">
        <fgColor rgb="FF674EA7"/>
        <bgColor rgb="FF674EA7"/>
      </patternFill>
    </fill>
    <fill>
      <patternFill patternType="solid">
        <fgColor rgb="FFE06666"/>
        <bgColor rgb="FFE06666"/>
      </patternFill>
    </fill>
    <fill>
      <patternFill patternType="solid">
        <fgColor rgb="FFFFD966"/>
        <bgColor rgb="FFFFD966"/>
      </patternFill>
    </fill>
    <fill>
      <patternFill patternType="solid">
        <fgColor rgb="FF6AA84F"/>
        <bgColor rgb="FF6AA84F"/>
      </patternFill>
    </fill>
    <fill>
      <patternFill patternType="solid">
        <fgColor rgb="FFFCE8B2"/>
        <bgColor rgb="FFFCE8B2"/>
      </patternFill>
    </fill>
    <fill>
      <patternFill patternType="solid">
        <fgColor rgb="FFB7E1CD"/>
        <bgColor rgb="FFB7E1CD"/>
      </patternFill>
    </fill>
    <fill>
      <patternFill patternType="solid">
        <fgColor rgb="FFEAD1DC"/>
        <bgColor rgb="FFEAD1DC"/>
      </patternFill>
    </fill>
  </fills>
  <borders count="40">
    <border/>
    <border>
      <left style="thin">
        <color rgb="FFFFFFFF"/>
      </left>
      <right style="thin">
        <color rgb="FFFFFFFF"/>
      </right>
      <top style="thin">
        <color rgb="FFFFFFFF"/>
      </top>
      <bottom style="thin">
        <color rgb="FFFFFFFF"/>
      </bottom>
    </border>
    <border>
      <right style="thick">
        <color rgb="FFFFFFFF"/>
      </right>
    </border>
    <border>
      <left style="medium">
        <color rgb="FF000000"/>
      </left>
      <top style="medium">
        <color rgb="FF000000"/>
      </top>
    </border>
    <border>
      <top style="medium">
        <color rgb="FF000000"/>
      </top>
    </border>
    <border>
      <right style="medium">
        <color rgb="FF000000"/>
      </right>
      <top style="medium">
        <color rgb="FF000000"/>
      </top>
    </border>
    <border>
      <left style="thick">
        <color rgb="FF004E95"/>
      </left>
      <top style="thick">
        <color rgb="FF004E95"/>
      </top>
    </border>
    <border>
      <top style="thick">
        <color rgb="FF004E95"/>
      </top>
    </border>
    <border>
      <right style="thick">
        <color rgb="FF004E95"/>
      </right>
      <top style="thick">
        <color rgb="FF004E95"/>
      </top>
    </border>
    <border>
      <left style="medium">
        <color rgb="FF000000"/>
      </left>
      <bottom style="medium">
        <color rgb="FF000000"/>
      </bottom>
    </border>
    <border>
      <bottom style="medium">
        <color rgb="FF000000"/>
      </bottom>
    </border>
    <border>
      <right style="medium">
        <color rgb="FF000000"/>
      </right>
      <bottom style="medium">
        <color rgb="FF000000"/>
      </bottom>
    </border>
    <border>
      <left style="thick">
        <color rgb="FF004E95"/>
      </left>
      <bottom style="thick">
        <color rgb="FF004E95"/>
      </bottom>
    </border>
    <border>
      <bottom style="thick">
        <color rgb="FF004E95"/>
      </bottom>
    </border>
    <border>
      <right style="thick">
        <color rgb="FF004E95"/>
      </right>
      <bottom style="thick">
        <color rgb="FF004E95"/>
      </bottom>
    </border>
    <border>
      <bottom style="thick">
        <color rgb="FFFFFFFF"/>
      </bottom>
    </border>
    <border>
      <left style="thick">
        <color rgb="FFFBBC04"/>
      </left>
      <top style="thick">
        <color rgb="FFFBBC04"/>
      </top>
    </border>
    <border>
      <top style="thick">
        <color rgb="FFFBBC04"/>
      </top>
    </border>
    <border>
      <right style="thick">
        <color rgb="FFFBBC04"/>
      </right>
      <top style="thick">
        <color rgb="FFFBBC04"/>
      </top>
    </border>
    <border>
      <left style="thick">
        <color rgb="FFFBBC04"/>
      </left>
      <bottom style="thick">
        <color rgb="FFFBBC04"/>
      </bottom>
    </border>
    <border>
      <bottom style="thick">
        <color rgb="FFFBBC04"/>
      </bottom>
    </border>
    <border>
      <right style="thick">
        <color rgb="FFFBBC04"/>
      </right>
      <bottom style="thick">
        <color rgb="FFFBBC04"/>
      </bottom>
    </border>
    <border>
      <right style="thick">
        <color rgb="FFFFFFFF"/>
      </right>
      <bottom style="thick">
        <color rgb="FFFFFFFF"/>
      </bottom>
    </border>
    <border>
      <bottom style="thin">
        <color rgb="FF000000"/>
      </bottom>
    </border>
    <border>
      <right style="thin">
        <color rgb="FF000000"/>
      </right>
    </border>
    <border>
      <right style="thin">
        <color rgb="FF000000"/>
      </right>
      <bottom style="thin">
        <color rgb="FF000000"/>
      </bottom>
    </border>
    <border>
      <top style="thin">
        <color rgb="FF000000"/>
      </top>
      <bottom style="thin">
        <color rgb="FF000000"/>
      </bottom>
    </border>
    <border>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73763"/>
      </left>
      <top style="thin">
        <color rgb="FF073763"/>
      </top>
      <bottom style="thin">
        <color rgb="FF073763"/>
      </bottom>
    </border>
    <border>
      <right style="thin">
        <color rgb="FF073763"/>
      </right>
      <top style="thin">
        <color rgb="FF073763"/>
      </top>
      <bottom style="thin">
        <color rgb="FF073763"/>
      </bottom>
    </border>
    <border>
      <left style="medium">
        <color rgb="FF00AA81"/>
      </left>
      <top style="medium">
        <color rgb="FF00AA81"/>
      </top>
      <bottom style="medium">
        <color rgb="FF00AA81"/>
      </bottom>
    </border>
    <border>
      <right style="medium">
        <color rgb="FF00AA81"/>
      </right>
      <top style="medium">
        <color rgb="FF00AA81"/>
      </top>
      <bottom style="medium">
        <color rgb="FF00AA81"/>
      </bottom>
    </border>
    <border>
      <left style="thin">
        <color rgb="FF073763"/>
      </left>
      <right style="thin">
        <color rgb="FF073763"/>
      </right>
      <top style="thin">
        <color rgb="FF073763"/>
      </top>
      <bottom style="thin">
        <color rgb="FF073763"/>
      </bottom>
    </border>
    <border>
      <left style="medium">
        <color rgb="FF00AA81"/>
      </left>
      <right style="medium">
        <color rgb="FF00AA81"/>
      </right>
      <top style="medium">
        <color rgb="FF00AA81"/>
      </top>
      <bottom style="medium">
        <color rgb="FF00AA81"/>
      </bottom>
    </border>
    <border>
      <left style="thin">
        <color rgb="FF000000"/>
      </left>
      <right style="thin">
        <color rgb="FF000000"/>
      </righ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53">
    <xf borderId="0" fillId="0" fontId="0" numFmtId="0" xfId="0" applyAlignment="1" applyFont="1">
      <alignment readingOrder="0" shrinkToFit="0" vertical="bottom" wrapText="0"/>
    </xf>
    <xf borderId="0" fillId="2" fontId="1" numFmtId="0" xfId="0" applyAlignment="1" applyFill="1" applyFont="1">
      <alignment vertical="bottom"/>
    </xf>
    <xf borderId="1" fillId="3" fontId="1" numFmtId="0" xfId="0" applyAlignment="1" applyBorder="1" applyFill="1" applyFont="1">
      <alignment vertical="bottom"/>
    </xf>
    <xf borderId="0" fillId="2" fontId="2" numFmtId="0" xfId="0" applyAlignment="1" applyFont="1">
      <alignment horizontal="center" readingOrder="0" shrinkToFit="0" vertical="center" wrapText="1"/>
    </xf>
    <xf borderId="1" fillId="3" fontId="3" numFmtId="0" xfId="0" applyAlignment="1" applyBorder="1" applyFont="1">
      <alignment horizontal="center" readingOrder="0" shrinkToFit="0" vertical="center" wrapText="1"/>
    </xf>
    <xf borderId="0" fillId="2" fontId="4" numFmtId="0" xfId="0" applyAlignment="1" applyFont="1">
      <alignment horizontal="center" readingOrder="0" shrinkToFit="0" vertical="center" wrapText="1"/>
    </xf>
    <xf borderId="0" fillId="2" fontId="4" numFmtId="164" xfId="0" applyAlignment="1" applyFont="1" applyNumberFormat="1">
      <alignment horizontal="center" readingOrder="0" shrinkToFit="0" vertical="center" wrapText="1"/>
    </xf>
    <xf borderId="0" fillId="2" fontId="4" numFmtId="3" xfId="0" applyAlignment="1" applyFont="1" applyNumberFormat="1">
      <alignment horizontal="center" readingOrder="0" shrinkToFit="0" vertical="center" wrapText="1"/>
    </xf>
    <xf borderId="0" fillId="2" fontId="4" numFmtId="165" xfId="0" applyAlignment="1" applyFont="1" applyNumberFormat="1">
      <alignment horizontal="center" readingOrder="0" shrinkToFit="0" vertical="center" wrapText="1"/>
    </xf>
    <xf borderId="0" fillId="4" fontId="5" numFmtId="0" xfId="0" applyAlignment="1" applyFill="1" applyFont="1">
      <alignment horizontal="center" readingOrder="0" shrinkToFit="0" vertical="center" wrapText="1"/>
    </xf>
    <xf borderId="0" fillId="4" fontId="5" numFmtId="165" xfId="0" applyAlignment="1" applyFont="1" applyNumberFormat="1">
      <alignment horizontal="center" readingOrder="0" shrinkToFit="0" vertical="center" wrapText="1"/>
    </xf>
    <xf borderId="0" fillId="5" fontId="5" numFmtId="165" xfId="0" applyAlignment="1" applyFill="1" applyFont="1" applyNumberFormat="1">
      <alignment horizontal="center" readingOrder="0" shrinkToFit="0" vertical="center" wrapText="1"/>
    </xf>
    <xf borderId="0" fillId="4" fontId="4" numFmtId="0" xfId="0" applyAlignment="1" applyFont="1">
      <alignment horizontal="center" readingOrder="0" shrinkToFit="0" vertical="center" wrapText="1"/>
    </xf>
    <xf borderId="0" fillId="4" fontId="4" numFmtId="3" xfId="0" applyAlignment="1" applyFont="1" applyNumberFormat="1">
      <alignment horizontal="center" readingOrder="0" shrinkToFit="0" vertical="center" wrapText="1"/>
    </xf>
    <xf borderId="0" fillId="4" fontId="6" numFmtId="0" xfId="0" applyAlignment="1" applyFont="1">
      <alignment readingOrder="0" vertical="center"/>
    </xf>
    <xf borderId="0" fillId="2" fontId="7" numFmtId="3" xfId="0" applyAlignment="1" applyFont="1" applyNumberFormat="1">
      <alignment horizontal="center" readingOrder="0" shrinkToFit="0" vertical="center" wrapText="1"/>
    </xf>
    <xf borderId="0" fillId="2" fontId="8" numFmtId="4" xfId="0" applyAlignment="1" applyFont="1" applyNumberFormat="1">
      <alignment readingOrder="0" vertical="center"/>
    </xf>
    <xf borderId="0" fillId="5" fontId="4" numFmtId="4" xfId="0" applyAlignment="1" applyFont="1" applyNumberFormat="1">
      <alignment horizontal="center" readingOrder="0" shrinkToFit="0" vertical="center" wrapText="1"/>
    </xf>
    <xf borderId="0" fillId="5" fontId="4" numFmtId="165" xfId="0" applyAlignment="1" applyFont="1" applyNumberFormat="1">
      <alignment horizontal="center" readingOrder="0" shrinkToFit="0" vertical="center" wrapText="1"/>
    </xf>
    <xf borderId="0" fillId="5" fontId="4" numFmtId="3" xfId="0" applyAlignment="1" applyFont="1" applyNumberFormat="1">
      <alignment horizontal="center" readingOrder="0" shrinkToFit="0" vertical="center" wrapText="1"/>
    </xf>
    <xf borderId="0" fillId="6" fontId="9" numFmtId="49" xfId="0" applyAlignment="1" applyFill="1" applyFont="1" applyNumberFormat="1">
      <alignment horizontal="left" readingOrder="0" vertical="bottom"/>
    </xf>
    <xf borderId="0" fillId="6" fontId="10" numFmtId="0" xfId="0" applyAlignment="1" applyFont="1">
      <alignment horizontal="left" readingOrder="0" vertical="bottom"/>
    </xf>
    <xf borderId="0" fillId="6" fontId="9" numFmtId="0" xfId="0" applyAlignment="1" applyFont="1">
      <alignment horizontal="left" readingOrder="0" vertical="bottom"/>
    </xf>
    <xf borderId="0" fillId="6" fontId="9" numFmtId="164" xfId="0" applyAlignment="1" applyFont="1" applyNumberFormat="1">
      <alignment horizontal="left" readingOrder="0" vertical="bottom"/>
    </xf>
    <xf borderId="0" fillId="6" fontId="9" numFmtId="164" xfId="0" applyAlignment="1" applyFont="1" applyNumberFormat="1">
      <alignment horizontal="right" readingOrder="0" vertical="bottom"/>
    </xf>
    <xf borderId="0" fillId="6" fontId="9" numFmtId="3" xfId="0" applyAlignment="1" applyFont="1" applyNumberFormat="1">
      <alignment horizontal="center" readingOrder="0" vertical="bottom"/>
    </xf>
    <xf borderId="0" fillId="6" fontId="9" numFmtId="165" xfId="0" applyAlignment="1" applyFont="1" applyNumberFormat="1">
      <alignment horizontal="center" readingOrder="0" vertical="bottom"/>
    </xf>
    <xf borderId="0" fillId="3" fontId="11" numFmtId="0" xfId="0" applyAlignment="1" applyFont="1">
      <alignment readingOrder="0" vertical="bottom"/>
    </xf>
    <xf borderId="0" fillId="0" fontId="11" numFmtId="166" xfId="0" applyAlignment="1" applyFont="1" applyNumberFormat="1">
      <alignment horizontal="center" readingOrder="0" vertical="bottom"/>
    </xf>
    <xf borderId="0" fillId="3" fontId="12" numFmtId="165" xfId="0" applyAlignment="1" applyFont="1" applyNumberFormat="1">
      <alignment horizontal="center" vertical="bottom"/>
    </xf>
    <xf borderId="0" fillId="7" fontId="11" numFmtId="0" xfId="0" applyAlignment="1" applyFill="1" applyFont="1">
      <alignment horizontal="center" readingOrder="0" vertical="bottom"/>
    </xf>
    <xf borderId="0" fillId="6" fontId="9" numFmtId="0" xfId="0" applyAlignment="1" applyFont="1">
      <alignment horizontal="center" readingOrder="0" vertical="bottom"/>
    </xf>
    <xf borderId="0" fillId="6" fontId="9" numFmtId="0" xfId="0" applyAlignment="1" applyFont="1">
      <alignment horizontal="left" vertical="bottom"/>
    </xf>
    <xf borderId="0" fillId="0" fontId="9" numFmtId="0" xfId="0" applyAlignment="1" applyFont="1">
      <alignment horizontal="center" vertical="bottom"/>
    </xf>
    <xf borderId="0" fillId="6" fontId="9" numFmtId="3" xfId="0" applyAlignment="1" applyFont="1" applyNumberFormat="1">
      <alignment horizontal="center" vertical="bottom"/>
    </xf>
    <xf borderId="0" fillId="6" fontId="9" numFmtId="167" xfId="0" applyAlignment="1" applyFont="1" applyNumberFormat="1">
      <alignment horizontal="left" vertical="bottom"/>
    </xf>
    <xf borderId="0" fillId="3" fontId="12" numFmtId="0" xfId="0" applyAlignment="1" applyFont="1">
      <alignment horizontal="center" readingOrder="0" vertical="bottom"/>
    </xf>
    <xf borderId="0" fillId="3" fontId="13" numFmtId="0" xfId="0" applyAlignment="1" applyFont="1">
      <alignment readingOrder="0"/>
    </xf>
    <xf borderId="0" fillId="3" fontId="12" numFmtId="0" xfId="0" applyAlignment="1" applyFont="1">
      <alignment horizontal="center" vertical="bottom"/>
    </xf>
    <xf borderId="0" fillId="6" fontId="9" numFmtId="3" xfId="0" applyAlignment="1" applyFont="1" applyNumberFormat="1">
      <alignment horizontal="left" readingOrder="0" vertical="bottom"/>
    </xf>
    <xf borderId="0" fillId="3" fontId="11" numFmtId="164" xfId="0" applyAlignment="1" applyFont="1" applyNumberFormat="1">
      <alignment horizontal="right" vertical="bottom"/>
    </xf>
    <xf borderId="0" fillId="3" fontId="11" numFmtId="165" xfId="0" applyAlignment="1" applyFont="1" applyNumberFormat="1">
      <alignment horizontal="right" vertical="bottom"/>
    </xf>
    <xf borderId="0" fillId="0" fontId="11" numFmtId="165" xfId="0" applyAlignment="1" applyFont="1" applyNumberFormat="1">
      <alignment horizontal="center" readingOrder="0" vertical="bottom"/>
    </xf>
    <xf borderId="0" fillId="6" fontId="9" numFmtId="49" xfId="0" applyAlignment="1" applyFont="1" applyNumberFormat="1">
      <alignment horizontal="left" vertical="bottom"/>
    </xf>
    <xf borderId="0" fillId="6" fontId="14" numFmtId="0" xfId="0" applyAlignment="1" applyFont="1">
      <alignment horizontal="left" readingOrder="0" vertical="bottom"/>
    </xf>
    <xf borderId="0" fillId="6" fontId="9" numFmtId="164" xfId="0" applyAlignment="1" applyFont="1" applyNumberFormat="1">
      <alignment horizontal="left" vertical="bottom"/>
    </xf>
    <xf borderId="0" fillId="6" fontId="9" numFmtId="164" xfId="0" applyAlignment="1" applyFont="1" applyNumberFormat="1">
      <alignment horizontal="right" vertical="bottom"/>
    </xf>
    <xf borderId="0" fillId="6" fontId="9" numFmtId="165" xfId="0" applyAlignment="1" applyFont="1" applyNumberFormat="1">
      <alignment horizontal="center" vertical="bottom"/>
    </xf>
    <xf borderId="0" fillId="0" fontId="11" numFmtId="165" xfId="0" applyAlignment="1" applyFont="1" applyNumberFormat="1">
      <alignment horizontal="center" readingOrder="0"/>
    </xf>
    <xf borderId="0" fillId="8" fontId="11" numFmtId="0" xfId="0" applyAlignment="1" applyFill="1" applyFont="1">
      <alignment horizontal="center" readingOrder="0" vertical="bottom"/>
    </xf>
    <xf borderId="0" fillId="3" fontId="11" numFmtId="165" xfId="0" applyAlignment="1" applyFont="1" applyNumberFormat="1">
      <alignment vertical="bottom"/>
    </xf>
    <xf borderId="0" fillId="6" fontId="9" numFmtId="49" xfId="0" applyAlignment="1" applyFont="1" applyNumberFormat="1">
      <alignment horizontal="center" readingOrder="0" vertical="bottom"/>
    </xf>
    <xf borderId="0" fillId="9" fontId="11" numFmtId="0" xfId="0" applyAlignment="1" applyFill="1" applyFont="1">
      <alignment horizontal="center" readingOrder="0" vertical="bottom"/>
    </xf>
    <xf borderId="0" fillId="3" fontId="11" numFmtId="165" xfId="0" applyAlignment="1" applyFont="1" applyNumberFormat="1">
      <alignment horizontal="center" readingOrder="0" vertical="bottom"/>
    </xf>
    <xf borderId="0" fillId="3" fontId="12" numFmtId="165" xfId="0" applyAlignment="1" applyFont="1" applyNumberFormat="1">
      <alignment horizontal="center" readingOrder="0" vertical="bottom"/>
    </xf>
    <xf borderId="0" fillId="3" fontId="11" numFmtId="165" xfId="0" applyAlignment="1" applyFont="1" applyNumberFormat="1">
      <alignment horizontal="center" vertical="bottom"/>
    </xf>
    <xf borderId="0" fillId="3" fontId="9" numFmtId="49" xfId="0" applyAlignment="1" applyFont="1" applyNumberFormat="1">
      <alignment horizontal="left"/>
    </xf>
    <xf borderId="0" fillId="6" fontId="10" numFmtId="49" xfId="0" applyAlignment="1" applyFont="1" applyNumberFormat="1">
      <alignment horizontal="left" readingOrder="0" vertical="bottom"/>
    </xf>
    <xf borderId="0" fillId="3" fontId="12" numFmtId="49" xfId="0" applyAlignment="1" applyFont="1" applyNumberFormat="1">
      <alignment horizontal="left"/>
    </xf>
    <xf borderId="0" fillId="3" fontId="12" numFmtId="49" xfId="0" applyAlignment="1" applyFont="1" applyNumberFormat="1">
      <alignment horizontal="left" vertical="bottom"/>
    </xf>
    <xf borderId="0" fillId="3" fontId="12" numFmtId="3" xfId="0" applyAlignment="1" applyFont="1" applyNumberFormat="1">
      <alignment horizontal="center" vertical="bottom"/>
    </xf>
    <xf borderId="0" fillId="3" fontId="12" numFmtId="49" xfId="0" applyAlignment="1" applyFont="1" applyNumberFormat="1">
      <alignment horizontal="left" readingOrder="0" vertical="bottom"/>
    </xf>
    <xf borderId="0" fillId="3" fontId="12" numFmtId="166" xfId="0" applyAlignment="1" applyFont="1" applyNumberFormat="1">
      <alignment horizontal="center" vertical="bottom"/>
    </xf>
    <xf borderId="0" fillId="3" fontId="12" numFmtId="3" xfId="0" applyAlignment="1" applyFont="1" applyNumberFormat="1">
      <alignment horizontal="center" readingOrder="0" vertical="bottom"/>
    </xf>
    <xf borderId="0" fillId="3" fontId="12" numFmtId="0" xfId="0" applyAlignment="1" applyFont="1">
      <alignment horizontal="left" readingOrder="0" vertical="bottom"/>
    </xf>
    <xf borderId="0" fillId="3" fontId="12" numFmtId="0" xfId="0" applyAlignment="1" applyFont="1">
      <alignment horizontal="left" vertical="bottom"/>
    </xf>
    <xf borderId="0" fillId="6" fontId="14" numFmtId="49" xfId="0" applyAlignment="1" applyFont="1" applyNumberFormat="1">
      <alignment horizontal="left" readingOrder="0" vertical="bottom"/>
    </xf>
    <xf borderId="0" fillId="3" fontId="15" numFmtId="3" xfId="0" applyAlignment="1" applyFont="1" applyNumberFormat="1">
      <alignment horizontal="center" readingOrder="0" shrinkToFit="0" vertical="center" wrapText="1"/>
    </xf>
    <xf borderId="0" fillId="3" fontId="12" numFmtId="166" xfId="0" applyAlignment="1" applyFont="1" applyNumberFormat="1">
      <alignment horizontal="center" readingOrder="0" vertical="bottom"/>
    </xf>
    <xf borderId="0" fillId="3" fontId="12" numFmtId="49" xfId="0" applyAlignment="1" applyFont="1" applyNumberFormat="1">
      <alignment horizontal="left" readingOrder="0" shrinkToFit="0" vertical="bottom" wrapText="1"/>
    </xf>
    <xf borderId="0" fillId="10" fontId="12" numFmtId="3" xfId="0" applyAlignment="1" applyFill="1" applyFont="1" applyNumberFormat="1">
      <alignment horizontal="center" readingOrder="0" vertical="bottom"/>
    </xf>
    <xf borderId="0" fillId="3" fontId="12" numFmtId="49" xfId="0" applyAlignment="1" applyFont="1" applyNumberFormat="1">
      <alignment horizontal="center" readingOrder="0" shrinkToFit="0" vertical="bottom" wrapText="1"/>
    </xf>
    <xf borderId="0" fillId="0" fontId="12" numFmtId="3" xfId="0" applyAlignment="1" applyFont="1" applyNumberFormat="1">
      <alignment horizontal="center" readingOrder="0" vertical="bottom"/>
    </xf>
    <xf borderId="0" fillId="11" fontId="12" numFmtId="3" xfId="0" applyAlignment="1" applyFill="1" applyFont="1" applyNumberFormat="1">
      <alignment horizontal="center" readingOrder="0" vertical="bottom"/>
    </xf>
    <xf borderId="0" fillId="3" fontId="12" numFmtId="49" xfId="0" applyAlignment="1" applyFont="1" applyNumberFormat="1">
      <alignment horizontal="left" shrinkToFit="0" vertical="bottom" wrapText="1"/>
    </xf>
    <xf borderId="0" fillId="10" fontId="12" numFmtId="165" xfId="0" applyAlignment="1" applyFont="1" applyNumberFormat="1">
      <alignment horizontal="center" readingOrder="0" vertical="bottom"/>
    </xf>
    <xf borderId="0" fillId="6" fontId="14" numFmtId="0" xfId="0" applyAlignment="1" applyFont="1">
      <alignment horizontal="left" readingOrder="0" shrinkToFit="0" vertical="bottom" wrapText="1"/>
    </xf>
    <xf borderId="0" fillId="6" fontId="9" numFmtId="164" xfId="0" applyAlignment="1" applyFont="1" applyNumberFormat="1">
      <alignment horizontal="left" shrinkToFit="0" vertical="bottom" wrapText="1"/>
    </xf>
    <xf borderId="0" fillId="6" fontId="9" numFmtId="0" xfId="0" applyAlignment="1" applyFont="1">
      <alignment horizontal="left" shrinkToFit="0" vertical="bottom" wrapText="1"/>
    </xf>
    <xf borderId="0" fillId="3" fontId="16" numFmtId="168" xfId="0" applyAlignment="1" applyFont="1" applyNumberFormat="1">
      <alignment readingOrder="0" vertical="bottom"/>
    </xf>
    <xf borderId="0" fillId="0" fontId="11" numFmtId="165" xfId="0" applyAlignment="1" applyFont="1" applyNumberFormat="1">
      <alignment horizontal="right" readingOrder="0" vertical="bottom"/>
    </xf>
    <xf borderId="0" fillId="6" fontId="9" numFmtId="166" xfId="0" applyAlignment="1" applyFont="1" applyNumberFormat="1">
      <alignment horizontal="center" vertical="bottom"/>
    </xf>
    <xf borderId="0" fillId="6" fontId="10" numFmtId="49" xfId="0" applyAlignment="1" applyFont="1" applyNumberFormat="1">
      <alignment horizontal="center" readingOrder="0" vertical="bottom"/>
    </xf>
    <xf borderId="0" fillId="6" fontId="9" numFmtId="0" xfId="0" applyAlignment="1" applyFont="1">
      <alignment horizontal="left" readingOrder="0" shrinkToFit="0" vertical="bottom" wrapText="1"/>
    </xf>
    <xf borderId="0" fillId="6" fontId="9" numFmtId="169" xfId="0" applyAlignment="1" applyFont="1" applyNumberFormat="1">
      <alignment horizontal="left" shrinkToFit="0" vertical="bottom" wrapText="1"/>
    </xf>
    <xf borderId="0" fillId="3" fontId="12" numFmtId="49" xfId="0" applyAlignment="1" applyFont="1" applyNumberFormat="1">
      <alignment horizontal="center" readingOrder="0" vertical="bottom"/>
    </xf>
    <xf borderId="0" fillId="6" fontId="9" numFmtId="166" xfId="0" applyAlignment="1" applyFont="1" applyNumberFormat="1">
      <alignment horizontal="center" readingOrder="0" vertical="bottom"/>
    </xf>
    <xf borderId="0" fillId="3" fontId="16" numFmtId="0" xfId="0" applyAlignment="1" applyFont="1">
      <alignment readingOrder="0" shrinkToFit="0" wrapText="0"/>
    </xf>
    <xf borderId="0" fillId="0" fontId="11" numFmtId="165" xfId="0" applyAlignment="1" applyFont="1" applyNumberFormat="1">
      <alignment horizontal="center" readingOrder="0"/>
    </xf>
    <xf borderId="0" fillId="0" fontId="11" numFmtId="166" xfId="0" applyAlignment="1" applyFont="1" applyNumberFormat="1">
      <alignment horizontal="center" readingOrder="0"/>
    </xf>
    <xf borderId="0" fillId="0" fontId="17" numFmtId="3" xfId="0" applyAlignment="1" applyFont="1" applyNumberFormat="1">
      <alignment horizontal="center" readingOrder="0"/>
    </xf>
    <xf borderId="0" fillId="3" fontId="17" numFmtId="0" xfId="0" applyAlignment="1" applyFont="1">
      <alignment readingOrder="0"/>
    </xf>
    <xf borderId="0" fillId="0" fontId="11" numFmtId="0" xfId="0" applyAlignment="1" applyFont="1">
      <alignment readingOrder="0"/>
    </xf>
    <xf borderId="0" fillId="0" fontId="17" numFmtId="0" xfId="0" applyFont="1"/>
    <xf borderId="0" fillId="0" fontId="17" numFmtId="165" xfId="0" applyAlignment="1" applyFont="1" applyNumberFormat="1">
      <alignment horizontal="center"/>
    </xf>
    <xf borderId="0" fillId="0" fontId="17" numFmtId="3" xfId="0" applyAlignment="1" applyFont="1" applyNumberFormat="1">
      <alignment horizontal="center"/>
    </xf>
    <xf borderId="0" fillId="0" fontId="17" numFmtId="0" xfId="0" applyAlignment="1" applyFont="1">
      <alignment readingOrder="0"/>
    </xf>
    <xf borderId="0" fillId="0" fontId="11" numFmtId="166" xfId="0" applyAlignment="1" applyFont="1" applyNumberFormat="1">
      <alignment horizontal="center"/>
    </xf>
    <xf borderId="0" fillId="0" fontId="11" numFmtId="0" xfId="0" applyAlignment="1" applyFont="1">
      <alignment horizontal="center" readingOrder="0"/>
    </xf>
    <xf borderId="0" fillId="0" fontId="16" numFmtId="0" xfId="0" applyAlignment="1" applyFont="1">
      <alignment readingOrder="0" shrinkToFit="0" wrapText="0"/>
    </xf>
    <xf borderId="0" fillId="10" fontId="17" numFmtId="3" xfId="0" applyAlignment="1" applyFont="1" applyNumberFormat="1">
      <alignment horizontal="center" readingOrder="0"/>
    </xf>
    <xf borderId="0" fillId="6" fontId="9" numFmtId="0" xfId="0" applyAlignment="1" applyFont="1">
      <alignment horizontal="center" readingOrder="0" shrinkToFit="0" vertical="bottom" wrapText="1"/>
    </xf>
    <xf borderId="0" fillId="6" fontId="9" numFmtId="49" xfId="0" applyAlignment="1" applyFont="1" applyNumberFormat="1">
      <alignment horizontal="center" vertical="bottom"/>
    </xf>
    <xf borderId="0" fillId="6" fontId="12" numFmtId="49" xfId="0" applyAlignment="1" applyFont="1" applyNumberFormat="1">
      <alignment horizontal="left" readingOrder="0" vertical="bottom"/>
    </xf>
    <xf borderId="0" fillId="3" fontId="9" numFmtId="165" xfId="0" applyAlignment="1" applyFont="1" applyNumberFormat="1">
      <alignment horizontal="center" readingOrder="0" vertical="bottom"/>
    </xf>
    <xf borderId="0" fillId="0" fontId="11" numFmtId="165" xfId="0" applyAlignment="1" applyFont="1" applyNumberFormat="1">
      <alignment vertical="bottom"/>
    </xf>
    <xf borderId="0" fillId="0" fontId="11" numFmtId="165" xfId="0" applyAlignment="1" applyFont="1" applyNumberFormat="1">
      <alignment readingOrder="0" vertical="bottom"/>
    </xf>
    <xf borderId="0" fillId="10" fontId="9" numFmtId="165" xfId="0" applyAlignment="1" applyFont="1" applyNumberFormat="1">
      <alignment horizontal="center" readingOrder="0" vertical="bottom"/>
    </xf>
    <xf borderId="0" fillId="3" fontId="9" numFmtId="3" xfId="0" applyAlignment="1" applyFont="1" applyNumberFormat="1">
      <alignment horizontal="center" readingOrder="0" vertical="bottom"/>
    </xf>
    <xf borderId="0" fillId="11" fontId="9" numFmtId="3" xfId="0" applyAlignment="1" applyFont="1" applyNumberFormat="1">
      <alignment horizontal="center" readingOrder="0" vertical="bottom"/>
    </xf>
    <xf borderId="0" fillId="11" fontId="9" numFmtId="3" xfId="0" applyAlignment="1" applyFont="1" applyNumberFormat="1">
      <alignment horizontal="center" vertical="bottom"/>
    </xf>
    <xf borderId="0" fillId="6" fontId="12" numFmtId="49" xfId="0" applyAlignment="1" applyFont="1" applyNumberFormat="1">
      <alignment horizontal="left" vertical="bottom"/>
    </xf>
    <xf borderId="0" fillId="6" fontId="9" numFmtId="170" xfId="0" applyAlignment="1" applyFont="1" applyNumberFormat="1">
      <alignment horizontal="center" readingOrder="0" vertical="bottom"/>
    </xf>
    <xf borderId="0" fillId="6" fontId="9" numFmtId="10" xfId="0" applyAlignment="1" applyFont="1" applyNumberFormat="1">
      <alignment horizontal="left" vertical="bottom"/>
    </xf>
    <xf borderId="0" fillId="6" fontId="9" numFmtId="4" xfId="0" applyAlignment="1" applyFont="1" applyNumberFormat="1">
      <alignment horizontal="left" vertical="bottom"/>
    </xf>
    <xf borderId="0" fillId="0" fontId="18" numFmtId="0" xfId="0" applyFont="1"/>
    <xf borderId="0" fillId="0" fontId="17" numFmtId="164" xfId="0" applyAlignment="1" applyFont="1" applyNumberFormat="1">
      <alignment horizontal="right"/>
    </xf>
    <xf borderId="0" fillId="0" fontId="16" numFmtId="0" xfId="0" applyAlignment="1" applyFont="1">
      <alignment shrinkToFit="0" wrapText="0"/>
    </xf>
    <xf borderId="0" fillId="0" fontId="11" numFmtId="165" xfId="0" applyAlignment="1" applyFont="1" applyNumberFormat="1">
      <alignment horizontal="center"/>
    </xf>
    <xf borderId="0" fillId="0" fontId="11" numFmtId="0" xfId="0" applyAlignment="1" applyFont="1">
      <alignment horizontal="center"/>
    </xf>
    <xf borderId="0" fillId="0" fontId="17" numFmtId="0" xfId="0" applyAlignment="1" applyFont="1">
      <alignment horizontal="center"/>
    </xf>
    <xf borderId="0" fillId="0" fontId="17" numFmtId="4" xfId="0" applyFont="1" applyNumberFormat="1"/>
    <xf borderId="0" fillId="0" fontId="17" numFmtId="0" xfId="0" applyAlignment="1" applyFont="1">
      <alignment horizontal="center" readingOrder="0"/>
    </xf>
    <xf borderId="0" fillId="0" fontId="11" numFmtId="1" xfId="0" applyAlignment="1" applyFont="1" applyNumberFormat="1">
      <alignment horizontal="center"/>
    </xf>
    <xf borderId="0" fillId="0" fontId="17" numFmtId="0" xfId="0" applyAlignment="1" applyFont="1">
      <alignment horizontal="center"/>
    </xf>
    <xf borderId="0" fillId="12" fontId="8" numFmtId="0" xfId="0" applyAlignment="1" applyFill="1" applyFont="1">
      <alignment horizontal="center" readingOrder="0"/>
    </xf>
    <xf borderId="0" fillId="13" fontId="8" numFmtId="0" xfId="0" applyAlignment="1" applyFill="1" applyFont="1">
      <alignment horizontal="center" readingOrder="0"/>
    </xf>
    <xf borderId="0" fillId="12" fontId="17" numFmtId="0" xfId="0" applyAlignment="1" applyFont="1">
      <alignment horizontal="center"/>
    </xf>
    <xf borderId="0" fillId="14" fontId="8" numFmtId="0" xfId="0" applyAlignment="1" applyFill="1" applyFont="1">
      <alignment horizontal="center" readingOrder="0"/>
    </xf>
    <xf borderId="0" fillId="0" fontId="17" numFmtId="10" xfId="0" applyAlignment="1" applyFont="1" applyNumberFormat="1">
      <alignment horizontal="center" readingOrder="0"/>
    </xf>
    <xf borderId="0" fillId="0" fontId="17" numFmtId="9" xfId="0" applyAlignment="1" applyFont="1" applyNumberFormat="1">
      <alignment horizontal="center" readingOrder="0"/>
    </xf>
    <xf borderId="0" fillId="0" fontId="17" numFmtId="10" xfId="0" applyAlignment="1" applyFont="1" applyNumberFormat="1">
      <alignment horizontal="center"/>
    </xf>
    <xf borderId="0" fillId="15" fontId="8" numFmtId="0" xfId="0" applyAlignment="1" applyFill="1" applyFont="1">
      <alignment horizontal="center" readingOrder="0"/>
    </xf>
    <xf borderId="0" fillId="0" fontId="17" numFmtId="10" xfId="0" applyFont="1" applyNumberFormat="1"/>
    <xf borderId="0" fillId="16" fontId="8" numFmtId="0" xfId="0" applyAlignment="1" applyFill="1" applyFont="1">
      <alignment horizontal="center" readingOrder="0"/>
    </xf>
    <xf borderId="0" fillId="0" fontId="8" numFmtId="0" xfId="0" applyAlignment="1" applyFont="1">
      <alignment horizontal="center" readingOrder="0"/>
    </xf>
    <xf borderId="0" fillId="13" fontId="8" numFmtId="0" xfId="0" applyAlignment="1" applyFont="1">
      <alignment readingOrder="0"/>
    </xf>
    <xf borderId="0" fillId="3" fontId="13" numFmtId="9" xfId="0" applyFont="1" applyNumberFormat="1"/>
    <xf borderId="0" fillId="0" fontId="19" numFmtId="0" xfId="0" applyAlignment="1" applyFont="1">
      <alignment readingOrder="0"/>
    </xf>
    <xf borderId="0" fillId="3" fontId="20" numFmtId="10" xfId="0" applyFont="1" applyNumberFormat="1"/>
    <xf borderId="0" fillId="3" fontId="13" numFmtId="10" xfId="0" applyFont="1" applyNumberFormat="1"/>
    <xf borderId="0" fillId="0" fontId="17" numFmtId="165" xfId="0" applyAlignment="1" applyFont="1" applyNumberFormat="1">
      <alignment readingOrder="0"/>
    </xf>
    <xf borderId="0" fillId="3" fontId="20" numFmtId="2" xfId="0" applyAlignment="1" applyFont="1" applyNumberFormat="1">
      <alignment readingOrder="0"/>
    </xf>
    <xf borderId="0" fillId="3" fontId="13" numFmtId="0" xfId="0" applyFont="1"/>
    <xf borderId="0" fillId="0" fontId="17" numFmtId="164" xfId="0" applyFont="1" applyNumberFormat="1"/>
    <xf borderId="0" fillId="3" fontId="13" numFmtId="0" xfId="0" applyAlignment="1" applyFont="1">
      <alignment horizontal="left"/>
    </xf>
    <xf borderId="0" fillId="0" fontId="17" numFmtId="171" xfId="0" applyFont="1" applyNumberFormat="1"/>
    <xf borderId="0" fillId="0" fontId="17" numFmtId="166" xfId="0" applyFont="1" applyNumberFormat="1"/>
    <xf borderId="0" fillId="0" fontId="17" numFmtId="3" xfId="0" applyFont="1" applyNumberFormat="1"/>
    <xf borderId="0" fillId="0" fontId="17" numFmtId="2" xfId="0" applyFont="1" applyNumberFormat="1"/>
    <xf borderId="0" fillId="0" fontId="8" numFmtId="0" xfId="0" applyAlignment="1" applyFont="1">
      <alignment readingOrder="0"/>
    </xf>
    <xf borderId="0" fillId="0" fontId="17" numFmtId="165" xfId="0" applyFont="1" applyNumberFormat="1"/>
    <xf borderId="2" fillId="0" fontId="17" numFmtId="0" xfId="0" applyBorder="1" applyFont="1"/>
    <xf borderId="3" fillId="0" fontId="21" numFmtId="0" xfId="0" applyAlignment="1" applyBorder="1" applyFont="1">
      <alignment horizontal="center" readingOrder="0" vertical="center"/>
    </xf>
    <xf borderId="4" fillId="0" fontId="22" numFmtId="0" xfId="0" applyBorder="1" applyFont="1"/>
    <xf borderId="5" fillId="0" fontId="22" numFmtId="0" xfId="0" applyBorder="1" applyFont="1"/>
    <xf borderId="2" fillId="0" fontId="23" numFmtId="0" xfId="0" applyAlignment="1" applyBorder="1" applyFont="1">
      <alignment horizontal="center" readingOrder="0" vertical="center"/>
    </xf>
    <xf borderId="0" fillId="0" fontId="23" numFmtId="0" xfId="0" applyAlignment="1" applyFont="1">
      <alignment horizontal="center" readingOrder="0" vertical="center"/>
    </xf>
    <xf borderId="6" fillId="0" fontId="24" numFmtId="0" xfId="0" applyAlignment="1" applyBorder="1" applyFont="1">
      <alignment horizontal="center" readingOrder="0" vertical="center"/>
    </xf>
    <xf borderId="7" fillId="0" fontId="22" numFmtId="0" xfId="0" applyBorder="1" applyFont="1"/>
    <xf borderId="8" fillId="0" fontId="22" numFmtId="0" xfId="0" applyBorder="1" applyFont="1"/>
    <xf borderId="9" fillId="0" fontId="22" numFmtId="0" xfId="0" applyBorder="1" applyFont="1"/>
    <xf borderId="10" fillId="0" fontId="22" numFmtId="0" xfId="0" applyBorder="1" applyFont="1"/>
    <xf borderId="11" fillId="0" fontId="22" numFmtId="0" xfId="0" applyBorder="1" applyFont="1"/>
    <xf borderId="12" fillId="0" fontId="22" numFmtId="0" xfId="0" applyBorder="1" applyFont="1"/>
    <xf borderId="13" fillId="0" fontId="22" numFmtId="0" xfId="0" applyBorder="1" applyFont="1"/>
    <xf borderId="14" fillId="0" fontId="22" numFmtId="0" xfId="0" applyBorder="1" applyFont="1"/>
    <xf borderId="15" fillId="0" fontId="17" numFmtId="0" xfId="0" applyBorder="1" applyFont="1"/>
    <xf borderId="16" fillId="0" fontId="25" numFmtId="0" xfId="0" applyAlignment="1" applyBorder="1" applyFont="1">
      <alignment horizontal="center" readingOrder="0" vertical="center"/>
    </xf>
    <xf borderId="17" fillId="0" fontId="22" numFmtId="0" xfId="0" applyBorder="1" applyFont="1"/>
    <xf borderId="18" fillId="0" fontId="22" numFmtId="0" xfId="0" applyBorder="1" applyFont="1"/>
    <xf borderId="19" fillId="0" fontId="22" numFmtId="0" xfId="0" applyBorder="1" applyFont="1"/>
    <xf borderId="20" fillId="0" fontId="22" numFmtId="0" xfId="0" applyBorder="1" applyFont="1"/>
    <xf borderId="21" fillId="0" fontId="22" numFmtId="0" xfId="0" applyBorder="1" applyFont="1"/>
    <xf borderId="15" fillId="0" fontId="17" numFmtId="0" xfId="0" applyAlignment="1" applyBorder="1" applyFont="1">
      <alignment readingOrder="0"/>
    </xf>
    <xf borderId="22" fillId="0" fontId="17" numFmtId="0" xfId="0" applyBorder="1" applyFont="1"/>
    <xf borderId="0" fillId="0" fontId="1" numFmtId="0" xfId="0" applyAlignment="1" applyFont="1">
      <alignment vertical="bottom"/>
    </xf>
    <xf borderId="23" fillId="0" fontId="1" numFmtId="0" xfId="0" applyAlignment="1" applyBorder="1" applyFont="1">
      <alignment vertical="bottom"/>
    </xf>
    <xf borderId="23" fillId="0" fontId="1" numFmtId="10" xfId="0" applyAlignment="1" applyBorder="1" applyFont="1" applyNumberFormat="1">
      <alignment vertical="bottom"/>
    </xf>
    <xf borderId="23" fillId="0" fontId="1" numFmtId="49" xfId="0" applyAlignment="1" applyBorder="1" applyFont="1" applyNumberFormat="1">
      <alignment horizontal="center" vertical="bottom"/>
    </xf>
    <xf borderId="23" fillId="0" fontId="1" numFmtId="10" xfId="0" applyAlignment="1" applyBorder="1" applyFont="1" applyNumberFormat="1">
      <alignment horizontal="center" vertical="bottom"/>
    </xf>
    <xf borderId="24" fillId="0" fontId="1" numFmtId="0" xfId="0" applyAlignment="1" applyBorder="1" applyFont="1">
      <alignment vertical="bottom"/>
    </xf>
    <xf borderId="0" fillId="0" fontId="26" numFmtId="0" xfId="0" applyAlignment="1" applyFont="1">
      <alignment horizontal="center"/>
    </xf>
    <xf borderId="24" fillId="0" fontId="22" numFmtId="0" xfId="0" applyBorder="1" applyFont="1"/>
    <xf borderId="0" fillId="0" fontId="27" numFmtId="0" xfId="0" applyAlignment="1" applyFont="1">
      <alignment horizontal="center" readingOrder="0"/>
    </xf>
    <xf borderId="0" fillId="0" fontId="28" numFmtId="0" xfId="0" applyAlignment="1" applyFont="1">
      <alignment horizontal="center" readingOrder="0"/>
    </xf>
    <xf borderId="0" fillId="0" fontId="29" numFmtId="0" xfId="0" applyAlignment="1" applyFont="1">
      <alignment horizontal="center" readingOrder="0"/>
    </xf>
    <xf borderId="23" fillId="0" fontId="22" numFmtId="0" xfId="0" applyBorder="1" applyFont="1"/>
    <xf borderId="25" fillId="0" fontId="22" numFmtId="0" xfId="0" applyBorder="1" applyFont="1"/>
    <xf borderId="0" fillId="0" fontId="1" numFmtId="10" xfId="0" applyAlignment="1" applyFont="1" applyNumberFormat="1">
      <alignment horizontal="center" vertical="bottom"/>
    </xf>
    <xf borderId="0" fillId="0" fontId="1" numFmtId="49" xfId="0" applyAlignment="1" applyFont="1" applyNumberFormat="1">
      <alignment horizontal="center" vertical="bottom"/>
    </xf>
    <xf borderId="25" fillId="0" fontId="30" numFmtId="0" xfId="0" applyAlignment="1" applyBorder="1" applyFont="1">
      <alignment horizontal="center" readingOrder="0" shrinkToFit="0" vertical="center" wrapText="1"/>
    </xf>
    <xf borderId="23" fillId="0" fontId="30" numFmtId="0" xfId="0" applyAlignment="1" applyBorder="1" applyFont="1">
      <alignment horizontal="center" readingOrder="0" shrinkToFit="0" vertical="center" wrapText="1"/>
    </xf>
    <xf borderId="23" fillId="0" fontId="30" numFmtId="10" xfId="0" applyAlignment="1" applyBorder="1" applyFont="1" applyNumberFormat="1">
      <alignment horizontal="center" readingOrder="0" shrinkToFit="0" vertical="center" wrapText="1"/>
    </xf>
    <xf borderId="23" fillId="0" fontId="31" numFmtId="49" xfId="0" applyAlignment="1" applyBorder="1" applyFont="1" applyNumberFormat="1">
      <alignment horizontal="center" readingOrder="0" shrinkToFit="0" vertical="center" wrapText="1"/>
    </xf>
    <xf borderId="23" fillId="0" fontId="31" numFmtId="0" xfId="0" applyAlignment="1" applyBorder="1" applyFont="1">
      <alignment horizontal="center" readingOrder="0" shrinkToFit="0" vertical="center" wrapText="1"/>
    </xf>
    <xf borderId="26" fillId="0" fontId="30" numFmtId="0" xfId="0" applyAlignment="1" applyBorder="1" applyFont="1">
      <alignment horizontal="center" readingOrder="0" shrinkToFit="0" vertical="center" wrapText="1"/>
    </xf>
    <xf borderId="25" fillId="0" fontId="31" numFmtId="0" xfId="0" applyAlignment="1" applyBorder="1" applyFont="1">
      <alignment horizontal="center" readingOrder="0" shrinkToFit="0" vertical="center" wrapText="1"/>
    </xf>
    <xf borderId="27" fillId="0" fontId="30" numFmtId="0" xfId="0" applyAlignment="1" applyBorder="1" applyFont="1">
      <alignment horizontal="center" readingOrder="0" shrinkToFit="0" vertical="center" wrapText="1"/>
    </xf>
    <xf borderId="0" fillId="0" fontId="30" numFmtId="0" xfId="0" applyAlignment="1" applyFont="1">
      <alignment horizontal="center" readingOrder="0" shrinkToFit="0" vertical="center" wrapText="1"/>
    </xf>
    <xf borderId="24" fillId="3" fontId="16" numFmtId="0" xfId="0" applyAlignment="1" applyBorder="1" applyFont="1">
      <alignment horizontal="left" readingOrder="0"/>
    </xf>
    <xf borderId="0" fillId="0" fontId="11" numFmtId="0" xfId="0" applyAlignment="1" applyFont="1">
      <alignment horizontal="center" vertical="bottom"/>
    </xf>
    <xf borderId="0" fillId="0" fontId="11" numFmtId="3" xfId="0" applyAlignment="1" applyFont="1" applyNumberFormat="1">
      <alignment horizontal="center" vertical="bottom"/>
    </xf>
    <xf borderId="0" fillId="0" fontId="11" numFmtId="49" xfId="0" applyAlignment="1" applyFont="1" applyNumberFormat="1">
      <alignment horizontal="center" vertical="bottom"/>
    </xf>
    <xf borderId="0" fillId="0" fontId="11" numFmtId="10" xfId="0" applyAlignment="1" applyFont="1" applyNumberFormat="1">
      <alignment horizontal="center" vertical="bottom"/>
    </xf>
    <xf borderId="0" fillId="0" fontId="11" numFmtId="164" xfId="0" applyAlignment="1" applyFont="1" applyNumberFormat="1">
      <alignment horizontal="center" vertical="bottom"/>
    </xf>
    <xf borderId="0" fillId="3" fontId="32" numFmtId="164" xfId="0" applyAlignment="1" applyFont="1" applyNumberFormat="1">
      <alignment horizontal="center" vertical="center"/>
    </xf>
    <xf borderId="24" fillId="0" fontId="11" numFmtId="10" xfId="0" applyAlignment="1" applyBorder="1" applyFont="1" applyNumberFormat="1">
      <alignment horizontal="center"/>
    </xf>
    <xf borderId="24" fillId="3" fontId="16" numFmtId="49" xfId="0" applyAlignment="1" applyBorder="1" applyFont="1" applyNumberFormat="1">
      <alignment horizontal="left" readingOrder="0"/>
    </xf>
    <xf borderId="27" fillId="0" fontId="11" numFmtId="10" xfId="0" applyAlignment="1" applyBorder="1" applyFont="1" applyNumberFormat="1">
      <alignment horizontal="center" vertical="bottom"/>
    </xf>
    <xf borderId="0" fillId="0" fontId="11" numFmtId="164" xfId="0" applyAlignment="1" applyFont="1" applyNumberFormat="1">
      <alignment horizontal="center"/>
    </xf>
    <xf borderId="24" fillId="0" fontId="11" numFmtId="0" xfId="0" applyAlignment="1" applyBorder="1" applyFont="1">
      <alignment vertical="bottom"/>
    </xf>
    <xf borderId="24" fillId="3" fontId="32" numFmtId="10" xfId="0" applyAlignment="1" applyBorder="1" applyFont="1" applyNumberFormat="1">
      <alignment horizontal="center"/>
    </xf>
    <xf borderId="24" fillId="3" fontId="12" numFmtId="49" xfId="0" applyAlignment="1" applyBorder="1" applyFont="1" applyNumberFormat="1">
      <alignment horizontal="left" readingOrder="0" vertical="bottom"/>
    </xf>
    <xf borderId="25" fillId="0" fontId="11" numFmtId="0" xfId="0" applyAlignment="1" applyBorder="1" applyFont="1">
      <alignment vertical="bottom"/>
    </xf>
    <xf borderId="23" fillId="0" fontId="11" numFmtId="0" xfId="0" applyAlignment="1" applyBorder="1" applyFont="1">
      <alignment horizontal="center" vertical="bottom"/>
    </xf>
    <xf borderId="23" fillId="0" fontId="11" numFmtId="3" xfId="0" applyAlignment="1" applyBorder="1" applyFont="1" applyNumberFormat="1">
      <alignment horizontal="center" vertical="bottom"/>
    </xf>
    <xf borderId="23" fillId="0" fontId="11" numFmtId="49" xfId="0" applyAlignment="1" applyBorder="1" applyFont="1" applyNumberFormat="1">
      <alignment horizontal="center" vertical="bottom"/>
    </xf>
    <xf borderId="23" fillId="0" fontId="11" numFmtId="10" xfId="0" applyAlignment="1" applyBorder="1" applyFont="1" applyNumberFormat="1">
      <alignment horizontal="center" vertical="bottom"/>
    </xf>
    <xf borderId="23" fillId="0" fontId="11" numFmtId="164" xfId="0" applyAlignment="1" applyBorder="1" applyFont="1" applyNumberFormat="1">
      <alignment horizontal="center" vertical="bottom"/>
    </xf>
    <xf borderId="23" fillId="0" fontId="11" numFmtId="164" xfId="0" applyAlignment="1" applyBorder="1" applyFont="1" applyNumberFormat="1">
      <alignment horizontal="center"/>
    </xf>
    <xf borderId="25" fillId="0" fontId="11" numFmtId="10" xfId="0" applyAlignment="1" applyBorder="1" applyFont="1" applyNumberFormat="1">
      <alignment horizontal="center"/>
    </xf>
    <xf borderId="25" fillId="3" fontId="32" numFmtId="10" xfId="0" applyAlignment="1" applyBorder="1" applyFont="1" applyNumberFormat="1">
      <alignment horizontal="center"/>
    </xf>
    <xf borderId="0" fillId="3" fontId="33" numFmtId="49" xfId="0" applyAlignment="1" applyFont="1" applyNumberFormat="1">
      <alignment horizontal="left" readingOrder="0"/>
    </xf>
    <xf borderId="27" fillId="0" fontId="11" numFmtId="0" xfId="0" applyAlignment="1" applyBorder="1" applyFont="1">
      <alignment vertical="bottom"/>
    </xf>
    <xf borderId="27" fillId="0" fontId="11" numFmtId="0" xfId="0" applyAlignment="1" applyBorder="1" applyFont="1">
      <alignment horizontal="center" vertical="bottom"/>
    </xf>
    <xf borderId="27" fillId="0" fontId="11" numFmtId="49" xfId="0" applyAlignment="1" applyBorder="1" applyFont="1" applyNumberFormat="1">
      <alignment horizontal="center" vertical="bottom"/>
    </xf>
    <xf borderId="0" fillId="3" fontId="34" numFmtId="49" xfId="0" applyAlignment="1" applyFont="1" applyNumberFormat="1">
      <alignment horizontal="left" readingOrder="0" vertical="bottom"/>
    </xf>
    <xf borderId="0" fillId="0" fontId="11" numFmtId="0" xfId="0" applyAlignment="1" applyFont="1">
      <alignment vertical="bottom"/>
    </xf>
    <xf borderId="0" fillId="0" fontId="17" numFmtId="0" xfId="0" applyAlignment="1" applyFont="1">
      <alignment vertical="bottom"/>
    </xf>
    <xf borderId="0" fillId="3" fontId="16" numFmtId="0" xfId="0" applyAlignment="1" applyFont="1">
      <alignment horizontal="left" readingOrder="0"/>
    </xf>
    <xf borderId="24" fillId="0" fontId="11" numFmtId="0" xfId="0" applyAlignment="1" applyBorder="1" applyFont="1">
      <alignment readingOrder="0" vertical="bottom"/>
    </xf>
    <xf borderId="23" fillId="3" fontId="32" numFmtId="164" xfId="0" applyAlignment="1" applyBorder="1" applyFont="1" applyNumberFormat="1">
      <alignment horizontal="center" vertical="center"/>
    </xf>
    <xf borderId="0" fillId="0" fontId="11" numFmtId="0" xfId="0" applyAlignment="1" applyFont="1">
      <alignment readingOrder="0" vertical="bottom"/>
    </xf>
    <xf borderId="0" fillId="0" fontId="11" numFmtId="0" xfId="0" applyAlignment="1" applyFont="1">
      <alignment horizontal="center" readingOrder="0" vertical="bottom"/>
    </xf>
    <xf borderId="28" fillId="0" fontId="11" numFmtId="0" xfId="0" applyAlignment="1" applyBorder="1" applyFont="1">
      <alignment vertical="bottom"/>
    </xf>
    <xf borderId="29" fillId="0" fontId="11" numFmtId="0" xfId="0" applyAlignment="1" applyBorder="1" applyFont="1">
      <alignment vertical="bottom"/>
    </xf>
    <xf borderId="0" fillId="0" fontId="17" numFmtId="49" xfId="0" applyAlignment="1" applyFont="1" applyNumberFormat="1">
      <alignment horizontal="center"/>
    </xf>
    <xf borderId="0" fillId="12" fontId="8" numFmtId="0" xfId="0" applyAlignment="1" applyFont="1">
      <alignment horizontal="center" readingOrder="0" vertical="center"/>
    </xf>
    <xf borderId="0" fillId="12" fontId="8" numFmtId="0" xfId="0" applyAlignment="1" applyFont="1">
      <alignment horizontal="center" readingOrder="0" shrinkToFit="0" vertical="center" wrapText="1"/>
    </xf>
    <xf borderId="0" fillId="12" fontId="8" numFmtId="164" xfId="0" applyAlignment="1" applyFont="1" applyNumberFormat="1">
      <alignment horizontal="center" readingOrder="0" vertical="center"/>
    </xf>
    <xf borderId="0" fillId="0" fontId="18" numFmtId="0" xfId="0" applyAlignment="1" applyFont="1">
      <alignment horizontal="center" vertical="center"/>
    </xf>
    <xf borderId="0" fillId="0" fontId="17" numFmtId="0" xfId="0" applyAlignment="1" applyFont="1">
      <alignment horizontal="center" readingOrder="0" vertical="center"/>
    </xf>
    <xf borderId="0" fillId="0" fontId="17" numFmtId="0" xfId="0" applyAlignment="1" applyFont="1">
      <alignment horizontal="center" readingOrder="0" shrinkToFit="0" vertical="center" wrapText="1"/>
    </xf>
    <xf borderId="0" fillId="0" fontId="17" numFmtId="164" xfId="0" applyAlignment="1" applyFont="1" applyNumberFormat="1">
      <alignment horizontal="center" readingOrder="0" vertical="center"/>
    </xf>
    <xf borderId="0" fillId="0" fontId="17" numFmtId="10" xfId="0" applyAlignment="1" applyFont="1" applyNumberFormat="1">
      <alignment horizontal="center" readingOrder="0" vertical="center"/>
    </xf>
    <xf borderId="0" fillId="17" fontId="17" numFmtId="164" xfId="0" applyAlignment="1" applyFill="1" applyFont="1" applyNumberFormat="1">
      <alignment horizontal="center" vertical="center"/>
    </xf>
    <xf borderId="0" fillId="0" fontId="17" numFmtId="0" xfId="0" applyAlignment="1" applyFont="1">
      <alignment horizontal="center" vertical="center"/>
    </xf>
    <xf borderId="0" fillId="0" fontId="17" numFmtId="10" xfId="0" applyAlignment="1" applyFont="1" applyNumberFormat="1">
      <alignment horizontal="center" vertical="center"/>
    </xf>
    <xf borderId="0" fillId="0" fontId="17" numFmtId="0" xfId="0" applyAlignment="1" applyFont="1">
      <alignment horizontal="center" shrinkToFit="0" vertical="center" wrapText="1"/>
    </xf>
    <xf borderId="0" fillId="0" fontId="17" numFmtId="164" xfId="0" applyAlignment="1" applyFont="1" applyNumberFormat="1">
      <alignment horizontal="center" vertical="center"/>
    </xf>
    <xf borderId="0" fillId="17" fontId="17" numFmtId="0" xfId="0" applyAlignment="1" applyFont="1">
      <alignment horizontal="right" vertical="center"/>
    </xf>
    <xf borderId="0" fillId="18" fontId="35" numFmtId="0" xfId="0" applyAlignment="1" applyFill="1" applyFont="1">
      <alignment readingOrder="0" vertical="center"/>
    </xf>
    <xf borderId="0" fillId="18" fontId="36" numFmtId="0" xfId="0" applyAlignment="1" applyFont="1">
      <alignment readingOrder="0" vertical="center"/>
    </xf>
    <xf borderId="0" fillId="19" fontId="17" numFmtId="0" xfId="0" applyFill="1" applyFont="1"/>
    <xf borderId="0" fillId="19" fontId="37" numFmtId="0" xfId="0" applyAlignment="1" applyFont="1">
      <alignment horizontal="center" readingOrder="0"/>
    </xf>
    <xf borderId="0" fillId="20" fontId="38" numFmtId="0" xfId="0" applyAlignment="1" applyFill="1" applyFont="1">
      <alignment horizontal="center" readingOrder="0"/>
    </xf>
    <xf borderId="0" fillId="21" fontId="38" numFmtId="0" xfId="0" applyAlignment="1" applyFill="1" applyFont="1">
      <alignment horizontal="center" readingOrder="0"/>
    </xf>
    <xf borderId="0" fillId="22" fontId="38" numFmtId="0" xfId="0" applyAlignment="1" applyFill="1" applyFont="1">
      <alignment horizontal="center" readingOrder="0"/>
    </xf>
    <xf borderId="30" fillId="2" fontId="38" numFmtId="0" xfId="0" applyAlignment="1" applyBorder="1" applyFont="1">
      <alignment horizontal="center" readingOrder="0"/>
    </xf>
    <xf borderId="31" fillId="0" fontId="22" numFmtId="0" xfId="0" applyBorder="1" applyFont="1"/>
    <xf borderId="32" fillId="18" fontId="38" numFmtId="0" xfId="0" applyAlignment="1" applyBorder="1" applyFont="1">
      <alignment horizontal="center" readingOrder="0"/>
    </xf>
    <xf borderId="33" fillId="0" fontId="22" numFmtId="0" xfId="0" applyBorder="1" applyFont="1"/>
    <xf borderId="0" fillId="23" fontId="38" numFmtId="0" xfId="0" applyAlignment="1" applyFill="1" applyFont="1">
      <alignment horizontal="center" readingOrder="0"/>
    </xf>
    <xf borderId="0" fillId="18" fontId="38" numFmtId="0" xfId="0" applyAlignment="1" applyFont="1">
      <alignment horizontal="center" readingOrder="0"/>
    </xf>
    <xf borderId="34" fillId="23" fontId="38" numFmtId="0" xfId="0" applyAlignment="1" applyBorder="1" applyFont="1">
      <alignment horizontal="center" readingOrder="0"/>
    </xf>
    <xf borderId="34" fillId="18" fontId="38" numFmtId="0" xfId="0" applyAlignment="1" applyBorder="1" applyFont="1">
      <alignment horizontal="center" readingOrder="0"/>
    </xf>
    <xf borderId="32" fillId="23" fontId="38" numFmtId="0" xfId="0" applyAlignment="1" applyBorder="1" applyFont="1">
      <alignment horizontal="center" readingOrder="0"/>
    </xf>
    <xf borderId="35" fillId="18" fontId="38" numFmtId="0" xfId="0" applyAlignment="1" applyBorder="1" applyFont="1">
      <alignment horizontal="center" readingOrder="0"/>
    </xf>
    <xf borderId="0" fillId="24" fontId="38" numFmtId="0" xfId="0" applyAlignment="1" applyFill="1" applyFont="1">
      <alignment horizontal="center" readingOrder="0"/>
    </xf>
    <xf borderId="34" fillId="24" fontId="38" numFmtId="0" xfId="0" applyAlignment="1" applyBorder="1" applyFont="1">
      <alignment horizontal="center" readingOrder="0"/>
    </xf>
    <xf borderId="35" fillId="24" fontId="38" numFmtId="0" xfId="0" applyAlignment="1" applyBorder="1" applyFont="1">
      <alignment horizontal="center" readingOrder="0"/>
    </xf>
    <xf borderId="0" fillId="25" fontId="38" numFmtId="0" xfId="0" applyAlignment="1" applyFill="1" applyFont="1">
      <alignment horizontal="center" readingOrder="0"/>
    </xf>
    <xf borderId="34" fillId="25" fontId="38" numFmtId="0" xfId="0" applyAlignment="1" applyBorder="1" applyFont="1">
      <alignment horizontal="center" readingOrder="0"/>
    </xf>
    <xf borderId="35" fillId="25" fontId="38" numFmtId="0" xfId="0" applyAlignment="1" applyBorder="1" applyFont="1">
      <alignment horizontal="center" readingOrder="0"/>
    </xf>
    <xf borderId="0" fillId="19" fontId="39" numFmtId="0" xfId="0" applyAlignment="1" applyFont="1">
      <alignment readingOrder="0"/>
    </xf>
    <xf borderId="0" fillId="3" fontId="40" numFmtId="0" xfId="0" applyAlignment="1" applyFont="1">
      <alignment horizontal="center" readingOrder="0"/>
    </xf>
    <xf borderId="0" fillId="19" fontId="39" numFmtId="0" xfId="0" applyFont="1"/>
    <xf borderId="34" fillId="3" fontId="40" numFmtId="0" xfId="0" applyAlignment="1" applyBorder="1" applyFont="1">
      <alignment horizontal="center" readingOrder="0"/>
    </xf>
    <xf borderId="35" fillId="3" fontId="40" numFmtId="0" xfId="0" applyAlignment="1" applyBorder="1" applyFont="1">
      <alignment horizontal="center" readingOrder="0"/>
    </xf>
    <xf borderId="36" fillId="3" fontId="41" numFmtId="0" xfId="0" applyAlignment="1" applyBorder="1" applyFont="1">
      <alignment horizontal="center" readingOrder="0" shrinkToFit="0" vertical="center" wrapText="1"/>
    </xf>
    <xf borderId="36" fillId="3" fontId="41" numFmtId="0" xfId="0" applyAlignment="1" applyBorder="1" applyFont="1">
      <alignment horizontal="center" shrinkToFit="0" vertical="center" wrapText="1"/>
    </xf>
    <xf borderId="37" fillId="0" fontId="41" numFmtId="0" xfId="0" applyAlignment="1" applyBorder="1" applyFont="1">
      <alignment horizontal="center" readingOrder="0"/>
    </xf>
    <xf borderId="26" fillId="0" fontId="22" numFmtId="0" xfId="0" applyBorder="1" applyFont="1"/>
    <xf borderId="38" fillId="0" fontId="22" numFmtId="0" xfId="0" applyBorder="1" applyFont="1"/>
    <xf borderId="0" fillId="0" fontId="41" numFmtId="0" xfId="0" applyAlignment="1" applyFont="1">
      <alignment horizontal="center" readingOrder="0"/>
    </xf>
    <xf borderId="29" fillId="0" fontId="22" numFmtId="0" xfId="0" applyBorder="1" applyFont="1"/>
    <xf borderId="39" fillId="0" fontId="41" numFmtId="165" xfId="0" applyAlignment="1" applyBorder="1" applyFont="1" applyNumberFormat="1">
      <alignment horizontal="center" readingOrder="0"/>
    </xf>
    <xf borderId="0" fillId="0" fontId="41" numFmtId="0" xfId="0" applyAlignment="1" applyFont="1">
      <alignment horizontal="center"/>
    </xf>
    <xf borderId="0" fillId="0" fontId="11" numFmtId="0" xfId="0" applyAlignment="1" applyFont="1">
      <alignment horizontal="center"/>
    </xf>
    <xf borderId="0" fillId="3" fontId="13" numFmtId="0" xfId="0" applyAlignment="1" applyFont="1">
      <alignment horizontal="center"/>
    </xf>
    <xf borderId="0" fillId="0" fontId="18" numFmtId="0" xfId="0" applyAlignment="1" applyFont="1">
      <alignment horizontal="center"/>
    </xf>
    <xf borderId="0" fillId="3" fontId="13" numFmtId="9" xfId="0" applyAlignment="1" applyFont="1" applyNumberFormat="1">
      <alignment horizontal="center"/>
    </xf>
    <xf borderId="0" fillId="0" fontId="17" numFmtId="2" xfId="0" applyAlignment="1" applyFont="1" applyNumberFormat="1">
      <alignment horizontal="center"/>
    </xf>
    <xf borderId="0" fillId="0" fontId="17" numFmtId="2" xfId="0" applyAlignment="1" applyFont="1" applyNumberFormat="1">
      <alignment horizontal="center" readingOrder="0"/>
    </xf>
    <xf borderId="0" fillId="0" fontId="18" numFmtId="0" xfId="0" applyAlignment="1" applyFont="1">
      <alignment readingOrder="0"/>
    </xf>
    <xf borderId="0" fillId="0" fontId="17" numFmtId="0" xfId="0" applyAlignment="1" applyFont="1">
      <alignment shrinkToFit="0" wrapText="1"/>
    </xf>
    <xf borderId="0" fillId="0" fontId="17" numFmtId="0" xfId="0" applyAlignment="1" applyFont="1">
      <alignment readingOrder="0" shrinkToFit="0" wrapText="1"/>
    </xf>
    <xf borderId="0" fillId="0" fontId="17" numFmtId="0" xfId="0" applyAlignment="1" applyFont="1">
      <alignment shrinkToFit="0" wrapText="1"/>
    </xf>
    <xf borderId="0" fillId="0" fontId="17" numFmtId="172" xfId="0" applyAlignment="1" applyFont="1" applyNumberFormat="1">
      <alignment readingOrder="0" shrinkToFit="0" wrapText="1"/>
    </xf>
    <xf borderId="0" fillId="0" fontId="17" numFmtId="0" xfId="0" applyAlignment="1" applyFont="1">
      <alignment readingOrder="0" shrinkToFit="0" wrapText="1"/>
    </xf>
    <xf borderId="0" fillId="0" fontId="17" numFmtId="0" xfId="0" applyAlignment="1" applyFont="1">
      <alignment readingOrder="0" shrinkToFit="0" wrapText="1"/>
    </xf>
    <xf borderId="0" fillId="0" fontId="17" numFmtId="172" xfId="0" applyAlignment="1" applyFont="1" applyNumberFormat="1">
      <alignment readingOrder="0"/>
    </xf>
    <xf borderId="0" fillId="0" fontId="17" numFmtId="0" xfId="0" applyFont="1"/>
    <xf borderId="0" fillId="0" fontId="18" numFmtId="0" xfId="0" applyAlignment="1" applyFont="1">
      <alignment horizontal="center" shrinkToFit="0" wrapText="0"/>
    </xf>
    <xf borderId="0" fillId="0" fontId="17" numFmtId="0" xfId="0" applyAlignment="1" applyFont="1">
      <alignment horizontal="center" shrinkToFit="0" wrapText="0"/>
    </xf>
    <xf borderId="0" fillId="0" fontId="18" numFmtId="0" xfId="0" applyAlignment="1" applyFont="1">
      <alignment horizontal="center" readingOrder="0" shrinkToFit="0" wrapText="0"/>
    </xf>
    <xf borderId="0" fillId="0" fontId="18" numFmtId="0" xfId="0" applyAlignment="1" applyFont="1">
      <alignment horizontal="center" shrinkToFit="0" wrapText="0"/>
    </xf>
    <xf borderId="0" fillId="0" fontId="17" numFmtId="14" xfId="0" applyAlignment="1" applyFont="1" applyNumberFormat="1">
      <alignment readingOrder="0"/>
    </xf>
    <xf borderId="0" fillId="0" fontId="17" numFmtId="2" xfId="0" applyAlignment="1" applyFont="1" applyNumberFormat="1">
      <alignment readingOrder="0"/>
    </xf>
    <xf borderId="0" fillId="0" fontId="17" numFmtId="173" xfId="0" applyFont="1" applyNumberFormat="1"/>
    <xf borderId="0" fillId="0" fontId="17" numFmtId="1" xfId="0" applyFont="1" applyNumberFormat="1"/>
    <xf borderId="0" fillId="0" fontId="17" numFmtId="172" xfId="0" applyAlignment="1" applyFont="1" applyNumberFormat="1">
      <alignment readingOrder="0" shrinkToFit="0" wrapText="0"/>
    </xf>
    <xf borderId="0" fillId="0" fontId="17" numFmtId="0" xfId="0" applyAlignment="1" applyFont="1">
      <alignment readingOrder="0" shrinkToFit="0" wrapText="0"/>
    </xf>
    <xf borderId="0" fillId="0" fontId="17" numFmtId="0" xfId="0" applyAlignment="1" applyFont="1">
      <alignment shrinkToFit="0" wrapText="0"/>
    </xf>
    <xf borderId="0" fillId="0" fontId="17" numFmtId="14" xfId="0" applyAlignment="1" applyFont="1" applyNumberFormat="1">
      <alignment readingOrder="0" shrinkToFit="0" wrapText="0"/>
    </xf>
    <xf borderId="0" fillId="0" fontId="17" numFmtId="2" xfId="0" applyAlignment="1" applyFont="1" applyNumberFormat="1">
      <alignment readingOrder="0" shrinkToFit="0" wrapText="0"/>
    </xf>
    <xf borderId="0" fillId="0" fontId="11" numFmtId="0" xfId="0" applyAlignment="1" applyFont="1">
      <alignment horizontal="center" readingOrder="0" vertical="center"/>
    </xf>
    <xf borderId="27" fillId="0" fontId="11" numFmtId="0" xfId="0" applyAlignment="1" applyBorder="1" applyFont="1">
      <alignment horizontal="center" readingOrder="0" vertical="center"/>
    </xf>
    <xf borderId="37" fillId="3" fontId="42" numFmtId="0" xfId="0" applyAlignment="1" applyBorder="1" applyFont="1">
      <alignment readingOrder="0"/>
    </xf>
    <xf borderId="39" fillId="0" fontId="18" numFmtId="0" xfId="0" applyAlignment="1" applyBorder="1" applyFont="1">
      <alignment horizontal="center" vertical="center"/>
    </xf>
    <xf borderId="26" fillId="0" fontId="18" numFmtId="0" xfId="0" applyAlignment="1" applyBorder="1" applyFont="1">
      <alignment horizontal="center" readingOrder="0" vertical="center"/>
    </xf>
    <xf borderId="38" fillId="0" fontId="18" numFmtId="0" xfId="0" applyAlignment="1" applyBorder="1" applyFont="1">
      <alignment horizontal="center" readingOrder="0" vertical="center"/>
    </xf>
    <xf borderId="0" fillId="0" fontId="18" numFmtId="0" xfId="0" applyAlignment="1" applyFont="1">
      <alignment horizontal="center" readingOrder="0" vertical="center"/>
    </xf>
    <xf borderId="28" fillId="26" fontId="18" numFmtId="0" xfId="0" applyAlignment="1" applyBorder="1" applyFill="1" applyFont="1">
      <alignment horizontal="center" readingOrder="0" shrinkToFit="0" vertical="center" wrapText="1"/>
    </xf>
    <xf borderId="0" fillId="3" fontId="33" numFmtId="0" xfId="0" applyAlignment="1" applyFont="1">
      <alignment horizontal="left" readingOrder="0"/>
    </xf>
    <xf borderId="24" fillId="0" fontId="17" numFmtId="0" xfId="0" applyAlignment="1" applyBorder="1" applyFont="1">
      <alignment readingOrder="0"/>
    </xf>
    <xf borderId="28" fillId="0" fontId="22" numFmtId="0" xfId="0" applyBorder="1" applyFont="1"/>
    <xf borderId="0" fillId="0" fontId="17" numFmtId="0" xfId="0" applyAlignment="1" applyFont="1">
      <alignment readingOrder="0" vertical="bottom"/>
    </xf>
    <xf borderId="28" fillId="27" fontId="18" numFmtId="0" xfId="0" applyAlignment="1" applyBorder="1" applyFill="1" applyFont="1">
      <alignment horizontal="center" readingOrder="0" shrinkToFit="0" vertical="center" wrapText="1"/>
    </xf>
    <xf borderId="28" fillId="28" fontId="18" numFmtId="0" xfId="0" applyAlignment="1" applyBorder="1" applyFill="1" applyFont="1">
      <alignment horizontal="center" readingOrder="0" shrinkToFit="0" vertical="center" wrapText="1"/>
    </xf>
    <xf borderId="28" fillId="10" fontId="18" numFmtId="0" xfId="0" applyAlignment="1" applyBorder="1" applyFont="1">
      <alignment horizontal="center" readingOrder="0" shrinkToFit="0" vertical="center" wrapText="1"/>
    </xf>
    <xf borderId="23" fillId="0" fontId="17" numFmtId="0" xfId="0" applyAlignment="1" applyBorder="1" applyFont="1">
      <alignment vertical="bottom"/>
    </xf>
    <xf borderId="25" fillId="0" fontId="17" numFmtId="0" xfId="0" applyAlignment="1" applyBorder="1" applyFont="1">
      <alignment readingOrder="0"/>
    </xf>
    <xf borderId="0" fillId="0" fontId="17" numFmtId="49" xfId="0" applyFont="1" applyNumberFormat="1"/>
    <xf borderId="0" fillId="2" fontId="43" numFmtId="0" xfId="0" applyAlignment="1" applyFont="1">
      <alignment horizontal="center" readingOrder="0" shrinkToFit="0" vertical="center" wrapText="1"/>
    </xf>
    <xf borderId="0" fillId="0" fontId="11" numFmtId="49" xfId="0" applyAlignment="1" applyFont="1" applyNumberFormat="1">
      <alignment horizontal="left"/>
    </xf>
    <xf borderId="0" fillId="0" fontId="11" numFmtId="0" xfId="0" applyFont="1"/>
    <xf borderId="0" fillId="0" fontId="9" numFmtId="49" xfId="0" applyAlignment="1" applyFont="1" applyNumberFormat="1">
      <alignment horizontal="left"/>
    </xf>
    <xf borderId="0" fillId="3" fontId="12" numFmtId="0" xfId="0" applyAlignment="1" applyFont="1">
      <alignment horizontal="center"/>
    </xf>
    <xf borderId="0" fillId="3" fontId="12" numFmtId="165" xfId="0" applyAlignment="1" applyFont="1" applyNumberFormat="1">
      <alignment horizontal="center"/>
    </xf>
    <xf borderId="0" fillId="0" fontId="11" numFmtId="49" xfId="0" applyAlignment="1" applyFont="1" applyNumberFormat="1">
      <alignment horizontal="center"/>
    </xf>
    <xf borderId="0" fillId="3" fontId="12" numFmtId="49" xfId="0" applyAlignment="1" applyFont="1" applyNumberFormat="1">
      <alignment horizontal="center"/>
    </xf>
    <xf borderId="0" fillId="0" fontId="11" numFmtId="0" xfId="0" applyAlignment="1" applyFont="1">
      <alignment horizontal="left"/>
    </xf>
    <xf borderId="0" fillId="0" fontId="9" numFmtId="0" xfId="0" applyAlignment="1" applyFont="1">
      <alignment horizontal="left"/>
    </xf>
    <xf borderId="39" fillId="17" fontId="44" numFmtId="0" xfId="0" applyAlignment="1" applyBorder="1" applyFont="1">
      <alignment horizontal="center" readingOrder="0" shrinkToFit="0" wrapText="1"/>
    </xf>
    <xf borderId="39" fillId="13" fontId="45" numFmtId="0" xfId="0" applyAlignment="1" applyBorder="1" applyFont="1">
      <alignment horizontal="center" readingOrder="0" shrinkToFit="0" vertical="center" wrapText="1"/>
    </xf>
    <xf borderId="0" fillId="13" fontId="46" numFmtId="0" xfId="0" applyAlignment="1" applyFont="1">
      <alignment horizontal="center" readingOrder="0" shrinkToFit="0" vertical="center" wrapText="1"/>
    </xf>
    <xf borderId="39" fillId="13" fontId="45" numFmtId="0" xfId="0" applyAlignment="1" applyBorder="1" applyFont="1">
      <alignment horizontal="center" shrinkToFit="0" vertical="center" wrapText="1"/>
    </xf>
    <xf borderId="39" fillId="13" fontId="46" numFmtId="0" xfId="0" applyAlignment="1" applyBorder="1" applyFont="1">
      <alignment horizontal="center" readingOrder="0" shrinkToFit="0" vertical="center" wrapText="1"/>
    </xf>
    <xf borderId="0" fillId="0" fontId="17" numFmtId="0" xfId="0" applyAlignment="1" applyFont="1">
      <alignment readingOrder="0"/>
    </xf>
    <xf borderId="39" fillId="13" fontId="45" numFmtId="0" xfId="0" applyAlignment="1" applyBorder="1" applyFont="1">
      <alignment readingOrder="0" shrinkToFit="0" wrapText="0"/>
    </xf>
    <xf borderId="39" fillId="13" fontId="45" numFmtId="0" xfId="0" applyAlignment="1" applyBorder="1" applyFont="1">
      <alignment readingOrder="0" shrinkToFit="0" wrapText="0"/>
    </xf>
  </cellXfs>
  <cellStyles count="1">
    <cellStyle xfId="0" name="Normal" builtinId="0"/>
  </cellStyles>
  <dxfs count="18">
    <dxf>
      <font/>
      <fill>
        <patternFill patternType="solid">
          <fgColor rgb="FFB7E1CD"/>
          <bgColor rgb="FFB7E1CD"/>
        </patternFill>
      </fill>
      <border/>
    </dxf>
    <dxf>
      <font/>
      <fill>
        <patternFill patternType="none"/>
      </fill>
      <border/>
    </dxf>
    <dxf>
      <font/>
      <fill>
        <patternFill patternType="solid">
          <fgColor rgb="FF6AA84F"/>
          <bgColor rgb="FF6AA84F"/>
        </patternFill>
      </fill>
      <border/>
    </dxf>
    <dxf>
      <font/>
      <fill>
        <patternFill patternType="solid">
          <fgColor rgb="FF93C47D"/>
          <bgColor rgb="FF93C47D"/>
        </patternFill>
      </fill>
      <border/>
    </dxf>
    <dxf>
      <font/>
      <fill>
        <patternFill patternType="solid">
          <fgColor rgb="FFFCE8B2"/>
          <bgColor rgb="FFFCE8B2"/>
        </patternFill>
      </fill>
      <border/>
    </dxf>
    <dxf>
      <font/>
      <fill>
        <patternFill patternType="solid">
          <fgColor rgb="FFF4C7C3"/>
          <bgColor rgb="FFF4C7C3"/>
        </patternFill>
      </fill>
      <border/>
    </dxf>
    <dxf>
      <font>
        <color rgb="FFFF0000"/>
      </font>
      <fill>
        <patternFill patternType="none"/>
      </fill>
      <border/>
    </dxf>
    <dxf>
      <font>
        <color rgb="FF38761D"/>
      </font>
      <fill>
        <patternFill patternType="none"/>
      </fill>
      <border/>
    </dxf>
    <dxf>
      <font>
        <color theme="0"/>
      </font>
      <fill>
        <patternFill patternType="solid">
          <fgColor rgb="FF1155CC"/>
          <bgColor rgb="FF1155CC"/>
        </patternFill>
      </fill>
      <border/>
    </dxf>
    <dxf>
      <font>
        <color rgb="FFFFFFFF"/>
      </font>
      <fill>
        <patternFill patternType="solid">
          <fgColor rgb="FFA64D79"/>
          <bgColor rgb="FFA64D79"/>
        </patternFill>
      </fill>
      <border/>
    </dxf>
    <dxf>
      <font>
        <color theme="0"/>
      </font>
      <fill>
        <patternFill patternType="solid">
          <fgColor rgb="FFCC0000"/>
          <bgColor rgb="FFCC0000"/>
        </patternFill>
      </fill>
      <border/>
    </dxf>
    <dxf>
      <font>
        <color rgb="FFFFFFFF"/>
      </font>
      <fill>
        <patternFill patternType="solid">
          <fgColor rgb="FFF1C232"/>
          <bgColor rgb="FFF1C232"/>
        </patternFill>
      </fill>
      <border/>
    </dxf>
    <dxf>
      <font>
        <color rgb="FFFFFFFF"/>
      </font>
      <fill>
        <patternFill patternType="solid">
          <fgColor rgb="FF38761D"/>
          <bgColor rgb="FF38761D"/>
        </patternFill>
      </fill>
      <border/>
    </dxf>
    <dxf>
      <font>
        <color rgb="FFFFFFFF"/>
      </font>
      <fill>
        <patternFill patternType="solid">
          <fgColor theme="8"/>
          <bgColor theme="8"/>
        </patternFill>
      </fill>
      <border/>
    </dxf>
    <dxf>
      <font/>
      <fill>
        <patternFill patternType="solid">
          <fgColor theme="6"/>
          <bgColor theme="6"/>
        </patternFill>
      </fill>
      <border/>
    </dxf>
    <dxf>
      <font>
        <color rgb="FFFFFFFF"/>
      </font>
      <fill>
        <patternFill patternType="solid">
          <fgColor rgb="FF004E95"/>
          <bgColor rgb="FF004E95"/>
        </patternFill>
      </fill>
      <border/>
    </dxf>
    <dxf>
      <font/>
      <fill>
        <patternFill patternType="solid">
          <fgColor rgb="FF00AA81"/>
          <bgColor rgb="FF00AA81"/>
        </patternFill>
      </fill>
      <border/>
    </dxf>
    <dxf>
      <font>
        <color theme="0"/>
      </font>
      <fill>
        <patternFill patternType="solid">
          <fgColor rgb="FF8430CE"/>
          <bgColor rgb="FF8430CE"/>
        </patternFill>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666666"/>
                </a:solidFill>
                <a:latin typeface="+mn-lt"/>
              </a:defRPr>
            </a:pPr>
            <a:r>
              <a:rPr b="1" sz="1600">
                <a:solidFill>
                  <a:srgbClr val="666666"/>
                </a:solidFill>
                <a:latin typeface="+mn-lt"/>
              </a:rPr>
              <a:t>Taxa de coleta de NPS de experiência</a:t>
            </a:r>
          </a:p>
        </c:rich>
      </c:tx>
      <c:overlay val="0"/>
    </c:title>
    <c:plotArea>
      <c:layout/>
      <c:barChart>
        <c:barDir val="col"/>
        <c:ser>
          <c:idx val="0"/>
          <c:order val="0"/>
          <c:tx>
            <c:v>NCiv</c:v>
          </c:tx>
          <c:spPr>
            <a:solidFill>
              <a:schemeClr val="accent3"/>
            </a:solidFill>
            <a:ln cmpd="sng">
              <a:solidFill>
                <a:srgbClr val="000000"/>
              </a:solidFill>
            </a:ln>
          </c:spPr>
          <c:dPt>
            <c:idx val="0"/>
            <c:spPr>
              <a:solidFill>
                <a:schemeClr val="accent3"/>
              </a:solidFill>
              <a:ln cmpd="sng">
                <a:solidFill>
                  <a:srgbClr val="000000"/>
                </a:solidFill>
              </a:ln>
            </c:spPr>
          </c:dPt>
          <c:dLbls>
            <c:numFmt formatCode="General" sourceLinked="1"/>
            <c:txPr>
              <a:bodyPr/>
              <a:lstStyle/>
              <a:p>
                <a:pPr lvl="0">
                  <a:defRPr/>
                </a:pPr>
              </a:p>
            </c:txPr>
            <c:showLegendKey val="0"/>
            <c:showVal val="1"/>
            <c:showCatName val="0"/>
            <c:showSerName val="0"/>
            <c:showPercent val="0"/>
            <c:showBubbleSize val="0"/>
          </c:dLbls>
          <c:cat>
            <c:strRef>
              <c:f>'Métricas'!$B$13</c:f>
            </c:strRef>
          </c:cat>
          <c:val>
            <c:numRef>
              <c:f>'Métricas'!$C$13</c:f>
              <c:numCache/>
            </c:numRef>
          </c:val>
        </c:ser>
        <c:ser>
          <c:idx val="1"/>
          <c:order val="1"/>
          <c:tx>
            <c:v>NCon</c:v>
          </c:tx>
          <c:spPr>
            <a:solidFill>
              <a:srgbClr val="38761D"/>
            </a:solidFill>
            <a:ln cmpd="sng">
              <a:solidFill>
                <a:srgbClr val="000000"/>
              </a:solidFill>
            </a:ln>
          </c:spPr>
          <c:dPt>
            <c:idx val="0"/>
            <c:spPr>
              <a:solidFill>
                <a:srgbClr val="38761D"/>
              </a:solidFill>
              <a:ln cmpd="sng">
                <a:solidFill>
                  <a:srgbClr val="000000"/>
                </a:solidFill>
              </a:ln>
            </c:spPr>
          </c:dPt>
          <c:dLbls>
            <c:numFmt formatCode="General" sourceLinked="1"/>
            <c:txPr>
              <a:bodyPr/>
              <a:lstStyle/>
              <a:p>
                <a:pPr lvl="0">
                  <a:defRPr/>
                </a:pPr>
              </a:p>
            </c:txPr>
            <c:showLegendKey val="0"/>
            <c:showVal val="1"/>
            <c:showCatName val="0"/>
            <c:showSerName val="0"/>
            <c:showPercent val="0"/>
            <c:showBubbleSize val="0"/>
          </c:dLbls>
          <c:cat>
            <c:strRef>
              <c:f>'Métricas'!$B$13</c:f>
            </c:strRef>
          </c:cat>
          <c:val>
            <c:numRef>
              <c:f>'Métricas'!$D$13</c:f>
              <c:numCache/>
            </c:numRef>
          </c:val>
        </c:ser>
        <c:ser>
          <c:idx val="2"/>
          <c:order val="2"/>
          <c:tx>
            <c:v>NDados</c:v>
          </c:tx>
          <c:spPr>
            <a:solidFill>
              <a:srgbClr val="8430CE"/>
            </a:solidFill>
            <a:ln cmpd="sng">
              <a:solidFill>
                <a:srgbClr val="000000"/>
              </a:solidFill>
            </a:ln>
          </c:spPr>
          <c:dPt>
            <c:idx val="0"/>
            <c:spPr>
              <a:solidFill>
                <a:srgbClr val="8430CE"/>
              </a:solidFill>
              <a:ln cmpd="sng">
                <a:solidFill>
                  <a:srgbClr val="000000"/>
                </a:solidFill>
              </a:ln>
            </c:spPr>
          </c:dPt>
          <c:dLbls>
            <c:numFmt formatCode="General" sourceLinked="1"/>
            <c:txPr>
              <a:bodyPr/>
              <a:lstStyle/>
              <a:p>
                <a:pPr lvl="0">
                  <a:defRPr/>
                </a:pPr>
              </a:p>
            </c:txPr>
            <c:showLegendKey val="0"/>
            <c:showVal val="1"/>
            <c:showCatName val="0"/>
            <c:showSerName val="0"/>
            <c:showPercent val="0"/>
            <c:showBubbleSize val="0"/>
          </c:dLbls>
          <c:cat>
            <c:strRef>
              <c:f>'Métricas'!$B$13</c:f>
            </c:strRef>
          </c:cat>
          <c:val>
            <c:numRef>
              <c:f>'Métricas'!$E$13</c:f>
              <c:numCache/>
            </c:numRef>
          </c:val>
        </c:ser>
        <c:ser>
          <c:idx val="3"/>
          <c:order val="3"/>
          <c:tx>
            <c:v>NTec</c:v>
          </c:tx>
          <c:spPr>
            <a:solidFill>
              <a:srgbClr val="004E95"/>
            </a:solidFill>
            <a:ln cmpd="sng">
              <a:solidFill>
                <a:srgbClr val="000000"/>
              </a:solidFill>
            </a:ln>
          </c:spPr>
          <c:dPt>
            <c:idx val="0"/>
            <c:spPr>
              <a:solidFill>
                <a:srgbClr val="004E95"/>
              </a:solidFill>
              <a:ln cmpd="sng">
                <a:solidFill>
                  <a:srgbClr val="000000"/>
                </a:solidFill>
              </a:ln>
            </c:spPr>
          </c:dPt>
          <c:dLbls>
            <c:numFmt formatCode="General" sourceLinked="1"/>
            <c:txPr>
              <a:bodyPr/>
              <a:lstStyle/>
              <a:p>
                <a:pPr lvl="0">
                  <a:defRPr/>
                </a:pPr>
              </a:p>
            </c:txPr>
            <c:showLegendKey val="0"/>
            <c:showVal val="1"/>
            <c:showCatName val="0"/>
            <c:showSerName val="0"/>
            <c:showPercent val="0"/>
            <c:showBubbleSize val="0"/>
          </c:dLbls>
          <c:cat>
            <c:strRef>
              <c:f>'Métricas'!$B$13</c:f>
            </c:strRef>
          </c:cat>
          <c:val>
            <c:numRef>
              <c:f>'Métricas'!$F$13</c:f>
              <c:numCache/>
            </c:numRef>
          </c:val>
        </c:ser>
        <c:axId val="1251726726"/>
        <c:axId val="1351021010"/>
      </c:barChart>
      <c:catAx>
        <c:axId val="125172672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351021010"/>
      </c:catAx>
      <c:valAx>
        <c:axId val="135102101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251726726"/>
      </c:valAx>
    </c:plotArea>
    <c:legend>
      <c:legendPos val="r"/>
      <c:legendEntry>
        <c:idx val="3"/>
        <c:txPr>
          <a:bodyPr/>
          <a:lstStyle/>
          <a:p>
            <a:pPr lvl="0">
              <a:defRPr>
                <a:solidFill>
                  <a:srgbClr val="666666"/>
                </a:solidFill>
              </a:defRPr>
            </a:pPr>
          </a:p>
        </c:txPr>
      </c:legendEntry>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666666"/>
                </a:solidFill>
                <a:latin typeface="+mn-lt"/>
              </a:defRPr>
            </a:pPr>
            <a:r>
              <a:rPr b="1" sz="1600">
                <a:solidFill>
                  <a:srgbClr val="666666"/>
                </a:solidFill>
                <a:latin typeface="+mn-lt"/>
              </a:rPr>
              <a:t>Número de projetos por membros </a:t>
            </a:r>
          </a:p>
        </c:rich>
      </c:tx>
      <c:overlay val="0"/>
    </c:title>
    <c:plotArea>
      <c:layout/>
      <c:barChart>
        <c:barDir val="bar"/>
        <c:ser>
          <c:idx val="0"/>
          <c:order val="0"/>
          <c:spPr>
            <a:solidFill>
              <a:schemeClr val="accent3"/>
            </a:solidFill>
            <a:ln cmpd="sng">
              <a:solidFill>
                <a:srgbClr val="000000"/>
              </a:solidFill>
            </a:ln>
          </c:spPr>
          <c:dPt>
            <c:idx val="0"/>
          </c:dPt>
          <c:dLbls>
            <c:numFmt formatCode="General" sourceLinked="1"/>
            <c:txPr>
              <a:bodyPr/>
              <a:lstStyle/>
              <a:p>
                <a:pPr lvl="0">
                  <a:defRPr/>
                </a:pPr>
              </a:p>
            </c:txPr>
            <c:showLegendKey val="0"/>
            <c:showVal val="1"/>
            <c:showCatName val="0"/>
            <c:showSerName val="0"/>
            <c:showPercent val="0"/>
            <c:showBubbleSize val="0"/>
          </c:dLbls>
          <c:val>
            <c:numRef>
              <c:f>'Métricas'!$C$16</c:f>
              <c:numCache/>
            </c:numRef>
          </c:val>
        </c:ser>
        <c:ser>
          <c:idx val="1"/>
          <c:order val="1"/>
          <c:spPr>
            <a:solidFill>
              <a:srgbClr val="38761D"/>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val>
            <c:numRef>
              <c:f>'Métricas'!$D$16</c:f>
              <c:numCache/>
            </c:numRef>
          </c:val>
        </c:ser>
        <c:ser>
          <c:idx val="2"/>
          <c:order val="2"/>
          <c:spPr>
            <a:solidFill>
              <a:srgbClr val="8430CE"/>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val>
            <c:numRef>
              <c:f>'Métricas'!$E$16</c:f>
              <c:numCache/>
            </c:numRef>
          </c:val>
        </c:ser>
        <c:ser>
          <c:idx val="3"/>
          <c:order val="3"/>
          <c:spPr>
            <a:solidFill>
              <a:srgbClr val="004E95"/>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val>
            <c:numRef>
              <c:f>'Métricas'!$F$16</c:f>
              <c:numCache/>
            </c:numRef>
          </c:val>
        </c:ser>
        <c:ser>
          <c:idx val="4"/>
          <c:order val="4"/>
          <c:val>
            <c:numRef>
              <c:f>'Métricas'!$C$11</c:f>
              <c:numCache/>
            </c:numRef>
          </c:val>
        </c:ser>
        <c:ser>
          <c:idx val="5"/>
          <c:order val="5"/>
          <c:val>
            <c:numRef>
              <c:f>'Métricas'!$D$11</c:f>
              <c:numCache/>
            </c:numRef>
          </c:val>
        </c:ser>
        <c:ser>
          <c:idx val="6"/>
          <c:order val="6"/>
          <c:val>
            <c:numRef>
              <c:f>'Métricas'!$E$11</c:f>
              <c:numCache/>
            </c:numRef>
          </c:val>
        </c:ser>
        <c:ser>
          <c:idx val="7"/>
          <c:order val="7"/>
          <c:val>
            <c:numRef>
              <c:f>'Métricas'!$F$11</c:f>
              <c:numCache/>
            </c:numRef>
          </c:val>
        </c:ser>
        <c:axId val="88071356"/>
        <c:axId val="149802548"/>
      </c:barChart>
      <c:catAx>
        <c:axId val="88071356"/>
        <c:scaling>
          <c:orientation val="maxMin"/>
        </c:scaling>
        <c:delete val="0"/>
        <c:axPos val="l"/>
        <c:title>
          <c:tx>
            <c:rich>
              <a:bodyPr/>
              <a:lstStyle/>
              <a:p>
                <a:pPr lvl="0">
                  <a:defRPr b="0" sz="1200">
                    <a:solidFill>
                      <a:srgbClr val="000000"/>
                    </a:solidFill>
                    <a:latin typeface="+mn-lt"/>
                  </a:defRPr>
                </a:pPr>
                <a:r>
                  <a:rPr b="0" sz="1200">
                    <a:solidFill>
                      <a:srgbClr val="000000"/>
                    </a:solidFill>
                    <a:latin typeface="+mn-lt"/>
                  </a:rPr>
                  <a:t>Projetos/membros</a:t>
                </a:r>
              </a:p>
            </c:rich>
          </c:tx>
          <c:overlay val="0"/>
        </c:title>
        <c:numFmt formatCode="General" sourceLinked="1"/>
        <c:majorTickMark val="none"/>
        <c:minorTickMark val="none"/>
        <c:spPr/>
        <c:txPr>
          <a:bodyPr/>
          <a:lstStyle/>
          <a:p>
            <a:pPr lvl="0">
              <a:defRPr b="0">
                <a:solidFill>
                  <a:srgbClr val="000000"/>
                </a:solidFill>
                <a:latin typeface="+mn-lt"/>
              </a:defRPr>
            </a:pPr>
          </a:p>
        </c:txPr>
        <c:crossAx val="149802548"/>
      </c:catAx>
      <c:valAx>
        <c:axId val="149802548"/>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88071356"/>
        <c:crosses val="max"/>
      </c:valAx>
    </c:plotArea>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666666"/>
                </a:solidFill>
                <a:latin typeface="+mn-lt"/>
              </a:defRPr>
            </a:pPr>
            <a:r>
              <a:rPr b="1" sz="1600">
                <a:solidFill>
                  <a:srgbClr val="666666"/>
                </a:solidFill>
                <a:latin typeface="+mn-lt"/>
              </a:rPr>
              <a:t>Taxa de execução</a:t>
            </a:r>
          </a:p>
        </c:rich>
      </c:tx>
      <c:overlay val="0"/>
    </c:title>
    <c:plotArea>
      <c:layout/>
      <c:barChart>
        <c:barDir val="col"/>
        <c:ser>
          <c:idx val="0"/>
          <c:order val="0"/>
          <c:spPr>
            <a:solidFill>
              <a:schemeClr val="accent3"/>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'Métricas'!$B$26</c:f>
            </c:strRef>
          </c:cat>
          <c:val>
            <c:numRef>
              <c:f>'Métricas'!$C$26</c:f>
              <c:numCache/>
            </c:numRef>
          </c:val>
        </c:ser>
        <c:ser>
          <c:idx val="1"/>
          <c:order val="1"/>
          <c:spPr>
            <a:solidFill>
              <a:srgbClr val="38761D"/>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'Métricas'!$B$26</c:f>
            </c:strRef>
          </c:cat>
          <c:val>
            <c:numRef>
              <c:f>'Métricas'!$D$26</c:f>
              <c:numCache/>
            </c:numRef>
          </c:val>
        </c:ser>
        <c:ser>
          <c:idx val="2"/>
          <c:order val="2"/>
          <c:spPr>
            <a:solidFill>
              <a:srgbClr val="8430CE"/>
            </a:solidFill>
            <a:ln cmpd="sng">
              <a:solidFill>
                <a:srgbClr val="000000"/>
              </a:solidFill>
            </a:ln>
          </c:spPr>
          <c:dPt>
            <c:idx val="0"/>
          </c:dPt>
          <c:dLbls>
            <c:numFmt formatCode="General" sourceLinked="1"/>
            <c:txPr>
              <a:bodyPr/>
              <a:lstStyle/>
              <a:p>
                <a:pPr lvl="0">
                  <a:defRPr/>
                </a:pPr>
              </a:p>
            </c:txPr>
            <c:showLegendKey val="0"/>
            <c:showVal val="1"/>
            <c:showCatName val="0"/>
            <c:showSerName val="0"/>
            <c:showPercent val="0"/>
            <c:showBubbleSize val="0"/>
          </c:dLbls>
          <c:cat>
            <c:strRef>
              <c:f>'Métricas'!$B$26</c:f>
            </c:strRef>
          </c:cat>
          <c:val>
            <c:numRef>
              <c:f>'Métricas'!$E$26</c:f>
              <c:numCache/>
            </c:numRef>
          </c:val>
        </c:ser>
        <c:ser>
          <c:idx val="3"/>
          <c:order val="3"/>
          <c:spPr>
            <a:solidFill>
              <a:srgbClr val="004E95"/>
            </a:solidFill>
            <a:ln cmpd="sng">
              <a:solidFill>
                <a:srgbClr val="000000"/>
              </a:solidFill>
            </a:ln>
          </c:spPr>
          <c:dPt>
            <c:idx val="0"/>
          </c:dPt>
          <c:dLbls>
            <c:numFmt formatCode="General" sourceLinked="1"/>
            <c:txPr>
              <a:bodyPr/>
              <a:lstStyle/>
              <a:p>
                <a:pPr lvl="0">
                  <a:defRPr/>
                </a:pPr>
              </a:p>
            </c:txPr>
            <c:showLegendKey val="0"/>
            <c:showVal val="1"/>
            <c:showCatName val="0"/>
            <c:showSerName val="0"/>
            <c:showPercent val="0"/>
            <c:showBubbleSize val="0"/>
          </c:dLbls>
          <c:cat>
            <c:strRef>
              <c:f>'Métricas'!$B$26</c:f>
            </c:strRef>
          </c:cat>
          <c:val>
            <c:numRef>
              <c:f>'Métricas'!$F$26</c:f>
              <c:numCache/>
            </c:numRef>
          </c:val>
        </c:ser>
        <c:axId val="1300220359"/>
        <c:axId val="1556307090"/>
      </c:barChart>
      <c:catAx>
        <c:axId val="130022035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FFFFFF"/>
                </a:solidFill>
                <a:latin typeface="+mn-lt"/>
              </a:defRPr>
            </a:pPr>
          </a:p>
        </c:txPr>
        <c:crossAx val="1556307090"/>
      </c:catAx>
      <c:valAx>
        <c:axId val="155630709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300220359"/>
      </c:valAx>
    </c:plotArea>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666666"/>
                </a:solidFill>
                <a:latin typeface="+mn-lt"/>
              </a:defRPr>
            </a:pPr>
            <a:r>
              <a:rPr b="1" sz="1600">
                <a:solidFill>
                  <a:srgbClr val="666666"/>
                </a:solidFill>
                <a:latin typeface="+mn-lt"/>
              </a:rPr>
              <a:t>Receita perdida total</a:t>
            </a:r>
          </a:p>
        </c:rich>
      </c:tx>
      <c:overlay val="0"/>
    </c:title>
    <c:plotArea>
      <c:layout/>
      <c:pieChart>
        <c:varyColors val="1"/>
        <c:ser>
          <c:idx val="0"/>
          <c:order val="0"/>
          <c:tx>
            <c:strRef>
              <c:f>'Métricas'!$B$22</c:f>
            </c:strRef>
          </c:tx>
          <c:dPt>
            <c:idx val="0"/>
            <c:spPr>
              <a:solidFill>
                <a:schemeClr val="accent3"/>
              </a:solidFill>
            </c:spPr>
          </c:dPt>
          <c:dLbls>
            <c:showLegendKey val="0"/>
            <c:showVal val="0"/>
            <c:showCatName val="0"/>
            <c:showSerName val="0"/>
            <c:showPercent val="0"/>
            <c:showBubbleSize val="0"/>
            <c:showLeaderLines val="1"/>
          </c:dLbls>
          <c:cat>
            <c:strRef>
              <c:f>'Métricas'!$C$22:$F$22</c:f>
            </c:strRef>
          </c:cat>
          <c:val>
            <c:numRef>
              <c:f>'Métricas'!$C$22:$F$22</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666666"/>
                </a:solidFill>
                <a:latin typeface="+mn-lt"/>
              </a:defRPr>
            </a:pPr>
            <a:r>
              <a:rPr b="1" sz="1600">
                <a:solidFill>
                  <a:srgbClr val="666666"/>
                </a:solidFill>
                <a:latin typeface="+mn-lt"/>
              </a:rPr>
              <a:t>Número de projetos atrasados</a:t>
            </a:r>
          </a:p>
        </c:rich>
      </c:tx>
      <c:overlay val="0"/>
    </c:title>
    <c:plotArea>
      <c:layout/>
      <c:barChart>
        <c:barDir val="bar"/>
        <c:grouping val="stacked"/>
        <c:ser>
          <c:idx val="0"/>
          <c:order val="0"/>
          <c:tx>
            <c:strRef>
              <c:f>'Métricas'!$B$27</c:f>
            </c:strRef>
          </c:tx>
          <c:spPr>
            <a:solidFill>
              <a:schemeClr val="accent1"/>
            </a:solidFill>
            <a:ln cmpd="sng">
              <a:solidFill>
                <a:srgbClr val="000000"/>
              </a:solidFill>
            </a:ln>
          </c:spPr>
          <c:dPt>
            <c:idx val="0"/>
            <c:spPr>
              <a:solidFill>
                <a:schemeClr val="accent3"/>
              </a:solidFill>
              <a:ln cmpd="sng">
                <a:solidFill>
                  <a:srgbClr val="000000"/>
                </a:solidFill>
              </a:ln>
            </c:spPr>
          </c:dPt>
          <c:dPt>
            <c:idx val="1"/>
            <c:spPr>
              <a:solidFill>
                <a:srgbClr val="38761D"/>
              </a:solidFill>
              <a:ln cmpd="sng">
                <a:solidFill>
                  <a:srgbClr val="000000"/>
                </a:solidFill>
              </a:ln>
            </c:spPr>
          </c:dPt>
          <c:dPt>
            <c:idx val="2"/>
            <c:spPr>
              <a:solidFill>
                <a:srgbClr val="8430CE"/>
              </a:solidFill>
              <a:ln cmpd="sng">
                <a:solidFill>
                  <a:srgbClr val="000000"/>
                </a:solidFill>
              </a:ln>
            </c:spPr>
          </c:dPt>
          <c:dPt>
            <c:idx val="3"/>
            <c:spPr>
              <a:solidFill>
                <a:srgbClr val="004E95"/>
              </a:solidFill>
              <a:ln cmpd="sng">
                <a:solidFill>
                  <a:srgbClr val="000000"/>
                </a:solidFill>
              </a:ln>
            </c:spPr>
          </c:dPt>
          <c:val>
            <c:numRef>
              <c:f>'Métricas'!$C$27:$F$27</c:f>
              <c:numCache/>
            </c:numRef>
          </c:val>
        </c:ser>
        <c:overlap val="100"/>
        <c:axId val="1886143878"/>
        <c:axId val="624064415"/>
      </c:barChart>
      <c:catAx>
        <c:axId val="1886143878"/>
        <c:scaling>
          <c:orientation val="maxMin"/>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624064415"/>
      </c:catAx>
      <c:valAx>
        <c:axId val="624064415"/>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886143878"/>
        <c:crosses val="max"/>
      </c:valAx>
    </c:plotArea>
    <c:legend>
      <c:legendPos val="r"/>
      <c:overlay val="0"/>
      <c:txPr>
        <a:bodyPr/>
        <a:lstStyle/>
        <a:p>
          <a:pPr lvl="0">
            <a:defRPr b="0">
              <a:solidFill>
                <a:srgbClr val="1A1A1A"/>
              </a:solidFill>
              <a:latin typeface="+mn-lt"/>
            </a:defRPr>
          </a:pPr>
        </a:p>
      </c:txPr>
    </c:legend>
    <c:plotVisOnly val="1"/>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666666"/>
                </a:solidFill>
                <a:latin typeface="+mn-lt"/>
              </a:defRPr>
            </a:pPr>
            <a:r>
              <a:rPr b="1" sz="1600">
                <a:solidFill>
                  <a:srgbClr val="666666"/>
                </a:solidFill>
                <a:latin typeface="+mn-lt"/>
              </a:rPr>
              <a:t>Diferença entre ITIP de venda e ITIP real</a:t>
            </a:r>
          </a:p>
        </c:rich>
      </c:tx>
      <c:overlay val="0"/>
    </c:title>
    <c:plotArea>
      <c:layout>
        <c:manualLayout>
          <c:xMode val="edge"/>
          <c:yMode val="edge"/>
          <c:x val="0.0"/>
          <c:y val="0.10555778069411141"/>
          <c:w val="0.9620418848167539"/>
          <c:h val="0.8444264625881553"/>
        </c:manualLayout>
      </c:layout>
      <c:radarChart>
        <c:radarStyle val="marker"/>
        <c:ser>
          <c:idx val="0"/>
          <c:order val="0"/>
          <c:tx>
            <c:strRef>
              <c:f>'Métricas'!$B$18</c:f>
            </c:strRef>
          </c:tx>
          <c:spPr>
            <a:ln cmpd="sng" w="19050">
              <a:solidFill>
                <a:srgbClr val="4285F4"/>
              </a:solidFill>
              <a:prstDash val="solid"/>
            </a:ln>
          </c:spPr>
          <c:marker>
            <c:symbol val="none"/>
          </c:marker>
          <c:cat>
            <c:strRef>
              <c:f>'Métricas'!$C$11:$F$11</c:f>
            </c:strRef>
          </c:cat>
          <c:val>
            <c:numRef>
              <c:f>'Métricas'!$C$18:$F$18</c:f>
              <c:numCache/>
            </c:numRef>
          </c:val>
          <c:smooth val="1"/>
        </c:ser>
        <c:ser>
          <c:idx val="1"/>
          <c:order val="1"/>
          <c:tx>
            <c:strRef>
              <c:f>'Métricas'!$B$19</c:f>
            </c:strRef>
          </c:tx>
          <c:spPr>
            <a:ln cmpd="sng" w="19050">
              <a:solidFill>
                <a:srgbClr val="EA4335"/>
              </a:solidFill>
            </a:ln>
          </c:spPr>
          <c:marker>
            <c:symbol val="none"/>
          </c:marker>
          <c:cat>
            <c:strRef>
              <c:f>'Métricas'!$C$11:$F$11</c:f>
            </c:strRef>
          </c:cat>
          <c:val>
            <c:numRef>
              <c:f>'Métricas'!$C$19:$F$19</c:f>
              <c:numCache/>
            </c:numRef>
          </c:val>
          <c:smooth val="1"/>
        </c:ser>
        <c:axId val="242600552"/>
        <c:axId val="953479379"/>
      </c:radarChart>
      <c:catAx>
        <c:axId val="24260055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953479379"/>
      </c:catAx>
      <c:valAx>
        <c:axId val="95347937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0"/>
        <c:majorTickMark val="none"/>
        <c:minorTickMark val="none"/>
        <c:tickLblPos val="nextTo"/>
        <c:spPr>
          <a:ln/>
        </c:spPr>
        <c:txPr>
          <a:bodyPr/>
          <a:lstStyle/>
          <a:p>
            <a:pPr lvl="0">
              <a:defRPr b="0">
                <a:solidFill>
                  <a:srgbClr val="000000"/>
                </a:solidFill>
                <a:latin typeface="+mn-lt"/>
              </a:defRPr>
            </a:pPr>
          </a:p>
        </c:txPr>
        <c:crossAx val="242600552"/>
      </c:valAx>
    </c:plotArea>
    <c:legend>
      <c:legendPos val="r"/>
      <c:layout>
        <c:manualLayout>
          <c:xMode val="edge"/>
          <c:yMode val="edge"/>
          <c:x val="0.0010662201060430494"/>
          <c:y val="0.9567978202895996"/>
        </c:manualLayout>
      </c:layout>
      <c:overlay val="0"/>
      <c:txPr>
        <a:bodyPr/>
        <a:lstStyle/>
        <a:p>
          <a:pPr lvl="0">
            <a:defRPr b="0">
              <a:solidFill>
                <a:srgbClr val="1A1A1A"/>
              </a:solidFill>
              <a:latin typeface="+mn-lt"/>
            </a:defRPr>
          </a:pPr>
        </a:p>
      </c:txPr>
    </c:legend>
    <c:plotVisOnly val="1"/>
  </c:chart>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bar"/>
        <c:ser>
          <c:idx val="0"/>
          <c:order val="0"/>
          <c:spPr>
            <a:solidFill>
              <a:schemeClr val="accent3"/>
            </a:solidFill>
            <a:ln cmpd="sng">
              <a:solidFill>
                <a:srgbClr val="000000"/>
              </a:solidFill>
            </a:ln>
          </c:spPr>
          <c:dPt>
            <c:idx val="0"/>
          </c:dPt>
          <c:dLbls>
            <c:dLbl>
              <c:idx val="0"/>
              <c:numFmt formatCode="General" sourceLinked="1"/>
              <c:txPr>
                <a:bodyPr/>
                <a:lstStyle/>
                <a:p>
                  <a:pPr lvl="0">
                    <a:defRPr>
                      <a:solidFill>
                        <a:srgbClr val="000000"/>
                      </a:solidFill>
                    </a:defRPr>
                  </a:pPr>
                </a:p>
              </c:txPr>
              <c:showLegendKey val="0"/>
              <c:showVal val="1"/>
              <c:showCatName val="0"/>
              <c:showSerName val="0"/>
              <c:showPercent val="0"/>
              <c:showBubbleSize val="0"/>
            </c:dLbl>
            <c:numFmt formatCode="General" sourceLinked="1"/>
            <c:txPr>
              <a:bodyPr/>
              <a:lstStyle/>
              <a:p>
                <a:pPr lvl="0">
                  <a:defRPr/>
                </a:pPr>
              </a:p>
            </c:txPr>
            <c:showLegendKey val="0"/>
            <c:showVal val="1"/>
            <c:showCatName val="0"/>
            <c:showSerName val="0"/>
            <c:showPercent val="0"/>
            <c:showBubbleSize val="0"/>
          </c:dLbls>
          <c:cat>
            <c:strRef>
              <c:f>'Métricas'!$B$28</c:f>
            </c:strRef>
          </c:cat>
          <c:val>
            <c:numRef>
              <c:f>'Métricas'!$C$28</c:f>
              <c:numCache/>
            </c:numRef>
          </c:val>
        </c:ser>
        <c:ser>
          <c:idx val="1"/>
          <c:order val="1"/>
          <c:spPr>
            <a:solidFill>
              <a:srgbClr val="38761D"/>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'Métricas'!$B$28</c:f>
            </c:strRef>
          </c:cat>
          <c:val>
            <c:numRef>
              <c:f>'Métricas'!$D$28</c:f>
              <c:numCache/>
            </c:numRef>
          </c:val>
        </c:ser>
        <c:ser>
          <c:idx val="2"/>
          <c:order val="2"/>
          <c:spPr>
            <a:solidFill>
              <a:srgbClr val="8430CE"/>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'Métricas'!$B$28</c:f>
            </c:strRef>
          </c:cat>
          <c:val>
            <c:numRef>
              <c:f>'Métricas'!$E$28</c:f>
              <c:numCache/>
            </c:numRef>
          </c:val>
        </c:ser>
        <c:ser>
          <c:idx val="3"/>
          <c:order val="3"/>
          <c:spPr>
            <a:solidFill>
              <a:srgbClr val="004E95"/>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'Métricas'!$B$28</c:f>
            </c:strRef>
          </c:cat>
          <c:val>
            <c:numRef>
              <c:f>'Métricas'!$F$28</c:f>
              <c:numCache/>
            </c:numRef>
          </c:val>
        </c:ser>
        <c:axId val="415786564"/>
        <c:axId val="1404747008"/>
      </c:barChart>
      <c:catAx>
        <c:axId val="415786564"/>
        <c:scaling>
          <c:orientation val="maxMin"/>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1" sz="1600">
                <a:solidFill>
                  <a:srgbClr val="666666"/>
                </a:solidFill>
                <a:latin typeface="+mn-lt"/>
              </a:defRPr>
            </a:pPr>
          </a:p>
        </c:txPr>
        <c:crossAx val="1404747008"/>
      </c:catAx>
      <c:valAx>
        <c:axId val="1404747008"/>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415786564"/>
        <c:crosses val="max"/>
      </c:valAx>
    </c:plotArea>
    <c:plotVisOnly val="1"/>
  </c:chart>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757575"/>
                </a:solidFill>
                <a:latin typeface="+mn-lt"/>
              </a:defRPr>
            </a:pPr>
            <a:r>
              <a:rPr b="1" sz="1600">
                <a:solidFill>
                  <a:srgbClr val="757575"/>
                </a:solidFill>
                <a:latin typeface="+mn-lt"/>
              </a:rPr>
              <a:t>Porcentagem de projetos atrasados por núcleo</a:t>
            </a:r>
          </a:p>
        </c:rich>
      </c:tx>
      <c:overlay val="0"/>
    </c:title>
    <c:plotArea>
      <c:layout/>
      <c:lineChart>
        <c:ser>
          <c:idx val="0"/>
          <c:order val="0"/>
          <c:tx>
            <c:v>NCiv</c:v>
          </c:tx>
          <c:spPr>
            <a:ln cmpd="sng">
              <a:solidFill>
                <a:schemeClr val="accent3"/>
              </a:solidFill>
            </a:ln>
          </c:spPr>
          <c:marker>
            <c:symbol val="none"/>
          </c:marker>
          <c:cat>
            <c:strRef>
              <c:f>'Métricas'!$B$37:$B$116</c:f>
            </c:strRef>
          </c:cat>
          <c:val>
            <c:numRef>
              <c:f>'Métricas'!$M$37:$M$116</c:f>
              <c:numCache/>
            </c:numRef>
          </c:val>
          <c:smooth val="1"/>
        </c:ser>
        <c:ser>
          <c:idx val="1"/>
          <c:order val="1"/>
          <c:tx>
            <c:v>NCon</c:v>
          </c:tx>
          <c:spPr>
            <a:ln cmpd="sng">
              <a:solidFill>
                <a:srgbClr val="38761D">
                  <a:alpha val="100000"/>
                </a:srgbClr>
              </a:solidFill>
            </a:ln>
          </c:spPr>
          <c:marker>
            <c:symbol val="none"/>
          </c:marker>
          <c:cat>
            <c:strRef>
              <c:f>'Métricas'!$B$37:$B$116</c:f>
            </c:strRef>
          </c:cat>
          <c:val>
            <c:numRef>
              <c:f>'Métricas'!$N$37:$N$116</c:f>
              <c:numCache/>
            </c:numRef>
          </c:val>
          <c:smooth val="1"/>
        </c:ser>
        <c:ser>
          <c:idx val="2"/>
          <c:order val="2"/>
          <c:tx>
            <c:v>NDados</c:v>
          </c:tx>
          <c:spPr>
            <a:ln cmpd="sng">
              <a:solidFill>
                <a:srgbClr val="8430CE">
                  <a:alpha val="100000"/>
                </a:srgbClr>
              </a:solidFill>
            </a:ln>
          </c:spPr>
          <c:marker>
            <c:symbol val="none"/>
          </c:marker>
          <c:cat>
            <c:strRef>
              <c:f>'Métricas'!$B$37:$B$116</c:f>
            </c:strRef>
          </c:cat>
          <c:val>
            <c:numRef>
              <c:f>'Métricas'!$O$37:$O$116</c:f>
              <c:numCache/>
            </c:numRef>
          </c:val>
          <c:smooth val="1"/>
        </c:ser>
        <c:ser>
          <c:idx val="3"/>
          <c:order val="3"/>
          <c:tx>
            <c:v>NTec</c:v>
          </c:tx>
          <c:spPr>
            <a:ln cmpd="sng">
              <a:solidFill>
                <a:srgbClr val="004E95">
                  <a:alpha val="100000"/>
                </a:srgbClr>
              </a:solidFill>
            </a:ln>
          </c:spPr>
          <c:marker>
            <c:symbol val="none"/>
          </c:marker>
          <c:cat>
            <c:strRef>
              <c:f>'Métricas'!$B$37:$B$116</c:f>
            </c:strRef>
          </c:cat>
          <c:val>
            <c:numRef>
              <c:f>'Métricas'!$P$37:$P$116</c:f>
              <c:numCache/>
            </c:numRef>
          </c:val>
          <c:smooth val="1"/>
        </c:ser>
        <c:ser>
          <c:idx val="4"/>
          <c:order val="4"/>
          <c:tx>
            <c:v>PJ</c:v>
          </c:tx>
          <c:spPr>
            <a:ln cmpd="sng" w="38100">
              <a:solidFill>
                <a:srgbClr val="FF6D01"/>
              </a:solidFill>
            </a:ln>
          </c:spPr>
          <c:marker>
            <c:symbol val="none"/>
          </c:marker>
          <c:cat>
            <c:strRef>
              <c:f>'Métricas'!$B$37:$B$116</c:f>
            </c:strRef>
          </c:cat>
          <c:val>
            <c:numRef>
              <c:f>'Métricas'!$Q$37:$Q$116</c:f>
              <c:numCache/>
            </c:numRef>
          </c:val>
          <c:smooth val="1"/>
        </c:ser>
        <c:axId val="2083889157"/>
        <c:axId val="1817902691"/>
      </c:lineChart>
      <c:catAx>
        <c:axId val="208388915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817902691"/>
      </c:catAx>
      <c:valAx>
        <c:axId val="181790269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083889157"/>
      </c:valAx>
    </c:plotArea>
    <c:legend>
      <c:legendPos val="r"/>
      <c:overlay val="0"/>
      <c:txPr>
        <a:bodyPr/>
        <a:lstStyle/>
        <a:p>
          <a:pPr lvl="0">
            <a:defRPr b="0">
              <a:solidFill>
                <a:srgbClr val="1A1A1A"/>
              </a:solidFill>
              <a:latin typeface="+mn-lt"/>
            </a:defRPr>
          </a:pPr>
        </a:p>
      </c:txPr>
    </c:legend>
    <c:plotVisOnly val="1"/>
  </c:chart>
</c:chartSpace>
</file>

<file path=xl/charts/chart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757575"/>
                </a:solidFill>
                <a:latin typeface="+mn-lt"/>
              </a:defRPr>
            </a:pPr>
            <a:r>
              <a:rPr b="1" sz="1600">
                <a:solidFill>
                  <a:srgbClr val="757575"/>
                </a:solidFill>
                <a:latin typeface="+mn-lt"/>
              </a:rPr>
              <a:t>Número de dias atrasados</a:t>
            </a:r>
          </a:p>
        </c:rich>
      </c:tx>
      <c:overlay val="0"/>
    </c:title>
    <c:plotArea>
      <c:layout/>
      <c:lineChart>
        <c:ser>
          <c:idx val="0"/>
          <c:order val="0"/>
          <c:tx>
            <c:v>NCiv</c:v>
          </c:tx>
          <c:spPr>
            <a:ln cmpd="sng">
              <a:solidFill>
                <a:schemeClr val="accent3"/>
              </a:solidFill>
            </a:ln>
          </c:spPr>
          <c:marker>
            <c:symbol val="none"/>
          </c:marker>
          <c:cat>
            <c:strRef>
              <c:f>'Métricas'!$B$37:$B$116</c:f>
            </c:strRef>
          </c:cat>
          <c:val>
            <c:numRef>
              <c:f>'Métricas'!$S$36:$S$116</c:f>
              <c:numCache/>
            </c:numRef>
          </c:val>
          <c:smooth val="0"/>
        </c:ser>
        <c:ser>
          <c:idx val="1"/>
          <c:order val="1"/>
          <c:tx>
            <c:v>NCon</c:v>
          </c:tx>
          <c:spPr>
            <a:ln cmpd="sng">
              <a:solidFill>
                <a:srgbClr val="38761D">
                  <a:alpha val="100000"/>
                </a:srgbClr>
              </a:solidFill>
            </a:ln>
          </c:spPr>
          <c:marker>
            <c:symbol val="none"/>
          </c:marker>
          <c:cat>
            <c:strRef>
              <c:f>'Métricas'!$B$37:$B$116</c:f>
            </c:strRef>
          </c:cat>
          <c:val>
            <c:numRef>
              <c:f>'Métricas'!$T$36:$T$116</c:f>
              <c:numCache/>
            </c:numRef>
          </c:val>
          <c:smooth val="0"/>
        </c:ser>
        <c:ser>
          <c:idx val="2"/>
          <c:order val="2"/>
          <c:tx>
            <c:v>NDados</c:v>
          </c:tx>
          <c:spPr>
            <a:ln cmpd="sng">
              <a:solidFill>
                <a:srgbClr val="8430CE">
                  <a:alpha val="100000"/>
                </a:srgbClr>
              </a:solidFill>
            </a:ln>
          </c:spPr>
          <c:marker>
            <c:symbol val="none"/>
          </c:marker>
          <c:cat>
            <c:strRef>
              <c:f>'Métricas'!$B$37:$B$116</c:f>
            </c:strRef>
          </c:cat>
          <c:val>
            <c:numRef>
              <c:f>'Métricas'!$U$36:$U$116</c:f>
              <c:numCache/>
            </c:numRef>
          </c:val>
          <c:smooth val="0"/>
        </c:ser>
        <c:ser>
          <c:idx val="3"/>
          <c:order val="3"/>
          <c:tx>
            <c:v>NTec</c:v>
          </c:tx>
          <c:spPr>
            <a:ln cmpd="sng">
              <a:solidFill>
                <a:srgbClr val="004E95">
                  <a:alpha val="100000"/>
                </a:srgbClr>
              </a:solidFill>
            </a:ln>
          </c:spPr>
          <c:marker>
            <c:symbol val="none"/>
          </c:marker>
          <c:cat>
            <c:strRef>
              <c:f>'Métricas'!$B$37:$B$116</c:f>
            </c:strRef>
          </c:cat>
          <c:val>
            <c:numRef>
              <c:f>'Métricas'!$V$36:$V$116</c:f>
              <c:numCache/>
            </c:numRef>
          </c:val>
          <c:smooth val="0"/>
        </c:ser>
        <c:axId val="2108671533"/>
        <c:axId val="484333295"/>
      </c:lineChart>
      <c:catAx>
        <c:axId val="210867153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484333295"/>
      </c:catAx>
      <c:valAx>
        <c:axId val="48433329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108671533"/>
      </c:valAx>
    </c:plotArea>
    <c:legend>
      <c:legendPos val="r"/>
      <c:overlay val="0"/>
      <c:txPr>
        <a:bodyPr/>
        <a:lstStyle/>
        <a:p>
          <a:pPr lvl="0">
            <a:defRPr b="0">
              <a:solidFill>
                <a:srgbClr val="1A1A1A"/>
              </a:solidFill>
              <a:latin typeface="+mn-lt"/>
            </a:defRPr>
          </a:pPr>
        </a:p>
      </c:txPr>
    </c:legend>
    <c:plotVisOnly val="1"/>
  </c:chart>
</c:chartSpace>
</file>

<file path=xl/charts/chart1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666666"/>
                </a:solidFill>
                <a:latin typeface="+mn-lt"/>
              </a:defRPr>
            </a:pPr>
            <a:r>
              <a:rPr b="1" sz="1600">
                <a:solidFill>
                  <a:srgbClr val="666666"/>
                </a:solidFill>
                <a:latin typeface="+mn-lt"/>
              </a:rPr>
              <a:t>Evolução do NPS dos núcleos</a:t>
            </a:r>
          </a:p>
        </c:rich>
      </c:tx>
      <c:overlay val="0"/>
    </c:title>
    <c:plotArea>
      <c:layout/>
      <c:lineChart>
        <c:ser>
          <c:idx val="0"/>
          <c:order val="0"/>
          <c:spPr>
            <a:ln cmpd="sng">
              <a:solidFill>
                <a:schemeClr val="accent3"/>
              </a:solidFill>
            </a:ln>
          </c:spPr>
          <c:marker>
            <c:symbol val="none"/>
          </c:marker>
          <c:cat>
            <c:strRef>
              <c:f>'Métricas'!$B$37:$B$157</c:f>
            </c:strRef>
          </c:cat>
          <c:val>
            <c:numRef>
              <c:f>'Métricas'!$Y$37:$Y$157</c:f>
              <c:numCache/>
            </c:numRef>
          </c:val>
          <c:smooth val="0"/>
        </c:ser>
        <c:ser>
          <c:idx val="1"/>
          <c:order val="1"/>
          <c:spPr>
            <a:ln cmpd="sng">
              <a:solidFill>
                <a:srgbClr val="38761D">
                  <a:alpha val="100000"/>
                </a:srgbClr>
              </a:solidFill>
            </a:ln>
          </c:spPr>
          <c:marker>
            <c:symbol val="none"/>
          </c:marker>
          <c:cat>
            <c:strRef>
              <c:f>'Métricas'!$B$37:$B$157</c:f>
            </c:strRef>
          </c:cat>
          <c:val>
            <c:numRef>
              <c:f>'Métricas'!$Z$37:$Z$157</c:f>
              <c:numCache/>
            </c:numRef>
          </c:val>
          <c:smooth val="0"/>
        </c:ser>
        <c:ser>
          <c:idx val="2"/>
          <c:order val="2"/>
          <c:spPr>
            <a:ln cmpd="sng">
              <a:solidFill>
                <a:srgbClr val="8430CE">
                  <a:alpha val="100000"/>
                </a:srgbClr>
              </a:solidFill>
            </a:ln>
          </c:spPr>
          <c:marker>
            <c:symbol val="none"/>
          </c:marker>
          <c:cat>
            <c:strRef>
              <c:f>'Métricas'!$B$37:$B$157</c:f>
            </c:strRef>
          </c:cat>
          <c:val>
            <c:numRef>
              <c:f>'Métricas'!$AA$37:$AA$157</c:f>
              <c:numCache/>
            </c:numRef>
          </c:val>
          <c:smooth val="0"/>
        </c:ser>
        <c:ser>
          <c:idx val="3"/>
          <c:order val="3"/>
          <c:spPr>
            <a:ln cmpd="sng">
              <a:solidFill>
                <a:srgbClr val="004E95">
                  <a:alpha val="100000"/>
                </a:srgbClr>
              </a:solidFill>
            </a:ln>
          </c:spPr>
          <c:marker>
            <c:symbol val="none"/>
          </c:marker>
          <c:dPt>
            <c:idx val="63"/>
            <c:marker>
              <c:symbol val="none"/>
            </c:marker>
          </c:dPt>
          <c:cat>
            <c:strRef>
              <c:f>'Métricas'!$B$37:$B$157</c:f>
            </c:strRef>
          </c:cat>
          <c:val>
            <c:numRef>
              <c:f>'Métricas'!$AB$37:$AB$157</c:f>
              <c:numCache/>
            </c:numRef>
          </c:val>
          <c:smooth val="0"/>
        </c:ser>
        <c:axId val="1778144408"/>
        <c:axId val="572776708"/>
      </c:lineChart>
      <c:catAx>
        <c:axId val="177814440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572776708"/>
      </c:catAx>
      <c:valAx>
        <c:axId val="57277670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778144408"/>
      </c:valAx>
    </c:plotArea>
    <c:legend>
      <c:legendPos val="r"/>
      <c:overlay val="0"/>
      <c:txPr>
        <a:bodyPr/>
        <a:lstStyle/>
        <a:p>
          <a:pPr lvl="0">
            <a:defRPr b="0">
              <a:solidFill>
                <a:srgbClr val="1A1A1A"/>
              </a:solidFill>
              <a:latin typeface="+mn-lt"/>
            </a:defRPr>
          </a:pPr>
        </a:p>
      </c:txPr>
    </c:legend>
    <c:plotVisOnly val="1"/>
  </c:chart>
</c:chartSpace>
</file>

<file path=xl/charts/chart1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600">
                <a:solidFill>
                  <a:srgbClr val="666666"/>
                </a:solidFill>
                <a:latin typeface="+mn-lt"/>
              </a:defRPr>
            </a:pPr>
            <a:r>
              <a:rPr b="1" sz="1600">
                <a:solidFill>
                  <a:srgbClr val="666666"/>
                </a:solidFill>
                <a:latin typeface="+mn-lt"/>
              </a:rPr>
              <a:t>Projetos congelados</a:t>
            </a:r>
          </a:p>
        </c:rich>
      </c:tx>
      <c:overlay val="0"/>
    </c:title>
    <c:plotArea>
      <c:layout/>
      <c:barChart>
        <c:barDir val="col"/>
        <c:ser>
          <c:idx val="0"/>
          <c:order val="0"/>
          <c:spPr>
            <a:solidFill>
              <a:srgbClr val="FBBC04"/>
            </a:solidFill>
            <a:ln cmpd="sng">
              <a:solidFill>
                <a:srgbClr val="000000"/>
              </a:solidFill>
            </a:ln>
          </c:spPr>
          <c:dPt>
            <c:idx val="0"/>
            <c:spPr>
              <a:solidFill>
                <a:srgbClr val="FBBC04"/>
              </a:solidFill>
              <a:ln cmpd="sng">
                <a:solidFill>
                  <a:srgbClr val="000000"/>
                </a:solidFill>
              </a:ln>
            </c:spPr>
          </c:dPt>
          <c:dLbls>
            <c:numFmt formatCode="General" sourceLinked="1"/>
            <c:txPr>
              <a:bodyPr/>
              <a:lstStyle/>
              <a:p>
                <a:pPr lvl="0">
                  <a:defRPr/>
                </a:pPr>
              </a:p>
            </c:txPr>
            <c:showLegendKey val="0"/>
            <c:showVal val="1"/>
            <c:showCatName val="0"/>
            <c:showSerName val="0"/>
            <c:showPercent val="0"/>
            <c:showBubbleSize val="0"/>
          </c:dLbls>
          <c:cat>
            <c:strRef>
              <c:f>'Métricas'!$B$31</c:f>
            </c:strRef>
          </c:cat>
          <c:val>
            <c:numRef>
              <c:f>'Métricas'!$C$31</c:f>
              <c:numCache/>
            </c:numRef>
          </c:val>
        </c:ser>
        <c:ser>
          <c:idx val="1"/>
          <c:order val="1"/>
          <c:spPr>
            <a:solidFill>
              <a:srgbClr val="38761D"/>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'Métricas'!$B$31</c:f>
            </c:strRef>
          </c:cat>
          <c:val>
            <c:numRef>
              <c:f>'Métricas'!$D$31</c:f>
              <c:numCache/>
            </c:numRef>
          </c:val>
        </c:ser>
        <c:ser>
          <c:idx val="2"/>
          <c:order val="2"/>
          <c:spPr>
            <a:solidFill>
              <a:srgbClr val="8430CE"/>
            </a:solidFill>
            <a:ln cmpd="sng">
              <a:solidFill>
                <a:srgbClr val="000000"/>
              </a:solidFill>
            </a:ln>
          </c:spPr>
          <c:dPt>
            <c:idx val="0"/>
            <c:spPr>
              <a:solidFill>
                <a:srgbClr val="8430CE"/>
              </a:solidFill>
              <a:ln cmpd="sng">
                <a:solidFill>
                  <a:srgbClr val="000000"/>
                </a:solidFill>
              </a:ln>
            </c:spPr>
          </c:dPt>
          <c:dLbls>
            <c:numFmt formatCode="General" sourceLinked="1"/>
            <c:txPr>
              <a:bodyPr/>
              <a:lstStyle/>
              <a:p>
                <a:pPr lvl="0">
                  <a:defRPr/>
                </a:pPr>
              </a:p>
            </c:txPr>
            <c:showLegendKey val="0"/>
            <c:showVal val="1"/>
            <c:showCatName val="0"/>
            <c:showSerName val="0"/>
            <c:showPercent val="0"/>
            <c:showBubbleSize val="0"/>
          </c:dLbls>
          <c:cat>
            <c:strRef>
              <c:f>'Métricas'!$B$31</c:f>
            </c:strRef>
          </c:cat>
          <c:val>
            <c:numRef>
              <c:f>'Métricas'!$E$31</c:f>
              <c:numCache/>
            </c:numRef>
          </c:val>
        </c:ser>
        <c:ser>
          <c:idx val="3"/>
          <c:order val="3"/>
          <c:spPr>
            <a:solidFill>
              <a:srgbClr val="004E95"/>
            </a:solidFill>
            <a:ln cmpd="sng">
              <a:solidFill>
                <a:srgbClr val="000000"/>
              </a:solidFill>
            </a:ln>
          </c:spPr>
          <c:dPt>
            <c:idx val="0"/>
            <c:spPr>
              <a:solidFill>
                <a:srgbClr val="004E95"/>
              </a:solidFill>
              <a:ln cmpd="sng">
                <a:solidFill>
                  <a:srgbClr val="000000"/>
                </a:solidFill>
              </a:ln>
            </c:spPr>
          </c:dPt>
          <c:dLbls>
            <c:numFmt formatCode="General" sourceLinked="1"/>
            <c:txPr>
              <a:bodyPr/>
              <a:lstStyle/>
              <a:p>
                <a:pPr lvl="0">
                  <a:defRPr/>
                </a:pPr>
              </a:p>
            </c:txPr>
            <c:showLegendKey val="0"/>
            <c:showVal val="1"/>
            <c:showCatName val="0"/>
            <c:showSerName val="0"/>
            <c:showPercent val="0"/>
            <c:showBubbleSize val="0"/>
          </c:dLbls>
          <c:cat>
            <c:strRef>
              <c:f>'Métricas'!$B$31</c:f>
            </c:strRef>
          </c:cat>
          <c:val>
            <c:numRef>
              <c:f>'Métricas'!$F$31</c:f>
              <c:numCache/>
            </c:numRef>
          </c:val>
        </c:ser>
        <c:ser>
          <c:idx val="4"/>
          <c:order val="4"/>
          <c:cat>
            <c:strRef>
              <c:f>'Métricas'!$B$31</c:f>
            </c:strRef>
          </c:cat>
          <c:val>
            <c:numRef>
              <c:f>'Métricas'!$D$11</c:f>
              <c:numCache/>
            </c:numRef>
          </c:val>
        </c:ser>
        <c:ser>
          <c:idx val="5"/>
          <c:order val="5"/>
          <c:cat>
            <c:strRef>
              <c:f>'Métricas'!$B$31</c:f>
            </c:strRef>
          </c:cat>
          <c:val>
            <c:numRef>
              <c:f>'Métricas'!$E$11</c:f>
              <c:numCache/>
            </c:numRef>
          </c:val>
        </c:ser>
        <c:ser>
          <c:idx val="6"/>
          <c:order val="6"/>
          <c:cat>
            <c:strRef>
              <c:f>'Métricas'!$B$31</c:f>
            </c:strRef>
          </c:cat>
          <c:val>
            <c:numRef>
              <c:f>'Métricas'!$F$11</c:f>
              <c:numCache/>
            </c:numRef>
          </c:val>
        </c:ser>
        <c:axId val="716009291"/>
        <c:axId val="1586523995"/>
      </c:barChart>
      <c:catAx>
        <c:axId val="71600929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FFFFFF"/>
                </a:solidFill>
                <a:latin typeface="+mn-lt"/>
              </a:defRPr>
            </a:pPr>
          </a:p>
        </c:txPr>
        <c:crossAx val="1586523995"/>
      </c:catAx>
      <c:valAx>
        <c:axId val="158652399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716009291"/>
      </c:valAx>
    </c:plotArea>
    <c:plotVisOnly val="1"/>
  </c:chart>
</c:chartSpace>
</file>

<file path=xl/charts/chart1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sz="1500">
                <a:solidFill>
                  <a:srgbClr val="666666"/>
                </a:solidFill>
                <a:latin typeface="+mn-lt"/>
              </a:defRPr>
            </a:pPr>
            <a:r>
              <a:rPr b="1" sz="1500">
                <a:solidFill>
                  <a:srgbClr val="666666"/>
                </a:solidFill>
                <a:latin typeface="+mn-lt"/>
              </a:rPr>
              <a:t>Projetos em execução por coordenador/PMs de projetos no núcleo</a:t>
            </a:r>
          </a:p>
        </c:rich>
      </c:tx>
      <c:overlay val="0"/>
    </c:title>
    <c:plotArea>
      <c:layout/>
      <c:barChart>
        <c:barDir val="bar"/>
        <c:ser>
          <c:idx val="0"/>
          <c:order val="0"/>
          <c:spPr>
            <a:solidFill>
              <a:schemeClr val="accent3"/>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val>
            <c:numRef>
              <c:f>'Métricas'!$C$32</c:f>
              <c:numCache/>
            </c:numRef>
          </c:val>
        </c:ser>
        <c:ser>
          <c:idx val="1"/>
          <c:order val="1"/>
          <c:spPr>
            <a:solidFill>
              <a:srgbClr val="38761D"/>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val>
            <c:numRef>
              <c:f>'Métricas'!$D$32</c:f>
              <c:numCache/>
            </c:numRef>
          </c:val>
        </c:ser>
        <c:ser>
          <c:idx val="2"/>
          <c:order val="2"/>
          <c:spPr>
            <a:solidFill>
              <a:srgbClr val="004E95"/>
            </a:solidFill>
            <a:ln cmpd="sng">
              <a:solidFill>
                <a:srgbClr val="000000"/>
              </a:solidFill>
            </a:ln>
          </c:spPr>
          <c:dPt>
            <c:idx val="0"/>
            <c:spPr>
              <a:solidFill>
                <a:srgbClr val="8430CE"/>
              </a:solidFill>
              <a:ln cmpd="sng">
                <a:solidFill>
                  <a:srgbClr val="000000"/>
                </a:solidFill>
              </a:ln>
            </c:spPr>
          </c:dPt>
          <c:dLbls>
            <c:numFmt formatCode="General" sourceLinked="1"/>
            <c:txPr>
              <a:bodyPr/>
              <a:lstStyle/>
              <a:p>
                <a:pPr lvl="0">
                  <a:defRPr/>
                </a:pPr>
              </a:p>
            </c:txPr>
            <c:showLegendKey val="0"/>
            <c:showVal val="1"/>
            <c:showCatName val="0"/>
            <c:showSerName val="0"/>
            <c:showPercent val="0"/>
            <c:showBubbleSize val="0"/>
          </c:dLbls>
          <c:val>
            <c:numRef>
              <c:f>'Métricas'!$E$32</c:f>
              <c:numCache/>
            </c:numRef>
          </c:val>
        </c:ser>
        <c:ser>
          <c:idx val="3"/>
          <c:order val="3"/>
          <c:spPr>
            <a:solidFill>
              <a:srgbClr val="38761D"/>
            </a:solidFill>
            <a:ln cmpd="sng">
              <a:solidFill>
                <a:srgbClr val="000000"/>
              </a:solidFill>
            </a:ln>
          </c:spPr>
          <c:dPt>
            <c:idx val="0"/>
            <c:spPr>
              <a:solidFill>
                <a:srgbClr val="004E95"/>
              </a:solidFill>
              <a:ln cmpd="sng">
                <a:solidFill>
                  <a:srgbClr val="000000"/>
                </a:solidFill>
              </a:ln>
            </c:spPr>
          </c:dPt>
          <c:dLbls>
            <c:numFmt formatCode="0.00" sourceLinked="0"/>
            <c:txPr>
              <a:bodyPr/>
              <a:lstStyle/>
              <a:p>
                <a:pPr lvl="0">
                  <a:defRPr/>
                </a:pPr>
              </a:p>
            </c:txPr>
            <c:showLegendKey val="0"/>
            <c:showVal val="1"/>
            <c:showCatName val="0"/>
            <c:showSerName val="0"/>
            <c:showPercent val="0"/>
            <c:showBubbleSize val="0"/>
          </c:dLbls>
          <c:val>
            <c:numRef>
              <c:f>'Métricas'!$F$32</c:f>
              <c:numCache/>
            </c:numRef>
          </c:val>
        </c:ser>
        <c:axId val="385041284"/>
        <c:axId val="544576277"/>
      </c:barChart>
      <c:catAx>
        <c:axId val="385041284"/>
        <c:scaling>
          <c:orientation val="maxMin"/>
        </c:scaling>
        <c:delete val="0"/>
        <c:axPos val="l"/>
        <c:title>
          <c:tx>
            <c:rich>
              <a:bodyPr/>
              <a:lstStyle/>
              <a:p>
                <a:pPr lvl="0">
                  <a:defRPr b="0">
                    <a:solidFill>
                      <a:srgbClr val="000000"/>
                    </a:solidFill>
                    <a:latin typeface="+mn-lt"/>
                  </a:defRPr>
                </a:pPr>
                <a:r>
                  <a:rPr b="0">
                    <a:solidFill>
                      <a:srgbClr val="000000"/>
                    </a:solidFill>
                    <a:latin typeface="+mn-lt"/>
                  </a:rPr>
                  <a:t>Projetos em execução/coord</a:t>
                </a:r>
              </a:p>
            </c:rich>
          </c:tx>
          <c:overlay val="0"/>
        </c:title>
        <c:numFmt formatCode="General" sourceLinked="1"/>
        <c:majorTickMark val="none"/>
        <c:minorTickMark val="none"/>
        <c:spPr/>
        <c:txPr>
          <a:bodyPr/>
          <a:lstStyle/>
          <a:p>
            <a:pPr lvl="0">
              <a:defRPr b="0">
                <a:solidFill>
                  <a:srgbClr val="000000"/>
                </a:solidFill>
                <a:latin typeface="+mn-lt"/>
              </a:defRPr>
            </a:pPr>
          </a:p>
        </c:txPr>
        <c:crossAx val="544576277"/>
      </c:catAx>
      <c:valAx>
        <c:axId val="544576277"/>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385041284"/>
        <c:crosses val="max"/>
      </c:valAx>
    </c:plotArea>
    <c:plotVisOnly val="1"/>
  </c:chart>
</c:chartSpace>
</file>

<file path=xl/charts/chart1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1600">
                <a:solidFill>
                  <a:srgbClr val="757575"/>
                </a:solidFill>
                <a:latin typeface="+mn-lt"/>
              </a:defRPr>
            </a:pPr>
            <a:r>
              <a:rPr b="0" sz="1600">
                <a:solidFill>
                  <a:srgbClr val="757575"/>
                </a:solidFill>
                <a:latin typeface="+mn-lt"/>
              </a:rPr>
              <a:t>Projetos em Execução</a:t>
            </a:r>
          </a:p>
        </c:rich>
      </c:tx>
      <c:overlay val="0"/>
    </c:title>
    <c:plotArea>
      <c:layout/>
      <c:doughnutChart>
        <c:varyColors val="1"/>
        <c:ser>
          <c:idx val="0"/>
          <c:order val="0"/>
          <c:tx>
            <c:strRef>
              <c:f>'Dash Núcleos'!$C$6</c:f>
            </c:strRef>
          </c:tx>
          <c:dPt>
            <c:idx val="0"/>
            <c:spPr>
              <a:solidFill>
                <a:srgbClr val="FFF9C4"/>
              </a:solidFill>
            </c:spPr>
          </c:dPt>
          <c:dPt>
            <c:idx val="1"/>
            <c:spPr>
              <a:solidFill>
                <a:srgbClr val="FFF176"/>
              </a:solidFill>
            </c:spPr>
          </c:dPt>
          <c:dPt>
            <c:idx val="2"/>
            <c:spPr>
              <a:solidFill>
                <a:srgbClr val="FFEB3B"/>
              </a:solidFill>
            </c:spPr>
          </c:dPt>
          <c:dPt>
            <c:idx val="3"/>
            <c:spPr>
              <a:solidFill>
                <a:srgbClr val="FDD835"/>
              </a:solidFill>
            </c:spPr>
          </c:dPt>
          <c:dPt>
            <c:idx val="4"/>
            <c:spPr>
              <a:solidFill>
                <a:srgbClr val="FBC02D"/>
              </a:solidFill>
            </c:spPr>
          </c:dPt>
          <c:dPt>
            <c:idx val="5"/>
            <c:spPr>
              <a:solidFill>
                <a:srgbClr val="F9A825"/>
              </a:solidFill>
            </c:spPr>
          </c:dPt>
          <c:dPt>
            <c:idx val="6"/>
            <c:spPr>
              <a:solidFill>
                <a:srgbClr val="F57F17"/>
              </a:solidFill>
            </c:spPr>
          </c:dPt>
          <c:dPt>
            <c:idx val="7"/>
            <c:spPr>
              <a:solidFill>
                <a:srgbClr val="FFD54F"/>
              </a:solidFill>
            </c:spPr>
          </c:dPt>
          <c:dPt>
            <c:idx val="8"/>
            <c:spPr>
              <a:solidFill>
                <a:srgbClr val="FFE082"/>
              </a:solidFill>
            </c:spPr>
          </c:dPt>
          <c:dPt>
            <c:idx val="9"/>
            <c:spPr>
              <a:solidFill>
                <a:srgbClr val="FFCA28"/>
              </a:solidFill>
            </c:spPr>
          </c:dPt>
          <c:dPt>
            <c:idx val="10"/>
            <c:spPr>
              <a:solidFill>
                <a:srgbClr val="FFB300"/>
              </a:solidFill>
            </c:spPr>
          </c:dPt>
          <c:dPt>
            <c:idx val="11"/>
            <c:spPr>
              <a:solidFill>
                <a:srgbClr val="FFA000"/>
              </a:solidFill>
            </c:spPr>
          </c:dPt>
          <c:dPt>
            <c:idx val="12"/>
            <c:spPr>
              <a:solidFill>
                <a:srgbClr val="FF8F00"/>
              </a:solidFill>
            </c:spPr>
          </c:dPt>
          <c:dPt>
            <c:idx val="13"/>
            <c:spPr>
              <a:solidFill>
                <a:srgbClr val="FF6F00"/>
              </a:solidFill>
            </c:spPr>
          </c:dPt>
          <c:dPt>
            <c:idx val="14"/>
            <c:spPr>
              <a:solidFill>
                <a:srgbClr val="FFE57F"/>
              </a:solidFill>
            </c:spPr>
          </c:dPt>
          <c:dLbls>
            <c:showLegendKey val="0"/>
            <c:showVal val="0"/>
            <c:showCatName val="0"/>
            <c:showSerName val="0"/>
            <c:showPercent val="0"/>
            <c:showBubbleSize val="0"/>
            <c:showLeaderLines val="1"/>
          </c:dLbls>
          <c:cat>
            <c:strRef>
              <c:f>'Dash Núcleos'!$B$7:$B$21</c:f>
            </c:strRef>
          </c:cat>
          <c:val>
            <c:numRef>
              <c:f>'Dash Núcleos'!$C$7:$C$21</c:f>
              <c:numCache/>
            </c:numRef>
          </c:val>
        </c:ser>
        <c:dLbls>
          <c:showLegendKey val="0"/>
          <c:showVal val="0"/>
          <c:showCatName val="0"/>
          <c:showSerName val="0"/>
          <c:showPercent val="0"/>
          <c:showBubbleSize val="0"/>
        </c:dLbls>
        <c:holeSize val="50"/>
      </c:doughnutChart>
    </c:plotArea>
    <c:legend>
      <c:legendPos val="r"/>
      <c:overlay val="0"/>
      <c:txPr>
        <a:bodyPr/>
        <a:lstStyle/>
        <a:p>
          <a:pPr lvl="0">
            <a:defRPr b="0">
              <a:solidFill>
                <a:srgbClr val="1A1A1A"/>
              </a:solidFill>
              <a:latin typeface="+mn-lt"/>
            </a:defRPr>
          </a:pPr>
        </a:p>
      </c:txPr>
    </c:legend>
    <c:plotVisOnly val="1"/>
  </c:chart>
</c:chartSpace>
</file>

<file path=xl/charts/chart1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Projetos em Execução</a:t>
            </a:r>
          </a:p>
        </c:rich>
      </c:tx>
      <c:overlay val="0"/>
    </c:title>
    <c:plotArea>
      <c:layout/>
      <c:doughnutChart>
        <c:varyColors val="1"/>
        <c:ser>
          <c:idx val="0"/>
          <c:order val="0"/>
          <c:tx>
            <c:strRef>
              <c:f>'Dash Núcleos'!$Q$6:$Q$7</c:f>
            </c:strRef>
          </c:tx>
          <c:dPt>
            <c:idx val="0"/>
            <c:spPr>
              <a:solidFill>
                <a:srgbClr val="A8E6CF"/>
              </a:solidFill>
            </c:spPr>
          </c:dPt>
          <c:dPt>
            <c:idx val="1"/>
            <c:spPr>
              <a:solidFill>
                <a:srgbClr val="56C596"/>
              </a:solidFill>
            </c:spPr>
          </c:dPt>
          <c:dPt>
            <c:idx val="2"/>
            <c:spPr>
              <a:solidFill>
                <a:srgbClr val="00B894"/>
              </a:solidFill>
            </c:spPr>
          </c:dPt>
          <c:dLbls>
            <c:showLegendKey val="0"/>
            <c:showVal val="0"/>
            <c:showCatName val="0"/>
            <c:showSerName val="0"/>
            <c:showPercent val="0"/>
            <c:showBubbleSize val="0"/>
            <c:showLeaderLines val="1"/>
          </c:dLbls>
          <c:cat>
            <c:strRef>
              <c:f>'Dash Núcleos'!$P$8:$P$10</c:f>
            </c:strRef>
          </c:cat>
          <c:val>
            <c:numRef>
              <c:f>'Dash Núcleos'!$Q$8:$Q$10</c:f>
              <c:numCache/>
            </c:numRef>
          </c:val>
        </c:ser>
        <c:dLbls>
          <c:showLegendKey val="0"/>
          <c:showVal val="0"/>
          <c:showCatName val="0"/>
          <c:showSerName val="0"/>
          <c:showPercent val="0"/>
          <c:showBubbleSize val="0"/>
        </c:dLbls>
        <c:holeSize val="50"/>
      </c:doughnutChart>
    </c:plotArea>
    <c:legend>
      <c:legendPos val="r"/>
      <c:overlay val="0"/>
      <c:txPr>
        <a:bodyPr/>
        <a:lstStyle/>
        <a:p>
          <a:pPr lvl="0">
            <a:defRPr b="0">
              <a:solidFill>
                <a:srgbClr val="1A1A1A"/>
              </a:solidFill>
              <a:latin typeface="+mn-lt"/>
            </a:defRPr>
          </a:pPr>
        </a:p>
      </c:txPr>
    </c:legend>
    <c:plotVisOnly val="1"/>
  </c:chart>
</c:chartSpace>
</file>

<file path=xl/charts/chart1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Projetos em Execução</a:t>
            </a:r>
          </a:p>
        </c:rich>
      </c:tx>
      <c:overlay val="0"/>
    </c:title>
    <c:plotArea>
      <c:layout/>
      <c:doughnutChart>
        <c:varyColors val="1"/>
        <c:ser>
          <c:idx val="0"/>
          <c:order val="0"/>
          <c:tx>
            <c:strRef>
              <c:f>'Dash Núcleos'!$AE$6</c:f>
            </c:strRef>
          </c:tx>
          <c:dPt>
            <c:idx val="0"/>
            <c:spPr>
              <a:solidFill>
                <a:srgbClr val="E6E6FA"/>
              </a:solidFill>
            </c:spPr>
          </c:dPt>
          <c:dPt>
            <c:idx val="1"/>
            <c:spPr>
              <a:solidFill>
                <a:srgbClr val="D8BFD8"/>
              </a:solidFill>
            </c:spPr>
          </c:dPt>
          <c:dPt>
            <c:idx val="2"/>
            <c:spPr>
              <a:solidFill>
                <a:srgbClr val="DA70D6"/>
              </a:solidFill>
            </c:spPr>
          </c:dPt>
          <c:dPt>
            <c:idx val="3"/>
            <c:spPr>
              <a:solidFill>
                <a:srgbClr val="9370DB"/>
              </a:solidFill>
            </c:spPr>
          </c:dPt>
          <c:dPt>
            <c:idx val="4"/>
            <c:spPr>
              <a:solidFill>
                <a:srgbClr val="800080"/>
              </a:solidFill>
            </c:spPr>
          </c:dPt>
          <c:dPt>
            <c:idx val="5"/>
            <c:spPr>
              <a:solidFill>
                <a:srgbClr val="9400D3"/>
              </a:solidFill>
            </c:spPr>
          </c:dPt>
          <c:dPt>
            <c:idx val="6"/>
            <c:spPr>
              <a:solidFill>
                <a:srgbClr val="4B0082"/>
              </a:solidFill>
            </c:spPr>
          </c:dPt>
          <c:dPt>
            <c:idx val="7"/>
            <c:spPr>
              <a:solidFill>
                <a:srgbClr val="8E4585"/>
              </a:solidFill>
            </c:spPr>
          </c:dPt>
          <c:dLbls>
            <c:showLegendKey val="0"/>
            <c:showVal val="0"/>
            <c:showCatName val="0"/>
            <c:showSerName val="0"/>
            <c:showPercent val="0"/>
            <c:showBubbleSize val="0"/>
            <c:showLeaderLines val="1"/>
          </c:dLbls>
          <c:cat>
            <c:strRef>
              <c:f>'Dash Núcleos'!$AD$7:$AD$14</c:f>
            </c:strRef>
          </c:cat>
          <c:val>
            <c:numRef>
              <c:f>'Dash Núcleos'!$AE$7:$AE$14</c:f>
              <c:numCache/>
            </c:numRef>
          </c:val>
        </c:ser>
        <c:dLbls>
          <c:showLegendKey val="0"/>
          <c:showVal val="0"/>
          <c:showCatName val="0"/>
          <c:showSerName val="0"/>
          <c:showPercent val="0"/>
          <c:showBubbleSize val="0"/>
        </c:dLbls>
        <c:holeSize val="50"/>
      </c:doughnutChart>
    </c:plotArea>
    <c:legend>
      <c:legendPos val="r"/>
      <c:overlay val="0"/>
      <c:txPr>
        <a:bodyPr/>
        <a:lstStyle/>
        <a:p>
          <a:pPr lvl="0">
            <a:defRPr b="0">
              <a:solidFill>
                <a:srgbClr val="1A1A1A"/>
              </a:solidFill>
              <a:latin typeface="+mn-lt"/>
            </a:defRPr>
          </a:pPr>
        </a:p>
      </c:txPr>
    </c:legend>
    <c:plotVisOnly val="1"/>
  </c:chart>
</c:chartSpace>
</file>

<file path=xl/charts/chart1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Projetos em execução</a:t>
            </a:r>
          </a:p>
        </c:rich>
      </c:tx>
      <c:overlay val="0"/>
    </c:title>
    <c:plotArea>
      <c:layout/>
      <c:doughnutChart>
        <c:varyColors val="1"/>
        <c:ser>
          <c:idx val="0"/>
          <c:order val="0"/>
          <c:tx>
            <c:strRef>
              <c:f>'Dash Núcleos'!$AS$6</c:f>
            </c:strRef>
          </c:tx>
          <c:dPt>
            <c:idx val="0"/>
            <c:spPr>
              <a:solidFill>
                <a:srgbClr val="ADD8E6"/>
              </a:solidFill>
            </c:spPr>
          </c:dPt>
          <c:dPt>
            <c:idx val="1"/>
            <c:spPr>
              <a:solidFill>
                <a:srgbClr val="87CEEB"/>
              </a:solidFill>
            </c:spPr>
          </c:dPt>
          <c:dPt>
            <c:idx val="2"/>
            <c:spPr>
              <a:solidFill>
                <a:srgbClr val="2B5DF1"/>
              </a:solidFill>
            </c:spPr>
          </c:dPt>
          <c:dPt>
            <c:idx val="3"/>
            <c:spPr>
              <a:solidFill>
                <a:srgbClr val="000080"/>
              </a:solidFill>
            </c:spPr>
          </c:dPt>
          <c:dLbls>
            <c:showLegendKey val="0"/>
            <c:showVal val="0"/>
            <c:showCatName val="0"/>
            <c:showSerName val="0"/>
            <c:showPercent val="0"/>
            <c:showBubbleSize val="0"/>
            <c:showLeaderLines val="1"/>
          </c:dLbls>
          <c:cat>
            <c:strRef>
              <c:f>'Dash Núcleos'!$AR$7:$AR$10</c:f>
            </c:strRef>
          </c:cat>
          <c:val>
            <c:numRef>
              <c:f>'Dash Núcleos'!$AS$7:$AS$10</c:f>
              <c:numCache/>
            </c:numRef>
          </c:val>
        </c:ser>
        <c:dLbls>
          <c:showLegendKey val="0"/>
          <c:showVal val="0"/>
          <c:showCatName val="0"/>
          <c:showSerName val="0"/>
          <c:showPercent val="0"/>
          <c:showBubbleSize val="0"/>
        </c:dLbls>
        <c:holeSize val="50"/>
      </c:doughnutChart>
    </c:plotArea>
    <c:legend>
      <c:legendPos val="r"/>
      <c:overlay val="0"/>
      <c:txPr>
        <a:bodyPr/>
        <a:lstStyle/>
        <a:p>
          <a:pPr lvl="0">
            <a:defRPr b="0">
              <a:solidFill>
                <a:srgbClr val="1A1A1A"/>
              </a:solidFill>
              <a:latin typeface="+mn-lt"/>
            </a:defRPr>
          </a:pPr>
        </a:p>
      </c:txPr>
    </c:legend>
    <c:plotVisOnly val="1"/>
  </c:chart>
</c:chartSpace>
</file>

<file path=xl/charts/chart1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NPS de Experiência</a:t>
            </a:r>
          </a:p>
        </c:rich>
      </c:tx>
      <c:overlay val="0"/>
    </c:title>
    <c:plotArea>
      <c:layout/>
      <c:barChart>
        <c:barDir val="col"/>
        <c:ser>
          <c:idx val="0"/>
          <c:order val="0"/>
          <c:spPr>
            <a:solidFill>
              <a:schemeClr val="accent3"/>
            </a:solidFill>
            <a:ln cmpd="sng">
              <a:solidFill>
                <a:srgbClr val="000000"/>
              </a:solidFill>
            </a:ln>
          </c:spPr>
          <c:cat>
            <c:strRef>
              <c:f>'Dash Núcleos'!$B$7:$B$21</c:f>
            </c:strRef>
          </c:cat>
          <c:val>
            <c:numRef>
              <c:f>'Dash Núcleos'!$I$7:$I$21</c:f>
              <c:numCache/>
            </c:numRef>
          </c:val>
        </c:ser>
        <c:axId val="1026477197"/>
        <c:axId val="1853000026"/>
      </c:barChart>
      <c:catAx>
        <c:axId val="102647719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853000026"/>
      </c:catAx>
      <c:valAx>
        <c:axId val="185300002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026477197"/>
      </c:valAx>
    </c:plotArea>
    <c:legend>
      <c:legendPos val="r"/>
      <c:overlay val="0"/>
      <c:txPr>
        <a:bodyPr/>
        <a:lstStyle/>
        <a:p>
          <a:pPr lvl="0">
            <a:defRPr b="0">
              <a:solidFill>
                <a:srgbClr val="1A1A1A"/>
              </a:solidFill>
              <a:latin typeface="+mn-lt"/>
            </a:defRPr>
          </a:pPr>
        </a:p>
      </c:txPr>
    </c:legend>
    <c:plotVisOnly val="1"/>
  </c:chart>
</c:chartSpace>
</file>

<file path=xl/charts/chart1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 Projetos ENB</a:t>
            </a:r>
          </a:p>
        </c:rich>
      </c:tx>
      <c:overlay val="0"/>
    </c:title>
    <c:plotArea>
      <c:layout/>
      <c:barChart>
        <c:barDir val="bar"/>
        <c:ser>
          <c:idx val="0"/>
          <c:order val="0"/>
          <c:spPr>
            <a:solidFill>
              <a:schemeClr val="accent3"/>
            </a:solidFill>
            <a:ln cmpd="sng">
              <a:solidFill>
                <a:srgbClr val="000000"/>
              </a:solidFill>
            </a:ln>
          </c:spPr>
          <c:dPt>
            <c:idx val="4"/>
          </c:dPt>
          <c:dPt>
            <c:idx val="7"/>
            <c:spPr>
              <a:solidFill>
                <a:schemeClr val="accent3"/>
              </a:solidFill>
              <a:ln cmpd="sng">
                <a:solidFill>
                  <a:srgbClr val="000000"/>
                </a:solidFill>
              </a:ln>
            </c:spPr>
          </c:dPt>
          <c:dPt>
            <c:idx val="10"/>
            <c:spPr>
              <a:solidFill>
                <a:schemeClr val="accent3"/>
              </a:solidFill>
              <a:ln cmpd="sng">
                <a:solidFill>
                  <a:srgbClr val="000000"/>
                </a:solidFill>
              </a:ln>
            </c:spPr>
          </c:dPt>
          <c:cat>
            <c:strRef>
              <c:f>'Dash Núcleos'!$B$7:$B$21</c:f>
            </c:strRef>
          </c:cat>
          <c:val>
            <c:numRef>
              <c:f>'Dash Núcleos'!$J$7:$J$21</c:f>
              <c:numCache/>
            </c:numRef>
          </c:val>
        </c:ser>
        <c:axId val="1151964069"/>
        <c:axId val="890707025"/>
      </c:barChart>
      <c:catAx>
        <c:axId val="1151964069"/>
        <c:scaling>
          <c:orientation val="maxMin"/>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890707025"/>
      </c:catAx>
      <c:valAx>
        <c:axId val="890707025"/>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151964069"/>
        <c:crosses val="max"/>
      </c:valAx>
    </c:plotArea>
    <c:legend>
      <c:legendPos val="r"/>
      <c:overlay val="0"/>
      <c:txPr>
        <a:bodyPr/>
        <a:lstStyle/>
        <a:p>
          <a:pPr lvl="0">
            <a:defRPr b="0">
              <a:solidFill>
                <a:srgbClr val="1A1A1A"/>
              </a:solidFill>
              <a:latin typeface="+mn-lt"/>
            </a:defRPr>
          </a:pPr>
        </a:p>
      </c:txPr>
    </c:legend>
    <c:plotVisOnly val="1"/>
  </c:chart>
</c:chartSpace>
</file>

<file path=xl/charts/chart1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Taxa de Execução</a:t>
            </a:r>
          </a:p>
        </c:rich>
      </c:tx>
      <c:overlay val="0"/>
    </c:title>
    <c:plotArea>
      <c:layout/>
      <c:barChart>
        <c:barDir val="col"/>
        <c:ser>
          <c:idx val="0"/>
          <c:order val="0"/>
          <c:spPr>
            <a:solidFill>
              <a:srgbClr val="FBBC04"/>
            </a:solidFill>
            <a:ln cmpd="sng">
              <a:solidFill>
                <a:srgbClr val="000000"/>
              </a:solidFill>
            </a:ln>
          </c:spPr>
          <c:cat>
            <c:strRef>
              <c:f>'Dash Núcleos'!$B$7:$B$21</c:f>
            </c:strRef>
          </c:cat>
          <c:val>
            <c:numRef>
              <c:f>'Dash Núcleos'!$H$7:$H$21</c:f>
              <c:numCache/>
            </c:numRef>
          </c:val>
        </c:ser>
        <c:axId val="2127932733"/>
        <c:axId val="1908743474"/>
      </c:barChart>
      <c:catAx>
        <c:axId val="212793273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908743474"/>
      </c:catAx>
      <c:valAx>
        <c:axId val="190874347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127932733"/>
      </c:valAx>
    </c:plotArea>
    <c:legend>
      <c:legendPos val="r"/>
      <c:overlay val="0"/>
      <c:txPr>
        <a:bodyPr/>
        <a:lstStyle/>
        <a:p>
          <a:pPr lvl="0">
            <a:defRPr b="0">
              <a:solidFill>
                <a:srgbClr val="1A1A1A"/>
              </a:solidFill>
              <a:latin typeface="+mn-lt"/>
            </a:defRPr>
          </a:pPr>
        </a:p>
      </c:txPr>
    </c:legend>
    <c:plotVisOnly val="1"/>
  </c:chart>
</c:chartSpace>
</file>

<file path=xl/charts/chart2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Em execução Atrasados</a:t>
            </a:r>
          </a:p>
        </c:rich>
      </c:tx>
      <c:overlay val="0"/>
    </c:title>
    <c:plotArea>
      <c:layout/>
      <c:doughnutChart>
        <c:varyColors val="1"/>
        <c:ser>
          <c:idx val="0"/>
          <c:order val="0"/>
          <c:dPt>
            <c:idx val="0"/>
            <c:spPr>
              <a:solidFill>
                <a:srgbClr val="FFF9C4"/>
              </a:solidFill>
            </c:spPr>
          </c:dPt>
          <c:dPt>
            <c:idx val="1"/>
            <c:spPr>
              <a:solidFill>
                <a:srgbClr val="FFF176"/>
              </a:solidFill>
            </c:spPr>
          </c:dPt>
          <c:dPt>
            <c:idx val="2"/>
            <c:spPr>
              <a:solidFill>
                <a:srgbClr val="FFEB3B"/>
              </a:solidFill>
            </c:spPr>
          </c:dPt>
          <c:dPt>
            <c:idx val="3"/>
            <c:spPr>
              <a:solidFill>
                <a:srgbClr val="FDD835"/>
              </a:solidFill>
            </c:spPr>
          </c:dPt>
          <c:dPt>
            <c:idx val="4"/>
            <c:spPr>
              <a:solidFill>
                <a:srgbClr val="FBC02D"/>
              </a:solidFill>
            </c:spPr>
          </c:dPt>
          <c:dPt>
            <c:idx val="5"/>
            <c:spPr>
              <a:solidFill>
                <a:srgbClr val="F9A825"/>
              </a:solidFill>
            </c:spPr>
          </c:dPt>
          <c:dPt>
            <c:idx val="6"/>
            <c:spPr>
              <a:solidFill>
                <a:srgbClr val="F57F17"/>
              </a:solidFill>
            </c:spPr>
          </c:dPt>
          <c:dPt>
            <c:idx val="7"/>
            <c:spPr>
              <a:solidFill>
                <a:srgbClr val="FFD54F"/>
              </a:solidFill>
            </c:spPr>
          </c:dPt>
          <c:dPt>
            <c:idx val="8"/>
            <c:spPr>
              <a:solidFill>
                <a:srgbClr val="FFE082"/>
              </a:solidFill>
            </c:spPr>
          </c:dPt>
          <c:dPt>
            <c:idx val="9"/>
            <c:spPr>
              <a:solidFill>
                <a:srgbClr val="FFCA28"/>
              </a:solidFill>
            </c:spPr>
          </c:dPt>
          <c:dPt>
            <c:idx val="10"/>
            <c:spPr>
              <a:solidFill>
                <a:srgbClr val="FFB300"/>
              </a:solidFill>
            </c:spPr>
          </c:dPt>
          <c:dPt>
            <c:idx val="11"/>
            <c:spPr>
              <a:solidFill>
                <a:srgbClr val="FFA000"/>
              </a:solidFill>
            </c:spPr>
          </c:dPt>
          <c:dPt>
            <c:idx val="12"/>
            <c:spPr>
              <a:solidFill>
                <a:srgbClr val="FF8F00"/>
              </a:solidFill>
            </c:spPr>
          </c:dPt>
          <c:dPt>
            <c:idx val="13"/>
            <c:spPr>
              <a:solidFill>
                <a:srgbClr val="FF6F00"/>
              </a:solidFill>
            </c:spPr>
          </c:dPt>
          <c:dPt>
            <c:idx val="14"/>
            <c:spPr>
              <a:solidFill>
                <a:srgbClr val="FFE57F"/>
              </a:solidFill>
            </c:spPr>
          </c:dPt>
          <c:dLbls>
            <c:showLegendKey val="0"/>
            <c:showVal val="0"/>
            <c:showCatName val="0"/>
            <c:showSerName val="0"/>
            <c:showPercent val="0"/>
            <c:showBubbleSize val="0"/>
            <c:showLeaderLines val="1"/>
          </c:dLbls>
          <c:cat>
            <c:strRef>
              <c:f>'Dash Núcleos'!$B$7:$B$21</c:f>
            </c:strRef>
          </c:cat>
          <c:val>
            <c:numRef>
              <c:f>'Dash Núcleos'!$E$7:$E$21</c:f>
              <c:numCache/>
            </c:numRef>
          </c:val>
        </c:ser>
        <c:dLbls>
          <c:showLegendKey val="0"/>
          <c:showVal val="0"/>
          <c:showCatName val="0"/>
          <c:showSerName val="0"/>
          <c:showPercent val="0"/>
          <c:showBubbleSize val="0"/>
        </c:dLbls>
        <c:holeSize val="50"/>
      </c:doughnutChart>
    </c:plotArea>
    <c:legend>
      <c:legendPos val="r"/>
      <c:overlay val="0"/>
      <c:txPr>
        <a:bodyPr/>
        <a:lstStyle/>
        <a:p>
          <a:pPr lvl="0">
            <a:defRPr b="0">
              <a:solidFill>
                <a:srgbClr val="1A1A1A"/>
              </a:solidFill>
              <a:latin typeface="+mn-lt"/>
            </a:defRPr>
          </a:pPr>
        </a:p>
      </c:txPr>
    </c:legend>
    <c:plotVisOnly val="1"/>
  </c:chart>
</c:chartSpace>
</file>

<file path=xl/charts/chart2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NPS de Experiência</a:t>
            </a:r>
          </a:p>
        </c:rich>
      </c:tx>
      <c:overlay val="0"/>
    </c:title>
    <c:plotArea>
      <c:layout/>
      <c:barChart>
        <c:barDir val="col"/>
        <c:ser>
          <c:idx val="0"/>
          <c:order val="0"/>
          <c:spPr>
            <a:solidFill>
              <a:srgbClr val="00AA81"/>
            </a:solidFill>
            <a:ln cmpd="sng">
              <a:solidFill>
                <a:srgbClr val="000000"/>
              </a:solidFill>
            </a:ln>
          </c:spPr>
          <c:cat>
            <c:strRef>
              <c:f>'Dash Núcleos'!$P$7:$P$10</c:f>
            </c:strRef>
          </c:cat>
          <c:val>
            <c:numRef>
              <c:f>'Dash Núcleos'!$W$7:$W$10</c:f>
              <c:numCache/>
            </c:numRef>
          </c:val>
        </c:ser>
        <c:axId val="2078096418"/>
        <c:axId val="1792816487"/>
      </c:barChart>
      <c:catAx>
        <c:axId val="207809641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792816487"/>
      </c:catAx>
      <c:valAx>
        <c:axId val="179281648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078096418"/>
      </c:valAx>
    </c:plotArea>
    <c:legend>
      <c:legendPos val="r"/>
      <c:overlay val="0"/>
      <c:txPr>
        <a:bodyPr/>
        <a:lstStyle/>
        <a:p>
          <a:pPr lvl="0">
            <a:defRPr b="0">
              <a:solidFill>
                <a:srgbClr val="1A1A1A"/>
              </a:solidFill>
              <a:latin typeface="+mn-lt"/>
            </a:defRPr>
          </a:pPr>
        </a:p>
      </c:txPr>
    </c:legend>
    <c:plotVisOnly val="1"/>
  </c:chart>
</c:chartSpace>
</file>

<file path=xl/charts/chart2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 Projetos ENB</a:t>
            </a:r>
          </a:p>
        </c:rich>
      </c:tx>
      <c:overlay val="0"/>
    </c:title>
    <c:plotArea>
      <c:layout/>
      <c:barChart>
        <c:barDir val="col"/>
        <c:ser>
          <c:idx val="0"/>
          <c:order val="0"/>
          <c:spPr>
            <a:solidFill>
              <a:srgbClr val="00AA81"/>
            </a:solidFill>
            <a:ln cmpd="sng">
              <a:solidFill>
                <a:srgbClr val="000000"/>
              </a:solidFill>
            </a:ln>
          </c:spPr>
          <c:cat>
            <c:strRef>
              <c:f>'Dash Núcleos'!$P$7:$P$10</c:f>
            </c:strRef>
          </c:cat>
          <c:val>
            <c:numRef>
              <c:f>'Dash Núcleos'!$X$7:$X$10</c:f>
              <c:numCache/>
            </c:numRef>
          </c:val>
        </c:ser>
        <c:axId val="83543425"/>
        <c:axId val="946967337"/>
      </c:barChart>
      <c:catAx>
        <c:axId val="8354342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946967337"/>
      </c:catAx>
      <c:valAx>
        <c:axId val="94696733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83543425"/>
      </c:valAx>
    </c:plotArea>
    <c:legend>
      <c:legendPos val="r"/>
      <c:overlay val="0"/>
      <c:txPr>
        <a:bodyPr/>
        <a:lstStyle/>
        <a:p>
          <a:pPr lvl="0">
            <a:defRPr b="0">
              <a:solidFill>
                <a:srgbClr val="1A1A1A"/>
              </a:solidFill>
              <a:latin typeface="+mn-lt"/>
            </a:defRPr>
          </a:pPr>
        </a:p>
      </c:txPr>
    </c:legend>
    <c:plotVisOnly val="1"/>
  </c:chart>
</c:chartSpace>
</file>

<file path=xl/charts/chart2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Em execução atrasados</a:t>
            </a:r>
          </a:p>
        </c:rich>
      </c:tx>
      <c:overlay val="0"/>
    </c:title>
    <c:plotArea>
      <c:layout/>
      <c:doughnutChart>
        <c:varyColors val="1"/>
        <c:ser>
          <c:idx val="0"/>
          <c:order val="0"/>
          <c:tx>
            <c:strRef>
              <c:f>'Dash Núcleos'!$S$6</c:f>
            </c:strRef>
          </c:tx>
          <c:dPt>
            <c:idx val="0"/>
            <c:spPr>
              <a:solidFill>
                <a:srgbClr val="004D40"/>
              </a:solidFill>
            </c:spPr>
          </c:dPt>
          <c:dPt>
            <c:idx val="1"/>
            <c:spPr>
              <a:solidFill>
                <a:srgbClr val="A8E6CF"/>
              </a:solidFill>
            </c:spPr>
          </c:dPt>
          <c:dPt>
            <c:idx val="2"/>
            <c:spPr>
              <a:solidFill>
                <a:srgbClr val="56C596"/>
              </a:solidFill>
            </c:spPr>
          </c:dPt>
          <c:dPt>
            <c:idx val="3"/>
            <c:spPr>
              <a:solidFill>
                <a:srgbClr val="00B894"/>
              </a:solidFill>
            </c:spPr>
          </c:dPt>
          <c:dLbls>
            <c:showLegendKey val="0"/>
            <c:showVal val="0"/>
            <c:showCatName val="0"/>
            <c:showSerName val="0"/>
            <c:showPercent val="0"/>
            <c:showBubbleSize val="0"/>
            <c:showLeaderLines val="1"/>
          </c:dLbls>
          <c:cat>
            <c:strRef>
              <c:f>'Dash Núcleos'!$P$7:$P$10</c:f>
            </c:strRef>
          </c:cat>
          <c:val>
            <c:numRef>
              <c:f>'Dash Núcleos'!$S$7:$S$10</c:f>
              <c:numCache/>
            </c:numRef>
          </c:val>
        </c:ser>
        <c:dLbls>
          <c:showLegendKey val="0"/>
          <c:showVal val="0"/>
          <c:showCatName val="0"/>
          <c:showSerName val="0"/>
          <c:showPercent val="0"/>
          <c:showBubbleSize val="0"/>
        </c:dLbls>
        <c:holeSize val="50"/>
      </c:doughnutChart>
    </c:plotArea>
    <c:legend>
      <c:legendPos val="r"/>
      <c:overlay val="0"/>
      <c:txPr>
        <a:bodyPr/>
        <a:lstStyle/>
        <a:p>
          <a:pPr lvl="0">
            <a:defRPr b="0">
              <a:solidFill>
                <a:srgbClr val="1A1A1A"/>
              </a:solidFill>
              <a:latin typeface="+mn-lt"/>
            </a:defRPr>
          </a:pPr>
        </a:p>
      </c:txPr>
    </c:legend>
    <c:plotVisOnly val="1"/>
  </c:chart>
</c:chartSpace>
</file>

<file path=xl/charts/chart2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Taxa de Execução</a:t>
            </a:r>
          </a:p>
        </c:rich>
      </c:tx>
      <c:overlay val="0"/>
    </c:title>
    <c:plotArea>
      <c:layout/>
      <c:barChart>
        <c:barDir val="col"/>
        <c:ser>
          <c:idx val="0"/>
          <c:order val="0"/>
          <c:spPr>
            <a:solidFill>
              <a:srgbClr val="00AA81"/>
            </a:solidFill>
            <a:ln cmpd="sng">
              <a:solidFill>
                <a:srgbClr val="000000"/>
              </a:solidFill>
            </a:ln>
          </c:spPr>
          <c:cat>
            <c:strRef>
              <c:f>'Dash Núcleos'!$P$7:$P$10</c:f>
            </c:strRef>
          </c:cat>
          <c:val>
            <c:numRef>
              <c:f>'Dash Núcleos'!$V$7:$V$10</c:f>
              <c:numCache/>
            </c:numRef>
          </c:val>
        </c:ser>
        <c:axId val="1714697076"/>
        <c:axId val="1172224449"/>
      </c:barChart>
      <c:catAx>
        <c:axId val="171469707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172224449"/>
      </c:catAx>
      <c:valAx>
        <c:axId val="117222444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714697076"/>
      </c:valAx>
    </c:plotArea>
    <c:legend>
      <c:legendPos val="r"/>
      <c:overlay val="0"/>
      <c:txPr>
        <a:bodyPr/>
        <a:lstStyle/>
        <a:p>
          <a:pPr lvl="0">
            <a:defRPr b="0">
              <a:solidFill>
                <a:srgbClr val="1A1A1A"/>
              </a:solidFill>
              <a:latin typeface="+mn-lt"/>
            </a:defRPr>
          </a:pPr>
        </a:p>
      </c:txPr>
    </c:legend>
    <c:plotVisOnly val="1"/>
  </c:chart>
</c:chartSpace>
</file>

<file path=xl/charts/chart2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NPS de Experiência </a:t>
            </a:r>
          </a:p>
        </c:rich>
      </c:tx>
      <c:overlay val="0"/>
    </c:title>
    <c:plotArea>
      <c:layout/>
      <c:barChart>
        <c:barDir val="col"/>
        <c:ser>
          <c:idx val="0"/>
          <c:order val="0"/>
          <c:spPr>
            <a:solidFill>
              <a:srgbClr val="8430CE"/>
            </a:solidFill>
            <a:ln cmpd="sng">
              <a:solidFill>
                <a:srgbClr val="000000"/>
              </a:solidFill>
            </a:ln>
          </c:spPr>
          <c:cat>
            <c:strRef>
              <c:f>'Dash Núcleos'!$AD$7:$AD$14</c:f>
            </c:strRef>
          </c:cat>
          <c:val>
            <c:numRef>
              <c:f>'Dash Núcleos'!$AK$7:$AK$14</c:f>
              <c:numCache/>
            </c:numRef>
          </c:val>
        </c:ser>
        <c:axId val="1815687347"/>
        <c:axId val="350204272"/>
      </c:barChart>
      <c:catAx>
        <c:axId val="181568734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350204272"/>
      </c:catAx>
      <c:valAx>
        <c:axId val="35020427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815687347"/>
      </c:valAx>
    </c:plotArea>
    <c:legend>
      <c:legendPos val="r"/>
      <c:overlay val="0"/>
      <c:txPr>
        <a:bodyPr/>
        <a:lstStyle/>
        <a:p>
          <a:pPr lvl="0">
            <a:defRPr b="0">
              <a:solidFill>
                <a:srgbClr val="1A1A1A"/>
              </a:solidFill>
              <a:latin typeface="+mn-lt"/>
            </a:defRPr>
          </a:pPr>
        </a:p>
      </c:txPr>
    </c:legend>
    <c:plotVisOnly val="1"/>
  </c:chart>
</c:chartSpace>
</file>

<file path=xl/charts/chart2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 Projetos ENB</a:t>
            </a:r>
          </a:p>
        </c:rich>
      </c:tx>
      <c:overlay val="0"/>
    </c:title>
    <c:plotArea>
      <c:layout/>
      <c:barChart>
        <c:barDir val="col"/>
        <c:ser>
          <c:idx val="0"/>
          <c:order val="0"/>
          <c:spPr>
            <a:solidFill>
              <a:srgbClr val="8430CE"/>
            </a:solidFill>
            <a:ln cmpd="sng">
              <a:solidFill>
                <a:srgbClr val="000000"/>
              </a:solidFill>
            </a:ln>
          </c:spPr>
          <c:cat>
            <c:strRef>
              <c:f>'Dash Núcleos'!$AD$7:$AD$14</c:f>
            </c:strRef>
          </c:cat>
          <c:val>
            <c:numRef>
              <c:f>'Dash Núcleos'!$AL$7:$AL$14</c:f>
              <c:numCache/>
            </c:numRef>
          </c:val>
        </c:ser>
        <c:axId val="2103341468"/>
        <c:axId val="924515799"/>
      </c:barChart>
      <c:catAx>
        <c:axId val="210334146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924515799"/>
      </c:catAx>
      <c:valAx>
        <c:axId val="92451579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103341468"/>
      </c:valAx>
    </c:plotArea>
    <c:legend>
      <c:legendPos val="r"/>
      <c:overlay val="0"/>
      <c:txPr>
        <a:bodyPr/>
        <a:lstStyle/>
        <a:p>
          <a:pPr lvl="0">
            <a:defRPr b="0">
              <a:solidFill>
                <a:srgbClr val="1A1A1A"/>
              </a:solidFill>
              <a:latin typeface="+mn-lt"/>
            </a:defRPr>
          </a:pPr>
        </a:p>
      </c:txPr>
    </c:legend>
    <c:plotVisOnly val="1"/>
  </c:chart>
</c:chartSpace>
</file>

<file path=xl/charts/chart2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Taxa de Execução</a:t>
            </a:r>
          </a:p>
        </c:rich>
      </c:tx>
      <c:overlay val="0"/>
    </c:title>
    <c:plotArea>
      <c:layout/>
      <c:barChart>
        <c:barDir val="col"/>
        <c:ser>
          <c:idx val="0"/>
          <c:order val="0"/>
          <c:spPr>
            <a:solidFill>
              <a:srgbClr val="8430CE"/>
            </a:solidFill>
            <a:ln cmpd="sng">
              <a:solidFill>
                <a:srgbClr val="000000"/>
              </a:solidFill>
            </a:ln>
          </c:spPr>
          <c:cat>
            <c:strRef>
              <c:f>'Dash Núcleos'!$AD$7:$AD$14</c:f>
            </c:strRef>
          </c:cat>
          <c:val>
            <c:numRef>
              <c:f>'Dash Núcleos'!$AJ$7:$AJ$14</c:f>
              <c:numCache/>
            </c:numRef>
          </c:val>
        </c:ser>
        <c:axId val="1766289739"/>
        <c:axId val="2103697920"/>
      </c:barChart>
      <c:catAx>
        <c:axId val="176628973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2103697920"/>
      </c:catAx>
      <c:valAx>
        <c:axId val="210369792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766289739"/>
      </c:valAx>
    </c:plotArea>
    <c:legend>
      <c:legendPos val="r"/>
      <c:overlay val="0"/>
      <c:txPr>
        <a:bodyPr/>
        <a:lstStyle/>
        <a:p>
          <a:pPr lvl="0">
            <a:defRPr b="0">
              <a:solidFill>
                <a:srgbClr val="1A1A1A"/>
              </a:solidFill>
              <a:latin typeface="+mn-lt"/>
            </a:defRPr>
          </a:pPr>
        </a:p>
      </c:txPr>
    </c:legend>
    <c:plotVisOnly val="1"/>
  </c:chart>
</c:chartSpace>
</file>

<file path=xl/charts/chart2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Projetos em Execução Atrasados</a:t>
            </a:r>
          </a:p>
        </c:rich>
      </c:tx>
      <c:overlay val="0"/>
    </c:title>
    <c:plotArea>
      <c:layout/>
      <c:doughnutChart>
        <c:varyColors val="1"/>
        <c:ser>
          <c:idx val="0"/>
          <c:order val="0"/>
          <c:dPt>
            <c:idx val="0"/>
            <c:spPr>
              <a:solidFill>
                <a:srgbClr val="E6E6FA"/>
              </a:solidFill>
            </c:spPr>
          </c:dPt>
          <c:dPt>
            <c:idx val="1"/>
            <c:spPr>
              <a:solidFill>
                <a:srgbClr val="D8BFD8"/>
              </a:solidFill>
            </c:spPr>
          </c:dPt>
          <c:dPt>
            <c:idx val="2"/>
            <c:spPr>
              <a:solidFill>
                <a:srgbClr val="DA70D6"/>
              </a:solidFill>
            </c:spPr>
          </c:dPt>
          <c:dPt>
            <c:idx val="3"/>
            <c:spPr>
              <a:solidFill>
                <a:srgbClr val="9370DB"/>
              </a:solidFill>
            </c:spPr>
          </c:dPt>
          <c:dPt>
            <c:idx val="4"/>
            <c:spPr>
              <a:solidFill>
                <a:srgbClr val="800080"/>
              </a:solidFill>
            </c:spPr>
          </c:dPt>
          <c:dPt>
            <c:idx val="5"/>
            <c:spPr>
              <a:solidFill>
                <a:srgbClr val="9400D3"/>
              </a:solidFill>
            </c:spPr>
          </c:dPt>
          <c:dPt>
            <c:idx val="6"/>
            <c:spPr>
              <a:solidFill>
                <a:srgbClr val="4B0082"/>
              </a:solidFill>
            </c:spPr>
          </c:dPt>
          <c:dPt>
            <c:idx val="7"/>
            <c:spPr>
              <a:solidFill>
                <a:srgbClr val="8E4585"/>
              </a:solidFill>
            </c:spPr>
          </c:dPt>
          <c:dLbls>
            <c:showLegendKey val="0"/>
            <c:showVal val="0"/>
            <c:showCatName val="0"/>
            <c:showSerName val="0"/>
            <c:showPercent val="0"/>
            <c:showBubbleSize val="0"/>
            <c:showLeaderLines val="1"/>
          </c:dLbls>
          <c:cat>
            <c:strRef>
              <c:f>'Dash Núcleos'!$AD$7:$AD$14</c:f>
            </c:strRef>
          </c:cat>
          <c:val>
            <c:numRef>
              <c:f>'Dash Núcleos'!$AG$7:$AG$14</c:f>
              <c:numCache/>
            </c:numRef>
          </c:val>
        </c:ser>
        <c:dLbls>
          <c:showLegendKey val="0"/>
          <c:showVal val="0"/>
          <c:showCatName val="0"/>
          <c:showSerName val="0"/>
          <c:showPercent val="0"/>
          <c:showBubbleSize val="0"/>
        </c:dLbls>
        <c:holeSize val="50"/>
      </c:doughnutChart>
    </c:plotArea>
    <c:legend>
      <c:legendPos val="r"/>
      <c:overlay val="0"/>
      <c:txPr>
        <a:bodyPr/>
        <a:lstStyle/>
        <a:p>
          <a:pPr lvl="0">
            <a:defRPr b="0">
              <a:solidFill>
                <a:srgbClr val="1A1A1A"/>
              </a:solidFill>
              <a:latin typeface="+mn-lt"/>
            </a:defRPr>
          </a:pPr>
        </a:p>
      </c:txPr>
    </c:legend>
    <c:plotVisOnly val="1"/>
  </c:chart>
</c:chartSpace>
</file>

<file path=xl/charts/chart2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NPS de Experiência</a:t>
            </a:r>
          </a:p>
        </c:rich>
      </c:tx>
      <c:overlay val="0"/>
    </c:title>
    <c:plotArea>
      <c:layout/>
      <c:barChart>
        <c:barDir val="col"/>
        <c:ser>
          <c:idx val="0"/>
          <c:order val="0"/>
          <c:spPr>
            <a:solidFill>
              <a:srgbClr val="004E95"/>
            </a:solidFill>
            <a:ln cmpd="sng">
              <a:solidFill>
                <a:srgbClr val="000000"/>
              </a:solidFill>
            </a:ln>
          </c:spPr>
          <c:cat>
            <c:strRef>
              <c:f>'Dash Núcleos'!$AR$7:$AR$10</c:f>
            </c:strRef>
          </c:cat>
          <c:val>
            <c:numRef>
              <c:f>'Dash Núcleos'!$AY$7:$AY$10</c:f>
              <c:numCache/>
            </c:numRef>
          </c:val>
        </c:ser>
        <c:axId val="1414134347"/>
        <c:axId val="235514854"/>
      </c:barChart>
      <c:catAx>
        <c:axId val="141413434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235514854"/>
      </c:catAx>
      <c:valAx>
        <c:axId val="23551485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414134347"/>
      </c:valAx>
    </c:plotArea>
    <c:legend>
      <c:legendPos val="r"/>
      <c:overlay val="0"/>
      <c:txPr>
        <a:bodyPr/>
        <a:lstStyle/>
        <a:p>
          <a:pPr lvl="0">
            <a:defRPr b="0">
              <a:solidFill>
                <a:srgbClr val="1A1A1A"/>
              </a:solidFill>
              <a:latin typeface="+mn-lt"/>
            </a:defRPr>
          </a:pPr>
        </a:p>
      </c:txPr>
    </c:legend>
    <c:plotVisOnly val="1"/>
  </c:chart>
</c:chartSpace>
</file>

<file path=xl/charts/chart3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 Projetos ENB</a:t>
            </a:r>
          </a:p>
        </c:rich>
      </c:tx>
      <c:overlay val="0"/>
    </c:title>
    <c:plotArea>
      <c:layout/>
      <c:barChart>
        <c:barDir val="col"/>
        <c:ser>
          <c:idx val="0"/>
          <c:order val="0"/>
          <c:spPr>
            <a:solidFill>
              <a:srgbClr val="004E95"/>
            </a:solidFill>
            <a:ln cmpd="sng">
              <a:solidFill>
                <a:srgbClr val="000000"/>
              </a:solidFill>
            </a:ln>
          </c:spPr>
          <c:cat>
            <c:strRef>
              <c:f>'Dash Núcleos'!$AR$7:$AR$10</c:f>
            </c:strRef>
          </c:cat>
          <c:val>
            <c:numRef>
              <c:f>'Dash Núcleos'!$AZ$7:$AZ$10</c:f>
              <c:numCache/>
            </c:numRef>
          </c:val>
        </c:ser>
        <c:axId val="669647730"/>
        <c:axId val="1792960288"/>
      </c:barChart>
      <c:catAx>
        <c:axId val="66964773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792960288"/>
      </c:catAx>
      <c:valAx>
        <c:axId val="179296028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669647730"/>
      </c:valAx>
    </c:plotArea>
    <c:legend>
      <c:legendPos val="r"/>
      <c:overlay val="0"/>
      <c:txPr>
        <a:bodyPr/>
        <a:lstStyle/>
        <a:p>
          <a:pPr lvl="0">
            <a:defRPr b="0">
              <a:solidFill>
                <a:srgbClr val="1A1A1A"/>
              </a:solidFill>
              <a:latin typeface="+mn-lt"/>
            </a:defRPr>
          </a:pPr>
        </a:p>
      </c:txPr>
    </c:legend>
    <c:plotVisOnly val="1"/>
  </c:chart>
</c:chartSpace>
</file>

<file path=xl/charts/chart3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Taxa de Execução</a:t>
            </a:r>
          </a:p>
        </c:rich>
      </c:tx>
      <c:overlay val="0"/>
    </c:title>
    <c:plotArea>
      <c:layout/>
      <c:barChart>
        <c:barDir val="col"/>
        <c:ser>
          <c:idx val="0"/>
          <c:order val="0"/>
          <c:spPr>
            <a:solidFill>
              <a:srgbClr val="004E95"/>
            </a:solidFill>
            <a:ln cmpd="sng">
              <a:solidFill>
                <a:srgbClr val="000000"/>
              </a:solidFill>
            </a:ln>
          </c:spPr>
          <c:cat>
            <c:strRef>
              <c:f>'Dash Núcleos'!$AR$7:$AR$10</c:f>
            </c:strRef>
          </c:cat>
          <c:val>
            <c:numRef>
              <c:f>'Dash Núcleos'!$AX$7:$AX$10</c:f>
              <c:numCache/>
            </c:numRef>
          </c:val>
        </c:ser>
        <c:axId val="1353971269"/>
        <c:axId val="1725914238"/>
      </c:barChart>
      <c:catAx>
        <c:axId val="135397126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725914238"/>
      </c:catAx>
      <c:valAx>
        <c:axId val="172591423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353971269"/>
      </c:valAx>
    </c:plotArea>
    <c:legend>
      <c:legendPos val="r"/>
      <c:overlay val="0"/>
      <c:txPr>
        <a:bodyPr/>
        <a:lstStyle/>
        <a:p>
          <a:pPr lvl="0">
            <a:defRPr b="0">
              <a:solidFill>
                <a:srgbClr val="1A1A1A"/>
              </a:solidFill>
              <a:latin typeface="+mn-lt"/>
            </a:defRPr>
          </a:pPr>
        </a:p>
      </c:txPr>
    </c:legend>
    <c:plotVisOnly val="1"/>
  </c:chart>
</c:chartSpace>
</file>

<file path=xl/charts/chart3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Em execução atrasados</a:t>
            </a:r>
          </a:p>
        </c:rich>
      </c:tx>
      <c:overlay val="0"/>
    </c:title>
    <c:plotArea>
      <c:layout/>
      <c:doughnutChart>
        <c:varyColors val="1"/>
        <c:ser>
          <c:idx val="0"/>
          <c:order val="0"/>
          <c:dPt>
            <c:idx val="0"/>
            <c:spPr>
              <a:solidFill>
                <a:srgbClr val="ADD8E6"/>
              </a:solidFill>
            </c:spPr>
          </c:dPt>
          <c:dPt>
            <c:idx val="1"/>
            <c:spPr>
              <a:solidFill>
                <a:srgbClr val="87CEEB"/>
              </a:solidFill>
            </c:spPr>
          </c:dPt>
          <c:dPt>
            <c:idx val="2"/>
            <c:spPr>
              <a:solidFill>
                <a:srgbClr val="2B5DF1"/>
              </a:solidFill>
            </c:spPr>
          </c:dPt>
          <c:dPt>
            <c:idx val="3"/>
            <c:spPr>
              <a:solidFill>
                <a:srgbClr val="000080"/>
              </a:solidFill>
            </c:spPr>
          </c:dPt>
          <c:dLbls>
            <c:showLegendKey val="0"/>
            <c:showVal val="0"/>
            <c:showCatName val="0"/>
            <c:showSerName val="0"/>
            <c:showPercent val="0"/>
            <c:showBubbleSize val="0"/>
            <c:showLeaderLines val="1"/>
          </c:dLbls>
          <c:cat>
            <c:strRef>
              <c:f>'Dash Núcleos'!$AR$7:$AR$10</c:f>
            </c:strRef>
          </c:cat>
          <c:val>
            <c:numRef>
              <c:f>'Dash Núcleos'!$AU$7:$AU$10</c:f>
              <c:numCache/>
            </c:numRef>
          </c:val>
        </c:ser>
        <c:dLbls>
          <c:showLegendKey val="0"/>
          <c:showVal val="0"/>
          <c:showCatName val="0"/>
          <c:showSerName val="0"/>
          <c:showPercent val="0"/>
          <c:showBubbleSize val="0"/>
        </c:dLbls>
        <c:holeSize val="50"/>
      </c:doughnutChart>
    </c:plotArea>
    <c:legend>
      <c:legendPos val="r"/>
      <c:overlay val="0"/>
      <c:txPr>
        <a:bodyPr/>
        <a:lstStyle/>
        <a:p>
          <a:pPr lvl="0">
            <a:defRPr b="0">
              <a:solidFill>
                <a:srgbClr val="1A1A1A"/>
              </a:solidFill>
              <a:latin typeface="+mn-lt"/>
            </a:defRPr>
          </a:pPr>
        </a:p>
      </c:txPr>
    </c:legend>
    <c:plotVisOnly val="1"/>
  </c:chart>
</c:chartSpace>
</file>

<file path=xl/charts/chart3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ITIP real vs. ITIP de Venda</a:t>
            </a:r>
          </a:p>
        </c:rich>
      </c:tx>
      <c:overlay val="0"/>
    </c:title>
    <c:plotArea>
      <c:layout/>
      <c:barChart>
        <c:barDir val="col"/>
        <c:ser>
          <c:idx val="0"/>
          <c:order val="0"/>
          <c:tx>
            <c:strRef>
              <c:f>'Dash Núcleos'!$L$6</c:f>
            </c:strRef>
          </c:tx>
          <c:spPr>
            <a:solidFill>
              <a:srgbClr val="FDD835"/>
            </a:solidFill>
            <a:ln cmpd="sng">
              <a:solidFill>
                <a:srgbClr val="000000"/>
              </a:solidFill>
            </a:ln>
          </c:spPr>
          <c:cat>
            <c:strRef>
              <c:f>'Dash Núcleos'!$B$8:$B$21</c:f>
            </c:strRef>
          </c:cat>
          <c:val>
            <c:numRef>
              <c:f>'Dash Núcleos'!$L$7:$L$21</c:f>
              <c:numCache/>
            </c:numRef>
          </c:val>
        </c:ser>
        <c:ser>
          <c:idx val="1"/>
          <c:order val="1"/>
          <c:tx>
            <c:strRef>
              <c:f>'Dash Núcleos'!$K$6</c:f>
            </c:strRef>
          </c:tx>
          <c:spPr>
            <a:solidFill>
              <a:schemeClr val="accent5"/>
            </a:solidFill>
            <a:ln cmpd="sng">
              <a:solidFill>
                <a:srgbClr val="000000"/>
              </a:solidFill>
            </a:ln>
          </c:spPr>
          <c:cat>
            <c:strRef>
              <c:f>'Dash Núcleos'!$B$8:$B$21</c:f>
            </c:strRef>
          </c:cat>
          <c:val>
            <c:numRef>
              <c:f>'Dash Núcleos'!$K$7:$K$21</c:f>
              <c:numCache/>
            </c:numRef>
          </c:val>
        </c:ser>
        <c:axId val="648502164"/>
        <c:axId val="56401874"/>
      </c:barChart>
      <c:catAx>
        <c:axId val="64850216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ITIP de Venda</a:t>
                </a:r>
              </a:p>
            </c:rich>
          </c:tx>
          <c:overlay val="0"/>
        </c:title>
        <c:numFmt formatCode="General" sourceLinked="1"/>
        <c:majorTickMark val="none"/>
        <c:minorTickMark val="none"/>
        <c:spPr/>
        <c:txPr>
          <a:bodyPr/>
          <a:lstStyle/>
          <a:p>
            <a:pPr lvl="0">
              <a:defRPr b="0">
                <a:solidFill>
                  <a:srgbClr val="000000"/>
                </a:solidFill>
                <a:latin typeface="+mn-lt"/>
              </a:defRPr>
            </a:pPr>
          </a:p>
        </c:txPr>
        <c:crossAx val="56401874"/>
      </c:catAx>
      <c:valAx>
        <c:axId val="5640187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ITIP real</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648502164"/>
      </c:valAx>
    </c:plotArea>
    <c:legend>
      <c:legendPos val="r"/>
      <c:overlay val="0"/>
      <c:txPr>
        <a:bodyPr/>
        <a:lstStyle/>
        <a:p>
          <a:pPr lvl="0">
            <a:defRPr b="0">
              <a:solidFill>
                <a:srgbClr val="1A1A1A"/>
              </a:solidFill>
              <a:latin typeface="+mn-lt"/>
            </a:defRPr>
          </a:pPr>
        </a:p>
      </c:txPr>
    </c:legend>
    <c:plotVisOnly val="1"/>
  </c:chart>
</c:chartSpace>
</file>

<file path=xl/charts/chart3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Impacto no Faturamento</a:t>
            </a:r>
          </a:p>
        </c:rich>
      </c:tx>
      <c:overlay val="0"/>
    </c:title>
    <c:plotArea>
      <c:layout>
        <c:manualLayout>
          <c:xMode val="edge"/>
          <c:yMode val="edge"/>
          <c:x val="0.03168016194331985"/>
          <c:y val="0.14872521246458922"/>
          <c:w val="0.9250244835909207"/>
          <c:h val="0.8069405099150142"/>
        </c:manualLayout>
      </c:layout>
      <c:doughnutChart>
        <c:varyColors val="1"/>
        <c:ser>
          <c:idx val="0"/>
          <c:order val="0"/>
          <c:dPt>
            <c:idx val="0"/>
            <c:spPr>
              <a:solidFill>
                <a:srgbClr val="FFF9C4"/>
              </a:solidFill>
            </c:spPr>
          </c:dPt>
          <c:dPt>
            <c:idx val="1"/>
            <c:spPr>
              <a:solidFill>
                <a:srgbClr val="FFF176"/>
              </a:solidFill>
            </c:spPr>
          </c:dPt>
          <c:dPt>
            <c:idx val="2"/>
            <c:spPr>
              <a:solidFill>
                <a:srgbClr val="FFEB3B"/>
              </a:solidFill>
            </c:spPr>
          </c:dPt>
          <c:dPt>
            <c:idx val="3"/>
            <c:spPr>
              <a:solidFill>
                <a:srgbClr val="FDD835"/>
              </a:solidFill>
            </c:spPr>
          </c:dPt>
          <c:dPt>
            <c:idx val="4"/>
            <c:spPr>
              <a:solidFill>
                <a:srgbClr val="FBC02D"/>
              </a:solidFill>
            </c:spPr>
          </c:dPt>
          <c:dPt>
            <c:idx val="5"/>
            <c:spPr>
              <a:solidFill>
                <a:srgbClr val="F9A825"/>
              </a:solidFill>
            </c:spPr>
          </c:dPt>
          <c:dPt>
            <c:idx val="6"/>
            <c:spPr>
              <a:solidFill>
                <a:srgbClr val="F57F17"/>
              </a:solidFill>
            </c:spPr>
          </c:dPt>
          <c:dPt>
            <c:idx val="7"/>
            <c:spPr>
              <a:solidFill>
                <a:srgbClr val="FFD54F"/>
              </a:solidFill>
            </c:spPr>
          </c:dPt>
          <c:dPt>
            <c:idx val="8"/>
            <c:spPr>
              <a:solidFill>
                <a:srgbClr val="FFE082"/>
              </a:solidFill>
            </c:spPr>
          </c:dPt>
          <c:dPt>
            <c:idx val="9"/>
            <c:spPr>
              <a:solidFill>
                <a:srgbClr val="FFCA28"/>
              </a:solidFill>
            </c:spPr>
          </c:dPt>
          <c:dPt>
            <c:idx val="10"/>
            <c:spPr>
              <a:solidFill>
                <a:srgbClr val="FFB300"/>
              </a:solidFill>
            </c:spPr>
          </c:dPt>
          <c:dPt>
            <c:idx val="11"/>
            <c:spPr>
              <a:solidFill>
                <a:srgbClr val="FFA000"/>
              </a:solidFill>
            </c:spPr>
          </c:dPt>
          <c:dPt>
            <c:idx val="12"/>
            <c:spPr>
              <a:solidFill>
                <a:srgbClr val="FF8F00"/>
              </a:solidFill>
            </c:spPr>
          </c:dPt>
          <c:dPt>
            <c:idx val="13"/>
            <c:spPr>
              <a:solidFill>
                <a:srgbClr val="FF6F00"/>
              </a:solidFill>
            </c:spPr>
          </c:dPt>
          <c:dPt>
            <c:idx val="14"/>
            <c:spPr>
              <a:solidFill>
                <a:srgbClr val="FFE57F"/>
              </a:solidFill>
            </c:spPr>
          </c:dPt>
          <c:dLbls>
            <c:showLegendKey val="0"/>
            <c:showVal val="0"/>
            <c:showCatName val="0"/>
            <c:showSerName val="0"/>
            <c:showPercent val="0"/>
            <c:showBubbleSize val="0"/>
            <c:showLeaderLines val="1"/>
          </c:dLbls>
          <c:cat>
            <c:strRef>
              <c:f>'Dash Núcleos'!$B$7:$B$21</c:f>
            </c:strRef>
          </c:cat>
          <c:val>
            <c:numRef>
              <c:f>'Dash Núcleos'!$N$7:$N$21</c:f>
              <c:numCache/>
            </c:numRef>
          </c:val>
        </c:ser>
        <c:dLbls>
          <c:showLegendKey val="0"/>
          <c:showVal val="0"/>
          <c:showCatName val="0"/>
          <c:showSerName val="0"/>
          <c:showPercent val="0"/>
          <c:showBubbleSize val="0"/>
        </c:dLbls>
        <c:holeSize val="50"/>
      </c:doughnutChart>
    </c:plotArea>
    <c:legend>
      <c:legendPos val="r"/>
      <c:overlay val="0"/>
      <c:txPr>
        <a:bodyPr/>
        <a:lstStyle/>
        <a:p>
          <a:pPr lvl="0">
            <a:defRPr b="0">
              <a:solidFill>
                <a:srgbClr val="1A1A1A"/>
              </a:solidFill>
              <a:latin typeface="+mn-lt"/>
            </a:defRPr>
          </a:pPr>
        </a:p>
      </c:txPr>
    </c:legend>
    <c:plotVisOnly val="1"/>
  </c:chart>
</c:chartSpace>
</file>

<file path=xl/charts/chart3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Ticket Médio</a:t>
            </a:r>
          </a:p>
        </c:rich>
      </c:tx>
      <c:overlay val="0"/>
    </c:title>
    <c:plotArea>
      <c:layout/>
      <c:barChart>
        <c:barDir val="col"/>
        <c:ser>
          <c:idx val="0"/>
          <c:order val="0"/>
          <c:tx>
            <c:strRef>
              <c:f>'Dash Núcleos'!$M$6</c:f>
            </c:strRef>
          </c:tx>
          <c:spPr>
            <a:solidFill>
              <a:schemeClr val="accent3"/>
            </a:solidFill>
            <a:ln cmpd="sng">
              <a:solidFill>
                <a:srgbClr val="000000"/>
              </a:solidFill>
            </a:ln>
          </c:spPr>
          <c:cat>
            <c:strRef>
              <c:f>'Dash Núcleos'!$B$8:$B$21</c:f>
            </c:strRef>
          </c:cat>
          <c:val>
            <c:numRef>
              <c:f>'Dash Núcleos'!$M$7:$M$21</c:f>
              <c:numCache/>
            </c:numRef>
          </c:val>
        </c:ser>
        <c:axId val="2092779658"/>
        <c:axId val="2112806084"/>
      </c:barChart>
      <c:catAx>
        <c:axId val="209277965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2112806084"/>
      </c:catAx>
      <c:valAx>
        <c:axId val="211280608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092779658"/>
      </c:valAx>
    </c:plotArea>
    <c:legend>
      <c:legendPos val="r"/>
      <c:overlay val="0"/>
      <c:txPr>
        <a:bodyPr/>
        <a:lstStyle/>
        <a:p>
          <a:pPr lvl="0">
            <a:defRPr b="0">
              <a:solidFill>
                <a:srgbClr val="1A1A1A"/>
              </a:solidFill>
              <a:latin typeface="+mn-lt"/>
            </a:defRPr>
          </a:pPr>
        </a:p>
      </c:txPr>
    </c:legend>
    <c:plotVisOnly val="1"/>
  </c:chart>
</c:chartSpace>
</file>

<file path=xl/charts/chart3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ITIP real vs. ITIP de Venda</a:t>
            </a:r>
          </a:p>
        </c:rich>
      </c:tx>
      <c:overlay val="0"/>
    </c:title>
    <c:plotArea>
      <c:layout/>
      <c:barChart>
        <c:barDir val="col"/>
        <c:ser>
          <c:idx val="0"/>
          <c:order val="0"/>
          <c:tx>
            <c:strRef>
              <c:f>'Dash Núcleos'!$Y$6</c:f>
            </c:strRef>
          </c:tx>
          <c:spPr>
            <a:solidFill>
              <a:srgbClr val="A8E6CF"/>
            </a:solidFill>
            <a:ln cmpd="sng">
              <a:solidFill>
                <a:srgbClr val="000000"/>
              </a:solidFill>
            </a:ln>
          </c:spPr>
          <c:dPt>
            <c:idx val="3"/>
          </c:dPt>
          <c:cat>
            <c:strRef>
              <c:f>'Dash Núcleos'!$P$7:$P$10</c:f>
            </c:strRef>
          </c:cat>
          <c:val>
            <c:numRef>
              <c:f>'Dash Núcleos'!$Y$7:$Y$10</c:f>
              <c:numCache/>
            </c:numRef>
          </c:val>
        </c:ser>
        <c:ser>
          <c:idx val="1"/>
          <c:order val="1"/>
          <c:tx>
            <c:strRef>
              <c:f>'Dash Núcleos'!$Z$6</c:f>
            </c:strRef>
          </c:tx>
          <c:spPr>
            <a:solidFill>
              <a:srgbClr val="00B894"/>
            </a:solidFill>
            <a:ln cmpd="sng">
              <a:solidFill>
                <a:srgbClr val="000000"/>
              </a:solidFill>
            </a:ln>
          </c:spPr>
          <c:cat>
            <c:strRef>
              <c:f>'Dash Núcleos'!$P$7:$P$10</c:f>
            </c:strRef>
          </c:cat>
          <c:val>
            <c:numRef>
              <c:f>'Dash Núcleos'!$Z$7:$Z$10</c:f>
              <c:numCache/>
            </c:numRef>
          </c:val>
        </c:ser>
        <c:axId val="581703644"/>
        <c:axId val="686709844"/>
      </c:barChart>
      <c:catAx>
        <c:axId val="58170364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686709844"/>
      </c:catAx>
      <c:valAx>
        <c:axId val="68670984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581703644"/>
      </c:valAx>
    </c:plotArea>
    <c:legend>
      <c:legendPos val="r"/>
      <c:overlay val="0"/>
      <c:txPr>
        <a:bodyPr/>
        <a:lstStyle/>
        <a:p>
          <a:pPr lvl="0">
            <a:defRPr b="0">
              <a:solidFill>
                <a:srgbClr val="1A1A1A"/>
              </a:solidFill>
              <a:latin typeface="+mn-lt"/>
            </a:defRPr>
          </a:pPr>
        </a:p>
      </c:txPr>
    </c:legend>
    <c:plotVisOnly val="1"/>
  </c:chart>
</c:chartSpace>
</file>

<file path=xl/charts/chart3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Impacto no Faturamento</a:t>
            </a:r>
          </a:p>
        </c:rich>
      </c:tx>
      <c:overlay val="0"/>
    </c:title>
    <c:plotArea>
      <c:layout/>
      <c:doughnutChart>
        <c:varyColors val="1"/>
        <c:ser>
          <c:idx val="0"/>
          <c:order val="0"/>
          <c:tx>
            <c:strRef>
              <c:f>'Dash Núcleos'!$AB$6</c:f>
            </c:strRef>
          </c:tx>
          <c:dPt>
            <c:idx val="0"/>
            <c:spPr>
              <a:solidFill>
                <a:srgbClr val="004D40"/>
              </a:solidFill>
            </c:spPr>
          </c:dPt>
          <c:dPt>
            <c:idx val="1"/>
            <c:spPr>
              <a:solidFill>
                <a:srgbClr val="A8E6CF"/>
              </a:solidFill>
            </c:spPr>
          </c:dPt>
          <c:dPt>
            <c:idx val="2"/>
            <c:spPr>
              <a:solidFill>
                <a:srgbClr val="56C596"/>
              </a:solidFill>
            </c:spPr>
          </c:dPt>
          <c:dPt>
            <c:idx val="3"/>
            <c:spPr>
              <a:solidFill>
                <a:srgbClr val="00B894"/>
              </a:solidFill>
            </c:spPr>
          </c:dPt>
          <c:dLbls>
            <c:showLegendKey val="0"/>
            <c:showVal val="0"/>
            <c:showCatName val="0"/>
            <c:showSerName val="0"/>
            <c:showPercent val="0"/>
            <c:showBubbleSize val="0"/>
            <c:showLeaderLines val="1"/>
          </c:dLbls>
          <c:cat>
            <c:strRef>
              <c:f>'Dash Núcleos'!$P$7:$P$10</c:f>
            </c:strRef>
          </c:cat>
          <c:val>
            <c:numRef>
              <c:f>'Dash Núcleos'!$AB$7:$AB$10</c:f>
              <c:numCache/>
            </c:numRef>
          </c:val>
        </c:ser>
        <c:dLbls>
          <c:showLegendKey val="0"/>
          <c:showVal val="0"/>
          <c:showCatName val="0"/>
          <c:showSerName val="0"/>
          <c:showPercent val="0"/>
          <c:showBubbleSize val="0"/>
        </c:dLbls>
        <c:holeSize val="50"/>
      </c:doughnutChart>
    </c:plotArea>
    <c:legend>
      <c:legendPos val="r"/>
      <c:overlay val="0"/>
      <c:txPr>
        <a:bodyPr/>
        <a:lstStyle/>
        <a:p>
          <a:pPr lvl="0">
            <a:defRPr b="0">
              <a:solidFill>
                <a:srgbClr val="1A1A1A"/>
              </a:solidFill>
              <a:latin typeface="+mn-lt"/>
            </a:defRPr>
          </a:pPr>
        </a:p>
      </c:txPr>
    </c:legend>
    <c:plotVisOnly val="1"/>
  </c:chart>
</c:chartSpace>
</file>

<file path=xl/charts/chart3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Ticket Médio</a:t>
            </a:r>
          </a:p>
        </c:rich>
      </c:tx>
      <c:overlay val="0"/>
    </c:title>
    <c:plotArea>
      <c:layout/>
      <c:barChart>
        <c:barDir val="col"/>
        <c:ser>
          <c:idx val="0"/>
          <c:order val="0"/>
          <c:tx>
            <c:strRef>
              <c:f>'Dash Núcleos'!$AA$6</c:f>
            </c:strRef>
          </c:tx>
          <c:spPr>
            <a:solidFill>
              <a:srgbClr val="00B894"/>
            </a:solidFill>
            <a:ln cmpd="sng">
              <a:solidFill>
                <a:srgbClr val="000000"/>
              </a:solidFill>
            </a:ln>
          </c:spPr>
          <c:cat>
            <c:strRef>
              <c:f>'Dash Núcleos'!$P$7:$P$10</c:f>
            </c:strRef>
          </c:cat>
          <c:val>
            <c:numRef>
              <c:f>'Dash Núcleos'!$AA$7:$AA$10</c:f>
              <c:numCache/>
            </c:numRef>
          </c:val>
        </c:ser>
        <c:axId val="1007077396"/>
        <c:axId val="1508184384"/>
      </c:barChart>
      <c:catAx>
        <c:axId val="100707739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508184384"/>
      </c:catAx>
      <c:valAx>
        <c:axId val="150818438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007077396"/>
      </c:valAx>
    </c:plotArea>
    <c:legend>
      <c:legendPos val="r"/>
      <c:overlay val="0"/>
      <c:txPr>
        <a:bodyPr/>
        <a:lstStyle/>
        <a:p>
          <a:pPr lvl="0">
            <a:defRPr b="0">
              <a:solidFill>
                <a:srgbClr val="1A1A1A"/>
              </a:solidFill>
              <a:latin typeface="+mn-lt"/>
            </a:defRPr>
          </a:pPr>
        </a:p>
      </c:txPr>
    </c:legend>
    <c:plotVisOnly val="1"/>
  </c:chart>
</c:chartSpace>
</file>

<file path=xl/charts/chart3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Impacto no Faturamento</a:t>
            </a:r>
          </a:p>
        </c:rich>
      </c:tx>
      <c:overlay val="0"/>
    </c:title>
    <c:plotArea>
      <c:layout/>
      <c:doughnutChart>
        <c:varyColors val="1"/>
        <c:ser>
          <c:idx val="0"/>
          <c:order val="0"/>
          <c:tx>
            <c:strRef>
              <c:f>'Dash Núcleos'!$AP$6</c:f>
            </c:strRef>
          </c:tx>
          <c:dPt>
            <c:idx val="0"/>
            <c:spPr>
              <a:solidFill>
                <a:srgbClr val="E6E6FA"/>
              </a:solidFill>
            </c:spPr>
          </c:dPt>
          <c:dPt>
            <c:idx val="1"/>
            <c:spPr>
              <a:solidFill>
                <a:srgbClr val="D8BFD8"/>
              </a:solidFill>
            </c:spPr>
          </c:dPt>
          <c:dPt>
            <c:idx val="2"/>
            <c:spPr>
              <a:solidFill>
                <a:srgbClr val="DA70D6"/>
              </a:solidFill>
            </c:spPr>
          </c:dPt>
          <c:dPt>
            <c:idx val="3"/>
            <c:spPr>
              <a:solidFill>
                <a:srgbClr val="9370DB"/>
              </a:solidFill>
            </c:spPr>
          </c:dPt>
          <c:dPt>
            <c:idx val="4"/>
            <c:spPr>
              <a:solidFill>
                <a:srgbClr val="800080"/>
              </a:solidFill>
            </c:spPr>
          </c:dPt>
          <c:dPt>
            <c:idx val="5"/>
            <c:spPr>
              <a:solidFill>
                <a:srgbClr val="9400D3"/>
              </a:solidFill>
            </c:spPr>
          </c:dPt>
          <c:dPt>
            <c:idx val="6"/>
            <c:spPr>
              <a:solidFill>
                <a:srgbClr val="4B0082"/>
              </a:solidFill>
            </c:spPr>
          </c:dPt>
          <c:dPt>
            <c:idx val="7"/>
            <c:spPr>
              <a:solidFill>
                <a:srgbClr val="8E4585"/>
              </a:solidFill>
            </c:spPr>
          </c:dPt>
          <c:dLbls>
            <c:showLegendKey val="0"/>
            <c:showVal val="0"/>
            <c:showCatName val="0"/>
            <c:showSerName val="0"/>
            <c:showPercent val="0"/>
            <c:showBubbleSize val="0"/>
            <c:showLeaderLines val="1"/>
          </c:dLbls>
          <c:cat>
            <c:strRef>
              <c:f>'Dash Núcleos'!$AD$7:$AD$14</c:f>
            </c:strRef>
          </c:cat>
          <c:val>
            <c:numRef>
              <c:f>'Dash Núcleos'!$AP$7:$AP$14</c:f>
              <c:numCache/>
            </c:numRef>
          </c:val>
        </c:ser>
        <c:dLbls>
          <c:showLegendKey val="0"/>
          <c:showVal val="0"/>
          <c:showCatName val="0"/>
          <c:showSerName val="0"/>
          <c:showPercent val="0"/>
          <c:showBubbleSize val="0"/>
        </c:dLbls>
        <c:holeSize val="50"/>
      </c:doughnutChart>
    </c:plotArea>
    <c:legend>
      <c:legendPos val="r"/>
      <c:overlay val="0"/>
      <c:txPr>
        <a:bodyPr/>
        <a:lstStyle/>
        <a:p>
          <a:pPr lvl="0">
            <a:defRPr b="0">
              <a:solidFill>
                <a:srgbClr val="1A1A1A"/>
              </a:solidFill>
              <a:latin typeface="+mn-lt"/>
            </a:defRPr>
          </a:pPr>
        </a:p>
      </c:txPr>
    </c:legend>
    <c:plotVisOnly val="1"/>
  </c:chart>
</c:chartSpace>
</file>

<file path=xl/charts/chart4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Ticket Médio</a:t>
            </a:r>
          </a:p>
        </c:rich>
      </c:tx>
      <c:overlay val="0"/>
    </c:title>
    <c:plotArea>
      <c:layout/>
      <c:barChart>
        <c:barDir val="col"/>
        <c:ser>
          <c:idx val="0"/>
          <c:order val="0"/>
          <c:tx>
            <c:strRef>
              <c:f>'Dash Núcleos'!$AO$6</c:f>
            </c:strRef>
          </c:tx>
          <c:spPr>
            <a:solidFill>
              <a:srgbClr val="8430CE"/>
            </a:solidFill>
            <a:ln cmpd="sng">
              <a:solidFill>
                <a:srgbClr val="000000"/>
              </a:solidFill>
            </a:ln>
          </c:spPr>
          <c:cat>
            <c:strRef>
              <c:f>'Dash Núcleos'!$AD$7:$AD$14</c:f>
            </c:strRef>
          </c:cat>
          <c:val>
            <c:numRef>
              <c:f>'Dash Núcleos'!$AO$7:$AO$14</c:f>
              <c:numCache/>
            </c:numRef>
          </c:val>
        </c:ser>
        <c:axId val="1917053354"/>
        <c:axId val="421610173"/>
      </c:barChart>
      <c:catAx>
        <c:axId val="191705335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421610173"/>
      </c:catAx>
      <c:valAx>
        <c:axId val="42161017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917053354"/>
      </c:valAx>
    </c:plotArea>
    <c:legend>
      <c:legendPos val="r"/>
      <c:overlay val="0"/>
      <c:txPr>
        <a:bodyPr/>
        <a:lstStyle/>
        <a:p>
          <a:pPr lvl="0">
            <a:defRPr b="0">
              <a:solidFill>
                <a:srgbClr val="1A1A1A"/>
              </a:solidFill>
              <a:latin typeface="+mn-lt"/>
            </a:defRPr>
          </a:pPr>
        </a:p>
      </c:txPr>
    </c:legend>
    <c:plotVisOnly val="1"/>
  </c:chart>
</c:chartSpace>
</file>

<file path=xl/charts/chart4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ITIP de Venda vs. ITIP real </a:t>
            </a:r>
          </a:p>
        </c:rich>
      </c:tx>
      <c:overlay val="0"/>
    </c:title>
    <c:plotArea>
      <c:layout/>
      <c:barChart>
        <c:barDir val="col"/>
        <c:ser>
          <c:idx val="0"/>
          <c:order val="0"/>
          <c:tx>
            <c:strRef>
              <c:f>'Dash Núcleos'!$AM$6</c:f>
            </c:strRef>
          </c:tx>
          <c:spPr>
            <a:solidFill>
              <a:srgbClr val="CFA7F3"/>
            </a:solidFill>
            <a:ln cmpd="sng">
              <a:solidFill>
                <a:srgbClr val="000000"/>
              </a:solidFill>
            </a:ln>
          </c:spPr>
          <c:cat>
            <c:strRef>
              <c:f>'Dash Núcleos'!$AD$7:$AD$14</c:f>
            </c:strRef>
          </c:cat>
          <c:val>
            <c:numRef>
              <c:f>'Dash Núcleos'!$AM$7:$AM$14</c:f>
              <c:numCache/>
            </c:numRef>
          </c:val>
        </c:ser>
        <c:ser>
          <c:idx val="1"/>
          <c:order val="1"/>
          <c:tx>
            <c:strRef>
              <c:f>'Dash Núcleos'!$AN$6</c:f>
            </c:strRef>
          </c:tx>
          <c:spPr>
            <a:solidFill>
              <a:srgbClr val="8A4BC1"/>
            </a:solidFill>
            <a:ln cmpd="sng">
              <a:solidFill>
                <a:srgbClr val="000000"/>
              </a:solidFill>
            </a:ln>
          </c:spPr>
          <c:cat>
            <c:strRef>
              <c:f>'Dash Núcleos'!$AD$7:$AD$14</c:f>
            </c:strRef>
          </c:cat>
          <c:val>
            <c:numRef>
              <c:f>'Dash Núcleos'!$AN$7:$AN$14</c:f>
              <c:numCache/>
            </c:numRef>
          </c:val>
        </c:ser>
        <c:axId val="810478361"/>
        <c:axId val="1775429778"/>
      </c:barChart>
      <c:catAx>
        <c:axId val="81047836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775429778"/>
      </c:catAx>
      <c:valAx>
        <c:axId val="177542977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810478361"/>
      </c:valAx>
    </c:plotArea>
    <c:legend>
      <c:legendPos val="r"/>
      <c:overlay val="0"/>
      <c:txPr>
        <a:bodyPr/>
        <a:lstStyle/>
        <a:p>
          <a:pPr lvl="0">
            <a:defRPr b="0">
              <a:solidFill>
                <a:srgbClr val="1A1A1A"/>
              </a:solidFill>
              <a:latin typeface="+mn-lt"/>
            </a:defRPr>
          </a:pPr>
        </a:p>
      </c:txPr>
    </c:legend>
    <c:plotVisOnly val="1"/>
  </c:chart>
</c:chartSpace>
</file>

<file path=xl/charts/chart4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Projetos em execução</a:t>
            </a:r>
          </a:p>
        </c:rich>
      </c:tx>
      <c:overlay val="0"/>
    </c:title>
    <c:plotArea>
      <c:layout/>
      <c:doughnutChart>
        <c:varyColors val="1"/>
        <c:ser>
          <c:idx val="0"/>
          <c:order val="0"/>
          <c:tx>
            <c:strRef>
              <c:f>'Dash Núcleos'!$BD$6</c:f>
            </c:strRef>
          </c:tx>
          <c:dPt>
            <c:idx val="0"/>
            <c:spPr>
              <a:solidFill>
                <a:srgbClr val="ADD8E6"/>
              </a:solidFill>
            </c:spPr>
          </c:dPt>
          <c:dPt>
            <c:idx val="1"/>
            <c:spPr>
              <a:solidFill>
                <a:srgbClr val="87CEEB"/>
              </a:solidFill>
            </c:spPr>
          </c:dPt>
          <c:dPt>
            <c:idx val="2"/>
            <c:spPr>
              <a:solidFill>
                <a:srgbClr val="2B5DF1"/>
              </a:solidFill>
            </c:spPr>
          </c:dPt>
          <c:dPt>
            <c:idx val="3"/>
            <c:spPr>
              <a:solidFill>
                <a:srgbClr val="000080"/>
              </a:solidFill>
            </c:spPr>
          </c:dPt>
          <c:dLbls>
            <c:showLegendKey val="0"/>
            <c:showVal val="0"/>
            <c:showCatName val="0"/>
            <c:showSerName val="0"/>
            <c:showPercent val="0"/>
            <c:showBubbleSize val="0"/>
            <c:showLeaderLines val="1"/>
          </c:dLbls>
          <c:cat>
            <c:strRef>
              <c:f>'Dash Núcleos'!$AR$7:$AR$10</c:f>
            </c:strRef>
          </c:cat>
          <c:val>
            <c:numRef>
              <c:f>'Dash Núcleos'!$BD$7:$BD$10</c:f>
              <c:numCache/>
            </c:numRef>
          </c:val>
        </c:ser>
        <c:dLbls>
          <c:showLegendKey val="0"/>
          <c:showVal val="0"/>
          <c:showCatName val="0"/>
          <c:showSerName val="0"/>
          <c:showPercent val="0"/>
          <c:showBubbleSize val="0"/>
        </c:dLbls>
        <c:holeSize val="50"/>
      </c:doughnutChart>
    </c:plotArea>
    <c:legend>
      <c:legendPos val="r"/>
      <c:overlay val="0"/>
      <c:txPr>
        <a:bodyPr/>
        <a:lstStyle/>
        <a:p>
          <a:pPr lvl="0">
            <a:defRPr b="0">
              <a:solidFill>
                <a:srgbClr val="1A1A1A"/>
              </a:solidFill>
              <a:latin typeface="+mn-lt"/>
            </a:defRPr>
          </a:pPr>
        </a:p>
      </c:txPr>
    </c:legend>
    <c:plotVisOnly val="1"/>
  </c:chart>
</c:chartSpace>
</file>

<file path=xl/charts/chart4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Ticket Médio</a:t>
            </a:r>
          </a:p>
        </c:rich>
      </c:tx>
      <c:overlay val="0"/>
    </c:title>
    <c:plotArea>
      <c:layout/>
      <c:barChart>
        <c:barDir val="col"/>
        <c:ser>
          <c:idx val="0"/>
          <c:order val="0"/>
          <c:tx>
            <c:strRef>
              <c:f>'Dash Núcleos'!$BC$6</c:f>
            </c:strRef>
          </c:tx>
          <c:spPr>
            <a:solidFill>
              <a:srgbClr val="004E95"/>
            </a:solidFill>
            <a:ln cmpd="sng">
              <a:solidFill>
                <a:srgbClr val="000000"/>
              </a:solidFill>
            </a:ln>
          </c:spPr>
          <c:cat>
            <c:strRef>
              <c:f>'Dash Núcleos'!$AR$7:$AR$10</c:f>
            </c:strRef>
          </c:cat>
          <c:val>
            <c:numRef>
              <c:f>'Dash Núcleos'!$BC$7:$BC$10</c:f>
              <c:numCache/>
            </c:numRef>
          </c:val>
        </c:ser>
        <c:axId val="78869593"/>
        <c:axId val="1512815790"/>
      </c:barChart>
      <c:catAx>
        <c:axId val="7886959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512815790"/>
      </c:catAx>
      <c:valAx>
        <c:axId val="151281579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78869593"/>
      </c:valAx>
    </c:plotArea>
    <c:legend>
      <c:legendPos val="r"/>
      <c:overlay val="0"/>
      <c:txPr>
        <a:bodyPr/>
        <a:lstStyle/>
        <a:p>
          <a:pPr lvl="0">
            <a:defRPr b="0">
              <a:solidFill>
                <a:srgbClr val="1A1A1A"/>
              </a:solidFill>
              <a:latin typeface="+mn-lt"/>
            </a:defRPr>
          </a:pPr>
        </a:p>
      </c:txPr>
    </c:legend>
    <c:plotVisOnly val="1"/>
  </c:chart>
</c:chartSpace>
</file>

<file path=xl/charts/chart4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ITIP de Venda vs. ITIP real</a:t>
            </a:r>
          </a:p>
        </c:rich>
      </c:tx>
      <c:overlay val="0"/>
    </c:title>
    <c:plotArea>
      <c:layout/>
      <c:barChart>
        <c:barDir val="col"/>
        <c:ser>
          <c:idx val="0"/>
          <c:order val="0"/>
          <c:tx>
            <c:strRef>
              <c:f>'Dash Núcleos'!$BA$6</c:f>
            </c:strRef>
          </c:tx>
          <c:spPr>
            <a:solidFill>
              <a:srgbClr val="8FB8DE"/>
            </a:solidFill>
            <a:ln cmpd="sng">
              <a:solidFill>
                <a:srgbClr val="000000"/>
              </a:solidFill>
            </a:ln>
          </c:spPr>
          <c:cat>
            <c:strRef>
              <c:f>'Dash Núcleos'!$AR$7:$AR$10</c:f>
            </c:strRef>
          </c:cat>
          <c:val>
            <c:numRef>
              <c:f>'Dash Núcleos'!$BA$7:$BA$10</c:f>
              <c:numCache/>
            </c:numRef>
          </c:val>
        </c:ser>
        <c:ser>
          <c:idx val="1"/>
          <c:order val="1"/>
          <c:tx>
            <c:strRef>
              <c:f>'Dash Núcleos'!$BB$6</c:f>
            </c:strRef>
          </c:tx>
          <c:spPr>
            <a:solidFill>
              <a:srgbClr val="1771C3"/>
            </a:solidFill>
            <a:ln cmpd="sng">
              <a:solidFill>
                <a:srgbClr val="1771C3">
                  <a:alpha val="100000"/>
                </a:srgbClr>
              </a:solidFill>
            </a:ln>
          </c:spPr>
          <c:dPt>
            <c:idx val="2"/>
          </c:dPt>
          <c:cat>
            <c:strRef>
              <c:f>'Dash Núcleos'!$AR$7:$AR$10</c:f>
            </c:strRef>
          </c:cat>
          <c:val>
            <c:numRef>
              <c:f>'Dash Núcleos'!$BB$7:$BB$10</c:f>
              <c:numCache/>
            </c:numRef>
          </c:val>
        </c:ser>
        <c:axId val="812250661"/>
        <c:axId val="835898147"/>
      </c:barChart>
      <c:catAx>
        <c:axId val="81225066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835898147"/>
      </c:catAx>
      <c:valAx>
        <c:axId val="83589814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812250661"/>
      </c:valAx>
    </c:plotArea>
    <c:legend>
      <c:legendPos val="r"/>
      <c:overlay val="0"/>
      <c:txPr>
        <a:bodyPr/>
        <a:lstStyle/>
        <a:p>
          <a:pPr lvl="0">
            <a:defRPr b="0">
              <a:solidFill>
                <a:srgbClr val="1A1A1A"/>
              </a:solidFill>
              <a:latin typeface="+mn-lt"/>
            </a:defRPr>
          </a:pPr>
        </a:p>
      </c:txPr>
    </c:legend>
    <c:plotVisOnly val="1"/>
  </c:chart>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 Id="rId11" Type="http://schemas.openxmlformats.org/officeDocument/2006/relationships/chart" Target="../charts/chart11.xml"/><Relationship Id="rId10" Type="http://schemas.openxmlformats.org/officeDocument/2006/relationships/chart" Target="../charts/chart10.xml"/><Relationship Id="rId12" Type="http://schemas.openxmlformats.org/officeDocument/2006/relationships/chart" Target="../charts/chart12.xml"/><Relationship Id="rId9" Type="http://schemas.openxmlformats.org/officeDocument/2006/relationships/chart" Target="../charts/chart9.xml"/><Relationship Id="rId5" Type="http://schemas.openxmlformats.org/officeDocument/2006/relationships/chart" Target="../charts/chart5.xml"/><Relationship Id="rId6" Type="http://schemas.openxmlformats.org/officeDocument/2006/relationships/chart" Target="../charts/chart6.xml"/><Relationship Id="rId7" Type="http://schemas.openxmlformats.org/officeDocument/2006/relationships/chart" Target="../charts/chart7.xml"/><Relationship Id="rId8" Type="http://schemas.openxmlformats.org/officeDocument/2006/relationships/chart" Target="../charts/chart8.xml"/></Relationships>
</file>

<file path=xl/drawings/_rels/drawing5.xml.rels><?xml version="1.0" encoding="UTF-8" standalone="yes"?><Relationships xmlns="http://schemas.openxmlformats.org/package/2006/relationships"><Relationship Id="rId20" Type="http://schemas.openxmlformats.org/officeDocument/2006/relationships/chart" Target="../charts/chart32.xml"/><Relationship Id="rId22" Type="http://schemas.openxmlformats.org/officeDocument/2006/relationships/chart" Target="../charts/chart34.xml"/><Relationship Id="rId21" Type="http://schemas.openxmlformats.org/officeDocument/2006/relationships/chart" Target="../charts/chart33.xml"/><Relationship Id="rId24" Type="http://schemas.openxmlformats.org/officeDocument/2006/relationships/chart" Target="../charts/chart36.xml"/><Relationship Id="rId23" Type="http://schemas.openxmlformats.org/officeDocument/2006/relationships/chart" Target="../charts/chart35.xml"/><Relationship Id="rId1" Type="http://schemas.openxmlformats.org/officeDocument/2006/relationships/chart" Target="../charts/chart13.xml"/><Relationship Id="rId2" Type="http://schemas.openxmlformats.org/officeDocument/2006/relationships/chart" Target="../charts/chart14.xml"/><Relationship Id="rId3" Type="http://schemas.openxmlformats.org/officeDocument/2006/relationships/chart" Target="../charts/chart15.xml"/><Relationship Id="rId4" Type="http://schemas.openxmlformats.org/officeDocument/2006/relationships/chart" Target="../charts/chart16.xml"/><Relationship Id="rId9" Type="http://schemas.openxmlformats.org/officeDocument/2006/relationships/chart" Target="../charts/chart21.xml"/><Relationship Id="rId26" Type="http://schemas.openxmlformats.org/officeDocument/2006/relationships/chart" Target="../charts/chart38.xml"/><Relationship Id="rId25" Type="http://schemas.openxmlformats.org/officeDocument/2006/relationships/chart" Target="../charts/chart37.xml"/><Relationship Id="rId28" Type="http://schemas.openxmlformats.org/officeDocument/2006/relationships/chart" Target="../charts/chart40.xml"/><Relationship Id="rId27" Type="http://schemas.openxmlformats.org/officeDocument/2006/relationships/chart" Target="../charts/chart39.xml"/><Relationship Id="rId5" Type="http://schemas.openxmlformats.org/officeDocument/2006/relationships/chart" Target="../charts/chart17.xml"/><Relationship Id="rId6" Type="http://schemas.openxmlformats.org/officeDocument/2006/relationships/chart" Target="../charts/chart18.xml"/><Relationship Id="rId29" Type="http://schemas.openxmlformats.org/officeDocument/2006/relationships/chart" Target="../charts/chart41.xml"/><Relationship Id="rId7" Type="http://schemas.openxmlformats.org/officeDocument/2006/relationships/chart" Target="../charts/chart19.xml"/><Relationship Id="rId8" Type="http://schemas.openxmlformats.org/officeDocument/2006/relationships/chart" Target="../charts/chart20.xml"/><Relationship Id="rId31" Type="http://schemas.openxmlformats.org/officeDocument/2006/relationships/chart" Target="../charts/chart43.xml"/><Relationship Id="rId30" Type="http://schemas.openxmlformats.org/officeDocument/2006/relationships/chart" Target="../charts/chart42.xml"/><Relationship Id="rId11" Type="http://schemas.openxmlformats.org/officeDocument/2006/relationships/chart" Target="../charts/chart23.xml"/><Relationship Id="rId10" Type="http://schemas.openxmlformats.org/officeDocument/2006/relationships/chart" Target="../charts/chart22.xml"/><Relationship Id="rId32" Type="http://schemas.openxmlformats.org/officeDocument/2006/relationships/chart" Target="../charts/chart44.xml"/><Relationship Id="rId13" Type="http://schemas.openxmlformats.org/officeDocument/2006/relationships/chart" Target="../charts/chart25.xml"/><Relationship Id="rId12" Type="http://schemas.openxmlformats.org/officeDocument/2006/relationships/chart" Target="../charts/chart24.xml"/><Relationship Id="rId15" Type="http://schemas.openxmlformats.org/officeDocument/2006/relationships/chart" Target="../charts/chart27.xml"/><Relationship Id="rId14" Type="http://schemas.openxmlformats.org/officeDocument/2006/relationships/chart" Target="../charts/chart26.xml"/><Relationship Id="rId17" Type="http://schemas.openxmlformats.org/officeDocument/2006/relationships/chart" Target="../charts/chart29.xml"/><Relationship Id="rId16" Type="http://schemas.openxmlformats.org/officeDocument/2006/relationships/chart" Target="../charts/chart28.xml"/><Relationship Id="rId19" Type="http://schemas.openxmlformats.org/officeDocument/2006/relationships/chart" Target="../charts/chart31.xml"/><Relationship Id="rId18" Type="http://schemas.openxmlformats.org/officeDocument/2006/relationships/chart" Target="../charts/chart3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2895600</xdr:colOff>
      <xdr:row>0</xdr:row>
      <xdr:rowOff>38100</xdr:rowOff>
    </xdr:from>
    <xdr:ext cx="1514475" cy="15144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17</xdr:col>
      <xdr:colOff>190500</xdr:colOff>
      <xdr:row>22</xdr:row>
      <xdr:rowOff>114300</xdr:rowOff>
    </xdr:from>
    <xdr:ext cx="4838700" cy="2438400"/>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xdr:col>
      <xdr:colOff>571500</xdr:colOff>
      <xdr:row>46</xdr:row>
      <xdr:rowOff>200025</xdr:rowOff>
    </xdr:from>
    <xdr:ext cx="4562475" cy="2000250"/>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1</xdr:col>
      <xdr:colOff>619125</xdr:colOff>
      <xdr:row>15</xdr:row>
      <xdr:rowOff>200025</xdr:rowOff>
    </xdr:from>
    <xdr:ext cx="4514850" cy="2247900"/>
    <xdr:graphicFrame>
      <xdr:nvGraphicFramePr>
        <xdr:cNvPr id="3" name="Chart 3"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7</xdr:col>
      <xdr:colOff>9525</xdr:colOff>
      <xdr:row>15</xdr:row>
      <xdr:rowOff>190500</xdr:rowOff>
    </xdr:from>
    <xdr:ext cx="4333875" cy="2200275"/>
    <xdr:graphicFrame>
      <xdr:nvGraphicFramePr>
        <xdr:cNvPr id="4" name="Chart 4"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1</xdr:col>
      <xdr:colOff>619125</xdr:colOff>
      <xdr:row>3</xdr:row>
      <xdr:rowOff>190500</xdr:rowOff>
    </xdr:from>
    <xdr:ext cx="4514850" cy="2200275"/>
    <xdr:graphicFrame>
      <xdr:nvGraphicFramePr>
        <xdr:cNvPr id="5" name="Chart 5" title="Chart"/>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14</xdr:col>
      <xdr:colOff>657225</xdr:colOff>
      <xdr:row>3</xdr:row>
      <xdr:rowOff>190500</xdr:rowOff>
    </xdr:from>
    <xdr:ext cx="4143375" cy="2667000"/>
    <xdr:graphicFrame>
      <xdr:nvGraphicFramePr>
        <xdr:cNvPr id="6" name="Chart 6" title="Chart"/>
        <xdr:cNvGraphicFramePr/>
      </xdr:nvGraphicFramePr>
      <xdr:xfrm>
        <a:off x="0" y="0"/>
        <a:ext cx="0" cy="0"/>
      </xdr:xfrm>
      <a:graphic>
        <a:graphicData uri="http://schemas.openxmlformats.org/drawingml/2006/chart">
          <c:chart r:id="rId6"/>
        </a:graphicData>
      </a:graphic>
    </xdr:graphicFrame>
    <xdr:clientData fLocksWithSheet="0"/>
  </xdr:oneCellAnchor>
  <xdr:oneCellAnchor>
    <xdr:from>
      <xdr:col>7</xdr:col>
      <xdr:colOff>9525</xdr:colOff>
      <xdr:row>3</xdr:row>
      <xdr:rowOff>190500</xdr:rowOff>
    </xdr:from>
    <xdr:ext cx="4333875" cy="2200275"/>
    <xdr:graphicFrame>
      <xdr:nvGraphicFramePr>
        <xdr:cNvPr id="7" name="Chart 7" title="Chart"/>
        <xdr:cNvGraphicFramePr/>
      </xdr:nvGraphicFramePr>
      <xdr:xfrm>
        <a:off x="0" y="0"/>
        <a:ext cx="0" cy="0"/>
      </xdr:xfrm>
      <a:graphic>
        <a:graphicData uri="http://schemas.openxmlformats.org/drawingml/2006/chart">
          <c:chart r:id="rId7"/>
        </a:graphicData>
      </a:graphic>
    </xdr:graphicFrame>
    <xdr:clientData fLocksWithSheet="0"/>
  </xdr:oneCellAnchor>
  <xdr:oneCellAnchor>
    <xdr:from>
      <xdr:col>7</xdr:col>
      <xdr:colOff>9525</xdr:colOff>
      <xdr:row>27</xdr:row>
      <xdr:rowOff>190500</xdr:rowOff>
    </xdr:from>
    <xdr:ext cx="4333875" cy="2200275"/>
    <xdr:graphicFrame>
      <xdr:nvGraphicFramePr>
        <xdr:cNvPr id="8" name="Chart 8" title="Chart"/>
        <xdr:cNvGraphicFramePr/>
      </xdr:nvGraphicFramePr>
      <xdr:xfrm>
        <a:off x="0" y="0"/>
        <a:ext cx="0" cy="0"/>
      </xdr:xfrm>
      <a:graphic>
        <a:graphicData uri="http://schemas.openxmlformats.org/drawingml/2006/chart">
          <c:chart r:id="rId8"/>
        </a:graphicData>
      </a:graphic>
    </xdr:graphicFrame>
    <xdr:clientData fLocksWithSheet="0"/>
  </xdr:oneCellAnchor>
  <xdr:oneCellAnchor>
    <xdr:from>
      <xdr:col>1</xdr:col>
      <xdr:colOff>619125</xdr:colOff>
      <xdr:row>27</xdr:row>
      <xdr:rowOff>190500</xdr:rowOff>
    </xdr:from>
    <xdr:ext cx="4514850" cy="2200275"/>
    <xdr:graphicFrame>
      <xdr:nvGraphicFramePr>
        <xdr:cNvPr id="9" name="Chart 9" title="Chart"/>
        <xdr:cNvGraphicFramePr/>
      </xdr:nvGraphicFramePr>
      <xdr:xfrm>
        <a:off x="0" y="0"/>
        <a:ext cx="0" cy="0"/>
      </xdr:xfrm>
      <a:graphic>
        <a:graphicData uri="http://schemas.openxmlformats.org/drawingml/2006/chart">
          <c:chart r:id="rId9"/>
        </a:graphicData>
      </a:graphic>
    </xdr:graphicFrame>
    <xdr:clientData fLocksWithSheet="0"/>
  </xdr:oneCellAnchor>
  <xdr:oneCellAnchor>
    <xdr:from>
      <xdr:col>19</xdr:col>
      <xdr:colOff>485775</xdr:colOff>
      <xdr:row>3</xdr:row>
      <xdr:rowOff>190500</xdr:rowOff>
    </xdr:from>
    <xdr:ext cx="4838700" cy="2667000"/>
    <xdr:graphicFrame>
      <xdr:nvGraphicFramePr>
        <xdr:cNvPr id="10" name="Chart 10" title="Chart"/>
        <xdr:cNvGraphicFramePr/>
      </xdr:nvGraphicFramePr>
      <xdr:xfrm>
        <a:off x="0" y="0"/>
        <a:ext cx="0" cy="0"/>
      </xdr:xfrm>
      <a:graphic>
        <a:graphicData uri="http://schemas.openxmlformats.org/drawingml/2006/chart">
          <c:chart r:id="rId10"/>
        </a:graphicData>
      </a:graphic>
    </xdr:graphicFrame>
    <xdr:clientData fLocksWithSheet="0"/>
  </xdr:oneCellAnchor>
  <xdr:oneCellAnchor>
    <xdr:from>
      <xdr:col>7</xdr:col>
      <xdr:colOff>9525</xdr:colOff>
      <xdr:row>46</xdr:row>
      <xdr:rowOff>200025</xdr:rowOff>
    </xdr:from>
    <xdr:ext cx="4438650" cy="2000250"/>
    <xdr:graphicFrame>
      <xdr:nvGraphicFramePr>
        <xdr:cNvPr id="11" name="Chart 11" title="Chart"/>
        <xdr:cNvGraphicFramePr/>
      </xdr:nvGraphicFramePr>
      <xdr:xfrm>
        <a:off x="0" y="0"/>
        <a:ext cx="0" cy="0"/>
      </xdr:xfrm>
      <a:graphic>
        <a:graphicData uri="http://schemas.openxmlformats.org/drawingml/2006/chart">
          <c:chart r:id="rId11"/>
        </a:graphicData>
      </a:graphic>
    </xdr:graphicFrame>
    <xdr:clientData fLocksWithSheet="0"/>
  </xdr:oneCellAnchor>
  <xdr:oneCellAnchor>
    <xdr:from>
      <xdr:col>3</xdr:col>
      <xdr:colOff>942975</xdr:colOff>
      <xdr:row>57</xdr:row>
      <xdr:rowOff>190500</xdr:rowOff>
    </xdr:from>
    <xdr:ext cx="4838700" cy="2438400"/>
    <xdr:graphicFrame>
      <xdr:nvGraphicFramePr>
        <xdr:cNvPr id="12" name="Chart 12" title="Chart"/>
        <xdr:cNvGraphicFramePr/>
      </xdr:nvGraphicFramePr>
      <xdr:xfrm>
        <a:off x="0" y="0"/>
        <a:ext cx="0" cy="0"/>
      </xdr:xfrm>
      <a:graphic>
        <a:graphicData uri="http://schemas.openxmlformats.org/drawingml/2006/chart">
          <c:chart r:id="rId12"/>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285750</xdr:colOff>
      <xdr:row>21</xdr:row>
      <xdr:rowOff>200025</xdr:rowOff>
    </xdr:from>
    <xdr:ext cx="3552825" cy="2638425"/>
    <xdr:graphicFrame>
      <xdr:nvGraphicFramePr>
        <xdr:cNvPr id="13" name="Chart 13" title="Gráfico"/>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14</xdr:col>
      <xdr:colOff>419100</xdr:colOff>
      <xdr:row>10</xdr:row>
      <xdr:rowOff>161925</xdr:rowOff>
    </xdr:from>
    <xdr:ext cx="3886200" cy="2276475"/>
    <xdr:graphicFrame>
      <xdr:nvGraphicFramePr>
        <xdr:cNvPr id="14" name="Chart 14" title="Gráfico"/>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29</xdr:col>
      <xdr:colOff>0</xdr:colOff>
      <xdr:row>14</xdr:row>
      <xdr:rowOff>190500</xdr:rowOff>
    </xdr:from>
    <xdr:ext cx="4114800" cy="2686050"/>
    <xdr:graphicFrame>
      <xdr:nvGraphicFramePr>
        <xdr:cNvPr id="15" name="Chart 15" title="Gráfico"/>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42</xdr:col>
      <xdr:colOff>314325</xdr:colOff>
      <xdr:row>10</xdr:row>
      <xdr:rowOff>200025</xdr:rowOff>
    </xdr:from>
    <xdr:ext cx="3886200" cy="2419350"/>
    <xdr:graphicFrame>
      <xdr:nvGraphicFramePr>
        <xdr:cNvPr id="16" name="Chart 16" title="Gráfico"/>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4</xdr:col>
      <xdr:colOff>276225</xdr:colOff>
      <xdr:row>21</xdr:row>
      <xdr:rowOff>190500</xdr:rowOff>
    </xdr:from>
    <xdr:ext cx="4305300" cy="2638425"/>
    <xdr:graphicFrame>
      <xdr:nvGraphicFramePr>
        <xdr:cNvPr id="17" name="Chart 17" title="Gráfico"/>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9</xdr:col>
      <xdr:colOff>190500</xdr:colOff>
      <xdr:row>21</xdr:row>
      <xdr:rowOff>200025</xdr:rowOff>
    </xdr:from>
    <xdr:ext cx="4562475" cy="2638425"/>
    <xdr:graphicFrame>
      <xdr:nvGraphicFramePr>
        <xdr:cNvPr id="18" name="Chart 18" title="Gráfico"/>
        <xdr:cNvGraphicFramePr/>
      </xdr:nvGraphicFramePr>
      <xdr:xfrm>
        <a:off x="0" y="0"/>
        <a:ext cx="0" cy="0"/>
      </xdr:xfrm>
      <a:graphic>
        <a:graphicData uri="http://schemas.openxmlformats.org/drawingml/2006/chart">
          <c:chart r:id="rId6"/>
        </a:graphicData>
      </a:graphic>
    </xdr:graphicFrame>
    <xdr:clientData fLocksWithSheet="0"/>
  </xdr:oneCellAnchor>
  <xdr:oneCellAnchor>
    <xdr:from>
      <xdr:col>4</xdr:col>
      <xdr:colOff>276225</xdr:colOff>
      <xdr:row>36</xdr:row>
      <xdr:rowOff>142875</xdr:rowOff>
    </xdr:from>
    <xdr:ext cx="4305300" cy="2276475"/>
    <xdr:graphicFrame>
      <xdr:nvGraphicFramePr>
        <xdr:cNvPr id="19" name="Chart 19" title="Gráfico"/>
        <xdr:cNvGraphicFramePr/>
      </xdr:nvGraphicFramePr>
      <xdr:xfrm>
        <a:off x="0" y="0"/>
        <a:ext cx="0" cy="0"/>
      </xdr:xfrm>
      <a:graphic>
        <a:graphicData uri="http://schemas.openxmlformats.org/drawingml/2006/chart">
          <c:chart r:id="rId7"/>
        </a:graphicData>
      </a:graphic>
    </xdr:graphicFrame>
    <xdr:clientData fLocksWithSheet="0"/>
  </xdr:oneCellAnchor>
  <xdr:oneCellAnchor>
    <xdr:from>
      <xdr:col>0</xdr:col>
      <xdr:colOff>285750</xdr:colOff>
      <xdr:row>36</xdr:row>
      <xdr:rowOff>142875</xdr:rowOff>
    </xdr:from>
    <xdr:ext cx="3552825" cy="2276475"/>
    <xdr:graphicFrame>
      <xdr:nvGraphicFramePr>
        <xdr:cNvPr id="20" name="Chart 20" title="Gráfico"/>
        <xdr:cNvGraphicFramePr/>
      </xdr:nvGraphicFramePr>
      <xdr:xfrm>
        <a:off x="0" y="0"/>
        <a:ext cx="0" cy="0"/>
      </xdr:xfrm>
      <a:graphic>
        <a:graphicData uri="http://schemas.openxmlformats.org/drawingml/2006/chart">
          <c:chart r:id="rId8"/>
        </a:graphicData>
      </a:graphic>
    </xdr:graphicFrame>
    <xdr:clientData fLocksWithSheet="0"/>
  </xdr:oneCellAnchor>
  <xdr:oneCellAnchor>
    <xdr:from>
      <xdr:col>18</xdr:col>
      <xdr:colOff>800100</xdr:colOff>
      <xdr:row>10</xdr:row>
      <xdr:rowOff>161925</xdr:rowOff>
    </xdr:from>
    <xdr:ext cx="4305300" cy="2276475"/>
    <xdr:graphicFrame>
      <xdr:nvGraphicFramePr>
        <xdr:cNvPr id="21" name="Chart 21" title="Gráfico"/>
        <xdr:cNvGraphicFramePr/>
      </xdr:nvGraphicFramePr>
      <xdr:xfrm>
        <a:off x="0" y="0"/>
        <a:ext cx="0" cy="0"/>
      </xdr:xfrm>
      <a:graphic>
        <a:graphicData uri="http://schemas.openxmlformats.org/drawingml/2006/chart">
          <c:chart r:id="rId9"/>
        </a:graphicData>
      </a:graphic>
    </xdr:graphicFrame>
    <xdr:clientData fLocksWithSheet="0"/>
  </xdr:oneCellAnchor>
  <xdr:oneCellAnchor>
    <xdr:from>
      <xdr:col>23</xdr:col>
      <xdr:colOff>495300</xdr:colOff>
      <xdr:row>10</xdr:row>
      <xdr:rowOff>161925</xdr:rowOff>
    </xdr:from>
    <xdr:ext cx="4181475" cy="2276475"/>
    <xdr:graphicFrame>
      <xdr:nvGraphicFramePr>
        <xdr:cNvPr id="22" name="Chart 22" title="Gráfico"/>
        <xdr:cNvGraphicFramePr/>
      </xdr:nvGraphicFramePr>
      <xdr:xfrm>
        <a:off x="0" y="0"/>
        <a:ext cx="0" cy="0"/>
      </xdr:xfrm>
      <a:graphic>
        <a:graphicData uri="http://schemas.openxmlformats.org/drawingml/2006/chart">
          <c:chart r:id="rId10"/>
        </a:graphicData>
      </a:graphic>
    </xdr:graphicFrame>
    <xdr:clientData fLocksWithSheet="0"/>
  </xdr:oneCellAnchor>
  <xdr:oneCellAnchor>
    <xdr:from>
      <xdr:col>14</xdr:col>
      <xdr:colOff>419100</xdr:colOff>
      <xdr:row>23</xdr:row>
      <xdr:rowOff>47625</xdr:rowOff>
    </xdr:from>
    <xdr:ext cx="3886200" cy="2486025"/>
    <xdr:graphicFrame>
      <xdr:nvGraphicFramePr>
        <xdr:cNvPr id="23" name="Chart 23" title="Gráfico"/>
        <xdr:cNvGraphicFramePr/>
      </xdr:nvGraphicFramePr>
      <xdr:xfrm>
        <a:off x="0" y="0"/>
        <a:ext cx="0" cy="0"/>
      </xdr:xfrm>
      <a:graphic>
        <a:graphicData uri="http://schemas.openxmlformats.org/drawingml/2006/chart">
          <c:chart r:id="rId11"/>
        </a:graphicData>
      </a:graphic>
    </xdr:graphicFrame>
    <xdr:clientData fLocksWithSheet="0"/>
  </xdr:oneCellAnchor>
  <xdr:oneCellAnchor>
    <xdr:from>
      <xdr:col>18</xdr:col>
      <xdr:colOff>800100</xdr:colOff>
      <xdr:row>23</xdr:row>
      <xdr:rowOff>47625</xdr:rowOff>
    </xdr:from>
    <xdr:ext cx="4305300" cy="2486025"/>
    <xdr:graphicFrame>
      <xdr:nvGraphicFramePr>
        <xdr:cNvPr id="24" name="Chart 24" title="Gráfico"/>
        <xdr:cNvGraphicFramePr/>
      </xdr:nvGraphicFramePr>
      <xdr:xfrm>
        <a:off x="0" y="0"/>
        <a:ext cx="0" cy="0"/>
      </xdr:xfrm>
      <a:graphic>
        <a:graphicData uri="http://schemas.openxmlformats.org/drawingml/2006/chart">
          <c:chart r:id="rId12"/>
        </a:graphicData>
      </a:graphic>
    </xdr:graphicFrame>
    <xdr:clientData fLocksWithSheet="0"/>
  </xdr:oneCellAnchor>
  <xdr:oneCellAnchor>
    <xdr:from>
      <xdr:col>33</xdr:col>
      <xdr:colOff>238125</xdr:colOff>
      <xdr:row>14</xdr:row>
      <xdr:rowOff>190500</xdr:rowOff>
    </xdr:from>
    <xdr:ext cx="4114800" cy="2686050"/>
    <xdr:graphicFrame>
      <xdr:nvGraphicFramePr>
        <xdr:cNvPr id="25" name="Chart 25" title="Gráfico"/>
        <xdr:cNvGraphicFramePr/>
      </xdr:nvGraphicFramePr>
      <xdr:xfrm>
        <a:off x="0" y="0"/>
        <a:ext cx="0" cy="0"/>
      </xdr:xfrm>
      <a:graphic>
        <a:graphicData uri="http://schemas.openxmlformats.org/drawingml/2006/chart">
          <c:chart r:id="rId13"/>
        </a:graphicData>
      </a:graphic>
    </xdr:graphicFrame>
    <xdr:clientData fLocksWithSheet="0"/>
  </xdr:oneCellAnchor>
  <xdr:oneCellAnchor>
    <xdr:from>
      <xdr:col>37</xdr:col>
      <xdr:colOff>590550</xdr:colOff>
      <xdr:row>14</xdr:row>
      <xdr:rowOff>190500</xdr:rowOff>
    </xdr:from>
    <xdr:ext cx="4114800" cy="2686050"/>
    <xdr:graphicFrame>
      <xdr:nvGraphicFramePr>
        <xdr:cNvPr id="26" name="Chart 26" title="Gráfico"/>
        <xdr:cNvGraphicFramePr/>
      </xdr:nvGraphicFramePr>
      <xdr:xfrm>
        <a:off x="0" y="0"/>
        <a:ext cx="0" cy="0"/>
      </xdr:xfrm>
      <a:graphic>
        <a:graphicData uri="http://schemas.openxmlformats.org/drawingml/2006/chart">
          <c:chart r:id="rId14"/>
        </a:graphicData>
      </a:graphic>
    </xdr:graphicFrame>
    <xdr:clientData fLocksWithSheet="0"/>
  </xdr:oneCellAnchor>
  <xdr:oneCellAnchor>
    <xdr:from>
      <xdr:col>33</xdr:col>
      <xdr:colOff>238125</xdr:colOff>
      <xdr:row>29</xdr:row>
      <xdr:rowOff>133350</xdr:rowOff>
    </xdr:from>
    <xdr:ext cx="4114800" cy="2543175"/>
    <xdr:graphicFrame>
      <xdr:nvGraphicFramePr>
        <xdr:cNvPr id="27" name="Chart 27" title="Gráfico"/>
        <xdr:cNvGraphicFramePr/>
      </xdr:nvGraphicFramePr>
      <xdr:xfrm>
        <a:off x="0" y="0"/>
        <a:ext cx="0" cy="0"/>
      </xdr:xfrm>
      <a:graphic>
        <a:graphicData uri="http://schemas.openxmlformats.org/drawingml/2006/chart">
          <c:chart r:id="rId15"/>
        </a:graphicData>
      </a:graphic>
    </xdr:graphicFrame>
    <xdr:clientData fLocksWithSheet="0"/>
  </xdr:oneCellAnchor>
  <xdr:oneCellAnchor>
    <xdr:from>
      <xdr:col>29</xdr:col>
      <xdr:colOff>0</xdr:colOff>
      <xdr:row>29</xdr:row>
      <xdr:rowOff>133350</xdr:rowOff>
    </xdr:from>
    <xdr:ext cx="4114800" cy="2543175"/>
    <xdr:graphicFrame>
      <xdr:nvGraphicFramePr>
        <xdr:cNvPr id="28" name="Chart 28" title="Gráfico"/>
        <xdr:cNvGraphicFramePr/>
      </xdr:nvGraphicFramePr>
      <xdr:xfrm>
        <a:off x="0" y="0"/>
        <a:ext cx="0" cy="0"/>
      </xdr:xfrm>
      <a:graphic>
        <a:graphicData uri="http://schemas.openxmlformats.org/drawingml/2006/chart">
          <c:chart r:id="rId16"/>
        </a:graphicData>
      </a:graphic>
    </xdr:graphicFrame>
    <xdr:clientData fLocksWithSheet="0"/>
  </xdr:oneCellAnchor>
  <xdr:oneCellAnchor>
    <xdr:from>
      <xdr:col>46</xdr:col>
      <xdr:colOff>923925</xdr:colOff>
      <xdr:row>10</xdr:row>
      <xdr:rowOff>171450</xdr:rowOff>
    </xdr:from>
    <xdr:ext cx="4562475" cy="2419350"/>
    <xdr:graphicFrame>
      <xdr:nvGraphicFramePr>
        <xdr:cNvPr id="29" name="Chart 29" title="Gráfico"/>
        <xdr:cNvGraphicFramePr/>
      </xdr:nvGraphicFramePr>
      <xdr:xfrm>
        <a:off x="0" y="0"/>
        <a:ext cx="0" cy="0"/>
      </xdr:xfrm>
      <a:graphic>
        <a:graphicData uri="http://schemas.openxmlformats.org/drawingml/2006/chart">
          <c:chart r:id="rId17"/>
        </a:graphicData>
      </a:graphic>
    </xdr:graphicFrame>
    <xdr:clientData fLocksWithSheet="0"/>
  </xdr:oneCellAnchor>
  <xdr:oneCellAnchor>
    <xdr:from>
      <xdr:col>51</xdr:col>
      <xdr:colOff>809625</xdr:colOff>
      <xdr:row>10</xdr:row>
      <xdr:rowOff>171450</xdr:rowOff>
    </xdr:from>
    <xdr:ext cx="3886200" cy="2419350"/>
    <xdr:graphicFrame>
      <xdr:nvGraphicFramePr>
        <xdr:cNvPr id="30" name="Chart 30" title="Gráfico"/>
        <xdr:cNvGraphicFramePr/>
      </xdr:nvGraphicFramePr>
      <xdr:xfrm>
        <a:off x="0" y="0"/>
        <a:ext cx="0" cy="0"/>
      </xdr:xfrm>
      <a:graphic>
        <a:graphicData uri="http://schemas.openxmlformats.org/drawingml/2006/chart">
          <c:chart r:id="rId18"/>
        </a:graphicData>
      </a:graphic>
    </xdr:graphicFrame>
    <xdr:clientData fLocksWithSheet="0"/>
  </xdr:oneCellAnchor>
  <xdr:oneCellAnchor>
    <xdr:from>
      <xdr:col>46</xdr:col>
      <xdr:colOff>895350</xdr:colOff>
      <xdr:row>24</xdr:row>
      <xdr:rowOff>123825</xdr:rowOff>
    </xdr:from>
    <xdr:ext cx="4619625" cy="2419350"/>
    <xdr:graphicFrame>
      <xdr:nvGraphicFramePr>
        <xdr:cNvPr id="31" name="Chart 31" title="Gráfico"/>
        <xdr:cNvGraphicFramePr/>
      </xdr:nvGraphicFramePr>
      <xdr:xfrm>
        <a:off x="0" y="0"/>
        <a:ext cx="0" cy="0"/>
      </xdr:xfrm>
      <a:graphic>
        <a:graphicData uri="http://schemas.openxmlformats.org/drawingml/2006/chart">
          <c:chart r:id="rId19"/>
        </a:graphicData>
      </a:graphic>
    </xdr:graphicFrame>
    <xdr:clientData fLocksWithSheet="0"/>
  </xdr:oneCellAnchor>
  <xdr:oneCellAnchor>
    <xdr:from>
      <xdr:col>42</xdr:col>
      <xdr:colOff>314325</xdr:colOff>
      <xdr:row>24</xdr:row>
      <xdr:rowOff>123825</xdr:rowOff>
    </xdr:from>
    <xdr:ext cx="3886200" cy="2419350"/>
    <xdr:graphicFrame>
      <xdr:nvGraphicFramePr>
        <xdr:cNvPr id="32" name="Chart 32" title="Gráfico"/>
        <xdr:cNvGraphicFramePr/>
      </xdr:nvGraphicFramePr>
      <xdr:xfrm>
        <a:off x="0" y="0"/>
        <a:ext cx="0" cy="0"/>
      </xdr:xfrm>
      <a:graphic>
        <a:graphicData uri="http://schemas.openxmlformats.org/drawingml/2006/chart">
          <c:chart r:id="rId20"/>
        </a:graphicData>
      </a:graphic>
    </xdr:graphicFrame>
    <xdr:clientData fLocksWithSheet="0"/>
  </xdr:oneCellAnchor>
  <xdr:oneCellAnchor>
    <xdr:from>
      <xdr:col>9</xdr:col>
      <xdr:colOff>190500</xdr:colOff>
      <xdr:row>36</xdr:row>
      <xdr:rowOff>142875</xdr:rowOff>
    </xdr:from>
    <xdr:ext cx="4562475" cy="3457575"/>
    <xdr:graphicFrame>
      <xdr:nvGraphicFramePr>
        <xdr:cNvPr id="33" name="Chart 33" title="Chart"/>
        <xdr:cNvGraphicFramePr/>
      </xdr:nvGraphicFramePr>
      <xdr:xfrm>
        <a:off x="0" y="0"/>
        <a:ext cx="0" cy="0"/>
      </xdr:xfrm>
      <a:graphic>
        <a:graphicData uri="http://schemas.openxmlformats.org/drawingml/2006/chart">
          <c:chart r:id="rId21"/>
        </a:graphicData>
      </a:graphic>
    </xdr:graphicFrame>
    <xdr:clientData fLocksWithSheet="0"/>
  </xdr:oneCellAnchor>
  <xdr:oneCellAnchor>
    <xdr:from>
      <xdr:col>0</xdr:col>
      <xdr:colOff>285750</xdr:colOff>
      <xdr:row>49</xdr:row>
      <xdr:rowOff>180975</xdr:rowOff>
    </xdr:from>
    <xdr:ext cx="3552825" cy="2543175"/>
    <xdr:graphicFrame>
      <xdr:nvGraphicFramePr>
        <xdr:cNvPr id="34" name="Chart 34" title="Chart"/>
        <xdr:cNvGraphicFramePr/>
      </xdr:nvGraphicFramePr>
      <xdr:xfrm>
        <a:off x="0" y="0"/>
        <a:ext cx="0" cy="0"/>
      </xdr:xfrm>
      <a:graphic>
        <a:graphicData uri="http://schemas.openxmlformats.org/drawingml/2006/chart">
          <c:chart r:id="rId22"/>
        </a:graphicData>
      </a:graphic>
    </xdr:graphicFrame>
    <xdr:clientData fLocksWithSheet="0"/>
  </xdr:oneCellAnchor>
  <xdr:oneCellAnchor>
    <xdr:from>
      <xdr:col>4</xdr:col>
      <xdr:colOff>276225</xdr:colOff>
      <xdr:row>49</xdr:row>
      <xdr:rowOff>180975</xdr:rowOff>
    </xdr:from>
    <xdr:ext cx="4305300" cy="2543175"/>
    <xdr:graphicFrame>
      <xdr:nvGraphicFramePr>
        <xdr:cNvPr id="35" name="Chart 35" title="Chart"/>
        <xdr:cNvGraphicFramePr/>
      </xdr:nvGraphicFramePr>
      <xdr:xfrm>
        <a:off x="0" y="0"/>
        <a:ext cx="0" cy="0"/>
      </xdr:xfrm>
      <a:graphic>
        <a:graphicData uri="http://schemas.openxmlformats.org/drawingml/2006/chart">
          <c:chart r:id="rId23"/>
        </a:graphicData>
      </a:graphic>
    </xdr:graphicFrame>
    <xdr:clientData fLocksWithSheet="0"/>
  </xdr:oneCellAnchor>
  <xdr:oneCellAnchor>
    <xdr:from>
      <xdr:col>23</xdr:col>
      <xdr:colOff>495300</xdr:colOff>
      <xdr:row>23</xdr:row>
      <xdr:rowOff>47625</xdr:rowOff>
    </xdr:from>
    <xdr:ext cx="4181475" cy="2486025"/>
    <xdr:graphicFrame>
      <xdr:nvGraphicFramePr>
        <xdr:cNvPr id="36" name="Chart 36" title="Chart"/>
        <xdr:cNvGraphicFramePr/>
      </xdr:nvGraphicFramePr>
      <xdr:xfrm>
        <a:off x="0" y="0"/>
        <a:ext cx="0" cy="0"/>
      </xdr:xfrm>
      <a:graphic>
        <a:graphicData uri="http://schemas.openxmlformats.org/drawingml/2006/chart">
          <c:chart r:id="rId24"/>
        </a:graphicData>
      </a:graphic>
    </xdr:graphicFrame>
    <xdr:clientData fLocksWithSheet="0"/>
  </xdr:oneCellAnchor>
  <xdr:oneCellAnchor>
    <xdr:from>
      <xdr:col>14</xdr:col>
      <xdr:colOff>419100</xdr:colOff>
      <xdr:row>36</xdr:row>
      <xdr:rowOff>171450</xdr:rowOff>
    </xdr:from>
    <xdr:ext cx="3886200" cy="2543175"/>
    <xdr:graphicFrame>
      <xdr:nvGraphicFramePr>
        <xdr:cNvPr id="37" name="Chart 37" title="Chart"/>
        <xdr:cNvGraphicFramePr/>
      </xdr:nvGraphicFramePr>
      <xdr:xfrm>
        <a:off x="0" y="0"/>
        <a:ext cx="0" cy="0"/>
      </xdr:xfrm>
      <a:graphic>
        <a:graphicData uri="http://schemas.openxmlformats.org/drawingml/2006/chart">
          <c:chart r:id="rId25"/>
        </a:graphicData>
      </a:graphic>
    </xdr:graphicFrame>
    <xdr:clientData fLocksWithSheet="0"/>
  </xdr:oneCellAnchor>
  <xdr:oneCellAnchor>
    <xdr:from>
      <xdr:col>18</xdr:col>
      <xdr:colOff>800100</xdr:colOff>
      <xdr:row>37</xdr:row>
      <xdr:rowOff>9525</xdr:rowOff>
    </xdr:from>
    <xdr:ext cx="4305300" cy="2486025"/>
    <xdr:graphicFrame>
      <xdr:nvGraphicFramePr>
        <xdr:cNvPr id="38" name="Chart 38" title="Chart"/>
        <xdr:cNvGraphicFramePr/>
      </xdr:nvGraphicFramePr>
      <xdr:xfrm>
        <a:off x="0" y="0"/>
        <a:ext cx="0" cy="0"/>
      </xdr:xfrm>
      <a:graphic>
        <a:graphicData uri="http://schemas.openxmlformats.org/drawingml/2006/chart">
          <c:chart r:id="rId26"/>
        </a:graphicData>
      </a:graphic>
    </xdr:graphicFrame>
    <xdr:clientData fLocksWithSheet="0"/>
  </xdr:oneCellAnchor>
  <xdr:oneCellAnchor>
    <xdr:from>
      <xdr:col>29</xdr:col>
      <xdr:colOff>0</xdr:colOff>
      <xdr:row>43</xdr:row>
      <xdr:rowOff>85725</xdr:rowOff>
    </xdr:from>
    <xdr:ext cx="4114800" cy="2543175"/>
    <xdr:graphicFrame>
      <xdr:nvGraphicFramePr>
        <xdr:cNvPr id="39" name="Chart 39" title="Chart"/>
        <xdr:cNvGraphicFramePr/>
      </xdr:nvGraphicFramePr>
      <xdr:xfrm>
        <a:off x="0" y="0"/>
        <a:ext cx="0" cy="0"/>
      </xdr:xfrm>
      <a:graphic>
        <a:graphicData uri="http://schemas.openxmlformats.org/drawingml/2006/chart">
          <c:chart r:id="rId27"/>
        </a:graphicData>
      </a:graphic>
    </xdr:graphicFrame>
    <xdr:clientData fLocksWithSheet="0"/>
  </xdr:oneCellAnchor>
  <xdr:oneCellAnchor>
    <xdr:from>
      <xdr:col>33</xdr:col>
      <xdr:colOff>238125</xdr:colOff>
      <xdr:row>43</xdr:row>
      <xdr:rowOff>85725</xdr:rowOff>
    </xdr:from>
    <xdr:ext cx="4114800" cy="2543175"/>
    <xdr:graphicFrame>
      <xdr:nvGraphicFramePr>
        <xdr:cNvPr id="40" name="Chart 40" title="Chart"/>
        <xdr:cNvGraphicFramePr/>
      </xdr:nvGraphicFramePr>
      <xdr:xfrm>
        <a:off x="0" y="0"/>
        <a:ext cx="0" cy="0"/>
      </xdr:xfrm>
      <a:graphic>
        <a:graphicData uri="http://schemas.openxmlformats.org/drawingml/2006/chart">
          <c:chart r:id="rId28"/>
        </a:graphicData>
      </a:graphic>
    </xdr:graphicFrame>
    <xdr:clientData fLocksWithSheet="0"/>
  </xdr:oneCellAnchor>
  <xdr:oneCellAnchor>
    <xdr:from>
      <xdr:col>37</xdr:col>
      <xdr:colOff>590550</xdr:colOff>
      <xdr:row>29</xdr:row>
      <xdr:rowOff>133350</xdr:rowOff>
    </xdr:from>
    <xdr:ext cx="4114800" cy="2543175"/>
    <xdr:graphicFrame>
      <xdr:nvGraphicFramePr>
        <xdr:cNvPr id="41" name="Chart 41" title="Chart"/>
        <xdr:cNvGraphicFramePr/>
      </xdr:nvGraphicFramePr>
      <xdr:xfrm>
        <a:off x="0" y="0"/>
        <a:ext cx="0" cy="0"/>
      </xdr:xfrm>
      <a:graphic>
        <a:graphicData uri="http://schemas.openxmlformats.org/drawingml/2006/chart">
          <c:chart r:id="rId29"/>
        </a:graphicData>
      </a:graphic>
    </xdr:graphicFrame>
    <xdr:clientData fLocksWithSheet="0"/>
  </xdr:oneCellAnchor>
  <xdr:oneCellAnchor>
    <xdr:from>
      <xdr:col>42</xdr:col>
      <xdr:colOff>314325</xdr:colOff>
      <xdr:row>38</xdr:row>
      <xdr:rowOff>47625</xdr:rowOff>
    </xdr:from>
    <xdr:ext cx="3886200" cy="2419350"/>
    <xdr:graphicFrame>
      <xdr:nvGraphicFramePr>
        <xdr:cNvPr id="42" name="Chart 42" title="Chart"/>
        <xdr:cNvGraphicFramePr/>
      </xdr:nvGraphicFramePr>
      <xdr:xfrm>
        <a:off x="0" y="0"/>
        <a:ext cx="0" cy="0"/>
      </xdr:xfrm>
      <a:graphic>
        <a:graphicData uri="http://schemas.openxmlformats.org/drawingml/2006/chart">
          <c:chart r:id="rId30"/>
        </a:graphicData>
      </a:graphic>
    </xdr:graphicFrame>
    <xdr:clientData fLocksWithSheet="0"/>
  </xdr:oneCellAnchor>
  <xdr:oneCellAnchor>
    <xdr:from>
      <xdr:col>46</xdr:col>
      <xdr:colOff>923925</xdr:colOff>
      <xdr:row>38</xdr:row>
      <xdr:rowOff>47625</xdr:rowOff>
    </xdr:from>
    <xdr:ext cx="4619625" cy="2419350"/>
    <xdr:graphicFrame>
      <xdr:nvGraphicFramePr>
        <xdr:cNvPr id="43" name="Chart 43" title="Chart"/>
        <xdr:cNvGraphicFramePr/>
      </xdr:nvGraphicFramePr>
      <xdr:xfrm>
        <a:off x="0" y="0"/>
        <a:ext cx="0" cy="0"/>
      </xdr:xfrm>
      <a:graphic>
        <a:graphicData uri="http://schemas.openxmlformats.org/drawingml/2006/chart">
          <c:chart r:id="rId31"/>
        </a:graphicData>
      </a:graphic>
    </xdr:graphicFrame>
    <xdr:clientData fLocksWithSheet="0"/>
  </xdr:oneCellAnchor>
  <xdr:oneCellAnchor>
    <xdr:from>
      <xdr:col>51</xdr:col>
      <xdr:colOff>809625</xdr:colOff>
      <xdr:row>24</xdr:row>
      <xdr:rowOff>123825</xdr:rowOff>
    </xdr:from>
    <xdr:ext cx="3886200" cy="2419350"/>
    <xdr:graphicFrame>
      <xdr:nvGraphicFramePr>
        <xdr:cNvPr id="44" name="Chart 44" title="Chart"/>
        <xdr:cNvGraphicFramePr/>
      </xdr:nvGraphicFramePr>
      <xdr:xfrm>
        <a:off x="0" y="0"/>
        <a:ext cx="0" cy="0"/>
      </xdr:xfrm>
      <a:graphic>
        <a:graphicData uri="http://schemas.openxmlformats.org/drawingml/2006/chart">
          <c:chart r:id="rId32"/>
        </a:graphicData>
      </a:graphic>
    </xdr:graphicFrame>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7.xml"/><Relationship Id="rId3"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4E95"/>
    <outlinePr summaryBelow="0" summaryRight="0"/>
  </sheetPr>
  <sheetViews>
    <sheetView workbookViewId="0"/>
  </sheetViews>
  <sheetFormatPr customHeight="1" defaultColWidth="12.63" defaultRowHeight="15.75"/>
  <cols>
    <col customWidth="1" min="1" max="1" width="4.38"/>
    <col customWidth="1" min="2" max="2" width="95.0"/>
    <col customWidth="1" min="3" max="3" width="4.25"/>
  </cols>
  <sheetData>
    <row r="1">
      <c r="A1" s="1"/>
    </row>
    <row r="2" ht="102.0" customHeight="1">
      <c r="A2" s="2"/>
      <c r="B2" s="2"/>
      <c r="C2" s="2"/>
    </row>
    <row r="3">
      <c r="A3" s="3" t="s">
        <v>0</v>
      </c>
    </row>
    <row r="4" ht="60.0" customHeight="1"/>
    <row r="5" ht="15.75" customHeight="1">
      <c r="A5" s="2"/>
      <c r="B5" s="2"/>
      <c r="C5" s="2"/>
    </row>
    <row r="6" ht="29.25" customHeight="1">
      <c r="A6" s="2"/>
      <c r="B6" s="4" t="s">
        <v>1</v>
      </c>
      <c r="C6" s="2"/>
    </row>
    <row r="7" ht="15.75" customHeight="1">
      <c r="A7" s="2"/>
      <c r="B7" s="2"/>
      <c r="C7" s="2"/>
    </row>
  </sheetData>
  <mergeCells count="2">
    <mergeCell ref="A1:C1"/>
    <mergeCell ref="A3:C4"/>
  </mergeCells>
  <conditionalFormatting sqref="A6">
    <cfRule type="notContainsBlanks" dxfId="0" priority="1">
      <formula>LEN(TRIM(A6))&gt;0</formula>
    </cfRule>
  </conditionalFormatting>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8C01"/>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8.13"/>
    <col customWidth="1" min="2" max="2" width="10.13"/>
    <col customWidth="1" min="3" max="3" width="18.75"/>
    <col customWidth="1" min="10" max="10" width="19.0"/>
    <col customWidth="1" min="15" max="15" width="15.13"/>
    <col customWidth="1" min="16" max="17" width="9.13"/>
    <col customWidth="1" min="18" max="18" width="11.13"/>
    <col customWidth="1" min="22" max="22" width="21.38"/>
    <col customWidth="1" min="26" max="26" width="13.63"/>
  </cols>
  <sheetData>
    <row r="1">
      <c r="A1" s="5" t="s">
        <v>2</v>
      </c>
      <c r="B1" s="5" t="s">
        <v>3</v>
      </c>
      <c r="C1" s="5" t="s">
        <v>4</v>
      </c>
      <c r="D1" s="5" t="s">
        <v>5</v>
      </c>
      <c r="E1" s="6" t="s">
        <v>6</v>
      </c>
      <c r="F1" s="7" t="s">
        <v>7</v>
      </c>
      <c r="G1" s="7" t="s">
        <v>8</v>
      </c>
      <c r="H1" s="8" t="s">
        <v>9</v>
      </c>
      <c r="I1" s="8" t="s">
        <v>10</v>
      </c>
      <c r="J1" s="9" t="s">
        <v>11</v>
      </c>
      <c r="K1" s="10" t="s">
        <v>12</v>
      </c>
      <c r="L1" s="9" t="s">
        <v>13</v>
      </c>
      <c r="M1" s="11" t="s">
        <v>14</v>
      </c>
      <c r="N1" s="10" t="s">
        <v>15</v>
      </c>
      <c r="O1" s="9" t="s">
        <v>16</v>
      </c>
      <c r="P1" s="12" t="s">
        <v>17</v>
      </c>
      <c r="Q1" s="12" t="s">
        <v>18</v>
      </c>
      <c r="R1" s="12" t="s">
        <v>19</v>
      </c>
      <c r="S1" s="13" t="s">
        <v>20</v>
      </c>
      <c r="T1" s="12" t="s">
        <v>21</v>
      </c>
      <c r="U1" s="5" t="s">
        <v>22</v>
      </c>
      <c r="V1" s="12" t="s">
        <v>23</v>
      </c>
      <c r="W1" s="12" t="s">
        <v>24</v>
      </c>
      <c r="X1" s="12" t="s">
        <v>25</v>
      </c>
      <c r="Y1" s="12" t="s">
        <v>26</v>
      </c>
      <c r="Z1" s="14" t="s">
        <v>27</v>
      </c>
      <c r="AA1" s="15" t="s">
        <v>28</v>
      </c>
      <c r="AB1" s="16" t="s">
        <v>29</v>
      </c>
      <c r="AC1" s="17" t="s">
        <v>30</v>
      </c>
      <c r="AD1" s="17" t="s">
        <v>31</v>
      </c>
      <c r="AE1" s="17" t="s">
        <v>32</v>
      </c>
      <c r="AF1" s="18" t="s">
        <v>33</v>
      </c>
      <c r="AG1" s="19" t="s">
        <v>34</v>
      </c>
    </row>
    <row r="2" hidden="1">
      <c r="A2" s="20" t="s">
        <v>35</v>
      </c>
      <c r="B2" s="21" t="s">
        <v>36</v>
      </c>
      <c r="C2" s="22" t="s">
        <v>37</v>
      </c>
      <c r="D2" s="23" t="s">
        <v>2</v>
      </c>
      <c r="E2" s="24" t="s">
        <v>38</v>
      </c>
      <c r="F2" s="25">
        <v>4.0</v>
      </c>
      <c r="G2" s="25">
        <v>1.0</v>
      </c>
      <c r="H2" s="26">
        <v>45264.0</v>
      </c>
      <c r="I2" s="26">
        <v>45289.0</v>
      </c>
      <c r="J2" s="27" t="s">
        <v>39</v>
      </c>
      <c r="K2" s="26">
        <v>45317.0</v>
      </c>
      <c r="L2" s="28">
        <v>3.0</v>
      </c>
      <c r="M2" s="29">
        <f>IF(K2&lt;&gt;"",K2+(F2+L2)*7,"-")</f>
        <v>45366</v>
      </c>
      <c r="N2" s="26"/>
      <c r="O2" s="30" t="s">
        <v>40</v>
      </c>
      <c r="P2" s="31" t="b">
        <v>0</v>
      </c>
      <c r="Q2" s="31" t="b">
        <v>0</v>
      </c>
      <c r="R2" s="31" t="b">
        <v>0</v>
      </c>
      <c r="S2" s="25"/>
      <c r="T2" s="32"/>
      <c r="U2" s="33" t="b">
        <v>0</v>
      </c>
      <c r="V2" s="22"/>
      <c r="W2" s="22" t="s">
        <v>41</v>
      </c>
      <c r="X2" s="32"/>
      <c r="Y2" s="22"/>
      <c r="Z2" s="32"/>
      <c r="AA2" s="34"/>
      <c r="AB2" s="35"/>
      <c r="AC2" s="36" t="s">
        <v>42</v>
      </c>
      <c r="AD2" s="37" t="str">
        <f t="shared" ref="AD2:AD1538" si="1">IF(AND(M2&lt;TODAY(),N2 = "",K2 &lt;&gt; "" ,O2&lt;&gt;"Finalizado",O2&lt;&gt;"Congelado",O2&lt;&gt;"Concluindo pendências"),"Sim","Não")</f>
        <v>Sim</v>
      </c>
      <c r="AE2" s="38"/>
      <c r="AF2" s="29"/>
      <c r="AG2" s="39"/>
    </row>
    <row r="3" hidden="1">
      <c r="A3" s="20" t="s">
        <v>43</v>
      </c>
      <c r="B3" s="21" t="s">
        <v>44</v>
      </c>
      <c r="C3" s="22" t="s">
        <v>45</v>
      </c>
      <c r="D3" s="23" t="s">
        <v>2</v>
      </c>
      <c r="E3" s="40">
        <v>22125.0</v>
      </c>
      <c r="F3" s="25">
        <v>10.0</v>
      </c>
      <c r="G3" s="25">
        <v>3.0</v>
      </c>
      <c r="H3" s="41">
        <v>45215.0</v>
      </c>
      <c r="I3" s="41">
        <v>45299.0</v>
      </c>
      <c r="J3" s="27" t="s">
        <v>39</v>
      </c>
      <c r="K3" s="42">
        <v>45259.0</v>
      </c>
      <c r="L3" s="28">
        <v>5.0</v>
      </c>
      <c r="M3" s="29">
        <f t="shared" ref="M3:M18" si="2">IF(K3&lt;&gt;"",K3+(F3+L3)*7,"")</f>
        <v>45364</v>
      </c>
      <c r="N3" s="26">
        <v>45401.0</v>
      </c>
      <c r="O3" s="30" t="s">
        <v>46</v>
      </c>
      <c r="P3" s="31" t="b">
        <v>0</v>
      </c>
      <c r="Q3" s="31" t="b">
        <v>0</v>
      </c>
      <c r="R3" s="31" t="b">
        <v>1</v>
      </c>
      <c r="S3" s="25">
        <v>10.0</v>
      </c>
      <c r="T3" s="32"/>
      <c r="U3" s="33" t="b">
        <v>0</v>
      </c>
      <c r="V3" s="22" t="s">
        <v>47</v>
      </c>
      <c r="W3" s="22" t="s">
        <v>47</v>
      </c>
      <c r="X3" s="32"/>
      <c r="Y3" s="22"/>
      <c r="Z3" s="32"/>
      <c r="AA3" s="34">
        <f t="shared" ref="AA3:AA161" si="3">IF(N3,((N3-K3-(L3*7))/7)*G3,0)</f>
        <v>45.85714286</v>
      </c>
      <c r="AB3" s="35">
        <f t="shared" ref="AB3:AB57" si="4">IF(N3&gt;M3,(E3/F3)*(N3-M3)/7,IF(AND(N3="",TODAY()&gt;M3,O3&lt;&gt;"Congelado"),(E3/F3)*(TODAY()-M3)/7,0))</f>
        <v>11694.64286</v>
      </c>
      <c r="AC3" s="29" t="str">
        <f t="shared" ref="AC3:AC1538" si="5">IF(M3="-","NÃO",IF(M3&lt;TODAY(),"Sim","NÃO"))</f>
        <v>Sim</v>
      </c>
      <c r="AD3" s="37" t="str">
        <f t="shared" si="1"/>
        <v>Não</v>
      </c>
      <c r="AE3" s="38">
        <f t="shared" ref="AE3:AE297" si="6">IF(AND(H3&lt;&gt;0,K3&lt;&gt;0),K3-H3,0)</f>
        <v>44</v>
      </c>
      <c r="AF3" s="29">
        <f>IF(N3,N3+((VLOOKUP(C3,'NPS de resultado'!$C$7:$D$36,2)*30)),"")</f>
        <v>45581</v>
      </c>
      <c r="AG3" s="39"/>
    </row>
    <row r="4" hidden="1">
      <c r="A4" s="43" t="s">
        <v>48</v>
      </c>
      <c r="B4" s="44" t="s">
        <v>44</v>
      </c>
      <c r="C4" s="32" t="s">
        <v>49</v>
      </c>
      <c r="D4" s="45" t="s">
        <v>2</v>
      </c>
      <c r="E4" s="46">
        <v>13050.0</v>
      </c>
      <c r="F4" s="34">
        <v>6.0</v>
      </c>
      <c r="G4" s="34">
        <v>3.0</v>
      </c>
      <c r="H4" s="47">
        <v>45243.0</v>
      </c>
      <c r="I4" s="47">
        <v>45282.0</v>
      </c>
      <c r="J4" s="27" t="s">
        <v>50</v>
      </c>
      <c r="K4" s="42">
        <v>45278.0</v>
      </c>
      <c r="L4" s="28">
        <v>0.0</v>
      </c>
      <c r="M4" s="29">
        <f t="shared" si="2"/>
        <v>45320</v>
      </c>
      <c r="N4" s="26"/>
      <c r="O4" s="30" t="s">
        <v>51</v>
      </c>
      <c r="P4" s="31" t="b">
        <v>0</v>
      </c>
      <c r="Q4" s="31" t="b">
        <v>0</v>
      </c>
      <c r="R4" s="31" t="b">
        <v>0</v>
      </c>
      <c r="S4" s="25"/>
      <c r="T4" s="32"/>
      <c r="U4" s="33" t="b">
        <f t="shared" ref="U4:U17" si="7">IF(AND(S4&gt;=9,R4=TRUE,N4&lt;=M4,N4&lt;&gt;0),TRUE,FALSE)</f>
        <v>0</v>
      </c>
      <c r="V4" s="22" t="s">
        <v>52</v>
      </c>
      <c r="W4" s="22" t="s">
        <v>53</v>
      </c>
      <c r="X4" s="32"/>
      <c r="Y4" s="22" t="s">
        <v>54</v>
      </c>
      <c r="Z4" s="32"/>
      <c r="AA4" s="34">
        <f t="shared" si="3"/>
        <v>0</v>
      </c>
      <c r="AB4" s="35">
        <f t="shared" si="4"/>
        <v>46296.42857</v>
      </c>
      <c r="AC4" s="29" t="str">
        <f t="shared" si="5"/>
        <v>Sim</v>
      </c>
      <c r="AD4" s="37" t="str">
        <f t="shared" si="1"/>
        <v>Não</v>
      </c>
      <c r="AE4" s="38">
        <f t="shared" si="6"/>
        <v>35</v>
      </c>
      <c r="AF4" s="29" t="str">
        <f>IF(N4,N4+((VLOOKUP(C4,'NPS de resultado'!$C$7:$D$36,2)*30)),"")</f>
        <v/>
      </c>
      <c r="AG4" s="39"/>
    </row>
    <row r="5" hidden="1">
      <c r="A5" s="43" t="s">
        <v>55</v>
      </c>
      <c r="B5" s="21" t="s">
        <v>44</v>
      </c>
      <c r="C5" s="32" t="s">
        <v>45</v>
      </c>
      <c r="D5" s="45" t="s">
        <v>2</v>
      </c>
      <c r="E5" s="46">
        <v>16500.0</v>
      </c>
      <c r="F5" s="34">
        <v>9.0</v>
      </c>
      <c r="G5" s="34">
        <v>4.0</v>
      </c>
      <c r="H5" s="47"/>
      <c r="I5" s="47"/>
      <c r="J5" s="27" t="s">
        <v>50</v>
      </c>
      <c r="K5" s="42">
        <v>45222.0</v>
      </c>
      <c r="L5" s="28">
        <v>6.0</v>
      </c>
      <c r="M5" s="29">
        <f t="shared" si="2"/>
        <v>45327</v>
      </c>
      <c r="N5" s="48">
        <v>45327.0</v>
      </c>
      <c r="O5" s="49" t="s">
        <v>46</v>
      </c>
      <c r="P5" s="31" t="b">
        <v>0</v>
      </c>
      <c r="Q5" s="31" t="b">
        <v>0</v>
      </c>
      <c r="R5" s="31" t="b">
        <v>1</v>
      </c>
      <c r="S5" s="25">
        <v>9.0</v>
      </c>
      <c r="T5" s="32"/>
      <c r="U5" s="33" t="b">
        <f t="shared" si="7"/>
        <v>1</v>
      </c>
      <c r="V5" s="22" t="s">
        <v>52</v>
      </c>
      <c r="W5" s="22" t="s">
        <v>56</v>
      </c>
      <c r="X5" s="22" t="s">
        <v>54</v>
      </c>
      <c r="Y5" s="22" t="s">
        <v>57</v>
      </c>
      <c r="Z5" s="22" t="s">
        <v>53</v>
      </c>
      <c r="AA5" s="34">
        <f t="shared" si="3"/>
        <v>36</v>
      </c>
      <c r="AB5" s="35">
        <f t="shared" si="4"/>
        <v>0</v>
      </c>
      <c r="AC5" s="29" t="str">
        <f t="shared" si="5"/>
        <v>Sim</v>
      </c>
      <c r="AD5" s="37" t="str">
        <f t="shared" si="1"/>
        <v>Não</v>
      </c>
      <c r="AE5" s="38">
        <f t="shared" si="6"/>
        <v>0</v>
      </c>
      <c r="AF5" s="29">
        <f>IF(N5,N5+((VLOOKUP(C5,'NPS de resultado'!$C$7:$D$36,2)*30)),"")</f>
        <v>45507</v>
      </c>
      <c r="AG5" s="39"/>
    </row>
    <row r="6" hidden="1">
      <c r="A6" s="43" t="s">
        <v>58</v>
      </c>
      <c r="B6" s="44" t="s">
        <v>44</v>
      </c>
      <c r="C6" s="32" t="s">
        <v>59</v>
      </c>
      <c r="D6" s="45" t="s">
        <v>2</v>
      </c>
      <c r="E6" s="46">
        <v>6000.0</v>
      </c>
      <c r="F6" s="34">
        <v>5.0</v>
      </c>
      <c r="G6" s="34">
        <v>2.0</v>
      </c>
      <c r="H6" s="47">
        <v>45145.0</v>
      </c>
      <c r="I6" s="47">
        <v>45183.0</v>
      </c>
      <c r="J6" s="27" t="s">
        <v>50</v>
      </c>
      <c r="K6" s="42">
        <v>45202.0</v>
      </c>
      <c r="L6" s="28">
        <v>3.0</v>
      </c>
      <c r="M6" s="29">
        <f t="shared" si="2"/>
        <v>45258</v>
      </c>
      <c r="N6" s="47"/>
      <c r="O6" s="30" t="s">
        <v>60</v>
      </c>
      <c r="P6" s="31" t="b">
        <v>0</v>
      </c>
      <c r="Q6" s="31" t="b">
        <v>0</v>
      </c>
      <c r="R6" s="31" t="b">
        <v>1</v>
      </c>
      <c r="S6" s="25"/>
      <c r="T6" s="32"/>
      <c r="U6" s="33" t="b">
        <f t="shared" si="7"/>
        <v>0</v>
      </c>
      <c r="V6" s="22" t="s">
        <v>52</v>
      </c>
      <c r="W6" s="22" t="s">
        <v>57</v>
      </c>
      <c r="X6" s="22" t="s">
        <v>61</v>
      </c>
      <c r="Y6" s="22" t="s">
        <v>62</v>
      </c>
      <c r="Z6" s="32"/>
      <c r="AA6" s="34">
        <f t="shared" si="3"/>
        <v>0</v>
      </c>
      <c r="AB6" s="35">
        <f t="shared" si="4"/>
        <v>36171.42857</v>
      </c>
      <c r="AC6" s="29" t="str">
        <f t="shared" si="5"/>
        <v>Sim</v>
      </c>
      <c r="AD6" s="37" t="str">
        <f t="shared" si="1"/>
        <v>Não</v>
      </c>
      <c r="AE6" s="38">
        <f t="shared" si="6"/>
        <v>57</v>
      </c>
      <c r="AF6" s="29" t="str">
        <f>IF(N6,N6+((VLOOKUP(C6,'NPS de resultado'!$C$7:$D$36,2)*30)),"")</f>
        <v/>
      </c>
      <c r="AG6" s="39"/>
    </row>
    <row r="7" hidden="1">
      <c r="A7" s="43" t="s">
        <v>63</v>
      </c>
      <c r="B7" s="44" t="s">
        <v>44</v>
      </c>
      <c r="C7" s="32" t="s">
        <v>49</v>
      </c>
      <c r="D7" s="45" t="s">
        <v>2</v>
      </c>
      <c r="E7" s="46">
        <v>7500.0</v>
      </c>
      <c r="F7" s="34">
        <v>6.0</v>
      </c>
      <c r="G7" s="34">
        <v>2.0</v>
      </c>
      <c r="H7" s="47">
        <v>45180.0</v>
      </c>
      <c r="I7" s="47">
        <v>45217.0</v>
      </c>
      <c r="J7" s="50" t="s">
        <v>39</v>
      </c>
      <c r="K7" s="42">
        <v>45265.0</v>
      </c>
      <c r="L7" s="28">
        <v>5.0</v>
      </c>
      <c r="M7" s="29">
        <f t="shared" si="2"/>
        <v>45342</v>
      </c>
      <c r="N7" s="47"/>
      <c r="O7" s="30" t="s">
        <v>40</v>
      </c>
      <c r="P7" s="31" t="b">
        <v>0</v>
      </c>
      <c r="Q7" s="31" t="b">
        <v>0</v>
      </c>
      <c r="R7" s="31" t="b">
        <v>1</v>
      </c>
      <c r="S7" s="34"/>
      <c r="T7" s="32"/>
      <c r="U7" s="33" t="b">
        <f t="shared" si="7"/>
        <v>0</v>
      </c>
      <c r="V7" s="22" t="s">
        <v>52</v>
      </c>
      <c r="W7" s="22" t="s">
        <v>64</v>
      </c>
      <c r="X7" s="22" t="s">
        <v>65</v>
      </c>
      <c r="Y7" s="22" t="s">
        <v>66</v>
      </c>
      <c r="Z7" s="32"/>
      <c r="AA7" s="34">
        <f t="shared" si="3"/>
        <v>0</v>
      </c>
      <c r="AB7" s="35">
        <f t="shared" si="4"/>
        <v>22678.57143</v>
      </c>
      <c r="AC7" s="29" t="str">
        <f t="shared" si="5"/>
        <v>Sim</v>
      </c>
      <c r="AD7" s="37" t="str">
        <f t="shared" si="1"/>
        <v>Sim</v>
      </c>
      <c r="AE7" s="38">
        <f t="shared" si="6"/>
        <v>85</v>
      </c>
      <c r="AF7" s="29" t="str">
        <f>IF(N7,N7+((VLOOKUP(C7,'NPS de resultado'!$C$7:$D$36,2)*30)),"")</f>
        <v/>
      </c>
      <c r="AG7" s="39"/>
    </row>
    <row r="8" hidden="1">
      <c r="A8" s="43" t="s">
        <v>67</v>
      </c>
      <c r="B8" s="44" t="s">
        <v>44</v>
      </c>
      <c r="C8" s="32" t="s">
        <v>68</v>
      </c>
      <c r="D8" s="45" t="s">
        <v>69</v>
      </c>
      <c r="E8" s="46">
        <v>19200.0</v>
      </c>
      <c r="F8" s="25">
        <v>4.0</v>
      </c>
      <c r="G8" s="34">
        <v>4.0</v>
      </c>
      <c r="H8" s="47"/>
      <c r="I8" s="47">
        <v>45089.0</v>
      </c>
      <c r="J8" s="50" t="s">
        <v>39</v>
      </c>
      <c r="K8" s="42">
        <v>45278.0</v>
      </c>
      <c r="L8" s="28">
        <v>1.0</v>
      </c>
      <c r="M8" s="29">
        <f t="shared" si="2"/>
        <v>45313</v>
      </c>
      <c r="N8" s="26">
        <v>45313.0</v>
      </c>
      <c r="O8" s="49" t="s">
        <v>46</v>
      </c>
      <c r="P8" s="51" t="b">
        <v>0</v>
      </c>
      <c r="Q8" s="51" t="b">
        <v>0</v>
      </c>
      <c r="R8" s="31" t="b">
        <v>1</v>
      </c>
      <c r="S8" s="25">
        <v>9.0</v>
      </c>
      <c r="T8" s="32"/>
      <c r="U8" s="33" t="b">
        <f t="shared" si="7"/>
        <v>1</v>
      </c>
      <c r="V8" s="22" t="s">
        <v>52</v>
      </c>
      <c r="W8" s="22" t="s">
        <v>70</v>
      </c>
      <c r="X8" s="32"/>
      <c r="Y8" s="32"/>
      <c r="Z8" s="32"/>
      <c r="AA8" s="34">
        <f t="shared" si="3"/>
        <v>16</v>
      </c>
      <c r="AB8" s="35">
        <f t="shared" si="4"/>
        <v>0</v>
      </c>
      <c r="AC8" s="29" t="str">
        <f t="shared" si="5"/>
        <v>Sim</v>
      </c>
      <c r="AD8" s="37" t="str">
        <f t="shared" si="1"/>
        <v>Não</v>
      </c>
      <c r="AE8" s="38">
        <f t="shared" si="6"/>
        <v>0</v>
      </c>
      <c r="AF8" s="29">
        <f>IF(N8,N8+((VLOOKUP(C8,'NPS de resultado'!$C$7:$D$36,2)*30)),"")</f>
        <v>45493</v>
      </c>
      <c r="AG8" s="39"/>
    </row>
    <row r="9" hidden="1">
      <c r="A9" s="43" t="s">
        <v>71</v>
      </c>
      <c r="B9" s="21" t="s">
        <v>44</v>
      </c>
      <c r="C9" s="32" t="s">
        <v>45</v>
      </c>
      <c r="D9" s="45" t="s">
        <v>2</v>
      </c>
      <c r="E9" s="46">
        <v>19250.0</v>
      </c>
      <c r="F9" s="34">
        <v>9.0</v>
      </c>
      <c r="G9" s="34">
        <v>4.0</v>
      </c>
      <c r="H9" s="47"/>
      <c r="I9" s="47"/>
      <c r="J9" s="27" t="s">
        <v>50</v>
      </c>
      <c r="K9" s="42">
        <v>45262.0</v>
      </c>
      <c r="L9" s="28">
        <v>0.0</v>
      </c>
      <c r="M9" s="29">
        <f t="shared" si="2"/>
        <v>45325</v>
      </c>
      <c r="N9" s="47"/>
      <c r="O9" s="30" t="s">
        <v>40</v>
      </c>
      <c r="P9" s="51" t="b">
        <v>0</v>
      </c>
      <c r="Q9" s="51" t="b">
        <v>0</v>
      </c>
      <c r="R9" s="31" t="b">
        <v>1</v>
      </c>
      <c r="S9" s="25"/>
      <c r="T9" s="32"/>
      <c r="U9" s="33" t="b">
        <f t="shared" si="7"/>
        <v>0</v>
      </c>
      <c r="V9" s="22" t="s">
        <v>47</v>
      </c>
      <c r="W9" s="22" t="s">
        <v>72</v>
      </c>
      <c r="X9" s="22" t="s">
        <v>57</v>
      </c>
      <c r="Y9" s="22" t="s">
        <v>73</v>
      </c>
      <c r="Z9" s="22" t="s">
        <v>66</v>
      </c>
      <c r="AA9" s="34">
        <f t="shared" si="3"/>
        <v>0</v>
      </c>
      <c r="AB9" s="35">
        <f t="shared" si="4"/>
        <v>44000</v>
      </c>
      <c r="AC9" s="29" t="str">
        <f t="shared" si="5"/>
        <v>Sim</v>
      </c>
      <c r="AD9" s="37" t="str">
        <f t="shared" si="1"/>
        <v>Sim</v>
      </c>
      <c r="AE9" s="38">
        <f t="shared" si="6"/>
        <v>0</v>
      </c>
      <c r="AF9" s="29" t="str">
        <f>IF(N9,N9+((VLOOKUP(C9,'NPS de resultado'!$C$7:$D$36,2)*30)),"")</f>
        <v/>
      </c>
      <c r="AG9" s="39"/>
    </row>
    <row r="10" hidden="1">
      <c r="A10" s="43" t="s">
        <v>74</v>
      </c>
      <c r="B10" s="44" t="s">
        <v>44</v>
      </c>
      <c r="C10" s="32" t="s">
        <v>45</v>
      </c>
      <c r="D10" s="45" t="s">
        <v>2</v>
      </c>
      <c r="E10" s="46">
        <v>7500.0</v>
      </c>
      <c r="F10" s="34">
        <v>8.0</v>
      </c>
      <c r="G10" s="34">
        <v>4.0</v>
      </c>
      <c r="H10" s="47" t="s">
        <v>75</v>
      </c>
      <c r="I10" s="31" t="s">
        <v>76</v>
      </c>
      <c r="J10" s="27" t="s">
        <v>50</v>
      </c>
      <c r="K10" s="42">
        <v>45297.0</v>
      </c>
      <c r="L10" s="28">
        <v>5.0</v>
      </c>
      <c r="M10" s="29">
        <f t="shared" si="2"/>
        <v>45388</v>
      </c>
      <c r="N10" s="26">
        <v>45453.0</v>
      </c>
      <c r="O10" s="30" t="s">
        <v>46</v>
      </c>
      <c r="P10" s="51" t="b">
        <v>0</v>
      </c>
      <c r="Q10" s="31" t="b">
        <v>1</v>
      </c>
      <c r="R10" s="31" t="b">
        <v>1</v>
      </c>
      <c r="S10" s="25"/>
      <c r="T10" s="32"/>
      <c r="U10" s="33" t="b">
        <f t="shared" si="7"/>
        <v>0</v>
      </c>
      <c r="V10" s="22" t="s">
        <v>47</v>
      </c>
      <c r="W10" s="22" t="s">
        <v>77</v>
      </c>
      <c r="X10" s="32"/>
      <c r="Y10" s="32"/>
      <c r="Z10" s="32"/>
      <c r="AA10" s="34">
        <f t="shared" si="3"/>
        <v>69.14285714</v>
      </c>
      <c r="AB10" s="35">
        <f t="shared" si="4"/>
        <v>8705.357143</v>
      </c>
      <c r="AC10" s="29" t="str">
        <f t="shared" si="5"/>
        <v>Sim</v>
      </c>
      <c r="AD10" s="37" t="str">
        <f t="shared" si="1"/>
        <v>Não</v>
      </c>
      <c r="AE10" s="38">
        <f t="shared" si="6"/>
        <v>43</v>
      </c>
      <c r="AF10" s="29">
        <f>IF(N10,N10+((VLOOKUP(C10,'NPS de resultado'!$C$7:$D$36,2)*30)),"")</f>
        <v>45633</v>
      </c>
      <c r="AG10" s="39"/>
    </row>
    <row r="11" hidden="1">
      <c r="A11" s="43" t="s">
        <v>78</v>
      </c>
      <c r="B11" s="44" t="s">
        <v>44</v>
      </c>
      <c r="C11" s="32" t="s">
        <v>45</v>
      </c>
      <c r="D11" s="45" t="s">
        <v>2</v>
      </c>
      <c r="E11" s="46">
        <v>10125.0</v>
      </c>
      <c r="F11" s="34">
        <v>9.0</v>
      </c>
      <c r="G11" s="34">
        <v>4.0</v>
      </c>
      <c r="H11" s="47"/>
      <c r="I11" s="47"/>
      <c r="J11" s="27" t="s">
        <v>50</v>
      </c>
      <c r="K11" s="42">
        <v>45268.0</v>
      </c>
      <c r="L11" s="28">
        <v>2.0</v>
      </c>
      <c r="M11" s="29">
        <f t="shared" si="2"/>
        <v>45345</v>
      </c>
      <c r="N11" s="26">
        <v>45372.0</v>
      </c>
      <c r="O11" s="30" t="s">
        <v>46</v>
      </c>
      <c r="P11" s="31" t="b">
        <v>1</v>
      </c>
      <c r="Q11" s="51" t="b">
        <v>0</v>
      </c>
      <c r="R11" s="31" t="b">
        <v>1</v>
      </c>
      <c r="S11" s="25">
        <v>9.0</v>
      </c>
      <c r="T11" s="32"/>
      <c r="U11" s="33" t="b">
        <f t="shared" si="7"/>
        <v>0</v>
      </c>
      <c r="V11" s="22" t="s">
        <v>47</v>
      </c>
      <c r="W11" s="22" t="s">
        <v>72</v>
      </c>
      <c r="X11" s="32"/>
      <c r="Y11" s="32"/>
      <c r="Z11" s="32"/>
      <c r="AA11" s="34">
        <f t="shared" si="3"/>
        <v>51.42857143</v>
      </c>
      <c r="AB11" s="35">
        <f t="shared" si="4"/>
        <v>4339.285714</v>
      </c>
      <c r="AC11" s="29" t="str">
        <f t="shared" si="5"/>
        <v>Sim</v>
      </c>
      <c r="AD11" s="37" t="str">
        <f t="shared" si="1"/>
        <v>Não</v>
      </c>
      <c r="AE11" s="38">
        <f t="shared" si="6"/>
        <v>0</v>
      </c>
      <c r="AF11" s="29">
        <f>IF(N11,N11+((VLOOKUP(C11,'NPS de resultado'!$C$7:$D$36,2)*30)),"")</f>
        <v>45552</v>
      </c>
      <c r="AG11" s="39"/>
    </row>
    <row r="12" hidden="1">
      <c r="A12" s="43" t="s">
        <v>79</v>
      </c>
      <c r="B12" s="44" t="s">
        <v>44</v>
      </c>
      <c r="C12" s="32" t="s">
        <v>80</v>
      </c>
      <c r="D12" s="45" t="s">
        <v>2</v>
      </c>
      <c r="E12" s="46">
        <v>8310.0</v>
      </c>
      <c r="F12" s="34">
        <v>9.0</v>
      </c>
      <c r="G12" s="34">
        <v>2.0</v>
      </c>
      <c r="H12" s="47"/>
      <c r="I12" s="47"/>
      <c r="J12" s="27" t="s">
        <v>50</v>
      </c>
      <c r="K12" s="42">
        <v>44955.0</v>
      </c>
      <c r="L12" s="28">
        <v>2.0</v>
      </c>
      <c r="M12" s="29">
        <f t="shared" si="2"/>
        <v>45032</v>
      </c>
      <c r="N12" s="47"/>
      <c r="O12" s="30" t="s">
        <v>40</v>
      </c>
      <c r="P12" s="31" t="b">
        <v>0</v>
      </c>
      <c r="Q12" s="51" t="b">
        <v>0</v>
      </c>
      <c r="R12" s="31" t="b">
        <v>1</v>
      </c>
      <c r="S12" s="25"/>
      <c r="T12" s="32"/>
      <c r="U12" s="33" t="b">
        <f t="shared" si="7"/>
        <v>0</v>
      </c>
      <c r="V12" s="22" t="s">
        <v>52</v>
      </c>
      <c r="W12" s="22" t="s">
        <v>81</v>
      </c>
      <c r="X12" s="22" t="s">
        <v>77</v>
      </c>
      <c r="Y12" s="22" t="s">
        <v>82</v>
      </c>
      <c r="Z12" s="32"/>
      <c r="AA12" s="34">
        <f t="shared" si="3"/>
        <v>0</v>
      </c>
      <c r="AB12" s="35">
        <f t="shared" si="4"/>
        <v>57642.38095</v>
      </c>
      <c r="AC12" s="29" t="str">
        <f t="shared" si="5"/>
        <v>Sim</v>
      </c>
      <c r="AD12" s="37" t="str">
        <f t="shared" si="1"/>
        <v>Sim</v>
      </c>
      <c r="AE12" s="38">
        <f t="shared" si="6"/>
        <v>0</v>
      </c>
      <c r="AF12" s="29" t="str">
        <f>IF(N12,N12+((VLOOKUP(C12,'NPS de resultado'!$C$7:$D$36,2)*30)),"")</f>
        <v/>
      </c>
      <c r="AG12" s="39"/>
    </row>
    <row r="13" hidden="1">
      <c r="A13" s="43" t="s">
        <v>83</v>
      </c>
      <c r="B13" s="44" t="s">
        <v>44</v>
      </c>
      <c r="C13" s="32" t="s">
        <v>45</v>
      </c>
      <c r="D13" s="45" t="s">
        <v>2</v>
      </c>
      <c r="E13" s="46">
        <v>13800.0</v>
      </c>
      <c r="F13" s="34">
        <v>8.0</v>
      </c>
      <c r="G13" s="34">
        <v>4.0</v>
      </c>
      <c r="H13" s="47">
        <v>45271.0</v>
      </c>
      <c r="I13" s="47">
        <v>45327.0</v>
      </c>
      <c r="J13" s="27" t="s">
        <v>50</v>
      </c>
      <c r="K13" s="42">
        <v>45302.0</v>
      </c>
      <c r="L13" s="28">
        <v>1.0</v>
      </c>
      <c r="M13" s="29">
        <f t="shared" si="2"/>
        <v>45365</v>
      </c>
      <c r="N13" s="26">
        <v>45418.0</v>
      </c>
      <c r="O13" s="30" t="s">
        <v>46</v>
      </c>
      <c r="P13" s="31" t="b">
        <v>1</v>
      </c>
      <c r="Q13" s="51" t="b">
        <v>0</v>
      </c>
      <c r="R13" s="31" t="b">
        <v>1</v>
      </c>
      <c r="S13" s="25">
        <v>8.0</v>
      </c>
      <c r="T13" s="32"/>
      <c r="U13" s="33" t="b">
        <f t="shared" si="7"/>
        <v>0</v>
      </c>
      <c r="V13" s="22" t="s">
        <v>52</v>
      </c>
      <c r="W13" s="22" t="s">
        <v>84</v>
      </c>
      <c r="X13" s="22" t="s">
        <v>62</v>
      </c>
      <c r="Y13" s="22" t="s">
        <v>85</v>
      </c>
      <c r="Z13" s="32"/>
      <c r="AA13" s="34">
        <f t="shared" si="3"/>
        <v>62.28571429</v>
      </c>
      <c r="AB13" s="35">
        <f t="shared" si="4"/>
        <v>13060.71429</v>
      </c>
      <c r="AC13" s="29" t="str">
        <f t="shared" si="5"/>
        <v>Sim</v>
      </c>
      <c r="AD13" s="37" t="str">
        <f t="shared" si="1"/>
        <v>Não</v>
      </c>
      <c r="AE13" s="38">
        <f t="shared" si="6"/>
        <v>31</v>
      </c>
      <c r="AF13" s="29">
        <f>IF(N13,N13+((VLOOKUP(C13,'NPS de resultado'!$C$7:$D$36,2)*30)),"")</f>
        <v>45598</v>
      </c>
      <c r="AG13" s="39"/>
    </row>
    <row r="14" hidden="1">
      <c r="A14" s="43" t="s">
        <v>86</v>
      </c>
      <c r="B14" s="44" t="s">
        <v>44</v>
      </c>
      <c r="C14" s="32" t="s">
        <v>87</v>
      </c>
      <c r="D14" s="45" t="s">
        <v>2</v>
      </c>
      <c r="E14" s="46">
        <v>4000.0</v>
      </c>
      <c r="F14" s="34">
        <v>5.0</v>
      </c>
      <c r="G14" s="34">
        <v>1.0</v>
      </c>
      <c r="H14" s="47">
        <v>45271.0</v>
      </c>
      <c r="I14" s="47"/>
      <c r="J14" s="27" t="s">
        <v>50</v>
      </c>
      <c r="K14" s="42">
        <v>45300.0</v>
      </c>
      <c r="L14" s="28">
        <v>0.0</v>
      </c>
      <c r="M14" s="29">
        <f t="shared" si="2"/>
        <v>45335</v>
      </c>
      <c r="N14" s="26"/>
      <c r="O14" s="52" t="s">
        <v>51</v>
      </c>
      <c r="P14" s="51" t="b">
        <v>0</v>
      </c>
      <c r="Q14" s="51" t="b">
        <v>0</v>
      </c>
      <c r="R14" s="31" t="b">
        <v>0</v>
      </c>
      <c r="S14" s="25">
        <v>1.0</v>
      </c>
      <c r="T14" s="32"/>
      <c r="U14" s="33" t="b">
        <f t="shared" si="7"/>
        <v>0</v>
      </c>
      <c r="V14" s="22" t="s">
        <v>52</v>
      </c>
      <c r="W14" s="22" t="s">
        <v>56</v>
      </c>
      <c r="X14" s="32"/>
      <c r="Y14" s="32"/>
      <c r="Z14" s="32"/>
      <c r="AA14" s="34">
        <f t="shared" si="3"/>
        <v>0</v>
      </c>
      <c r="AB14" s="35">
        <f t="shared" si="4"/>
        <v>15314.28571</v>
      </c>
      <c r="AC14" s="29" t="str">
        <f t="shared" si="5"/>
        <v>Sim</v>
      </c>
      <c r="AD14" s="37" t="str">
        <f t="shared" si="1"/>
        <v>Não</v>
      </c>
      <c r="AE14" s="38">
        <f t="shared" si="6"/>
        <v>29</v>
      </c>
      <c r="AF14" s="29" t="str">
        <f>IF(N14,N14+((VLOOKUP(C14,'NPS de resultado'!$C$7:$D$36,2)*30)),"")</f>
        <v/>
      </c>
      <c r="AG14" s="39"/>
    </row>
    <row r="15" hidden="1">
      <c r="A15" s="43" t="s">
        <v>88</v>
      </c>
      <c r="B15" s="44" t="s">
        <v>44</v>
      </c>
      <c r="C15" s="32" t="s">
        <v>87</v>
      </c>
      <c r="D15" s="45" t="s">
        <v>2</v>
      </c>
      <c r="E15" s="46">
        <v>1600.0</v>
      </c>
      <c r="F15" s="34">
        <v>2.0</v>
      </c>
      <c r="G15" s="34">
        <v>1.0</v>
      </c>
      <c r="H15" s="47"/>
      <c r="I15" s="47">
        <v>45242.0</v>
      </c>
      <c r="J15" s="50" t="s">
        <v>39</v>
      </c>
      <c r="K15" s="42">
        <v>45280.0</v>
      </c>
      <c r="L15" s="28">
        <v>5.0</v>
      </c>
      <c r="M15" s="29">
        <f t="shared" si="2"/>
        <v>45329</v>
      </c>
      <c r="N15" s="26">
        <v>45349.0</v>
      </c>
      <c r="O15" s="30" t="s">
        <v>46</v>
      </c>
      <c r="P15" s="51" t="b">
        <v>0</v>
      </c>
      <c r="Q15" s="51" t="b">
        <v>0</v>
      </c>
      <c r="R15" s="31" t="b">
        <v>1</v>
      </c>
      <c r="S15" s="25">
        <v>9.0</v>
      </c>
      <c r="T15" s="32"/>
      <c r="U15" s="33" t="b">
        <f t="shared" si="7"/>
        <v>0</v>
      </c>
      <c r="V15" s="22" t="s">
        <v>89</v>
      </c>
      <c r="W15" s="22" t="s">
        <v>56</v>
      </c>
      <c r="X15" s="32"/>
      <c r="Y15" s="32"/>
      <c r="Z15" s="32"/>
      <c r="AA15" s="34">
        <f t="shared" si="3"/>
        <v>4.857142857</v>
      </c>
      <c r="AB15" s="35">
        <f t="shared" si="4"/>
        <v>2285.714286</v>
      </c>
      <c r="AC15" s="29" t="str">
        <f t="shared" si="5"/>
        <v>Sim</v>
      </c>
      <c r="AD15" s="37" t="str">
        <f t="shared" si="1"/>
        <v>Não</v>
      </c>
      <c r="AE15" s="38">
        <f t="shared" si="6"/>
        <v>0</v>
      </c>
      <c r="AF15" s="29">
        <f>IF(N15,N15+((VLOOKUP(C15,'NPS de resultado'!$C$7:$D$36,2)*30)),"")</f>
        <v>45529</v>
      </c>
      <c r="AG15" s="39"/>
    </row>
    <row r="16" hidden="1">
      <c r="A16" s="43" t="s">
        <v>90</v>
      </c>
      <c r="B16" s="21" t="s">
        <v>44</v>
      </c>
      <c r="C16" s="32" t="s">
        <v>68</v>
      </c>
      <c r="D16" s="45" t="s">
        <v>2</v>
      </c>
      <c r="E16" s="46">
        <v>7130.0</v>
      </c>
      <c r="F16" s="34">
        <v>7.0</v>
      </c>
      <c r="G16" s="34">
        <v>2.0</v>
      </c>
      <c r="H16" s="47">
        <v>45242.0</v>
      </c>
      <c r="I16" s="47"/>
      <c r="J16" s="27" t="s">
        <v>50</v>
      </c>
      <c r="K16" s="42">
        <v>45417.0</v>
      </c>
      <c r="L16" s="28">
        <v>1.0</v>
      </c>
      <c r="M16" s="29">
        <f t="shared" si="2"/>
        <v>45473</v>
      </c>
      <c r="N16" s="47"/>
      <c r="O16" s="30" t="s">
        <v>40</v>
      </c>
      <c r="P16" s="51" t="b">
        <v>0</v>
      </c>
      <c r="Q16" s="51" t="b">
        <v>0</v>
      </c>
      <c r="R16" s="31" t="b">
        <v>1</v>
      </c>
      <c r="S16" s="25"/>
      <c r="T16" s="32"/>
      <c r="U16" s="33" t="b">
        <f t="shared" si="7"/>
        <v>0</v>
      </c>
      <c r="V16" s="22" t="s">
        <v>47</v>
      </c>
      <c r="W16" s="22" t="s">
        <v>91</v>
      </c>
      <c r="X16" s="22" t="s">
        <v>62</v>
      </c>
      <c r="Y16" s="32"/>
      <c r="Z16" s="32"/>
      <c r="AA16" s="34">
        <f t="shared" si="3"/>
        <v>0</v>
      </c>
      <c r="AB16" s="35">
        <f t="shared" si="4"/>
        <v>0</v>
      </c>
      <c r="AC16" s="29" t="str">
        <f t="shared" si="5"/>
        <v>NÃO</v>
      </c>
      <c r="AD16" s="37" t="str">
        <f t="shared" si="1"/>
        <v>Não</v>
      </c>
      <c r="AE16" s="38">
        <f t="shared" si="6"/>
        <v>175</v>
      </c>
      <c r="AF16" s="29" t="str">
        <f>IF(N16,N16+((VLOOKUP(C16,'NPS de resultado'!$C$7:$D$36,2)*30)),"")</f>
        <v/>
      </c>
      <c r="AG16" s="39"/>
    </row>
    <row r="17" hidden="1">
      <c r="A17" s="20" t="s">
        <v>92</v>
      </c>
      <c r="B17" s="44" t="s">
        <v>44</v>
      </c>
      <c r="C17" s="32" t="s">
        <v>59</v>
      </c>
      <c r="D17" s="22" t="s">
        <v>2</v>
      </c>
      <c r="E17" s="46" t="s">
        <v>93</v>
      </c>
      <c r="F17" s="34">
        <v>3.0</v>
      </c>
      <c r="G17" s="25">
        <v>2.0</v>
      </c>
      <c r="H17" s="26">
        <v>45313.0</v>
      </c>
      <c r="I17" s="26">
        <v>45334.0</v>
      </c>
      <c r="J17" s="27" t="s">
        <v>50</v>
      </c>
      <c r="K17" s="53">
        <v>45320.0</v>
      </c>
      <c r="L17" s="28">
        <v>1.0</v>
      </c>
      <c r="M17" s="29">
        <f t="shared" si="2"/>
        <v>45348</v>
      </c>
      <c r="N17" s="54">
        <v>45348.0</v>
      </c>
      <c r="O17" s="31" t="s">
        <v>46</v>
      </c>
      <c r="P17" s="31" t="b">
        <v>1</v>
      </c>
      <c r="Q17" s="51" t="b">
        <v>0</v>
      </c>
      <c r="R17" s="31" t="b">
        <v>1</v>
      </c>
      <c r="S17" s="25">
        <v>10.0</v>
      </c>
      <c r="T17" s="32"/>
      <c r="U17" s="33" t="b">
        <f t="shared" si="7"/>
        <v>1</v>
      </c>
      <c r="V17" s="22" t="s">
        <v>52</v>
      </c>
      <c r="W17" s="22" t="s">
        <v>94</v>
      </c>
      <c r="X17" s="22" t="s">
        <v>95</v>
      </c>
      <c r="Y17" s="32"/>
      <c r="Z17" s="32"/>
      <c r="AA17" s="34">
        <f t="shared" si="3"/>
        <v>6</v>
      </c>
      <c r="AB17" s="35">
        <f t="shared" si="4"/>
        <v>0</v>
      </c>
      <c r="AC17" s="29" t="str">
        <f t="shared" si="5"/>
        <v>Sim</v>
      </c>
      <c r="AD17" s="37" t="str">
        <f t="shared" si="1"/>
        <v>Não</v>
      </c>
      <c r="AE17" s="38">
        <f t="shared" si="6"/>
        <v>7</v>
      </c>
      <c r="AF17" s="29">
        <f>IF(N17,N17+((VLOOKUP(C17,'NPS de resultado'!$C$7:$D$36,2)*30)),"")</f>
        <v>45528</v>
      </c>
      <c r="AG17" s="39"/>
    </row>
    <row r="18" hidden="1">
      <c r="A18" s="20" t="s">
        <v>96</v>
      </c>
      <c r="B18" s="44" t="s">
        <v>44</v>
      </c>
      <c r="C18" s="32" t="s">
        <v>97</v>
      </c>
      <c r="D18" s="22" t="s">
        <v>2</v>
      </c>
      <c r="E18" s="24">
        <v>5000.0</v>
      </c>
      <c r="F18" s="34">
        <v>6.0</v>
      </c>
      <c r="G18" s="25">
        <v>1.0</v>
      </c>
      <c r="H18" s="26">
        <v>45201.0</v>
      </c>
      <c r="I18" s="26">
        <v>45243.0</v>
      </c>
      <c r="J18" s="50" t="s">
        <v>39</v>
      </c>
      <c r="K18" s="53">
        <v>45329.0</v>
      </c>
      <c r="L18" s="28">
        <v>2.0</v>
      </c>
      <c r="M18" s="29">
        <f t="shared" si="2"/>
        <v>45385</v>
      </c>
      <c r="N18" s="54">
        <v>45392.0</v>
      </c>
      <c r="O18" s="31" t="s">
        <v>46</v>
      </c>
      <c r="P18" s="51" t="b">
        <v>0</v>
      </c>
      <c r="Q18" s="51" t="b">
        <v>0</v>
      </c>
      <c r="R18" s="31" t="b">
        <v>1</v>
      </c>
      <c r="S18" s="25"/>
      <c r="T18" s="32"/>
      <c r="U18" s="33" t="b">
        <v>0</v>
      </c>
      <c r="V18" s="22" t="s">
        <v>52</v>
      </c>
      <c r="W18" s="32"/>
      <c r="X18" s="32"/>
      <c r="Y18" s="32"/>
      <c r="Z18" s="32"/>
      <c r="AA18" s="34">
        <f t="shared" si="3"/>
        <v>7</v>
      </c>
      <c r="AB18" s="35">
        <f t="shared" si="4"/>
        <v>833.3333333</v>
      </c>
      <c r="AC18" s="29" t="str">
        <f t="shared" si="5"/>
        <v>Sim</v>
      </c>
      <c r="AD18" s="37" t="str">
        <f t="shared" si="1"/>
        <v>Não</v>
      </c>
      <c r="AE18" s="38">
        <f t="shared" si="6"/>
        <v>128</v>
      </c>
      <c r="AF18" s="29">
        <f>IF(N18,N18+((VLOOKUP(C18,'NPS de resultado'!$C$7:$D$36,2)*30)),"")</f>
        <v>45572</v>
      </c>
      <c r="AG18" s="39"/>
    </row>
    <row r="19" hidden="1">
      <c r="A19" s="20" t="s">
        <v>98</v>
      </c>
      <c r="B19" s="44" t="s">
        <v>44</v>
      </c>
      <c r="C19" s="32" t="s">
        <v>45</v>
      </c>
      <c r="D19" s="22" t="s">
        <v>2</v>
      </c>
      <c r="E19" s="46" t="s">
        <v>99</v>
      </c>
      <c r="F19" s="34">
        <v>10.0</v>
      </c>
      <c r="G19" s="25">
        <v>4.0</v>
      </c>
      <c r="H19" s="26">
        <v>45242.0</v>
      </c>
      <c r="I19" s="26">
        <v>45312.0</v>
      </c>
      <c r="J19" s="27" t="s">
        <v>50</v>
      </c>
      <c r="K19" s="53">
        <v>45399.0</v>
      </c>
      <c r="L19" s="28"/>
      <c r="M19" s="29">
        <f t="shared" ref="M19:M24" si="8">IF(K19&lt;&gt;"",K19+(F19+L19)*7,"-")</f>
        <v>45469</v>
      </c>
      <c r="N19" s="29"/>
      <c r="O19" s="31" t="s">
        <v>100</v>
      </c>
      <c r="P19" s="51" t="b">
        <v>0</v>
      </c>
      <c r="Q19" s="51" t="b">
        <v>0</v>
      </c>
      <c r="R19" s="31" t="b">
        <v>0</v>
      </c>
      <c r="S19" s="25"/>
      <c r="T19" s="32"/>
      <c r="U19" s="33" t="b">
        <v>0</v>
      </c>
      <c r="V19" s="32"/>
      <c r="W19" s="32"/>
      <c r="X19" s="32"/>
      <c r="Y19" s="32"/>
      <c r="Z19" s="32"/>
      <c r="AA19" s="34">
        <f t="shared" si="3"/>
        <v>0</v>
      </c>
      <c r="AB19" s="35">
        <f t="shared" si="4"/>
        <v>0</v>
      </c>
      <c r="AC19" s="29" t="str">
        <f t="shared" si="5"/>
        <v>NÃO</v>
      </c>
      <c r="AD19" s="37" t="str">
        <f t="shared" si="1"/>
        <v>Não</v>
      </c>
      <c r="AE19" s="38">
        <f t="shared" si="6"/>
        <v>157</v>
      </c>
      <c r="AF19" s="29" t="str">
        <f>IF(N19,N19+((VLOOKUP(C19,'NPS de resultado'!$C$7:$D$36,2)*30)),"")</f>
        <v/>
      </c>
      <c r="AG19" s="39"/>
    </row>
    <row r="20" hidden="1">
      <c r="A20" s="20" t="s">
        <v>101</v>
      </c>
      <c r="B20" s="44" t="s">
        <v>44</v>
      </c>
      <c r="C20" s="32" t="s">
        <v>45</v>
      </c>
      <c r="D20" s="22" t="s">
        <v>2</v>
      </c>
      <c r="E20" s="46" t="s">
        <v>102</v>
      </c>
      <c r="F20" s="34">
        <v>10.0</v>
      </c>
      <c r="G20" s="25">
        <v>4.0</v>
      </c>
      <c r="H20" s="47"/>
      <c r="I20" s="47"/>
      <c r="J20" s="27" t="s">
        <v>50</v>
      </c>
      <c r="K20" s="55"/>
      <c r="L20" s="28"/>
      <c r="M20" s="29" t="str">
        <f t="shared" si="8"/>
        <v>-</v>
      </c>
      <c r="N20" s="29"/>
      <c r="O20" s="31" t="s">
        <v>103</v>
      </c>
      <c r="P20" s="51" t="b">
        <v>0</v>
      </c>
      <c r="Q20" s="51" t="b">
        <v>0</v>
      </c>
      <c r="R20" s="31" t="b">
        <v>0</v>
      </c>
      <c r="S20" s="25"/>
      <c r="T20" s="32"/>
      <c r="U20" s="33" t="b">
        <v>0</v>
      </c>
      <c r="V20" s="32"/>
      <c r="W20" s="32"/>
      <c r="X20" s="32"/>
      <c r="Y20" s="32"/>
      <c r="Z20" s="32"/>
      <c r="AA20" s="34">
        <f t="shared" si="3"/>
        <v>0</v>
      </c>
      <c r="AB20" s="35">
        <f t="shared" si="4"/>
        <v>0</v>
      </c>
      <c r="AC20" s="29" t="str">
        <f t="shared" si="5"/>
        <v>NÃO</v>
      </c>
      <c r="AD20" s="37" t="str">
        <f t="shared" si="1"/>
        <v>Não</v>
      </c>
      <c r="AE20" s="38">
        <f t="shared" si="6"/>
        <v>0</v>
      </c>
      <c r="AF20" s="29" t="str">
        <f>IF(N20,N20+((VLOOKUP(C20,'NPS de resultado'!$C$7:$D$36,2)*30)),"")</f>
        <v/>
      </c>
      <c r="AG20" s="39"/>
    </row>
    <row r="21" hidden="1">
      <c r="A21" s="20" t="s">
        <v>104</v>
      </c>
      <c r="B21" s="44" t="s">
        <v>44</v>
      </c>
      <c r="C21" s="32" t="s">
        <v>45</v>
      </c>
      <c r="D21" s="22" t="s">
        <v>2</v>
      </c>
      <c r="E21" s="46" t="s">
        <v>105</v>
      </c>
      <c r="F21" s="34">
        <v>10.0</v>
      </c>
      <c r="G21" s="25">
        <v>4.0</v>
      </c>
      <c r="H21" s="26">
        <v>45306.0</v>
      </c>
      <c r="I21" s="26">
        <v>45376.0</v>
      </c>
      <c r="J21" s="27" t="s">
        <v>50</v>
      </c>
      <c r="K21" s="55"/>
      <c r="L21" s="28"/>
      <c r="M21" s="29" t="str">
        <f t="shared" si="8"/>
        <v>-</v>
      </c>
      <c r="N21" s="29"/>
      <c r="O21" s="31" t="s">
        <v>103</v>
      </c>
      <c r="P21" s="51" t="b">
        <v>0</v>
      </c>
      <c r="Q21" s="51" t="b">
        <v>0</v>
      </c>
      <c r="R21" s="31" t="b">
        <v>0</v>
      </c>
      <c r="S21" s="25"/>
      <c r="T21" s="32"/>
      <c r="U21" s="33" t="b">
        <v>0</v>
      </c>
      <c r="V21" s="32"/>
      <c r="W21" s="32"/>
      <c r="X21" s="32"/>
      <c r="Y21" s="32"/>
      <c r="Z21" s="32"/>
      <c r="AA21" s="34">
        <f t="shared" si="3"/>
        <v>0</v>
      </c>
      <c r="AB21" s="35">
        <f t="shared" si="4"/>
        <v>0</v>
      </c>
      <c r="AC21" s="29" t="str">
        <f t="shared" si="5"/>
        <v>NÃO</v>
      </c>
      <c r="AD21" s="37" t="str">
        <f t="shared" si="1"/>
        <v>Não</v>
      </c>
      <c r="AE21" s="38">
        <f t="shared" si="6"/>
        <v>0</v>
      </c>
      <c r="AF21" s="29" t="str">
        <f>IF(N21,N21+((VLOOKUP(C21,'NPS de resultado'!$C$7:$D$36,2)*30)),"")</f>
        <v/>
      </c>
      <c r="AG21" s="39"/>
    </row>
    <row r="22" hidden="1">
      <c r="A22" s="20" t="s">
        <v>106</v>
      </c>
      <c r="B22" s="44" t="s">
        <v>44</v>
      </c>
      <c r="C22" s="32" t="s">
        <v>68</v>
      </c>
      <c r="D22" s="22" t="s">
        <v>2</v>
      </c>
      <c r="E22" s="24">
        <v>4840.0</v>
      </c>
      <c r="F22" s="34">
        <v>6.0</v>
      </c>
      <c r="G22" s="25">
        <v>1.0</v>
      </c>
      <c r="H22" s="26">
        <v>45313.0</v>
      </c>
      <c r="I22" s="26">
        <v>45348.0</v>
      </c>
      <c r="J22" s="50" t="s">
        <v>39</v>
      </c>
      <c r="K22" s="53">
        <v>45321.0</v>
      </c>
      <c r="L22" s="28">
        <v>7.0</v>
      </c>
      <c r="M22" s="29">
        <f t="shared" si="8"/>
        <v>45412</v>
      </c>
      <c r="N22" s="54">
        <v>45422.0</v>
      </c>
      <c r="O22" s="31" t="s">
        <v>46</v>
      </c>
      <c r="P22" s="31" t="b">
        <v>1</v>
      </c>
      <c r="Q22" s="31" t="b">
        <v>1</v>
      </c>
      <c r="R22" s="31" t="b">
        <v>1</v>
      </c>
      <c r="S22" s="25">
        <v>8.0</v>
      </c>
      <c r="T22" s="32"/>
      <c r="U22" s="33" t="b">
        <v>0</v>
      </c>
      <c r="V22" s="22" t="s">
        <v>52</v>
      </c>
      <c r="W22" s="22" t="s">
        <v>70</v>
      </c>
      <c r="X22" s="22" t="s">
        <v>107</v>
      </c>
      <c r="Y22" s="32"/>
      <c r="Z22" s="32"/>
      <c r="AA22" s="34">
        <f t="shared" si="3"/>
        <v>7.428571429</v>
      </c>
      <c r="AB22" s="35">
        <f t="shared" si="4"/>
        <v>1152.380952</v>
      </c>
      <c r="AC22" s="29" t="str">
        <f t="shared" si="5"/>
        <v>Sim</v>
      </c>
      <c r="AD22" s="37" t="str">
        <f t="shared" si="1"/>
        <v>Não</v>
      </c>
      <c r="AE22" s="38">
        <f t="shared" si="6"/>
        <v>8</v>
      </c>
      <c r="AF22" s="29">
        <f>IF(N22,N22+((VLOOKUP(C22,'NPS de resultado'!$C$7:$D$36,2)*30)),"")</f>
        <v>45602</v>
      </c>
      <c r="AG22" s="39"/>
    </row>
    <row r="23" hidden="1">
      <c r="A23" s="20" t="s">
        <v>108</v>
      </c>
      <c r="B23" s="44" t="s">
        <v>44</v>
      </c>
      <c r="C23" s="32" t="s">
        <v>109</v>
      </c>
      <c r="D23" s="22" t="s">
        <v>2</v>
      </c>
      <c r="E23" s="24">
        <v>7800.0</v>
      </c>
      <c r="F23" s="34">
        <v>7.0</v>
      </c>
      <c r="G23" s="25">
        <v>2.0</v>
      </c>
      <c r="H23" s="26">
        <v>45334.0</v>
      </c>
      <c r="I23" s="26">
        <v>45295.0</v>
      </c>
      <c r="J23" s="27" t="s">
        <v>50</v>
      </c>
      <c r="K23" s="53">
        <v>45355.0</v>
      </c>
      <c r="L23" s="28">
        <v>2.0</v>
      </c>
      <c r="M23" s="29">
        <f t="shared" si="8"/>
        <v>45418</v>
      </c>
      <c r="N23" s="29"/>
      <c r="O23" s="31" t="s">
        <v>40</v>
      </c>
      <c r="P23" s="51" t="b">
        <v>0</v>
      </c>
      <c r="Q23" s="51" t="b">
        <v>0</v>
      </c>
      <c r="R23" s="31" t="b">
        <v>1</v>
      </c>
      <c r="S23" s="25"/>
      <c r="T23" s="32"/>
      <c r="U23" s="33" t="b">
        <v>0</v>
      </c>
      <c r="V23" s="22" t="s">
        <v>110</v>
      </c>
      <c r="W23" s="22" t="s">
        <v>91</v>
      </c>
      <c r="X23" s="22" t="s">
        <v>95</v>
      </c>
      <c r="Y23" s="32"/>
      <c r="Z23" s="32"/>
      <c r="AA23" s="34">
        <f t="shared" si="3"/>
        <v>0</v>
      </c>
      <c r="AB23" s="35">
        <f t="shared" si="4"/>
        <v>8118.367347</v>
      </c>
      <c r="AC23" s="29" t="str">
        <f t="shared" si="5"/>
        <v>Sim</v>
      </c>
      <c r="AD23" s="37" t="str">
        <f t="shared" si="1"/>
        <v>Sim</v>
      </c>
      <c r="AE23" s="38">
        <f t="shared" si="6"/>
        <v>21</v>
      </c>
      <c r="AF23" s="29" t="str">
        <f>IF(N23,N23+((VLOOKUP(C23,'NPS de resultado'!$C$7:$D$36,2)*30)),"")</f>
        <v/>
      </c>
      <c r="AG23" s="39"/>
    </row>
    <row r="24" hidden="1">
      <c r="A24" s="20" t="s">
        <v>111</v>
      </c>
      <c r="B24" s="44" t="s">
        <v>44</v>
      </c>
      <c r="C24" s="32" t="s">
        <v>45</v>
      </c>
      <c r="D24" s="22" t="s">
        <v>2</v>
      </c>
      <c r="E24" s="46" t="s">
        <v>112</v>
      </c>
      <c r="F24" s="34">
        <v>6.0</v>
      </c>
      <c r="G24" s="25">
        <v>4.0</v>
      </c>
      <c r="H24" s="26">
        <v>45313.0</v>
      </c>
      <c r="I24" s="26">
        <v>45355.0</v>
      </c>
      <c r="J24" s="27" t="s">
        <v>50</v>
      </c>
      <c r="K24" s="53">
        <v>45425.0</v>
      </c>
      <c r="L24" s="28">
        <v>1.0</v>
      </c>
      <c r="M24" s="29">
        <f t="shared" si="8"/>
        <v>45474</v>
      </c>
      <c r="N24" s="29"/>
      <c r="O24" s="31" t="s">
        <v>40</v>
      </c>
      <c r="P24" s="51" t="b">
        <v>0</v>
      </c>
      <c r="Q24" s="51" t="b">
        <v>0</v>
      </c>
      <c r="R24" s="31" t="b">
        <v>1</v>
      </c>
      <c r="S24" s="25"/>
      <c r="T24" s="32"/>
      <c r="U24" s="33" t="b">
        <v>0</v>
      </c>
      <c r="V24" s="22" t="s">
        <v>81</v>
      </c>
      <c r="W24" s="22" t="s">
        <v>113</v>
      </c>
      <c r="X24" s="22" t="s">
        <v>73</v>
      </c>
      <c r="Y24" s="22" t="s">
        <v>114</v>
      </c>
      <c r="Z24" s="22" t="s">
        <v>61</v>
      </c>
      <c r="AA24" s="34">
        <f t="shared" si="3"/>
        <v>0</v>
      </c>
      <c r="AB24" s="35">
        <f t="shared" si="4"/>
        <v>0</v>
      </c>
      <c r="AC24" s="29" t="str">
        <f t="shared" si="5"/>
        <v>NÃO</v>
      </c>
      <c r="AD24" s="37" t="str">
        <f t="shared" si="1"/>
        <v>Não</v>
      </c>
      <c r="AE24" s="38">
        <f t="shared" si="6"/>
        <v>112</v>
      </c>
      <c r="AF24" s="29" t="str">
        <f>IF(N24,N24+((VLOOKUP(C24,'NPS de resultado'!$C$7:$D$36,2)*30)),"")</f>
        <v/>
      </c>
      <c r="AG24" s="39"/>
    </row>
    <row r="25" hidden="1">
      <c r="A25" s="56" t="s">
        <v>115</v>
      </c>
      <c r="B25" s="57" t="s">
        <v>116</v>
      </c>
      <c r="C25" s="58" t="s">
        <v>117</v>
      </c>
      <c r="D25" s="59" t="s">
        <v>2</v>
      </c>
      <c r="E25" s="46">
        <v>25920.0</v>
      </c>
      <c r="F25" s="60">
        <v>9.0</v>
      </c>
      <c r="G25" s="60">
        <v>2.0</v>
      </c>
      <c r="H25" s="29">
        <v>45201.0</v>
      </c>
      <c r="I25" s="29">
        <v>45261.0</v>
      </c>
      <c r="J25" s="61" t="s">
        <v>39</v>
      </c>
      <c r="K25" s="29">
        <v>45210.0</v>
      </c>
      <c r="L25" s="62">
        <f t="shared" ref="L25:L26" si="9">1+1</f>
        <v>2</v>
      </c>
      <c r="M25" s="29">
        <f t="shared" ref="M25:M31" si="10">IF(K25&lt;&gt;"",K25+(F25+L25)*7,"")</f>
        <v>45287</v>
      </c>
      <c r="N25" s="54">
        <v>45285.0</v>
      </c>
      <c r="O25" s="61" t="s">
        <v>46</v>
      </c>
      <c r="P25" s="51" t="b">
        <v>0</v>
      </c>
      <c r="Q25" s="51" t="b">
        <v>0</v>
      </c>
      <c r="R25" s="31" t="b">
        <v>1</v>
      </c>
      <c r="S25" s="63">
        <v>10.0</v>
      </c>
      <c r="T25" s="64"/>
      <c r="U25" s="31" t="b">
        <f t="shared" ref="U25:U194" si="11">IF(AND(S25&gt;=9,R25=TRUE,N25&lt;=M25,N25&lt;&gt;0),TRUE,FALSE)</f>
        <v>1</v>
      </c>
      <c r="V25" s="64" t="s">
        <v>118</v>
      </c>
      <c r="W25" s="64" t="s">
        <v>119</v>
      </c>
      <c r="X25" s="64" t="s">
        <v>120</v>
      </c>
      <c r="Y25" s="65"/>
      <c r="Z25" s="65"/>
      <c r="AA25" s="34">
        <f t="shared" si="3"/>
        <v>17.42857143</v>
      </c>
      <c r="AB25" s="35">
        <f t="shared" si="4"/>
        <v>0</v>
      </c>
      <c r="AC25" s="29" t="str">
        <f t="shared" si="5"/>
        <v>Sim</v>
      </c>
      <c r="AD25" s="37" t="str">
        <f t="shared" si="1"/>
        <v>Não</v>
      </c>
      <c r="AE25" s="38">
        <f t="shared" si="6"/>
        <v>9</v>
      </c>
      <c r="AF25" s="29">
        <f>IF(N25,N25+((VLOOKUP(C25,'NPS de resultado'!$C$7:$D$36,2)*30)),"")</f>
        <v>45465</v>
      </c>
      <c r="AG25" s="39"/>
    </row>
    <row r="26" hidden="1">
      <c r="A26" s="56" t="s">
        <v>121</v>
      </c>
      <c r="B26" s="66" t="s">
        <v>116</v>
      </c>
      <c r="C26" s="59" t="s">
        <v>117</v>
      </c>
      <c r="D26" s="59" t="s">
        <v>2</v>
      </c>
      <c r="E26" s="46">
        <v>36000.0</v>
      </c>
      <c r="F26" s="60">
        <v>8.0</v>
      </c>
      <c r="G26" s="60">
        <v>3.0</v>
      </c>
      <c r="H26" s="29">
        <v>45187.0</v>
      </c>
      <c r="I26" s="29">
        <v>45240.0</v>
      </c>
      <c r="J26" s="61" t="s">
        <v>50</v>
      </c>
      <c r="K26" s="29">
        <v>45225.0</v>
      </c>
      <c r="L26" s="62">
        <f t="shared" si="9"/>
        <v>2</v>
      </c>
      <c r="M26" s="29">
        <f t="shared" si="10"/>
        <v>45295</v>
      </c>
      <c r="N26" s="54">
        <v>45282.0</v>
      </c>
      <c r="O26" s="61" t="s">
        <v>46</v>
      </c>
      <c r="P26" s="51" t="b">
        <v>0</v>
      </c>
      <c r="Q26" s="51" t="b">
        <v>0</v>
      </c>
      <c r="R26" s="31" t="b">
        <v>1</v>
      </c>
      <c r="S26" s="63">
        <v>8.0</v>
      </c>
      <c r="T26" s="64"/>
      <c r="U26" s="31" t="b">
        <f t="shared" si="11"/>
        <v>0</v>
      </c>
      <c r="V26" s="64" t="s">
        <v>122</v>
      </c>
      <c r="W26" s="64" t="s">
        <v>123</v>
      </c>
      <c r="X26" s="64" t="s">
        <v>124</v>
      </c>
      <c r="Y26" s="64" t="s">
        <v>125</v>
      </c>
      <c r="Z26" s="65"/>
      <c r="AA26" s="34">
        <f t="shared" si="3"/>
        <v>18.42857143</v>
      </c>
      <c r="AB26" s="35">
        <f t="shared" si="4"/>
        <v>0</v>
      </c>
      <c r="AC26" s="29" t="str">
        <f t="shared" si="5"/>
        <v>Sim</v>
      </c>
      <c r="AD26" s="37" t="str">
        <f t="shared" si="1"/>
        <v>Não</v>
      </c>
      <c r="AE26" s="38">
        <f t="shared" si="6"/>
        <v>38</v>
      </c>
      <c r="AF26" s="29">
        <f>IF(N26,N26+((VLOOKUP(C26,'NPS de resultado'!$C$7:$D$36,2)*30)),"")</f>
        <v>45462</v>
      </c>
      <c r="AG26" s="39"/>
    </row>
    <row r="27" hidden="1">
      <c r="A27" s="43" t="s">
        <v>126</v>
      </c>
      <c r="B27" s="66" t="s">
        <v>116</v>
      </c>
      <c r="C27" s="59" t="s">
        <v>127</v>
      </c>
      <c r="D27" s="59" t="s">
        <v>2</v>
      </c>
      <c r="E27" s="46">
        <v>15500.0</v>
      </c>
      <c r="F27" s="60">
        <v>10.0</v>
      </c>
      <c r="G27" s="60">
        <v>1.0</v>
      </c>
      <c r="H27" s="29">
        <v>45124.0</v>
      </c>
      <c r="I27" s="29">
        <v>45191.0</v>
      </c>
      <c r="J27" s="59" t="s">
        <v>39</v>
      </c>
      <c r="K27" s="29">
        <v>45131.0</v>
      </c>
      <c r="L27" s="62">
        <f>2/7+1+4</f>
        <v>5.285714286</v>
      </c>
      <c r="M27" s="29">
        <f t="shared" si="10"/>
        <v>45238</v>
      </c>
      <c r="N27" s="54">
        <v>45322.0</v>
      </c>
      <c r="O27" s="61" t="s">
        <v>46</v>
      </c>
      <c r="P27" s="51" t="b">
        <v>0</v>
      </c>
      <c r="Q27" s="51" t="b">
        <v>0</v>
      </c>
      <c r="R27" s="31" t="b">
        <v>0</v>
      </c>
      <c r="S27" s="67"/>
      <c r="T27" s="64"/>
      <c r="U27" s="31" t="b">
        <f t="shared" si="11"/>
        <v>0</v>
      </c>
      <c r="V27" s="64" t="s">
        <v>128</v>
      </c>
      <c r="W27" s="65" t="s">
        <v>129</v>
      </c>
      <c r="X27" s="65"/>
      <c r="Y27" s="65"/>
      <c r="Z27" s="65"/>
      <c r="AA27" s="34">
        <f t="shared" si="3"/>
        <v>22</v>
      </c>
      <c r="AB27" s="35">
        <f t="shared" si="4"/>
        <v>18600</v>
      </c>
      <c r="AC27" s="29" t="str">
        <f t="shared" si="5"/>
        <v>Sim</v>
      </c>
      <c r="AD27" s="37" t="str">
        <f t="shared" si="1"/>
        <v>Não</v>
      </c>
      <c r="AE27" s="38">
        <f t="shared" si="6"/>
        <v>7</v>
      </c>
      <c r="AF27" s="29">
        <f>IF(N27,N27+((VLOOKUP(C27,'NPS de resultado'!$C$7:$D$36,2)*30)),"")</f>
        <v>45502</v>
      </c>
      <c r="AG27" s="39"/>
    </row>
    <row r="28" hidden="1">
      <c r="A28" s="43" t="s">
        <v>130</v>
      </c>
      <c r="B28" s="66" t="s">
        <v>116</v>
      </c>
      <c r="C28" s="59" t="s">
        <v>117</v>
      </c>
      <c r="D28" s="59" t="s">
        <v>2</v>
      </c>
      <c r="E28" s="46">
        <v>30000.0</v>
      </c>
      <c r="F28" s="60">
        <v>8.0</v>
      </c>
      <c r="G28" s="60">
        <v>3.0</v>
      </c>
      <c r="H28" s="29">
        <v>45145.0</v>
      </c>
      <c r="I28" s="29">
        <v>45198.0</v>
      </c>
      <c r="J28" s="61" t="s">
        <v>50</v>
      </c>
      <c r="K28" s="29">
        <v>45267.0</v>
      </c>
      <c r="L28" s="68">
        <v>2.0</v>
      </c>
      <c r="M28" s="29">
        <f t="shared" si="10"/>
        <v>45337</v>
      </c>
      <c r="N28" s="54">
        <v>45372.0</v>
      </c>
      <c r="O28" s="69" t="s">
        <v>46</v>
      </c>
      <c r="P28" s="51" t="b">
        <v>0</v>
      </c>
      <c r="Q28" s="51" t="b">
        <v>0</v>
      </c>
      <c r="R28" s="31" t="b">
        <v>0</v>
      </c>
      <c r="S28" s="70">
        <v>7.0</v>
      </c>
      <c r="T28" s="64"/>
      <c r="U28" s="31" t="b">
        <f t="shared" si="11"/>
        <v>0</v>
      </c>
      <c r="V28" s="65" t="s">
        <v>131</v>
      </c>
      <c r="W28" s="65" t="s">
        <v>132</v>
      </c>
      <c r="X28" s="65" t="s">
        <v>133</v>
      </c>
      <c r="Y28" s="65"/>
      <c r="Z28" s="65"/>
      <c r="AA28" s="34">
        <f t="shared" si="3"/>
        <v>39</v>
      </c>
      <c r="AB28" s="35">
        <f t="shared" si="4"/>
        <v>18750</v>
      </c>
      <c r="AC28" s="29" t="str">
        <f t="shared" si="5"/>
        <v>Sim</v>
      </c>
      <c r="AD28" s="37" t="str">
        <f t="shared" si="1"/>
        <v>Não</v>
      </c>
      <c r="AE28" s="38">
        <f t="shared" si="6"/>
        <v>122</v>
      </c>
      <c r="AF28" s="29">
        <f>IF(N28,N28+((VLOOKUP(C28,'NPS de resultado'!$C$7:$D$36,2)*30)),"")</f>
        <v>45552</v>
      </c>
      <c r="AG28" s="39"/>
    </row>
    <row r="29" hidden="1">
      <c r="A29" s="43" t="s">
        <v>134</v>
      </c>
      <c r="B29" s="66" t="s">
        <v>116</v>
      </c>
      <c r="C29" s="59" t="s">
        <v>117</v>
      </c>
      <c r="D29" s="59" t="s">
        <v>2</v>
      </c>
      <c r="E29" s="46">
        <v>36000.0</v>
      </c>
      <c r="F29" s="60">
        <v>8.0</v>
      </c>
      <c r="G29" s="60">
        <v>3.0</v>
      </c>
      <c r="H29" s="29">
        <v>45145.0</v>
      </c>
      <c r="I29" s="29">
        <v>45198.0</v>
      </c>
      <c r="J29" s="61" t="s">
        <v>50</v>
      </c>
      <c r="K29" s="29">
        <v>45187.0</v>
      </c>
      <c r="L29" s="62">
        <f>2/7+1+1/7+1+1</f>
        <v>3.428571429</v>
      </c>
      <c r="M29" s="29">
        <f t="shared" si="10"/>
        <v>45267</v>
      </c>
      <c r="N29" s="54">
        <v>45341.0</v>
      </c>
      <c r="O29" s="71" t="s">
        <v>51</v>
      </c>
      <c r="P29" s="51" t="b">
        <v>0</v>
      </c>
      <c r="Q29" s="51" t="b">
        <v>0</v>
      </c>
      <c r="R29" s="31" t="b">
        <v>0</v>
      </c>
      <c r="S29" s="63"/>
      <c r="T29" s="65"/>
      <c r="U29" s="31" t="b">
        <f t="shared" si="11"/>
        <v>0</v>
      </c>
      <c r="V29" s="64" t="s">
        <v>135</v>
      </c>
      <c r="W29" s="65" t="s">
        <v>125</v>
      </c>
      <c r="X29" s="65" t="s">
        <v>136</v>
      </c>
      <c r="Y29" s="65"/>
      <c r="Z29" s="65"/>
      <c r="AA29" s="34">
        <f t="shared" si="3"/>
        <v>55.71428571</v>
      </c>
      <c r="AB29" s="35">
        <f t="shared" si="4"/>
        <v>47571.42857</v>
      </c>
      <c r="AC29" s="29" t="str">
        <f t="shared" si="5"/>
        <v>Sim</v>
      </c>
      <c r="AD29" s="37" t="str">
        <f t="shared" si="1"/>
        <v>Não</v>
      </c>
      <c r="AE29" s="38">
        <f t="shared" si="6"/>
        <v>42</v>
      </c>
      <c r="AF29" s="29">
        <f>IF(N29,N29+((VLOOKUP(C29,'NPS de resultado'!$C$7:$D$36,2)*30)),"")</f>
        <v>45521</v>
      </c>
      <c r="AG29" s="39"/>
    </row>
    <row r="30" hidden="1">
      <c r="A30" s="43" t="s">
        <v>137</v>
      </c>
      <c r="B30" s="66" t="s">
        <v>116</v>
      </c>
      <c r="C30" s="59" t="s">
        <v>117</v>
      </c>
      <c r="D30" s="59" t="s">
        <v>2</v>
      </c>
      <c r="E30" s="46">
        <v>21000.0</v>
      </c>
      <c r="F30" s="60">
        <v>7.0</v>
      </c>
      <c r="G30" s="60">
        <v>2.0</v>
      </c>
      <c r="H30" s="29">
        <v>45173.0</v>
      </c>
      <c r="I30" s="29">
        <v>45219.0</v>
      </c>
      <c r="J30" s="59" t="s">
        <v>39</v>
      </c>
      <c r="K30" s="29">
        <v>45194.0</v>
      </c>
      <c r="L30" s="62">
        <f>1/7+1+1</f>
        <v>2.142857143</v>
      </c>
      <c r="M30" s="29">
        <f t="shared" si="10"/>
        <v>45258</v>
      </c>
      <c r="N30" s="54">
        <v>45361.0</v>
      </c>
      <c r="O30" s="69" t="s">
        <v>46</v>
      </c>
      <c r="P30" s="51" t="b">
        <v>0</v>
      </c>
      <c r="Q30" s="51" t="b">
        <v>0</v>
      </c>
      <c r="R30" s="31" t="b">
        <v>1</v>
      </c>
      <c r="S30" s="67"/>
      <c r="T30" s="64"/>
      <c r="U30" s="31" t="b">
        <f t="shared" si="11"/>
        <v>0</v>
      </c>
      <c r="V30" s="64" t="s">
        <v>122</v>
      </c>
      <c r="W30" s="65" t="s">
        <v>138</v>
      </c>
      <c r="X30" s="65"/>
      <c r="Y30" s="65"/>
      <c r="Z30" s="65"/>
      <c r="AA30" s="34">
        <f t="shared" si="3"/>
        <v>43.42857143</v>
      </c>
      <c r="AB30" s="35">
        <f t="shared" si="4"/>
        <v>44142.85714</v>
      </c>
      <c r="AC30" s="29" t="str">
        <f t="shared" si="5"/>
        <v>Sim</v>
      </c>
      <c r="AD30" s="37" t="str">
        <f t="shared" si="1"/>
        <v>Não</v>
      </c>
      <c r="AE30" s="38">
        <f t="shared" si="6"/>
        <v>21</v>
      </c>
      <c r="AF30" s="29">
        <f>IF(N30,N30+((VLOOKUP(C30,'NPS de resultado'!$C$7:$D$36,2)*30)),"")</f>
        <v>45541</v>
      </c>
      <c r="AG30" s="39"/>
    </row>
    <row r="31" hidden="1">
      <c r="A31" s="43" t="s">
        <v>139</v>
      </c>
      <c r="B31" s="66" t="s">
        <v>116</v>
      </c>
      <c r="C31" s="59" t="s">
        <v>117</v>
      </c>
      <c r="D31" s="59" t="s">
        <v>2</v>
      </c>
      <c r="E31" s="46">
        <v>50000.0</v>
      </c>
      <c r="F31" s="60">
        <v>12.0</v>
      </c>
      <c r="G31" s="60">
        <v>3.0</v>
      </c>
      <c r="H31" s="29">
        <v>45194.0</v>
      </c>
      <c r="I31" s="29">
        <v>45275.0</v>
      </c>
      <c r="J31" s="61" t="s">
        <v>50</v>
      </c>
      <c r="K31" s="29">
        <v>45201.0</v>
      </c>
      <c r="L31" s="62">
        <f>1/7++1+1</f>
        <v>2.142857143</v>
      </c>
      <c r="M31" s="29">
        <f t="shared" si="10"/>
        <v>45300</v>
      </c>
      <c r="N31" s="54">
        <v>45303.0</v>
      </c>
      <c r="O31" s="61" t="s">
        <v>46</v>
      </c>
      <c r="P31" s="51" t="b">
        <v>0</v>
      </c>
      <c r="Q31" s="51" t="b">
        <v>0</v>
      </c>
      <c r="R31" s="31" t="b">
        <v>1</v>
      </c>
      <c r="S31" s="67"/>
      <c r="T31" s="64"/>
      <c r="U31" s="31" t="b">
        <f t="shared" si="11"/>
        <v>0</v>
      </c>
      <c r="V31" s="65" t="s">
        <v>131</v>
      </c>
      <c r="W31" s="65" t="s">
        <v>120</v>
      </c>
      <c r="X31" s="65" t="s">
        <v>133</v>
      </c>
      <c r="Z31" s="65"/>
      <c r="AA31" s="34">
        <f t="shared" si="3"/>
        <v>37.28571429</v>
      </c>
      <c r="AB31" s="35">
        <f t="shared" si="4"/>
        <v>1785.714286</v>
      </c>
      <c r="AC31" s="29" t="str">
        <f t="shared" si="5"/>
        <v>Sim</v>
      </c>
      <c r="AD31" s="37" t="str">
        <f t="shared" si="1"/>
        <v>Não</v>
      </c>
      <c r="AE31" s="38">
        <f t="shared" si="6"/>
        <v>7</v>
      </c>
      <c r="AF31" s="29">
        <f>IF(N31,N31+((VLOOKUP(C31,'NPS de resultado'!$C$7:$D$36,2)*30)),"")</f>
        <v>45483</v>
      </c>
      <c r="AG31" s="39"/>
    </row>
    <row r="32" hidden="1">
      <c r="A32" s="43" t="s">
        <v>140</v>
      </c>
      <c r="B32" s="66" t="s">
        <v>116</v>
      </c>
      <c r="C32" s="59" t="s">
        <v>127</v>
      </c>
      <c r="D32" s="59" t="s">
        <v>2</v>
      </c>
      <c r="E32" s="46">
        <v>13000.0</v>
      </c>
      <c r="F32" s="60">
        <v>9.0</v>
      </c>
      <c r="G32" s="60">
        <v>1.0</v>
      </c>
      <c r="H32" s="29">
        <v>45201.0</v>
      </c>
      <c r="I32" s="29">
        <v>45261.0</v>
      </c>
      <c r="J32" s="59" t="s">
        <v>39</v>
      </c>
      <c r="K32" s="29">
        <v>45210.0</v>
      </c>
      <c r="L32" s="62">
        <f>1/7+1+1</f>
        <v>2.142857143</v>
      </c>
      <c r="M32" s="54">
        <v>45338.0</v>
      </c>
      <c r="N32" s="54">
        <v>45338.0</v>
      </c>
      <c r="O32" s="69" t="s">
        <v>46</v>
      </c>
      <c r="P32" s="51" t="b">
        <v>0</v>
      </c>
      <c r="Q32" s="51" t="b">
        <v>0</v>
      </c>
      <c r="R32" s="31" t="b">
        <v>1</v>
      </c>
      <c r="S32" s="70">
        <v>9.0</v>
      </c>
      <c r="T32" s="64"/>
      <c r="U32" s="31" t="b">
        <f t="shared" si="11"/>
        <v>1</v>
      </c>
      <c r="V32" s="65" t="s">
        <v>122</v>
      </c>
      <c r="W32" s="65" t="s">
        <v>125</v>
      </c>
      <c r="X32" s="65"/>
      <c r="Y32" s="65"/>
      <c r="AA32" s="34">
        <f t="shared" si="3"/>
        <v>16.14285714</v>
      </c>
      <c r="AB32" s="35">
        <f t="shared" si="4"/>
        <v>0</v>
      </c>
      <c r="AC32" s="29" t="str">
        <f t="shared" si="5"/>
        <v>Sim</v>
      </c>
      <c r="AD32" s="37" t="str">
        <f t="shared" si="1"/>
        <v>Não</v>
      </c>
      <c r="AE32" s="38">
        <f t="shared" si="6"/>
        <v>9</v>
      </c>
      <c r="AF32" s="29">
        <f>IF(N32,N32+((VLOOKUP(C32,'NPS de resultado'!$C$7:$D$36,2)*30)),"")</f>
        <v>45518</v>
      </c>
      <c r="AG32" s="39"/>
    </row>
    <row r="33" hidden="1">
      <c r="A33" s="43" t="s">
        <v>141</v>
      </c>
      <c r="B33" s="66" t="s">
        <v>116</v>
      </c>
      <c r="C33" s="59" t="s">
        <v>117</v>
      </c>
      <c r="D33" s="59" t="s">
        <v>2</v>
      </c>
      <c r="E33" s="46">
        <v>44550.0</v>
      </c>
      <c r="F33" s="60">
        <v>11.0</v>
      </c>
      <c r="G33" s="60">
        <v>3.0</v>
      </c>
      <c r="H33" s="29">
        <v>45215.0</v>
      </c>
      <c r="I33" s="29">
        <v>45289.0</v>
      </c>
      <c r="J33" s="61" t="s">
        <v>50</v>
      </c>
      <c r="K33" s="29">
        <v>45229.0</v>
      </c>
      <c r="L33" s="62">
        <f>1+1</f>
        <v>2</v>
      </c>
      <c r="M33" s="29">
        <f>IF(K33&lt;&gt;"",K33+(F33+L33)*7,"")</f>
        <v>45320</v>
      </c>
      <c r="N33" s="54">
        <v>45355.0</v>
      </c>
      <c r="O33" s="71" t="s">
        <v>46</v>
      </c>
      <c r="P33" s="51" t="b">
        <v>0</v>
      </c>
      <c r="Q33" s="51" t="b">
        <v>0</v>
      </c>
      <c r="R33" s="31" t="b">
        <v>1</v>
      </c>
      <c r="S33" s="63">
        <v>10.0</v>
      </c>
      <c r="T33" s="64"/>
      <c r="U33" s="31" t="b">
        <f t="shared" si="11"/>
        <v>0</v>
      </c>
      <c r="V33" s="65" t="s">
        <v>138</v>
      </c>
      <c r="W33" s="65" t="s">
        <v>142</v>
      </c>
      <c r="X33" s="65" t="s">
        <v>143</v>
      </c>
      <c r="Y33" s="65"/>
      <c r="Z33" s="65"/>
      <c r="AA33" s="34">
        <f t="shared" si="3"/>
        <v>48</v>
      </c>
      <c r="AB33" s="35">
        <f t="shared" si="4"/>
        <v>20250</v>
      </c>
      <c r="AC33" s="29" t="str">
        <f t="shared" si="5"/>
        <v>Sim</v>
      </c>
      <c r="AD33" s="37" t="str">
        <f t="shared" si="1"/>
        <v>Não</v>
      </c>
      <c r="AE33" s="38">
        <f t="shared" si="6"/>
        <v>14</v>
      </c>
      <c r="AF33" s="29">
        <f>IF(N33,N33+((VLOOKUP(C33,'NPS de resultado'!$C$7:$D$36,2)*30)),"")</f>
        <v>45535</v>
      </c>
      <c r="AG33" s="39"/>
    </row>
    <row r="34" hidden="1">
      <c r="A34" s="43" t="s">
        <v>144</v>
      </c>
      <c r="B34" s="66" t="s">
        <v>116</v>
      </c>
      <c r="C34" s="59" t="s">
        <v>145</v>
      </c>
      <c r="D34" s="59" t="s">
        <v>2</v>
      </c>
      <c r="E34" s="46">
        <v>13500.0</v>
      </c>
      <c r="F34" s="60">
        <v>9.0</v>
      </c>
      <c r="G34" s="60">
        <v>1.0</v>
      </c>
      <c r="H34" s="29">
        <v>45229.0</v>
      </c>
      <c r="I34" s="29">
        <v>45289.0</v>
      </c>
      <c r="J34" s="61" t="s">
        <v>39</v>
      </c>
      <c r="K34" s="29">
        <v>45251.0</v>
      </c>
      <c r="L34" s="68">
        <v>0.0</v>
      </c>
      <c r="M34" s="54">
        <v>45322.0</v>
      </c>
      <c r="N34" s="54">
        <v>45322.0</v>
      </c>
      <c r="O34" s="69" t="s">
        <v>46</v>
      </c>
      <c r="P34" s="51" t="b">
        <v>0</v>
      </c>
      <c r="Q34" s="51" t="b">
        <v>0</v>
      </c>
      <c r="R34" s="31" t="b">
        <v>1</v>
      </c>
      <c r="S34" s="63">
        <v>10.0</v>
      </c>
      <c r="T34" s="64"/>
      <c r="U34" s="31" t="b">
        <f t="shared" si="11"/>
        <v>1</v>
      </c>
      <c r="V34" s="64" t="s">
        <v>128</v>
      </c>
      <c r="W34" s="65" t="s">
        <v>146</v>
      </c>
      <c r="X34" s="65"/>
      <c r="Y34" s="65"/>
      <c r="Z34" s="65"/>
      <c r="AA34" s="34">
        <f t="shared" si="3"/>
        <v>10.14285714</v>
      </c>
      <c r="AB34" s="35">
        <f t="shared" si="4"/>
        <v>0</v>
      </c>
      <c r="AC34" s="29" t="str">
        <f t="shared" si="5"/>
        <v>Sim</v>
      </c>
      <c r="AD34" s="37" t="str">
        <f t="shared" si="1"/>
        <v>Não</v>
      </c>
      <c r="AE34" s="38">
        <f t="shared" si="6"/>
        <v>22</v>
      </c>
      <c r="AF34" s="29">
        <f>IF(N34,N34+((VLOOKUP(C34,'NPS de resultado'!$C$7:$D$36,2)*30)),"")</f>
        <v>45502</v>
      </c>
      <c r="AG34" s="39"/>
    </row>
    <row r="35" hidden="1">
      <c r="A35" s="43" t="s">
        <v>147</v>
      </c>
      <c r="B35" s="66" t="s">
        <v>116</v>
      </c>
      <c r="C35" s="59" t="s">
        <v>148</v>
      </c>
      <c r="D35" s="59" t="s">
        <v>2</v>
      </c>
      <c r="E35" s="46">
        <v>10200.0</v>
      </c>
      <c r="F35" s="60">
        <v>6.0</v>
      </c>
      <c r="G35" s="60">
        <v>1.0</v>
      </c>
      <c r="H35" s="29">
        <v>45229.0</v>
      </c>
      <c r="I35" s="29">
        <v>45268.0</v>
      </c>
      <c r="J35" s="59" t="s">
        <v>39</v>
      </c>
      <c r="K35" s="29">
        <v>45261.0</v>
      </c>
      <c r="L35" s="62">
        <v>1.0</v>
      </c>
      <c r="M35" s="29">
        <f t="shared" ref="M35:M36" si="12">IF(K35&lt;&gt;"",K35+(F35+L35)*7,"")</f>
        <v>45310</v>
      </c>
      <c r="N35" s="54">
        <v>45331.0</v>
      </c>
      <c r="O35" s="69" t="s">
        <v>46</v>
      </c>
      <c r="P35" s="51" t="b">
        <v>0</v>
      </c>
      <c r="Q35" s="51" t="b">
        <v>0</v>
      </c>
      <c r="R35" s="31" t="b">
        <v>0</v>
      </c>
      <c r="S35" s="63"/>
      <c r="T35" s="64"/>
      <c r="U35" s="31" t="b">
        <f t="shared" si="11"/>
        <v>0</v>
      </c>
      <c r="V35" s="64" t="s">
        <v>131</v>
      </c>
      <c r="W35" s="65" t="s">
        <v>149</v>
      </c>
      <c r="X35" s="65"/>
      <c r="Y35" s="65"/>
      <c r="Z35" s="65"/>
      <c r="AA35" s="34">
        <f t="shared" si="3"/>
        <v>9</v>
      </c>
      <c r="AB35" s="35">
        <f t="shared" si="4"/>
        <v>5100</v>
      </c>
      <c r="AC35" s="29" t="str">
        <f t="shared" si="5"/>
        <v>Sim</v>
      </c>
      <c r="AD35" s="37" t="str">
        <f t="shared" si="1"/>
        <v>Não</v>
      </c>
      <c r="AE35" s="38">
        <f t="shared" si="6"/>
        <v>32</v>
      </c>
      <c r="AF35" s="29">
        <f>IF(N35,N35+((VLOOKUP(C35,'NPS de resultado'!$C$7:$D$36,2)*30)),"")</f>
        <v>45511</v>
      </c>
      <c r="AG35" s="39"/>
    </row>
    <row r="36" hidden="1">
      <c r="A36" s="43" t="s">
        <v>150</v>
      </c>
      <c r="B36" s="66" t="s">
        <v>116</v>
      </c>
      <c r="C36" s="59" t="s">
        <v>117</v>
      </c>
      <c r="D36" s="59" t="s">
        <v>2</v>
      </c>
      <c r="E36" s="46">
        <v>22500.0</v>
      </c>
      <c r="F36" s="60">
        <v>7.0</v>
      </c>
      <c r="G36" s="60">
        <v>2.0</v>
      </c>
      <c r="H36" s="29">
        <v>45243.0</v>
      </c>
      <c r="I36" s="29">
        <v>45289.0</v>
      </c>
      <c r="J36" s="59" t="s">
        <v>39</v>
      </c>
      <c r="K36" s="29">
        <v>45278.0</v>
      </c>
      <c r="L36" s="68">
        <v>1.0</v>
      </c>
      <c r="M36" s="29">
        <f t="shared" si="12"/>
        <v>45334</v>
      </c>
      <c r="N36" s="54">
        <v>45362.0</v>
      </c>
      <c r="O36" s="71" t="s">
        <v>46</v>
      </c>
      <c r="P36" s="51" t="b">
        <v>0</v>
      </c>
      <c r="Q36" s="51" t="b">
        <v>0</v>
      </c>
      <c r="R36" s="31" t="b">
        <v>0</v>
      </c>
      <c r="S36" s="72"/>
      <c r="T36" s="64"/>
      <c r="U36" s="31" t="b">
        <f t="shared" si="11"/>
        <v>0</v>
      </c>
      <c r="V36" s="64" t="s">
        <v>138</v>
      </c>
      <c r="W36" s="65" t="s">
        <v>151</v>
      </c>
      <c r="X36" s="65" t="s">
        <v>133</v>
      </c>
      <c r="Y36" s="65"/>
      <c r="Z36" s="65"/>
      <c r="AA36" s="34">
        <f t="shared" si="3"/>
        <v>22</v>
      </c>
      <c r="AB36" s="35">
        <f t="shared" si="4"/>
        <v>12857.14286</v>
      </c>
      <c r="AC36" s="29" t="str">
        <f t="shared" si="5"/>
        <v>Sim</v>
      </c>
      <c r="AD36" s="37" t="str">
        <f t="shared" si="1"/>
        <v>Não</v>
      </c>
      <c r="AE36" s="38">
        <f t="shared" si="6"/>
        <v>35</v>
      </c>
      <c r="AF36" s="29">
        <f>IF(N36,N36+((VLOOKUP(C36,'NPS de resultado'!$C$7:$D$36,2)*30)),"")</f>
        <v>45542</v>
      </c>
      <c r="AG36" s="39"/>
    </row>
    <row r="37" hidden="1">
      <c r="A37" s="20" t="s">
        <v>152</v>
      </c>
      <c r="B37" s="66" t="s">
        <v>116</v>
      </c>
      <c r="C37" s="59" t="s">
        <v>145</v>
      </c>
      <c r="D37" s="59" t="s">
        <v>2</v>
      </c>
      <c r="E37" s="46">
        <v>12500.0</v>
      </c>
      <c r="F37" s="60">
        <v>9.0</v>
      </c>
      <c r="G37" s="60">
        <v>1.0</v>
      </c>
      <c r="H37" s="29">
        <v>45250.0</v>
      </c>
      <c r="I37" s="29">
        <v>45310.0</v>
      </c>
      <c r="J37" s="59" t="s">
        <v>39</v>
      </c>
      <c r="K37" s="29">
        <v>45258.0</v>
      </c>
      <c r="L37" s="62">
        <v>1.0</v>
      </c>
      <c r="M37" s="54">
        <v>45351.0</v>
      </c>
      <c r="N37" s="54">
        <v>45351.0</v>
      </c>
      <c r="O37" s="69" t="s">
        <v>46</v>
      </c>
      <c r="P37" s="51" t="b">
        <v>0</v>
      </c>
      <c r="Q37" s="51" t="b">
        <v>0</v>
      </c>
      <c r="R37" s="31" t="b">
        <v>1</v>
      </c>
      <c r="S37" s="63">
        <v>10.0</v>
      </c>
      <c r="T37" s="64"/>
      <c r="U37" s="31" t="b">
        <f t="shared" si="11"/>
        <v>1</v>
      </c>
      <c r="V37" s="65" t="s">
        <v>122</v>
      </c>
      <c r="W37" s="65" t="s">
        <v>153</v>
      </c>
      <c r="X37" s="65"/>
      <c r="Y37" s="65"/>
      <c r="AA37" s="34">
        <f t="shared" si="3"/>
        <v>12.28571429</v>
      </c>
      <c r="AB37" s="35">
        <f t="shared" si="4"/>
        <v>0</v>
      </c>
      <c r="AC37" s="29" t="str">
        <f t="shared" si="5"/>
        <v>Sim</v>
      </c>
      <c r="AD37" s="37" t="str">
        <f t="shared" si="1"/>
        <v>Não</v>
      </c>
      <c r="AE37" s="38">
        <f t="shared" si="6"/>
        <v>8</v>
      </c>
      <c r="AF37" s="29">
        <f>IF(N37,N37+((VLOOKUP(C37,'NPS de resultado'!$C$7:$D$36,2)*30)),"")</f>
        <v>45531</v>
      </c>
      <c r="AG37" s="39"/>
    </row>
    <row r="38" hidden="1">
      <c r="A38" s="43" t="s">
        <v>154</v>
      </c>
      <c r="B38" s="66" t="s">
        <v>116</v>
      </c>
      <c r="C38" s="59" t="s">
        <v>148</v>
      </c>
      <c r="D38" s="59" t="s">
        <v>2</v>
      </c>
      <c r="E38" s="46">
        <v>9450.0</v>
      </c>
      <c r="F38" s="60">
        <v>5.0</v>
      </c>
      <c r="G38" s="60">
        <v>1.0</v>
      </c>
      <c r="H38" s="29">
        <v>45243.0</v>
      </c>
      <c r="I38" s="29">
        <v>45296.0</v>
      </c>
      <c r="J38" s="59" t="s">
        <v>39</v>
      </c>
      <c r="K38" s="29">
        <v>45257.0</v>
      </c>
      <c r="L38" s="62">
        <v>1.0</v>
      </c>
      <c r="M38" s="29">
        <f>IF(K38&lt;&gt;"",K38+(F38+L38)*7,"")</f>
        <v>45299</v>
      </c>
      <c r="N38" s="54">
        <v>45343.0</v>
      </c>
      <c r="O38" s="71" t="s">
        <v>46</v>
      </c>
      <c r="P38" s="51" t="b">
        <v>0</v>
      </c>
      <c r="Q38" s="51" t="b">
        <v>0</v>
      </c>
      <c r="R38" s="31" t="b">
        <v>0</v>
      </c>
      <c r="S38" s="70">
        <v>10.0</v>
      </c>
      <c r="T38" s="64"/>
      <c r="U38" s="31" t="b">
        <f t="shared" si="11"/>
        <v>0</v>
      </c>
      <c r="V38" s="64" t="s">
        <v>138</v>
      </c>
      <c r="W38" s="65" t="s">
        <v>155</v>
      </c>
      <c r="X38" s="65"/>
      <c r="Y38" s="65"/>
      <c r="Z38" s="65"/>
      <c r="AA38" s="34">
        <f t="shared" si="3"/>
        <v>11.28571429</v>
      </c>
      <c r="AB38" s="35">
        <f t="shared" si="4"/>
        <v>11880</v>
      </c>
      <c r="AC38" s="29" t="str">
        <f t="shared" si="5"/>
        <v>Sim</v>
      </c>
      <c r="AD38" s="37" t="str">
        <f t="shared" si="1"/>
        <v>Não</v>
      </c>
      <c r="AE38" s="38">
        <f t="shared" si="6"/>
        <v>14</v>
      </c>
      <c r="AF38" s="29">
        <f>IF(N38,N38+((VLOOKUP(C38,'NPS de resultado'!$C$7:$D$36,2)*30)),"")</f>
        <v>45523</v>
      </c>
      <c r="AG38" s="39"/>
    </row>
    <row r="39" hidden="1">
      <c r="A39" s="43" t="s">
        <v>156</v>
      </c>
      <c r="B39" s="66" t="s">
        <v>116</v>
      </c>
      <c r="C39" s="59" t="s">
        <v>145</v>
      </c>
      <c r="D39" s="59" t="s">
        <v>2</v>
      </c>
      <c r="E39" s="46">
        <v>14000.0</v>
      </c>
      <c r="F39" s="60">
        <v>9.0</v>
      </c>
      <c r="G39" s="60">
        <v>1.0</v>
      </c>
      <c r="H39" s="29">
        <v>45243.0</v>
      </c>
      <c r="I39" s="29">
        <v>45303.0</v>
      </c>
      <c r="J39" s="59" t="s">
        <v>39</v>
      </c>
      <c r="K39" s="29">
        <v>45264.0</v>
      </c>
      <c r="L39" s="62">
        <v>1.0</v>
      </c>
      <c r="M39" s="54">
        <v>45338.0</v>
      </c>
      <c r="N39" s="54">
        <v>45356.0</v>
      </c>
      <c r="O39" s="69" t="s">
        <v>46</v>
      </c>
      <c r="P39" s="51" t="b">
        <v>0</v>
      </c>
      <c r="Q39" s="51" t="b">
        <v>0</v>
      </c>
      <c r="R39" s="31" t="b">
        <v>1</v>
      </c>
      <c r="S39" s="63">
        <v>8.0</v>
      </c>
      <c r="T39" s="64"/>
      <c r="U39" s="31" t="b">
        <f t="shared" si="11"/>
        <v>0</v>
      </c>
      <c r="V39" s="64" t="s">
        <v>125</v>
      </c>
      <c r="W39" s="65" t="s">
        <v>157</v>
      </c>
      <c r="X39" s="65"/>
      <c r="Y39" s="65"/>
      <c r="Z39" s="65"/>
      <c r="AA39" s="34">
        <f t="shared" si="3"/>
        <v>12.14285714</v>
      </c>
      <c r="AB39" s="35">
        <f t="shared" si="4"/>
        <v>4000</v>
      </c>
      <c r="AC39" s="29" t="str">
        <f t="shared" si="5"/>
        <v>Sim</v>
      </c>
      <c r="AD39" s="37" t="str">
        <f t="shared" si="1"/>
        <v>Não</v>
      </c>
      <c r="AE39" s="38">
        <f t="shared" si="6"/>
        <v>21</v>
      </c>
      <c r="AF39" s="29">
        <f>IF(N39,N39+((VLOOKUP(C39,'NPS de resultado'!$C$7:$D$36,2)*30)),"")</f>
        <v>45536</v>
      </c>
      <c r="AG39" s="39"/>
    </row>
    <row r="40" hidden="1">
      <c r="A40" s="43" t="s">
        <v>158</v>
      </c>
      <c r="B40" s="66" t="s">
        <v>116</v>
      </c>
      <c r="C40" s="59" t="s">
        <v>117</v>
      </c>
      <c r="D40" s="59" t="s">
        <v>2</v>
      </c>
      <c r="E40" s="46">
        <v>24000.0</v>
      </c>
      <c r="F40" s="60">
        <v>8.0</v>
      </c>
      <c r="G40" s="60">
        <v>2.0</v>
      </c>
      <c r="H40" s="29">
        <v>45252.0</v>
      </c>
      <c r="I40" s="29">
        <v>45308.0</v>
      </c>
      <c r="J40" s="59" t="s">
        <v>39</v>
      </c>
      <c r="K40" s="29">
        <v>45252.0</v>
      </c>
      <c r="L40" s="62">
        <v>1.0</v>
      </c>
      <c r="M40" s="29">
        <f>IF(K40&lt;&gt;"",K40+(F40+L40)*7,"")</f>
        <v>45315</v>
      </c>
      <c r="N40" s="54">
        <v>45343.0</v>
      </c>
      <c r="O40" s="69" t="s">
        <v>46</v>
      </c>
      <c r="P40" s="51" t="b">
        <v>0</v>
      </c>
      <c r="Q40" s="51" t="b">
        <v>0</v>
      </c>
      <c r="R40" s="31" t="b">
        <v>1</v>
      </c>
      <c r="S40" s="70">
        <v>9.0</v>
      </c>
      <c r="T40" s="64"/>
      <c r="U40" s="31" t="b">
        <f t="shared" si="11"/>
        <v>0</v>
      </c>
      <c r="V40" s="65" t="s">
        <v>131</v>
      </c>
      <c r="W40" s="65" t="s">
        <v>159</v>
      </c>
      <c r="X40" s="65" t="s">
        <v>136</v>
      </c>
      <c r="Y40" s="65"/>
      <c r="Z40" s="65"/>
      <c r="AA40" s="34">
        <f t="shared" si="3"/>
        <v>24</v>
      </c>
      <c r="AB40" s="35">
        <f t="shared" si="4"/>
        <v>12000</v>
      </c>
      <c r="AC40" s="29" t="str">
        <f t="shared" si="5"/>
        <v>Sim</v>
      </c>
      <c r="AD40" s="37" t="str">
        <f t="shared" si="1"/>
        <v>Não</v>
      </c>
      <c r="AE40" s="38">
        <f t="shared" si="6"/>
        <v>0</v>
      </c>
      <c r="AF40" s="29">
        <f>IF(N40,N40+((VLOOKUP(C40,'NPS de resultado'!$C$7:$D$36,2)*30)),"")</f>
        <v>45523</v>
      </c>
      <c r="AG40" s="39"/>
    </row>
    <row r="41" hidden="1">
      <c r="A41" s="43" t="s">
        <v>160</v>
      </c>
      <c r="B41" s="66" t="s">
        <v>116</v>
      </c>
      <c r="C41" s="59" t="s">
        <v>145</v>
      </c>
      <c r="D41" s="59" t="s">
        <v>2</v>
      </c>
      <c r="E41" s="46">
        <v>12000.0</v>
      </c>
      <c r="F41" s="60">
        <v>9.0</v>
      </c>
      <c r="G41" s="60">
        <v>1.0</v>
      </c>
      <c r="H41" s="29">
        <v>45292.0</v>
      </c>
      <c r="I41" s="29">
        <v>45352.0</v>
      </c>
      <c r="J41" s="59" t="s">
        <v>39</v>
      </c>
      <c r="K41" s="54">
        <v>45296.0</v>
      </c>
      <c r="L41" s="68">
        <v>0.0</v>
      </c>
      <c r="M41" s="54">
        <v>45363.0</v>
      </c>
      <c r="N41" s="54">
        <v>45422.0</v>
      </c>
      <c r="O41" s="69" t="s">
        <v>46</v>
      </c>
      <c r="P41" s="51" t="b">
        <v>0</v>
      </c>
      <c r="Q41" s="51" t="b">
        <v>0</v>
      </c>
      <c r="R41" s="31" t="b">
        <v>1</v>
      </c>
      <c r="S41" s="72"/>
      <c r="T41" s="64"/>
      <c r="U41" s="31" t="b">
        <f t="shared" si="11"/>
        <v>0</v>
      </c>
      <c r="V41" s="65" t="s">
        <v>131</v>
      </c>
      <c r="W41" s="65" t="s">
        <v>161</v>
      </c>
      <c r="X41" s="65"/>
      <c r="Y41" s="65"/>
      <c r="Z41" s="65"/>
      <c r="AA41" s="34">
        <f t="shared" si="3"/>
        <v>18</v>
      </c>
      <c r="AB41" s="35">
        <f t="shared" si="4"/>
        <v>11238.09524</v>
      </c>
      <c r="AC41" s="29" t="str">
        <f t="shared" si="5"/>
        <v>Sim</v>
      </c>
      <c r="AD41" s="37" t="str">
        <f t="shared" si="1"/>
        <v>Não</v>
      </c>
      <c r="AE41" s="38">
        <f t="shared" si="6"/>
        <v>4</v>
      </c>
      <c r="AF41" s="29">
        <f>IF(N41,N41+((VLOOKUP(C41,'NPS de resultado'!$C$7:$D$36,2)*30)),"")</f>
        <v>45602</v>
      </c>
      <c r="AG41" s="39"/>
    </row>
    <row r="42" hidden="1">
      <c r="A42" s="43" t="s">
        <v>162</v>
      </c>
      <c r="B42" s="66" t="s">
        <v>116</v>
      </c>
      <c r="C42" s="59" t="s">
        <v>145</v>
      </c>
      <c r="D42" s="59" t="s">
        <v>2</v>
      </c>
      <c r="E42" s="46">
        <v>10000.0</v>
      </c>
      <c r="F42" s="60">
        <v>6.0</v>
      </c>
      <c r="G42" s="60">
        <v>1.0</v>
      </c>
      <c r="H42" s="29">
        <v>45264.0</v>
      </c>
      <c r="I42" s="29">
        <v>45303.0</v>
      </c>
      <c r="J42" s="59" t="s">
        <v>39</v>
      </c>
      <c r="K42" s="54">
        <v>45293.0</v>
      </c>
      <c r="L42" s="68">
        <v>0.0</v>
      </c>
      <c r="M42" s="54">
        <v>45334.0</v>
      </c>
      <c r="N42" s="54">
        <v>45337.0</v>
      </c>
      <c r="O42" s="71" t="s">
        <v>46</v>
      </c>
      <c r="P42" s="51" t="b">
        <v>0</v>
      </c>
      <c r="Q42" s="51" t="b">
        <v>0</v>
      </c>
      <c r="R42" s="31" t="b">
        <v>0</v>
      </c>
      <c r="S42" s="72"/>
      <c r="T42" s="64"/>
      <c r="U42" s="31" t="b">
        <f t="shared" si="11"/>
        <v>0</v>
      </c>
      <c r="V42" s="65" t="s">
        <v>138</v>
      </c>
      <c r="W42" s="65" t="s">
        <v>136</v>
      </c>
      <c r="X42" s="65"/>
      <c r="Y42" s="65"/>
      <c r="Z42" s="65"/>
      <c r="AA42" s="34">
        <f t="shared" si="3"/>
        <v>6.285714286</v>
      </c>
      <c r="AB42" s="35">
        <f t="shared" si="4"/>
        <v>714.2857143</v>
      </c>
      <c r="AC42" s="29" t="str">
        <f t="shared" si="5"/>
        <v>Sim</v>
      </c>
      <c r="AD42" s="37" t="str">
        <f t="shared" si="1"/>
        <v>Não</v>
      </c>
      <c r="AE42" s="38">
        <f t="shared" si="6"/>
        <v>29</v>
      </c>
      <c r="AF42" s="29">
        <f>IF(N42,N42+((VLOOKUP(C42,'NPS de resultado'!$C$7:$D$36,2)*30)),"")</f>
        <v>45517</v>
      </c>
      <c r="AG42" s="39"/>
    </row>
    <row r="43" hidden="1">
      <c r="A43" s="43" t="s">
        <v>163</v>
      </c>
      <c r="B43" s="66" t="s">
        <v>116</v>
      </c>
      <c r="C43" s="59" t="s">
        <v>117</v>
      </c>
      <c r="D43" s="59" t="s">
        <v>2</v>
      </c>
      <c r="E43" s="46">
        <v>17000.0</v>
      </c>
      <c r="F43" s="60">
        <v>5.0</v>
      </c>
      <c r="G43" s="60">
        <v>2.0</v>
      </c>
      <c r="H43" s="29">
        <v>45264.0</v>
      </c>
      <c r="I43" s="29">
        <v>45296.0</v>
      </c>
      <c r="J43" s="59" t="s">
        <v>39</v>
      </c>
      <c r="K43" s="54">
        <v>45278.0</v>
      </c>
      <c r="L43" s="68">
        <v>0.0</v>
      </c>
      <c r="M43" s="54">
        <v>45324.0</v>
      </c>
      <c r="N43" s="54">
        <v>45337.0</v>
      </c>
      <c r="O43" s="69" t="s">
        <v>46</v>
      </c>
      <c r="P43" s="51" t="b">
        <v>0</v>
      </c>
      <c r="Q43" s="51" t="b">
        <v>0</v>
      </c>
      <c r="R43" s="31" t="b">
        <v>1</v>
      </c>
      <c r="S43" s="73">
        <v>10.0</v>
      </c>
      <c r="T43" s="64"/>
      <c r="U43" s="31" t="b">
        <f t="shared" si="11"/>
        <v>0</v>
      </c>
      <c r="V43" s="65" t="s">
        <v>122</v>
      </c>
      <c r="W43" s="65" t="s">
        <v>120</v>
      </c>
      <c r="X43" s="65" t="s">
        <v>164</v>
      </c>
      <c r="Y43" s="65"/>
      <c r="Z43" s="65"/>
      <c r="AA43" s="34">
        <f t="shared" si="3"/>
        <v>16.85714286</v>
      </c>
      <c r="AB43" s="35">
        <f t="shared" si="4"/>
        <v>6314.285714</v>
      </c>
      <c r="AC43" s="29" t="str">
        <f t="shared" si="5"/>
        <v>Sim</v>
      </c>
      <c r="AD43" s="37" t="str">
        <f t="shared" si="1"/>
        <v>Não</v>
      </c>
      <c r="AE43" s="38">
        <f t="shared" si="6"/>
        <v>14</v>
      </c>
      <c r="AF43" s="29">
        <f>IF(N43,N43+((VLOOKUP(C43,'NPS de resultado'!$C$7:$D$36,2)*30)),"")</f>
        <v>45517</v>
      </c>
      <c r="AG43" s="39"/>
    </row>
    <row r="44" hidden="1">
      <c r="A44" s="43" t="s">
        <v>165</v>
      </c>
      <c r="B44" s="66" t="s">
        <v>116</v>
      </c>
      <c r="C44" s="59" t="s">
        <v>117</v>
      </c>
      <c r="D44" s="59" t="s">
        <v>2</v>
      </c>
      <c r="E44" s="46">
        <v>35640.0</v>
      </c>
      <c r="F44" s="60">
        <v>8.0</v>
      </c>
      <c r="G44" s="60">
        <v>3.0</v>
      </c>
      <c r="H44" s="29">
        <v>45264.0</v>
      </c>
      <c r="I44" s="29">
        <v>45317.0</v>
      </c>
      <c r="J44" s="61" t="s">
        <v>50</v>
      </c>
      <c r="K44" s="54">
        <v>45280.0</v>
      </c>
      <c r="L44" s="68">
        <v>2.0</v>
      </c>
      <c r="M44" s="29">
        <f>IF(K44&lt;&gt;"",K44+(F44+L44)*7,"")</f>
        <v>45350</v>
      </c>
      <c r="N44" s="29"/>
      <c r="O44" s="74" t="s">
        <v>40</v>
      </c>
      <c r="P44" s="51" t="b">
        <v>0</v>
      </c>
      <c r="Q44" s="51" t="b">
        <v>0</v>
      </c>
      <c r="R44" s="31" t="b">
        <v>1</v>
      </c>
      <c r="S44" s="63"/>
      <c r="T44" s="65"/>
      <c r="U44" s="31" t="b">
        <f t="shared" si="11"/>
        <v>0</v>
      </c>
      <c r="V44" s="65" t="s">
        <v>131</v>
      </c>
      <c r="W44" s="65" t="s">
        <v>166</v>
      </c>
      <c r="X44" s="65" t="s">
        <v>157</v>
      </c>
      <c r="Y44" s="65"/>
      <c r="Z44" s="65"/>
      <c r="AA44" s="34">
        <f t="shared" si="3"/>
        <v>0</v>
      </c>
      <c r="AB44" s="35">
        <f t="shared" si="4"/>
        <v>75735</v>
      </c>
      <c r="AC44" s="29" t="str">
        <f t="shared" si="5"/>
        <v>Sim</v>
      </c>
      <c r="AD44" s="37" t="str">
        <f t="shared" si="1"/>
        <v>Sim</v>
      </c>
      <c r="AE44" s="38">
        <f t="shared" si="6"/>
        <v>16</v>
      </c>
      <c r="AF44" s="29" t="str">
        <f>IF(N44,N44+((VLOOKUP(C44,'NPS de resultado'!$C$7:$D$36,2)*30)),"")</f>
        <v/>
      </c>
      <c r="AG44" s="39"/>
    </row>
    <row r="45" hidden="1">
      <c r="A45" s="43" t="s">
        <v>167</v>
      </c>
      <c r="B45" s="66" t="s">
        <v>116</v>
      </c>
      <c r="C45" s="59" t="s">
        <v>145</v>
      </c>
      <c r="D45" s="59" t="s">
        <v>2</v>
      </c>
      <c r="E45" s="46">
        <v>13700.0</v>
      </c>
      <c r="F45" s="60">
        <v>9.0</v>
      </c>
      <c r="G45" s="60">
        <v>1.0</v>
      </c>
      <c r="H45" s="29">
        <v>45278.0</v>
      </c>
      <c r="I45" s="29">
        <v>45331.0</v>
      </c>
      <c r="J45" s="59" t="s">
        <v>39</v>
      </c>
      <c r="K45" s="54">
        <v>45286.0</v>
      </c>
      <c r="L45" s="68">
        <v>0.0</v>
      </c>
      <c r="M45" s="54">
        <v>45345.0</v>
      </c>
      <c r="N45" s="54">
        <v>45362.0</v>
      </c>
      <c r="O45" s="71" t="s">
        <v>46</v>
      </c>
      <c r="P45" s="51" t="b">
        <v>0</v>
      </c>
      <c r="Q45" s="51" t="b">
        <v>0</v>
      </c>
      <c r="R45" s="31" t="b">
        <v>1</v>
      </c>
      <c r="S45" s="70">
        <v>8.0</v>
      </c>
      <c r="T45" s="64"/>
      <c r="U45" s="31" t="b">
        <f t="shared" si="11"/>
        <v>0</v>
      </c>
      <c r="V45" s="65" t="s">
        <v>138</v>
      </c>
      <c r="W45" s="65" t="s">
        <v>168</v>
      </c>
      <c r="X45" s="65"/>
      <c r="Y45" s="65"/>
      <c r="AA45" s="34">
        <f t="shared" si="3"/>
        <v>10.85714286</v>
      </c>
      <c r="AB45" s="35">
        <f t="shared" si="4"/>
        <v>3696.825397</v>
      </c>
      <c r="AC45" s="29" t="str">
        <f t="shared" si="5"/>
        <v>Sim</v>
      </c>
      <c r="AD45" s="37" t="str">
        <f t="shared" si="1"/>
        <v>Não</v>
      </c>
      <c r="AE45" s="38">
        <f t="shared" si="6"/>
        <v>8</v>
      </c>
      <c r="AF45" s="29">
        <f>IF(N45,N45+((VLOOKUP(C45,'NPS de resultado'!$C$7:$D$36,2)*30)),"")</f>
        <v>45542</v>
      </c>
      <c r="AG45" s="39"/>
    </row>
    <row r="46" hidden="1">
      <c r="A46" s="43" t="s">
        <v>169</v>
      </c>
      <c r="B46" s="66" t="s">
        <v>116</v>
      </c>
      <c r="C46" s="59" t="s">
        <v>148</v>
      </c>
      <c r="D46" s="59" t="s">
        <v>2</v>
      </c>
      <c r="E46" s="46">
        <v>6750.0</v>
      </c>
      <c r="F46" s="60">
        <v>5.0</v>
      </c>
      <c r="G46" s="60">
        <v>1.0</v>
      </c>
      <c r="H46" s="29">
        <v>45264.0</v>
      </c>
      <c r="I46" s="29">
        <v>45296.0</v>
      </c>
      <c r="J46" s="59" t="s">
        <v>39</v>
      </c>
      <c r="K46" s="54">
        <v>45293.0</v>
      </c>
      <c r="L46" s="68">
        <v>0.0</v>
      </c>
      <c r="M46" s="54">
        <v>45327.0</v>
      </c>
      <c r="N46" s="54">
        <v>45408.0</v>
      </c>
      <c r="O46" s="69" t="s">
        <v>46</v>
      </c>
      <c r="P46" s="51" t="b">
        <v>0</v>
      </c>
      <c r="Q46" s="51" t="b">
        <v>0</v>
      </c>
      <c r="R46" s="31" t="b">
        <v>1</v>
      </c>
      <c r="S46" s="63">
        <v>10.0</v>
      </c>
      <c r="T46" s="64"/>
      <c r="U46" s="31" t="b">
        <f t="shared" si="11"/>
        <v>0</v>
      </c>
      <c r="V46" s="65" t="s">
        <v>120</v>
      </c>
      <c r="W46" s="65" t="s">
        <v>170</v>
      </c>
      <c r="X46" s="65"/>
      <c r="Y46" s="65"/>
      <c r="AA46" s="34">
        <f t="shared" si="3"/>
        <v>16.42857143</v>
      </c>
      <c r="AB46" s="35">
        <f t="shared" si="4"/>
        <v>15621.42857</v>
      </c>
      <c r="AC46" s="29" t="str">
        <f t="shared" si="5"/>
        <v>Sim</v>
      </c>
      <c r="AD46" s="37" t="str">
        <f t="shared" si="1"/>
        <v>Não</v>
      </c>
      <c r="AE46" s="38">
        <f t="shared" si="6"/>
        <v>29</v>
      </c>
      <c r="AF46" s="29">
        <f>IF(N46,N46+((VLOOKUP(C46,'NPS de resultado'!$C$7:$D$36,2)*30)),"")</f>
        <v>45588</v>
      </c>
      <c r="AG46" s="39"/>
    </row>
    <row r="47" hidden="1">
      <c r="A47" s="43" t="s">
        <v>171</v>
      </c>
      <c r="B47" s="66" t="s">
        <v>116</v>
      </c>
      <c r="C47" s="59" t="s">
        <v>117</v>
      </c>
      <c r="D47" s="59" t="s">
        <v>2</v>
      </c>
      <c r="E47" s="46">
        <v>18900.0</v>
      </c>
      <c r="F47" s="60">
        <v>7.0</v>
      </c>
      <c r="G47" s="60">
        <v>2.0</v>
      </c>
      <c r="H47" s="29">
        <v>45271.0</v>
      </c>
      <c r="I47" s="29">
        <v>45324.0</v>
      </c>
      <c r="J47" s="59" t="s">
        <v>39</v>
      </c>
      <c r="K47" s="54">
        <v>45286.0</v>
      </c>
      <c r="L47" s="68">
        <v>0.0</v>
      </c>
      <c r="M47" s="54">
        <v>45342.0</v>
      </c>
      <c r="N47" s="54">
        <v>45342.0</v>
      </c>
      <c r="O47" s="69" t="s">
        <v>46</v>
      </c>
      <c r="P47" s="51" t="b">
        <v>0</v>
      </c>
      <c r="Q47" s="51" t="b">
        <v>0</v>
      </c>
      <c r="R47" s="31" t="b">
        <v>1</v>
      </c>
      <c r="S47" s="70">
        <v>10.0</v>
      </c>
      <c r="T47" s="64"/>
      <c r="U47" s="31" t="b">
        <f t="shared" si="11"/>
        <v>1</v>
      </c>
      <c r="V47" s="65" t="s">
        <v>120</v>
      </c>
      <c r="W47" s="65" t="s">
        <v>129</v>
      </c>
      <c r="X47" s="65" t="s">
        <v>132</v>
      </c>
      <c r="Y47" s="65"/>
      <c r="AA47" s="34">
        <f t="shared" si="3"/>
        <v>16</v>
      </c>
      <c r="AB47" s="35">
        <f t="shared" si="4"/>
        <v>0</v>
      </c>
      <c r="AC47" s="29" t="str">
        <f t="shared" si="5"/>
        <v>Sim</v>
      </c>
      <c r="AD47" s="37" t="str">
        <f t="shared" si="1"/>
        <v>Não</v>
      </c>
      <c r="AE47" s="38">
        <f t="shared" si="6"/>
        <v>15</v>
      </c>
      <c r="AF47" s="29">
        <f>IF(N47,N47+((VLOOKUP(C47,'NPS de resultado'!$C$7:$D$36,2)*30)),"")</f>
        <v>45522</v>
      </c>
      <c r="AG47" s="39"/>
    </row>
    <row r="48" hidden="1">
      <c r="A48" s="43" t="s">
        <v>172</v>
      </c>
      <c r="B48" s="66" t="s">
        <v>116</v>
      </c>
      <c r="C48" s="59" t="s">
        <v>145</v>
      </c>
      <c r="D48" s="59" t="s">
        <v>2</v>
      </c>
      <c r="E48" s="46">
        <v>14000.0</v>
      </c>
      <c r="F48" s="60">
        <v>9.0</v>
      </c>
      <c r="G48" s="60">
        <v>1.0</v>
      </c>
      <c r="H48" s="29">
        <v>45271.0</v>
      </c>
      <c r="I48" s="29">
        <v>44973.0</v>
      </c>
      <c r="J48" s="59" t="s">
        <v>39</v>
      </c>
      <c r="K48" s="54">
        <v>45294.0</v>
      </c>
      <c r="L48" s="68">
        <v>0.0</v>
      </c>
      <c r="M48" s="54">
        <v>45359.0</v>
      </c>
      <c r="N48" s="54">
        <v>45369.0</v>
      </c>
      <c r="O48" s="69" t="s">
        <v>46</v>
      </c>
      <c r="P48" s="51" t="b">
        <v>0</v>
      </c>
      <c r="Q48" s="51" t="b">
        <v>0</v>
      </c>
      <c r="R48" s="31" t="b">
        <v>1</v>
      </c>
      <c r="S48" s="63">
        <v>8.0</v>
      </c>
      <c r="T48" s="64"/>
      <c r="U48" s="31" t="b">
        <f t="shared" si="11"/>
        <v>0</v>
      </c>
      <c r="V48" s="65" t="s">
        <v>125</v>
      </c>
      <c r="W48" s="65" t="s">
        <v>143</v>
      </c>
      <c r="X48" s="65"/>
      <c r="Y48" s="65"/>
      <c r="AA48" s="34">
        <f t="shared" si="3"/>
        <v>10.71428571</v>
      </c>
      <c r="AB48" s="35">
        <f t="shared" si="4"/>
        <v>2222.222222</v>
      </c>
      <c r="AC48" s="29" t="str">
        <f t="shared" si="5"/>
        <v>Sim</v>
      </c>
      <c r="AD48" s="37" t="str">
        <f t="shared" si="1"/>
        <v>Não</v>
      </c>
      <c r="AE48" s="38">
        <f t="shared" si="6"/>
        <v>23</v>
      </c>
      <c r="AF48" s="29">
        <f>IF(N48,N48+((VLOOKUP(C48,'NPS de resultado'!$C$7:$D$36,2)*30)),"")</f>
        <v>45549</v>
      </c>
      <c r="AG48" s="39"/>
    </row>
    <row r="49" hidden="1">
      <c r="A49" s="43" t="s">
        <v>173</v>
      </c>
      <c r="B49" s="66" t="s">
        <v>116</v>
      </c>
      <c r="C49" s="59" t="s">
        <v>148</v>
      </c>
      <c r="D49" s="59" t="s">
        <v>2</v>
      </c>
      <c r="E49" s="46">
        <v>4500.0</v>
      </c>
      <c r="F49" s="60">
        <v>3.0</v>
      </c>
      <c r="G49" s="60">
        <v>1.0</v>
      </c>
      <c r="H49" s="29">
        <v>45271.0</v>
      </c>
      <c r="I49" s="29">
        <v>45296.0</v>
      </c>
      <c r="J49" s="59" t="s">
        <v>39</v>
      </c>
      <c r="K49" s="54">
        <v>45296.0</v>
      </c>
      <c r="L49" s="68">
        <v>0.0</v>
      </c>
      <c r="M49" s="29">
        <f t="shared" ref="M49:M51" si="13">IF(K49&lt;&gt;"",K49+(F49+L49)*7,"")</f>
        <v>45317</v>
      </c>
      <c r="N49" s="54">
        <v>45317.0</v>
      </c>
      <c r="O49" s="69" t="s">
        <v>46</v>
      </c>
      <c r="P49" s="51" t="b">
        <v>0</v>
      </c>
      <c r="Q49" s="51" t="b">
        <v>0</v>
      </c>
      <c r="R49" s="31" t="b">
        <v>0</v>
      </c>
      <c r="S49" s="63">
        <v>8.0</v>
      </c>
      <c r="T49" s="64"/>
      <c r="U49" s="31" t="b">
        <f t="shared" si="11"/>
        <v>0</v>
      </c>
      <c r="V49" s="65" t="s">
        <v>136</v>
      </c>
      <c r="W49" s="65" t="s">
        <v>123</v>
      </c>
      <c r="X49" s="65"/>
      <c r="Y49" s="65"/>
      <c r="AA49" s="34">
        <f t="shared" si="3"/>
        <v>3</v>
      </c>
      <c r="AB49" s="35">
        <f t="shared" si="4"/>
        <v>0</v>
      </c>
      <c r="AC49" s="29" t="str">
        <f t="shared" si="5"/>
        <v>Sim</v>
      </c>
      <c r="AD49" s="37" t="str">
        <f t="shared" si="1"/>
        <v>Não</v>
      </c>
      <c r="AE49" s="38">
        <f t="shared" si="6"/>
        <v>25</v>
      </c>
      <c r="AF49" s="29">
        <f>IF(N49,N49+((VLOOKUP(C49,'NPS de resultado'!$C$7:$D$36,2)*30)),"")</f>
        <v>45497</v>
      </c>
      <c r="AG49" s="39"/>
    </row>
    <row r="50" hidden="1">
      <c r="A50" s="43" t="s">
        <v>174</v>
      </c>
      <c r="B50" s="66" t="s">
        <v>116</v>
      </c>
      <c r="C50" s="59" t="s">
        <v>117</v>
      </c>
      <c r="D50" s="59" t="s">
        <v>2</v>
      </c>
      <c r="E50" s="46">
        <v>24750.0</v>
      </c>
      <c r="F50" s="60">
        <v>9.0</v>
      </c>
      <c r="G50" s="60">
        <v>2.0</v>
      </c>
      <c r="H50" s="29">
        <v>45278.0</v>
      </c>
      <c r="I50" s="29">
        <v>45341.0</v>
      </c>
      <c r="J50" s="59" t="s">
        <v>39</v>
      </c>
      <c r="K50" s="54">
        <v>45397.0</v>
      </c>
      <c r="L50" s="68">
        <v>0.0</v>
      </c>
      <c r="M50" s="29">
        <f t="shared" si="13"/>
        <v>45460</v>
      </c>
      <c r="N50" s="29"/>
      <c r="O50" s="69" t="s">
        <v>40</v>
      </c>
      <c r="P50" s="51" t="b">
        <v>0</v>
      </c>
      <c r="Q50" s="51" t="b">
        <v>0</v>
      </c>
      <c r="R50" s="31" t="b">
        <v>0</v>
      </c>
      <c r="S50" s="63"/>
      <c r="T50" s="65"/>
      <c r="U50" s="31" t="b">
        <f t="shared" si="11"/>
        <v>0</v>
      </c>
      <c r="V50" s="64" t="s">
        <v>125</v>
      </c>
      <c r="W50" s="64" t="s">
        <v>175</v>
      </c>
      <c r="X50" s="64" t="s">
        <v>176</v>
      </c>
      <c r="Y50" s="65"/>
      <c r="AA50" s="34">
        <f t="shared" si="3"/>
        <v>0</v>
      </c>
      <c r="AB50" s="35">
        <f t="shared" si="4"/>
        <v>3535.714286</v>
      </c>
      <c r="AC50" s="29" t="str">
        <f t="shared" si="5"/>
        <v>Sim</v>
      </c>
      <c r="AD50" s="37" t="str">
        <f t="shared" si="1"/>
        <v>Sim</v>
      </c>
      <c r="AE50" s="38">
        <f t="shared" si="6"/>
        <v>119</v>
      </c>
      <c r="AF50" s="29" t="str">
        <f>IF(N50,N50+((VLOOKUP(C50,'NPS de resultado'!$C$7:$D$36,2)*30)),"")</f>
        <v/>
      </c>
      <c r="AG50" s="39"/>
    </row>
    <row r="51" hidden="1">
      <c r="A51" s="43" t="s">
        <v>177</v>
      </c>
      <c r="B51" s="66" t="s">
        <v>116</v>
      </c>
      <c r="C51" s="59" t="s">
        <v>117</v>
      </c>
      <c r="D51" s="59" t="s">
        <v>2</v>
      </c>
      <c r="E51" s="46">
        <v>117300.0</v>
      </c>
      <c r="F51" s="60">
        <v>46.0</v>
      </c>
      <c r="G51" s="60">
        <v>2.0</v>
      </c>
      <c r="H51" s="29">
        <v>45299.0</v>
      </c>
      <c r="I51" s="29">
        <v>45665.0</v>
      </c>
      <c r="J51" s="59" t="s">
        <v>39</v>
      </c>
      <c r="K51" s="54">
        <v>45292.0</v>
      </c>
      <c r="L51" s="68">
        <v>0.0</v>
      </c>
      <c r="M51" s="29">
        <f t="shared" si="13"/>
        <v>45614</v>
      </c>
      <c r="N51" s="29"/>
      <c r="O51" s="74" t="s">
        <v>40</v>
      </c>
      <c r="P51" s="51" t="b">
        <v>0</v>
      </c>
      <c r="Q51" s="51" t="b">
        <v>0</v>
      </c>
      <c r="R51" s="31" t="b">
        <v>0</v>
      </c>
      <c r="S51" s="63"/>
      <c r="T51" s="65"/>
      <c r="U51" s="31" t="b">
        <f t="shared" si="11"/>
        <v>0</v>
      </c>
      <c r="V51" s="65" t="s">
        <v>120</v>
      </c>
      <c r="W51" s="64" t="s">
        <v>143</v>
      </c>
      <c r="X51" s="65" t="s">
        <v>168</v>
      </c>
      <c r="Y51" s="64" t="s">
        <v>178</v>
      </c>
      <c r="Z51" s="64" t="s">
        <v>179</v>
      </c>
      <c r="AA51" s="34">
        <f t="shared" si="3"/>
        <v>0</v>
      </c>
      <c r="AB51" s="35">
        <f t="shared" si="4"/>
        <v>0</v>
      </c>
      <c r="AC51" s="29" t="str">
        <f t="shared" si="5"/>
        <v>NÃO</v>
      </c>
      <c r="AD51" s="37" t="str">
        <f t="shared" si="1"/>
        <v>Não</v>
      </c>
      <c r="AE51" s="38">
        <f t="shared" si="6"/>
        <v>-7</v>
      </c>
      <c r="AF51" s="29" t="str">
        <f>IF(N51,N51+((VLOOKUP(C51,'NPS de resultado'!$C$7:$D$36,2)*30)),"")</f>
        <v/>
      </c>
      <c r="AG51" s="39"/>
    </row>
    <row r="52" hidden="1">
      <c r="A52" s="43" t="s">
        <v>180</v>
      </c>
      <c r="B52" s="66" t="s">
        <v>116</v>
      </c>
      <c r="C52" s="59" t="s">
        <v>117</v>
      </c>
      <c r="D52" s="59" t="s">
        <v>2</v>
      </c>
      <c r="E52" s="46">
        <v>38400.0</v>
      </c>
      <c r="F52" s="60">
        <v>8.0</v>
      </c>
      <c r="G52" s="60">
        <v>3.0</v>
      </c>
      <c r="H52" s="29">
        <v>45278.0</v>
      </c>
      <c r="I52" s="29">
        <v>45331.0</v>
      </c>
      <c r="J52" s="59" t="s">
        <v>39</v>
      </c>
      <c r="K52" s="54">
        <v>45299.0</v>
      </c>
      <c r="L52" s="68">
        <v>0.0</v>
      </c>
      <c r="M52" s="54">
        <v>45357.0</v>
      </c>
      <c r="N52" s="75">
        <v>45383.0</v>
      </c>
      <c r="O52" s="69" t="s">
        <v>46</v>
      </c>
      <c r="P52" s="51" t="b">
        <v>0</v>
      </c>
      <c r="Q52" s="51" t="b">
        <v>0</v>
      </c>
      <c r="R52" s="31" t="b">
        <v>1</v>
      </c>
      <c r="S52" s="63">
        <v>10.0</v>
      </c>
      <c r="T52" s="64"/>
      <c r="U52" s="31" t="b">
        <f t="shared" si="11"/>
        <v>0</v>
      </c>
      <c r="V52" s="65" t="s">
        <v>136</v>
      </c>
      <c r="W52" s="65" t="s">
        <v>123</v>
      </c>
      <c r="X52" s="65" t="s">
        <v>149</v>
      </c>
      <c r="Y52" s="65"/>
      <c r="Z52" s="65"/>
      <c r="AA52" s="34">
        <f t="shared" si="3"/>
        <v>36</v>
      </c>
      <c r="AB52" s="35">
        <f t="shared" si="4"/>
        <v>17828.57143</v>
      </c>
      <c r="AC52" s="29" t="str">
        <f t="shared" si="5"/>
        <v>Sim</v>
      </c>
      <c r="AD52" s="37" t="str">
        <f t="shared" si="1"/>
        <v>Não</v>
      </c>
      <c r="AE52" s="38">
        <f t="shared" si="6"/>
        <v>21</v>
      </c>
      <c r="AF52" s="29">
        <f>IF(N52,N52+((VLOOKUP(C52,'NPS de resultado'!$C$7:$D$36,2)*30)),"")</f>
        <v>45563</v>
      </c>
      <c r="AG52" s="39"/>
    </row>
    <row r="53" hidden="1">
      <c r="A53" s="43" t="s">
        <v>181</v>
      </c>
      <c r="B53" s="66" t="s">
        <v>116</v>
      </c>
      <c r="C53" s="59" t="s">
        <v>145</v>
      </c>
      <c r="D53" s="59" t="s">
        <v>2</v>
      </c>
      <c r="E53" s="46">
        <v>12000.0</v>
      </c>
      <c r="F53" s="60">
        <v>9.0</v>
      </c>
      <c r="G53" s="60">
        <v>1.0</v>
      </c>
      <c r="H53" s="29">
        <v>45278.0</v>
      </c>
      <c r="I53" s="29">
        <v>45338.0</v>
      </c>
      <c r="J53" s="59" t="s">
        <v>39</v>
      </c>
      <c r="K53" s="54">
        <v>45287.0</v>
      </c>
      <c r="L53" s="68">
        <v>1.0</v>
      </c>
      <c r="M53" s="54">
        <v>45362.0</v>
      </c>
      <c r="N53" s="54">
        <v>45358.0</v>
      </c>
      <c r="O53" s="69" t="s">
        <v>46</v>
      </c>
      <c r="P53" s="51" t="b">
        <v>0</v>
      </c>
      <c r="Q53" s="51" t="b">
        <v>0</v>
      </c>
      <c r="R53" s="31" t="b">
        <v>1</v>
      </c>
      <c r="S53" s="63">
        <v>9.0</v>
      </c>
      <c r="T53" s="64"/>
      <c r="U53" s="31" t="b">
        <f t="shared" si="11"/>
        <v>1</v>
      </c>
      <c r="V53" s="65" t="s">
        <v>125</v>
      </c>
      <c r="W53" s="65" t="s">
        <v>124</v>
      </c>
      <c r="X53" s="65"/>
      <c r="Y53" s="65"/>
      <c r="AA53" s="34">
        <f t="shared" si="3"/>
        <v>9.142857143</v>
      </c>
      <c r="AB53" s="35">
        <f t="shared" si="4"/>
        <v>0</v>
      </c>
      <c r="AC53" s="29" t="str">
        <f t="shared" si="5"/>
        <v>Sim</v>
      </c>
      <c r="AD53" s="37" t="str">
        <f t="shared" si="1"/>
        <v>Não</v>
      </c>
      <c r="AE53" s="38">
        <f t="shared" si="6"/>
        <v>9</v>
      </c>
      <c r="AF53" s="29">
        <f>IF(N53,N53+((VLOOKUP(C53,'NPS de resultado'!$C$7:$D$36,2)*30)),"")</f>
        <v>45538</v>
      </c>
      <c r="AG53" s="39"/>
    </row>
    <row r="54" hidden="1">
      <c r="A54" s="43" t="s">
        <v>182</v>
      </c>
      <c r="B54" s="66" t="s">
        <v>116</v>
      </c>
      <c r="C54" s="59" t="s">
        <v>117</v>
      </c>
      <c r="D54" s="59" t="s">
        <v>2</v>
      </c>
      <c r="E54" s="46">
        <v>90200.0</v>
      </c>
      <c r="F54" s="60">
        <v>22.0</v>
      </c>
      <c r="G54" s="60">
        <v>3.0</v>
      </c>
      <c r="H54" s="29">
        <v>45299.0</v>
      </c>
      <c r="I54" s="29">
        <v>45450.0</v>
      </c>
      <c r="J54" s="61" t="s">
        <v>50</v>
      </c>
      <c r="K54" s="54">
        <v>45323.0</v>
      </c>
      <c r="L54" s="68">
        <v>0.0</v>
      </c>
      <c r="M54" s="29">
        <f>IF(K54&lt;&gt;"",K54+(F54+L54)*7,"")</f>
        <v>45477</v>
      </c>
      <c r="N54" s="29"/>
      <c r="O54" s="74" t="s">
        <v>40</v>
      </c>
      <c r="P54" s="51" t="b">
        <v>0</v>
      </c>
      <c r="Q54" s="51" t="b">
        <v>0</v>
      </c>
      <c r="R54" s="31" t="b">
        <v>0</v>
      </c>
      <c r="S54" s="63"/>
      <c r="T54" s="65"/>
      <c r="U54" s="31" t="b">
        <f t="shared" si="11"/>
        <v>0</v>
      </c>
      <c r="V54" s="64" t="s">
        <v>136</v>
      </c>
      <c r="W54" s="64" t="s">
        <v>149</v>
      </c>
      <c r="X54" s="64" t="s">
        <v>170</v>
      </c>
      <c r="Y54" s="65"/>
      <c r="AA54" s="34">
        <f t="shared" si="3"/>
        <v>0</v>
      </c>
      <c r="AB54" s="35">
        <f t="shared" si="4"/>
        <v>0</v>
      </c>
      <c r="AC54" s="29" t="str">
        <f t="shared" si="5"/>
        <v>NÃO</v>
      </c>
      <c r="AD54" s="37" t="str">
        <f t="shared" si="1"/>
        <v>Não</v>
      </c>
      <c r="AE54" s="38">
        <f t="shared" si="6"/>
        <v>24</v>
      </c>
      <c r="AF54" s="29" t="str">
        <f>IF(N54,N54+((VLOOKUP(C54,'NPS de resultado'!$C$7:$D$36,2)*30)),"")</f>
        <v/>
      </c>
      <c r="AG54" s="39"/>
    </row>
    <row r="55" hidden="1">
      <c r="A55" s="43" t="s">
        <v>183</v>
      </c>
      <c r="B55" s="66" t="s">
        <v>116</v>
      </c>
      <c r="C55" s="59" t="s">
        <v>117</v>
      </c>
      <c r="D55" s="59" t="s">
        <v>2</v>
      </c>
      <c r="E55" s="46">
        <v>35910.0</v>
      </c>
      <c r="F55" s="60">
        <v>9.0</v>
      </c>
      <c r="G55" s="60">
        <v>3.0</v>
      </c>
      <c r="H55" s="29">
        <v>45299.0</v>
      </c>
      <c r="I55" s="29">
        <v>45359.0</v>
      </c>
      <c r="J55" s="61" t="s">
        <v>50</v>
      </c>
      <c r="K55" s="54">
        <v>45329.0</v>
      </c>
      <c r="L55" s="68">
        <v>0.0</v>
      </c>
      <c r="M55" s="54">
        <v>45404.0</v>
      </c>
      <c r="N55" s="54">
        <v>45404.0</v>
      </c>
      <c r="O55" s="61" t="s">
        <v>46</v>
      </c>
      <c r="P55" s="51" t="b">
        <v>0</v>
      </c>
      <c r="Q55" s="51" t="b">
        <v>0</v>
      </c>
      <c r="R55" s="31" t="b">
        <v>1</v>
      </c>
      <c r="S55" s="63">
        <v>10.0</v>
      </c>
      <c r="T55" s="64"/>
      <c r="U55" s="31" t="b">
        <f t="shared" si="11"/>
        <v>1</v>
      </c>
      <c r="V55" s="64" t="s">
        <v>120</v>
      </c>
      <c r="W55" s="64" t="s">
        <v>153</v>
      </c>
      <c r="X55" s="64" t="s">
        <v>124</v>
      </c>
      <c r="Y55" s="65"/>
      <c r="AA55" s="34">
        <f t="shared" si="3"/>
        <v>32.14285714</v>
      </c>
      <c r="AB55" s="35">
        <f t="shared" si="4"/>
        <v>0</v>
      </c>
      <c r="AC55" s="29" t="str">
        <f t="shared" si="5"/>
        <v>Sim</v>
      </c>
      <c r="AD55" s="37" t="str">
        <f t="shared" si="1"/>
        <v>Não</v>
      </c>
      <c r="AE55" s="38">
        <f t="shared" si="6"/>
        <v>30</v>
      </c>
      <c r="AF55" s="29">
        <f>IF(N55,N55+((VLOOKUP(C55,'NPS de resultado'!$C$7:$D$36,2)*30)),"")</f>
        <v>45584</v>
      </c>
      <c r="AG55" s="39"/>
    </row>
    <row r="56" hidden="1">
      <c r="A56" s="43" t="s">
        <v>184</v>
      </c>
      <c r="B56" s="66" t="s">
        <v>116</v>
      </c>
      <c r="C56" s="59" t="s">
        <v>148</v>
      </c>
      <c r="D56" s="59" t="s">
        <v>2</v>
      </c>
      <c r="E56" s="46">
        <v>6000.0</v>
      </c>
      <c r="F56" s="60">
        <v>4.0</v>
      </c>
      <c r="G56" s="60">
        <v>1.0</v>
      </c>
      <c r="H56" s="29">
        <v>45299.0</v>
      </c>
      <c r="I56" s="29">
        <v>45324.0</v>
      </c>
      <c r="J56" s="61" t="s">
        <v>39</v>
      </c>
      <c r="K56" s="54">
        <v>45308.0</v>
      </c>
      <c r="L56" s="68">
        <v>0.0</v>
      </c>
      <c r="M56" s="54">
        <v>45341.0</v>
      </c>
      <c r="N56" s="54">
        <v>45359.0</v>
      </c>
      <c r="O56" s="61" t="s">
        <v>46</v>
      </c>
      <c r="P56" s="51" t="b">
        <v>0</v>
      </c>
      <c r="Q56" s="51" t="b">
        <v>0</v>
      </c>
      <c r="R56" s="31" t="b">
        <v>0</v>
      </c>
      <c r="S56" s="63">
        <v>9.0</v>
      </c>
      <c r="T56" s="64"/>
      <c r="U56" s="31" t="b">
        <f t="shared" si="11"/>
        <v>0</v>
      </c>
      <c r="V56" s="65" t="s">
        <v>122</v>
      </c>
      <c r="W56" s="65" t="s">
        <v>159</v>
      </c>
      <c r="X56" s="65"/>
      <c r="Y56" s="65"/>
      <c r="AA56" s="34">
        <f t="shared" si="3"/>
        <v>7.285714286</v>
      </c>
      <c r="AB56" s="35">
        <f t="shared" si="4"/>
        <v>3857.142857</v>
      </c>
      <c r="AC56" s="29" t="str">
        <f t="shared" si="5"/>
        <v>Sim</v>
      </c>
      <c r="AD56" s="37" t="str">
        <f t="shared" si="1"/>
        <v>Não</v>
      </c>
      <c r="AE56" s="38">
        <f t="shared" si="6"/>
        <v>9</v>
      </c>
      <c r="AF56" s="29">
        <f>IF(N56,N56+((VLOOKUP(C56,'NPS de resultado'!$C$7:$D$36,2)*30)),"")</f>
        <v>45539</v>
      </c>
      <c r="AG56" s="39"/>
    </row>
    <row r="57" hidden="1">
      <c r="A57" s="43" t="s">
        <v>185</v>
      </c>
      <c r="B57" s="66" t="s">
        <v>116</v>
      </c>
      <c r="C57" s="59" t="s">
        <v>117</v>
      </c>
      <c r="D57" s="59" t="s">
        <v>2</v>
      </c>
      <c r="E57" s="46">
        <v>210000.0</v>
      </c>
      <c r="F57" s="60">
        <v>52.0</v>
      </c>
      <c r="G57" s="60">
        <v>3.0</v>
      </c>
      <c r="H57" s="29">
        <v>45299.0</v>
      </c>
      <c r="I57" s="29">
        <v>45665.0</v>
      </c>
      <c r="J57" s="61" t="s">
        <v>50</v>
      </c>
      <c r="K57" s="54">
        <v>45309.0</v>
      </c>
      <c r="L57" s="68">
        <v>0.0</v>
      </c>
      <c r="M57" s="29">
        <f>IF(K57&lt;&gt;"",K57+(F57+L57)*7,"")</f>
        <v>45673</v>
      </c>
      <c r="N57" s="29"/>
      <c r="O57" s="61" t="s">
        <v>40</v>
      </c>
      <c r="P57" s="51" t="b">
        <v>0</v>
      </c>
      <c r="Q57" s="51" t="b">
        <v>0</v>
      </c>
      <c r="R57" s="31" t="b">
        <v>1</v>
      </c>
      <c r="S57" s="63"/>
      <c r="T57" s="65"/>
      <c r="U57" s="31" t="b">
        <f t="shared" si="11"/>
        <v>0</v>
      </c>
      <c r="V57" s="65" t="s">
        <v>125</v>
      </c>
      <c r="W57" s="65" t="s">
        <v>132</v>
      </c>
      <c r="X57" s="65" t="s">
        <v>157</v>
      </c>
      <c r="Y57" s="65"/>
      <c r="Z57" s="65"/>
      <c r="AA57" s="34">
        <f t="shared" si="3"/>
        <v>0</v>
      </c>
      <c r="AB57" s="35">
        <f t="shared" si="4"/>
        <v>0</v>
      </c>
      <c r="AC57" s="29" t="str">
        <f t="shared" si="5"/>
        <v>NÃO</v>
      </c>
      <c r="AD57" s="37" t="str">
        <f t="shared" si="1"/>
        <v>Não</v>
      </c>
      <c r="AE57" s="38">
        <f t="shared" si="6"/>
        <v>10</v>
      </c>
      <c r="AF57" s="29" t="str">
        <f>IF(N57,N57+((VLOOKUP(C57,'NPS de resultado'!$C$7:$D$36,2)*30)),"")</f>
        <v/>
      </c>
      <c r="AG57" s="39"/>
    </row>
    <row r="58">
      <c r="A58" s="43" t="s">
        <v>186</v>
      </c>
      <c r="B58" s="76" t="s">
        <v>187</v>
      </c>
      <c r="C58" s="77" t="s">
        <v>188</v>
      </c>
      <c r="D58" s="78" t="s">
        <v>189</v>
      </c>
      <c r="E58" s="46">
        <v>3510.0</v>
      </c>
      <c r="F58" s="34"/>
      <c r="G58" s="34">
        <v>1.0</v>
      </c>
      <c r="H58" s="55"/>
      <c r="I58" s="55"/>
      <c r="J58" s="79" t="s">
        <v>39</v>
      </c>
      <c r="K58" s="80">
        <v>45131.0</v>
      </c>
      <c r="L58" s="81">
        <v>0.0</v>
      </c>
      <c r="M58" s="54" t="s">
        <v>190</v>
      </c>
      <c r="N58" s="80">
        <v>45258.0</v>
      </c>
      <c r="O58" s="82" t="s">
        <v>46</v>
      </c>
      <c r="P58" s="51" t="b">
        <v>0</v>
      </c>
      <c r="Q58" s="51" t="b">
        <v>0</v>
      </c>
      <c r="R58" s="31" t="b">
        <v>1</v>
      </c>
      <c r="S58" s="25"/>
      <c r="T58" s="78"/>
      <c r="U58" s="31" t="b">
        <f t="shared" si="11"/>
        <v>0</v>
      </c>
      <c r="V58" s="22" t="s">
        <v>191</v>
      </c>
      <c r="W58" s="83" t="s">
        <v>192</v>
      </c>
      <c r="X58" s="83" t="s">
        <v>193</v>
      </c>
      <c r="Y58" s="84"/>
      <c r="Z58" s="78"/>
      <c r="AA58" s="34">
        <f t="shared" si="3"/>
        <v>18.14285714</v>
      </c>
      <c r="AB58" s="35"/>
      <c r="AC58" s="29" t="str">
        <f t="shared" si="5"/>
        <v>NÃO</v>
      </c>
      <c r="AD58" s="37" t="str">
        <f t="shared" si="1"/>
        <v>Não</v>
      </c>
      <c r="AE58" s="38">
        <f t="shared" si="6"/>
        <v>0</v>
      </c>
      <c r="AF58" s="29">
        <f>IF(N58,N58+((VLOOKUP(C58,'NPS de resultado'!$C$7:$D$36,2)*30)),"")</f>
        <v>45348</v>
      </c>
      <c r="AG58" s="39"/>
    </row>
    <row r="59">
      <c r="A59" s="43" t="s">
        <v>194</v>
      </c>
      <c r="B59" s="66" t="s">
        <v>187</v>
      </c>
      <c r="C59" s="59" t="s">
        <v>188</v>
      </c>
      <c r="D59" s="59" t="s">
        <v>189</v>
      </c>
      <c r="E59" s="46">
        <v>0.0</v>
      </c>
      <c r="F59" s="60"/>
      <c r="G59" s="60">
        <v>1.0</v>
      </c>
      <c r="H59" s="29"/>
      <c r="I59" s="29"/>
      <c r="J59" s="61" t="s">
        <v>39</v>
      </c>
      <c r="K59" s="54">
        <v>45285.0</v>
      </c>
      <c r="L59" s="62">
        <v>0.0</v>
      </c>
      <c r="M59" s="54" t="s">
        <v>190</v>
      </c>
      <c r="N59" s="29"/>
      <c r="O59" s="61" t="s">
        <v>40</v>
      </c>
      <c r="P59" s="51" t="b">
        <v>0</v>
      </c>
      <c r="Q59" s="51" t="b">
        <v>0</v>
      </c>
      <c r="R59" s="31" t="b">
        <v>1</v>
      </c>
      <c r="S59" s="63">
        <v>10.0</v>
      </c>
      <c r="T59" s="65"/>
      <c r="U59" s="31" t="b">
        <f t="shared" si="11"/>
        <v>0</v>
      </c>
      <c r="V59" s="65" t="s">
        <v>191</v>
      </c>
      <c r="W59" s="65" t="s">
        <v>195</v>
      </c>
      <c r="X59" s="65"/>
      <c r="Y59" s="65"/>
      <c r="Z59" s="65"/>
      <c r="AA59" s="34">
        <f t="shared" si="3"/>
        <v>0</v>
      </c>
      <c r="AB59" s="35"/>
      <c r="AC59" s="29" t="str">
        <f t="shared" si="5"/>
        <v>NÃO</v>
      </c>
      <c r="AD59" s="37" t="str">
        <f t="shared" si="1"/>
        <v>Não</v>
      </c>
      <c r="AE59" s="38">
        <f t="shared" si="6"/>
        <v>0</v>
      </c>
      <c r="AF59" s="29" t="str">
        <f>IF(N59,N59+((VLOOKUP(C59,'NPS de resultado'!$C$7:$D$36,2)*30)),"")</f>
        <v/>
      </c>
      <c r="AG59" s="39"/>
    </row>
    <row r="60">
      <c r="A60" s="43" t="s">
        <v>196</v>
      </c>
      <c r="B60" s="66" t="s">
        <v>187</v>
      </c>
      <c r="C60" s="59" t="s">
        <v>197</v>
      </c>
      <c r="D60" s="59" t="s">
        <v>2</v>
      </c>
      <c r="E60" s="46">
        <v>10000.0</v>
      </c>
      <c r="F60" s="60">
        <v>4.0</v>
      </c>
      <c r="G60" s="60">
        <v>2.0</v>
      </c>
      <c r="H60" s="29">
        <v>45110.0</v>
      </c>
      <c r="I60" s="29">
        <v>45138.0</v>
      </c>
      <c r="J60" s="61" t="s">
        <v>39</v>
      </c>
      <c r="K60" s="54">
        <v>45091.0</v>
      </c>
      <c r="L60" s="62">
        <v>2.2857142857142856</v>
      </c>
      <c r="M60" s="29">
        <f t="shared" ref="M60:M89" si="14">IF(K60&lt;&gt;"",K60+(F60+L60)*7,"")</f>
        <v>45135</v>
      </c>
      <c r="N60" s="54">
        <v>45208.0</v>
      </c>
      <c r="O60" s="61" t="s">
        <v>46</v>
      </c>
      <c r="P60" s="51" t="b">
        <v>0</v>
      </c>
      <c r="Q60" s="51" t="b">
        <v>0</v>
      </c>
      <c r="R60" s="31" t="b">
        <v>0</v>
      </c>
      <c r="S60" s="63">
        <v>0.0</v>
      </c>
      <c r="T60" s="65"/>
      <c r="U60" s="31" t="b">
        <f t="shared" si="11"/>
        <v>0</v>
      </c>
      <c r="V60" s="65"/>
      <c r="W60" s="65"/>
      <c r="X60" s="65"/>
      <c r="Y60" s="65"/>
      <c r="Z60" s="65"/>
      <c r="AA60" s="34">
        <f t="shared" si="3"/>
        <v>28.85714286</v>
      </c>
      <c r="AB60" s="35">
        <f t="shared" ref="AB60:AB164" si="15">IF(N60&gt;M60,(E60/F60)*(N60-M60)/7,IF(AND(N60="",TODAY()&gt;M60,O60&lt;&gt;"Congelado"),(E60/F60)*(TODAY()-M60)/7,0))</f>
        <v>26071.42857</v>
      </c>
      <c r="AC60" s="29" t="str">
        <f t="shared" si="5"/>
        <v>Sim</v>
      </c>
      <c r="AD60" s="37" t="str">
        <f t="shared" si="1"/>
        <v>Não</v>
      </c>
      <c r="AE60" s="38">
        <f t="shared" si="6"/>
        <v>-19</v>
      </c>
      <c r="AF60" s="29" t="str">
        <f>IF(N60,N60+((VLOOKUP(C60,'NPS de resultado'!$C$7:$D$36,2)*30)),"")</f>
        <v>#N/A</v>
      </c>
      <c r="AG60" s="39"/>
    </row>
    <row r="61">
      <c r="A61" s="43" t="s">
        <v>198</v>
      </c>
      <c r="B61" s="66" t="s">
        <v>187</v>
      </c>
      <c r="C61" s="59" t="s">
        <v>197</v>
      </c>
      <c r="D61" s="59" t="s">
        <v>2</v>
      </c>
      <c r="E61" s="46">
        <v>6000.0</v>
      </c>
      <c r="F61" s="60">
        <v>4.0</v>
      </c>
      <c r="G61" s="60">
        <v>1.0</v>
      </c>
      <c r="H61" s="29"/>
      <c r="I61" s="29"/>
      <c r="J61" s="61" t="s">
        <v>39</v>
      </c>
      <c r="K61" s="54">
        <v>45124.0</v>
      </c>
      <c r="L61" s="62">
        <v>0.0</v>
      </c>
      <c r="M61" s="29">
        <f t="shared" si="14"/>
        <v>45152</v>
      </c>
      <c r="N61" s="29"/>
      <c r="O61" s="61" t="s">
        <v>100</v>
      </c>
      <c r="P61" s="51" t="b">
        <v>0</v>
      </c>
      <c r="Q61" s="51" t="b">
        <v>0</v>
      </c>
      <c r="R61" s="31" t="b">
        <v>0</v>
      </c>
      <c r="S61" s="63"/>
      <c r="T61" s="65"/>
      <c r="U61" s="31" t="b">
        <f t="shared" si="11"/>
        <v>0</v>
      </c>
      <c r="V61" s="65"/>
      <c r="W61" s="65"/>
      <c r="X61" s="65"/>
      <c r="Y61" s="65"/>
      <c r="Z61" s="65"/>
      <c r="AA61" s="34">
        <f t="shared" si="3"/>
        <v>0</v>
      </c>
      <c r="AB61" s="35">
        <f t="shared" si="15"/>
        <v>0</v>
      </c>
      <c r="AC61" s="29" t="str">
        <f t="shared" si="5"/>
        <v>Sim</v>
      </c>
      <c r="AD61" s="37" t="str">
        <f t="shared" si="1"/>
        <v>Não</v>
      </c>
      <c r="AE61" s="38">
        <f t="shared" si="6"/>
        <v>0</v>
      </c>
      <c r="AF61" s="29" t="str">
        <f>IF(N61,N61+((VLOOKUP(C61,'NPS de resultado'!$C$7:$D$36,2)*30)),"")</f>
        <v/>
      </c>
      <c r="AG61" s="39"/>
    </row>
    <row r="62">
      <c r="A62" s="43" t="s">
        <v>199</v>
      </c>
      <c r="B62" s="66" t="s">
        <v>187</v>
      </c>
      <c r="C62" s="59" t="s">
        <v>197</v>
      </c>
      <c r="D62" s="59" t="s">
        <v>2</v>
      </c>
      <c r="E62" s="46">
        <v>12000.0</v>
      </c>
      <c r="F62" s="60">
        <v>4.0</v>
      </c>
      <c r="G62" s="60">
        <v>2.0</v>
      </c>
      <c r="H62" s="29"/>
      <c r="I62" s="29"/>
      <c r="J62" s="61" t="s">
        <v>39</v>
      </c>
      <c r="K62" s="54">
        <v>45173.0</v>
      </c>
      <c r="L62" s="62">
        <v>6.142857142857143</v>
      </c>
      <c r="M62" s="29">
        <f t="shared" si="14"/>
        <v>45244</v>
      </c>
      <c r="N62" s="54">
        <v>45371.0</v>
      </c>
      <c r="O62" s="85" t="s">
        <v>46</v>
      </c>
      <c r="P62" s="51" t="b">
        <v>0</v>
      </c>
      <c r="Q62" s="51" t="b">
        <v>0</v>
      </c>
      <c r="R62" s="31" t="b">
        <v>0</v>
      </c>
      <c r="S62" s="63">
        <v>8.0</v>
      </c>
      <c r="T62" s="65"/>
      <c r="U62" s="31" t="b">
        <f t="shared" si="11"/>
        <v>0</v>
      </c>
      <c r="V62" s="65" t="s">
        <v>200</v>
      </c>
      <c r="W62" s="65"/>
      <c r="X62" s="65"/>
      <c r="Y62" s="65"/>
      <c r="Z62" s="65"/>
      <c r="AA62" s="34">
        <f t="shared" si="3"/>
        <v>44.28571429</v>
      </c>
      <c r="AB62" s="35">
        <f t="shared" si="15"/>
        <v>54428.57143</v>
      </c>
      <c r="AC62" s="29" t="str">
        <f t="shared" si="5"/>
        <v>Sim</v>
      </c>
      <c r="AD62" s="37" t="str">
        <f t="shared" si="1"/>
        <v>Não</v>
      </c>
      <c r="AE62" s="38">
        <f t="shared" si="6"/>
        <v>0</v>
      </c>
      <c r="AF62" s="29" t="str">
        <f>IF(N62,N62+((VLOOKUP(C62,'NPS de resultado'!$C$7:$D$36,2)*30)),"")</f>
        <v>#N/A</v>
      </c>
      <c r="AG62" s="39"/>
    </row>
    <row r="63">
      <c r="A63" s="43" t="s">
        <v>201</v>
      </c>
      <c r="B63" s="66" t="s">
        <v>187</v>
      </c>
      <c r="C63" s="59" t="s">
        <v>188</v>
      </c>
      <c r="D63" s="59" t="s">
        <v>2</v>
      </c>
      <c r="E63" s="46">
        <v>8000.0</v>
      </c>
      <c r="F63" s="60">
        <v>8.0</v>
      </c>
      <c r="G63" s="60">
        <v>1.0</v>
      </c>
      <c r="H63" s="29">
        <v>45145.0</v>
      </c>
      <c r="I63" s="29">
        <v>45220.0</v>
      </c>
      <c r="J63" s="61" t="s">
        <v>39</v>
      </c>
      <c r="K63" s="54">
        <v>45162.0</v>
      </c>
      <c r="L63" s="62">
        <v>19.714285714285715</v>
      </c>
      <c r="M63" s="29">
        <f t="shared" si="14"/>
        <v>45356</v>
      </c>
      <c r="N63" s="54">
        <v>45355.0</v>
      </c>
      <c r="O63" s="85" t="s">
        <v>46</v>
      </c>
      <c r="P63" s="51" t="b">
        <v>0</v>
      </c>
      <c r="Q63" s="51" t="b">
        <v>0</v>
      </c>
      <c r="R63" s="31" t="b">
        <v>1</v>
      </c>
      <c r="S63" s="63">
        <v>10.0</v>
      </c>
      <c r="T63" s="65"/>
      <c r="U63" s="31" t="b">
        <f t="shared" si="11"/>
        <v>1</v>
      </c>
      <c r="V63" s="65" t="s">
        <v>202</v>
      </c>
      <c r="W63" s="65" t="s">
        <v>203</v>
      </c>
      <c r="X63" s="65" t="s">
        <v>204</v>
      </c>
      <c r="Y63" s="65" t="s">
        <v>205</v>
      </c>
      <c r="Z63" s="65"/>
      <c r="AA63" s="34">
        <f t="shared" si="3"/>
        <v>7.857142857</v>
      </c>
      <c r="AB63" s="35">
        <f t="shared" si="15"/>
        <v>0</v>
      </c>
      <c r="AC63" s="29" t="str">
        <f t="shared" si="5"/>
        <v>Sim</v>
      </c>
      <c r="AD63" s="37" t="str">
        <f t="shared" si="1"/>
        <v>Não</v>
      </c>
      <c r="AE63" s="38">
        <f t="shared" si="6"/>
        <v>17</v>
      </c>
      <c r="AF63" s="29">
        <f>IF(N63,N63+((VLOOKUP(C63,'NPS de resultado'!$C$7:$D$36,2)*30)),"")</f>
        <v>45445</v>
      </c>
      <c r="AG63" s="39"/>
    </row>
    <row r="64">
      <c r="A64" s="43" t="s">
        <v>206</v>
      </c>
      <c r="B64" s="66" t="s">
        <v>187</v>
      </c>
      <c r="C64" s="59" t="s">
        <v>188</v>
      </c>
      <c r="D64" s="59" t="s">
        <v>2</v>
      </c>
      <c r="E64" s="46">
        <v>8000.0</v>
      </c>
      <c r="F64" s="60">
        <v>4.0</v>
      </c>
      <c r="G64" s="60">
        <v>2.0</v>
      </c>
      <c r="H64" s="29">
        <v>45145.0</v>
      </c>
      <c r="I64" s="29">
        <v>45191.0</v>
      </c>
      <c r="J64" s="61" t="s">
        <v>39</v>
      </c>
      <c r="K64" s="54">
        <v>45162.0</v>
      </c>
      <c r="L64" s="62">
        <v>23.714285714285715</v>
      </c>
      <c r="M64" s="29">
        <f t="shared" si="14"/>
        <v>45356</v>
      </c>
      <c r="N64" s="54">
        <v>45355.0</v>
      </c>
      <c r="O64" s="85" t="s">
        <v>46</v>
      </c>
      <c r="P64" s="51" t="b">
        <v>0</v>
      </c>
      <c r="Q64" s="51" t="b">
        <v>0</v>
      </c>
      <c r="R64" s="31" t="b">
        <v>1</v>
      </c>
      <c r="S64" s="63">
        <v>10.0</v>
      </c>
      <c r="T64" s="65"/>
      <c r="U64" s="31" t="b">
        <f t="shared" si="11"/>
        <v>1</v>
      </c>
      <c r="V64" s="65" t="s">
        <v>202</v>
      </c>
      <c r="W64" s="65" t="s">
        <v>203</v>
      </c>
      <c r="X64" s="65" t="s">
        <v>204</v>
      </c>
      <c r="Y64" s="65" t="s">
        <v>205</v>
      </c>
      <c r="Z64" s="65"/>
      <c r="AA64" s="34">
        <f t="shared" si="3"/>
        <v>7.714285714</v>
      </c>
      <c r="AB64" s="35">
        <f t="shared" si="15"/>
        <v>0</v>
      </c>
      <c r="AC64" s="29" t="str">
        <f t="shared" si="5"/>
        <v>Sim</v>
      </c>
      <c r="AD64" s="37" t="str">
        <f t="shared" si="1"/>
        <v>Não</v>
      </c>
      <c r="AE64" s="38">
        <f t="shared" si="6"/>
        <v>17</v>
      </c>
      <c r="AF64" s="29">
        <f>IF(N64,N64+((VLOOKUP(C64,'NPS de resultado'!$C$7:$D$36,2)*30)),"")</f>
        <v>45445</v>
      </c>
      <c r="AG64" s="39"/>
    </row>
    <row r="65">
      <c r="A65" s="43" t="s">
        <v>207</v>
      </c>
      <c r="B65" s="66" t="s">
        <v>187</v>
      </c>
      <c r="C65" s="59" t="s">
        <v>208</v>
      </c>
      <c r="D65" s="59" t="s">
        <v>2</v>
      </c>
      <c r="E65" s="46">
        <v>24000.0</v>
      </c>
      <c r="F65" s="60">
        <v>8.0</v>
      </c>
      <c r="G65" s="60">
        <v>2.0</v>
      </c>
      <c r="H65" s="29">
        <v>45173.0</v>
      </c>
      <c r="I65" s="29">
        <v>45219.0</v>
      </c>
      <c r="J65" s="61" t="s">
        <v>39</v>
      </c>
      <c r="K65" s="54">
        <v>45243.0</v>
      </c>
      <c r="L65" s="62">
        <v>0.5714285714285714</v>
      </c>
      <c r="M65" s="29">
        <f t="shared" si="14"/>
        <v>45303</v>
      </c>
      <c r="N65" s="54">
        <v>45343.0</v>
      </c>
      <c r="O65" s="85" t="s">
        <v>46</v>
      </c>
      <c r="P65" s="51" t="b">
        <v>0</v>
      </c>
      <c r="Q65" s="51" t="b">
        <v>0</v>
      </c>
      <c r="R65" s="31" t="b">
        <v>0</v>
      </c>
      <c r="S65" s="63">
        <v>10.0</v>
      </c>
      <c r="T65" s="65"/>
      <c r="U65" s="31" t="b">
        <f t="shared" si="11"/>
        <v>0</v>
      </c>
      <c r="V65" s="65" t="s">
        <v>209</v>
      </c>
      <c r="W65" s="65" t="s">
        <v>191</v>
      </c>
      <c r="X65" s="65" t="s">
        <v>210</v>
      </c>
      <c r="Y65" s="65"/>
      <c r="Z65" s="65"/>
      <c r="AA65" s="34">
        <f t="shared" si="3"/>
        <v>27.42857143</v>
      </c>
      <c r="AB65" s="35">
        <f t="shared" si="15"/>
        <v>17142.85714</v>
      </c>
      <c r="AC65" s="29" t="str">
        <f t="shared" si="5"/>
        <v>Sim</v>
      </c>
      <c r="AD65" s="37" t="str">
        <f t="shared" si="1"/>
        <v>Não</v>
      </c>
      <c r="AE65" s="38">
        <f t="shared" si="6"/>
        <v>70</v>
      </c>
      <c r="AF65" s="29">
        <f>IF(N65,N65+((VLOOKUP(C65,'NPS de resultado'!$C$7:$D$36,2)*30)),"")</f>
        <v>45523</v>
      </c>
      <c r="AG65" s="39"/>
    </row>
    <row r="66">
      <c r="A66" s="43" t="s">
        <v>211</v>
      </c>
      <c r="B66" s="66" t="s">
        <v>187</v>
      </c>
      <c r="C66" s="59" t="s">
        <v>212</v>
      </c>
      <c r="D66" s="59" t="s">
        <v>2</v>
      </c>
      <c r="E66" s="46">
        <v>12000.0</v>
      </c>
      <c r="F66" s="60">
        <v>3.0</v>
      </c>
      <c r="G66" s="60">
        <v>3.0</v>
      </c>
      <c r="H66" s="29">
        <v>45201.0</v>
      </c>
      <c r="I66" s="29">
        <v>45232.0</v>
      </c>
      <c r="J66" s="61" t="s">
        <v>39</v>
      </c>
      <c r="K66" s="54">
        <v>45189.0</v>
      </c>
      <c r="L66" s="62">
        <v>0.0</v>
      </c>
      <c r="M66" s="29">
        <f t="shared" si="14"/>
        <v>45210</v>
      </c>
      <c r="N66" s="29"/>
      <c r="O66" s="61" t="s">
        <v>100</v>
      </c>
      <c r="P66" s="51" t="b">
        <v>0</v>
      </c>
      <c r="Q66" s="51" t="b">
        <v>0</v>
      </c>
      <c r="R66" s="31" t="b">
        <v>0</v>
      </c>
      <c r="S66" s="63"/>
      <c r="T66" s="65"/>
      <c r="U66" s="31" t="b">
        <f t="shared" si="11"/>
        <v>0</v>
      </c>
      <c r="V66" s="65"/>
      <c r="W66" s="65"/>
      <c r="X66" s="65"/>
      <c r="Y66" s="65"/>
      <c r="Z66" s="65"/>
      <c r="AA66" s="34">
        <f t="shared" si="3"/>
        <v>0</v>
      </c>
      <c r="AB66" s="35">
        <f t="shared" si="15"/>
        <v>0</v>
      </c>
      <c r="AC66" s="29" t="str">
        <f t="shared" si="5"/>
        <v>Sim</v>
      </c>
      <c r="AD66" s="37" t="str">
        <f t="shared" si="1"/>
        <v>Não</v>
      </c>
      <c r="AE66" s="38">
        <f t="shared" si="6"/>
        <v>-12</v>
      </c>
      <c r="AF66" s="29" t="str">
        <f>IF(N66,N66+((VLOOKUP(C66,'NPS de resultado'!$C$7:$D$36,2)*30)),"")</f>
        <v/>
      </c>
      <c r="AG66" s="39"/>
    </row>
    <row r="67">
      <c r="A67" s="43" t="s">
        <v>213</v>
      </c>
      <c r="B67" s="66" t="s">
        <v>187</v>
      </c>
      <c r="C67" s="59" t="s">
        <v>188</v>
      </c>
      <c r="D67" s="59" t="s">
        <v>2</v>
      </c>
      <c r="E67" s="46">
        <v>17000.0</v>
      </c>
      <c r="F67" s="60">
        <v>6.0</v>
      </c>
      <c r="G67" s="60">
        <v>2.0</v>
      </c>
      <c r="H67" s="29">
        <v>45187.0</v>
      </c>
      <c r="I67" s="29">
        <v>45230.0</v>
      </c>
      <c r="J67" s="61" t="s">
        <v>39</v>
      </c>
      <c r="K67" s="54">
        <v>45190.0</v>
      </c>
      <c r="L67" s="62">
        <v>0.0</v>
      </c>
      <c r="M67" s="29">
        <f t="shared" si="14"/>
        <v>45232</v>
      </c>
      <c r="N67" s="29"/>
      <c r="O67" s="61" t="s">
        <v>100</v>
      </c>
      <c r="P67" s="51" t="b">
        <v>0</v>
      </c>
      <c r="Q67" s="51" t="b">
        <v>0</v>
      </c>
      <c r="R67" s="31" t="b">
        <v>0</v>
      </c>
      <c r="S67" s="63"/>
      <c r="T67" s="65"/>
      <c r="U67" s="31" t="b">
        <f t="shared" si="11"/>
        <v>0</v>
      </c>
      <c r="V67" s="65"/>
      <c r="W67" s="65"/>
      <c r="X67" s="65"/>
      <c r="Y67" s="65"/>
      <c r="Z67" s="65"/>
      <c r="AA67" s="34">
        <f t="shared" si="3"/>
        <v>0</v>
      </c>
      <c r="AB67" s="35">
        <f t="shared" si="15"/>
        <v>0</v>
      </c>
      <c r="AC67" s="29" t="str">
        <f t="shared" si="5"/>
        <v>Sim</v>
      </c>
      <c r="AD67" s="37" t="str">
        <f t="shared" si="1"/>
        <v>Não</v>
      </c>
      <c r="AE67" s="38">
        <f t="shared" si="6"/>
        <v>3</v>
      </c>
      <c r="AF67" s="29" t="str">
        <f>IF(N67,N67+((VLOOKUP(C67,'NPS de resultado'!$C$7:$D$36,2)*30)),"")</f>
        <v/>
      </c>
      <c r="AG67" s="39"/>
    </row>
    <row r="68">
      <c r="A68" s="43" t="s">
        <v>214</v>
      </c>
      <c r="B68" s="66" t="s">
        <v>187</v>
      </c>
      <c r="C68" s="59" t="s">
        <v>188</v>
      </c>
      <c r="D68" s="59" t="s">
        <v>2</v>
      </c>
      <c r="E68" s="46">
        <v>10800.0</v>
      </c>
      <c r="F68" s="60">
        <v>8.0</v>
      </c>
      <c r="G68" s="60">
        <v>1.0</v>
      </c>
      <c r="H68" s="29">
        <v>45194.0</v>
      </c>
      <c r="I68" s="29">
        <v>45260.0</v>
      </c>
      <c r="J68" s="61" t="s">
        <v>39</v>
      </c>
      <c r="K68" s="54">
        <v>45198.0</v>
      </c>
      <c r="L68" s="62">
        <v>0.0</v>
      </c>
      <c r="M68" s="29">
        <f t="shared" si="14"/>
        <v>45254</v>
      </c>
      <c r="N68" s="29"/>
      <c r="O68" s="61" t="s">
        <v>100</v>
      </c>
      <c r="P68" s="51" t="b">
        <v>0</v>
      </c>
      <c r="Q68" s="51" t="b">
        <v>0</v>
      </c>
      <c r="R68" s="31" t="b">
        <v>1</v>
      </c>
      <c r="S68" s="63"/>
      <c r="T68" s="65"/>
      <c r="U68" s="31" t="b">
        <f t="shared" si="11"/>
        <v>0</v>
      </c>
      <c r="V68" s="65"/>
      <c r="W68" s="65"/>
      <c r="X68" s="65"/>
      <c r="Y68" s="65"/>
      <c r="Z68" s="65"/>
      <c r="AA68" s="34">
        <f t="shared" si="3"/>
        <v>0</v>
      </c>
      <c r="AB68" s="35">
        <f t="shared" si="15"/>
        <v>0</v>
      </c>
      <c r="AC68" s="29" t="str">
        <f t="shared" si="5"/>
        <v>Sim</v>
      </c>
      <c r="AD68" s="37" t="str">
        <f t="shared" si="1"/>
        <v>Não</v>
      </c>
      <c r="AE68" s="38">
        <f t="shared" si="6"/>
        <v>4</v>
      </c>
      <c r="AF68" s="29" t="str">
        <f>IF(N68,N68+((VLOOKUP(C68,'NPS de resultado'!$C$7:$D$36,2)*30)),"")</f>
        <v/>
      </c>
      <c r="AG68" s="39"/>
    </row>
    <row r="69">
      <c r="A69" s="43" t="s">
        <v>215</v>
      </c>
      <c r="B69" s="66" t="s">
        <v>187</v>
      </c>
      <c r="C69" s="59" t="s">
        <v>188</v>
      </c>
      <c r="D69" s="59" t="s">
        <v>2</v>
      </c>
      <c r="E69" s="46">
        <v>28000.0</v>
      </c>
      <c r="F69" s="60">
        <v>10.0</v>
      </c>
      <c r="G69" s="60">
        <v>2.0</v>
      </c>
      <c r="H69" s="29">
        <v>45187.0</v>
      </c>
      <c r="I69" s="29">
        <v>45272.0</v>
      </c>
      <c r="J69" s="61" t="s">
        <v>39</v>
      </c>
      <c r="K69" s="54">
        <v>45208.0</v>
      </c>
      <c r="L69" s="62">
        <v>4.142857142857143</v>
      </c>
      <c r="M69" s="29">
        <f t="shared" si="14"/>
        <v>45307</v>
      </c>
      <c r="N69" s="54">
        <v>45355.0</v>
      </c>
      <c r="O69" s="85" t="s">
        <v>46</v>
      </c>
      <c r="P69" s="51" t="b">
        <v>0</v>
      </c>
      <c r="Q69" s="51" t="b">
        <v>0</v>
      </c>
      <c r="R69" s="31" t="b">
        <v>1</v>
      </c>
      <c r="S69" s="63">
        <v>10.0</v>
      </c>
      <c r="T69" s="65"/>
      <c r="U69" s="31" t="b">
        <f t="shared" si="11"/>
        <v>0</v>
      </c>
      <c r="V69" s="65" t="s">
        <v>202</v>
      </c>
      <c r="W69" s="65" t="s">
        <v>216</v>
      </c>
      <c r="X69" s="65" t="s">
        <v>205</v>
      </c>
      <c r="Y69" s="65"/>
      <c r="Z69" s="65"/>
      <c r="AA69" s="34">
        <f t="shared" si="3"/>
        <v>33.71428571</v>
      </c>
      <c r="AB69" s="35">
        <f t="shared" si="15"/>
        <v>19200</v>
      </c>
      <c r="AC69" s="29" t="str">
        <f t="shared" si="5"/>
        <v>Sim</v>
      </c>
      <c r="AD69" s="37" t="str">
        <f t="shared" si="1"/>
        <v>Não</v>
      </c>
      <c r="AE69" s="38">
        <f t="shared" si="6"/>
        <v>21</v>
      </c>
      <c r="AF69" s="29">
        <f>IF(N69,N69+((VLOOKUP(C69,'NPS de resultado'!$C$7:$D$36,2)*30)),"")</f>
        <v>45445</v>
      </c>
      <c r="AG69" s="39"/>
    </row>
    <row r="70">
      <c r="A70" s="43" t="s">
        <v>217</v>
      </c>
      <c r="B70" s="66" t="s">
        <v>187</v>
      </c>
      <c r="C70" s="59" t="s">
        <v>218</v>
      </c>
      <c r="D70" s="59" t="s">
        <v>2</v>
      </c>
      <c r="E70" s="46">
        <v>8100.0</v>
      </c>
      <c r="F70" s="60">
        <v>5.0</v>
      </c>
      <c r="G70" s="60">
        <v>1.0</v>
      </c>
      <c r="H70" s="29"/>
      <c r="I70" s="29"/>
      <c r="J70" s="61" t="s">
        <v>39</v>
      </c>
      <c r="K70" s="54">
        <v>45197.0</v>
      </c>
      <c r="L70" s="62">
        <v>12.857142857142858</v>
      </c>
      <c r="M70" s="29">
        <f t="shared" si="14"/>
        <v>45322</v>
      </c>
      <c r="N70" s="29"/>
      <c r="O70" s="61" t="s">
        <v>100</v>
      </c>
      <c r="P70" s="51" t="b">
        <v>0</v>
      </c>
      <c r="Q70" s="51" t="b">
        <v>0</v>
      </c>
      <c r="R70" s="31" t="b">
        <v>1</v>
      </c>
      <c r="S70" s="63"/>
      <c r="T70" s="65"/>
      <c r="U70" s="31" t="b">
        <f t="shared" si="11"/>
        <v>0</v>
      </c>
      <c r="V70" s="65" t="s">
        <v>209</v>
      </c>
      <c r="W70" s="65" t="s">
        <v>219</v>
      </c>
      <c r="X70" s="65"/>
      <c r="Y70" s="65"/>
      <c r="Z70" s="65"/>
      <c r="AA70" s="34">
        <f t="shared" si="3"/>
        <v>0</v>
      </c>
      <c r="AB70" s="35">
        <f t="shared" si="15"/>
        <v>0</v>
      </c>
      <c r="AC70" s="29" t="str">
        <f t="shared" si="5"/>
        <v>Sim</v>
      </c>
      <c r="AD70" s="37" t="str">
        <f t="shared" si="1"/>
        <v>Não</v>
      </c>
      <c r="AE70" s="38">
        <f t="shared" si="6"/>
        <v>0</v>
      </c>
      <c r="AF70" s="29" t="str">
        <f>IF(N70,N70+((VLOOKUP(C70,'NPS de resultado'!$C$7:$D$36,2)*30)),"")</f>
        <v/>
      </c>
      <c r="AG70" s="39"/>
    </row>
    <row r="71">
      <c r="A71" s="43" t="s">
        <v>220</v>
      </c>
      <c r="B71" s="66" t="s">
        <v>187</v>
      </c>
      <c r="C71" s="59" t="s">
        <v>221</v>
      </c>
      <c r="D71" s="59" t="s">
        <v>2</v>
      </c>
      <c r="E71" s="46">
        <v>36000.0</v>
      </c>
      <c r="F71" s="60">
        <v>8.0</v>
      </c>
      <c r="G71" s="60">
        <v>3.0</v>
      </c>
      <c r="H71" s="29">
        <v>45201.0</v>
      </c>
      <c r="I71" s="29">
        <v>45221.0</v>
      </c>
      <c r="J71" s="61" t="s">
        <v>50</v>
      </c>
      <c r="K71" s="54">
        <v>45218.0</v>
      </c>
      <c r="L71" s="62">
        <v>3.142857142857143</v>
      </c>
      <c r="M71" s="29">
        <f t="shared" si="14"/>
        <v>45296</v>
      </c>
      <c r="N71" s="54">
        <v>45405.0</v>
      </c>
      <c r="O71" s="85" t="s">
        <v>46</v>
      </c>
      <c r="P71" s="51" t="b">
        <v>0</v>
      </c>
      <c r="Q71" s="51" t="b">
        <v>0</v>
      </c>
      <c r="R71" s="31" t="b">
        <v>0</v>
      </c>
      <c r="S71" s="63"/>
      <c r="T71" s="65"/>
      <c r="U71" s="31" t="b">
        <f t="shared" si="11"/>
        <v>0</v>
      </c>
      <c r="V71" s="65" t="s">
        <v>209</v>
      </c>
      <c r="W71" s="65" t="s">
        <v>219</v>
      </c>
      <c r="X71" s="65" t="s">
        <v>222</v>
      </c>
      <c r="Y71" s="65"/>
      <c r="Z71" s="65"/>
      <c r="AA71" s="34">
        <f t="shared" si="3"/>
        <v>70.71428571</v>
      </c>
      <c r="AB71" s="35">
        <f t="shared" si="15"/>
        <v>70071.42857</v>
      </c>
      <c r="AC71" s="29" t="str">
        <f t="shared" si="5"/>
        <v>Sim</v>
      </c>
      <c r="AD71" s="37" t="str">
        <f t="shared" si="1"/>
        <v>Não</v>
      </c>
      <c r="AE71" s="38">
        <f t="shared" si="6"/>
        <v>17</v>
      </c>
      <c r="AF71" s="29" t="str">
        <f>IF(N71,N71+((VLOOKUP(C71,'NPS de resultado'!$C$7:$D$36,2)*30)),"")</f>
        <v>#N/A</v>
      </c>
      <c r="AG71" s="39"/>
    </row>
    <row r="72">
      <c r="A72" s="43" t="s">
        <v>223</v>
      </c>
      <c r="B72" s="66" t="s">
        <v>187</v>
      </c>
      <c r="C72" s="59" t="s">
        <v>188</v>
      </c>
      <c r="D72" s="59" t="s">
        <v>2</v>
      </c>
      <c r="E72" s="46">
        <v>19800.0</v>
      </c>
      <c r="F72" s="60">
        <v>5.0</v>
      </c>
      <c r="G72" s="60">
        <v>3.0</v>
      </c>
      <c r="H72" s="29">
        <v>45196.0</v>
      </c>
      <c r="I72" s="29">
        <v>45238.0</v>
      </c>
      <c r="J72" s="61" t="s">
        <v>39</v>
      </c>
      <c r="K72" s="54">
        <v>45198.0</v>
      </c>
      <c r="L72" s="62">
        <v>11.0</v>
      </c>
      <c r="M72" s="29">
        <f t="shared" si="14"/>
        <v>45310</v>
      </c>
      <c r="N72" s="54">
        <v>45372.0</v>
      </c>
      <c r="O72" s="85" t="s">
        <v>46</v>
      </c>
      <c r="P72" s="51" t="b">
        <v>0</v>
      </c>
      <c r="Q72" s="51" t="b">
        <v>0</v>
      </c>
      <c r="R72" s="31" t="b">
        <v>1</v>
      </c>
      <c r="S72" s="63">
        <v>8.0</v>
      </c>
      <c r="T72" s="65"/>
      <c r="U72" s="31" t="b">
        <f t="shared" si="11"/>
        <v>0</v>
      </c>
      <c r="V72" s="65" t="s">
        <v>224</v>
      </c>
      <c r="W72" s="65" t="s">
        <v>225</v>
      </c>
      <c r="X72" s="65" t="s">
        <v>204</v>
      </c>
      <c r="Y72" s="65"/>
      <c r="Z72" s="65"/>
      <c r="AA72" s="34">
        <f t="shared" si="3"/>
        <v>41.57142857</v>
      </c>
      <c r="AB72" s="35">
        <f t="shared" si="15"/>
        <v>35074.28571</v>
      </c>
      <c r="AC72" s="29" t="str">
        <f t="shared" si="5"/>
        <v>Sim</v>
      </c>
      <c r="AD72" s="37" t="str">
        <f t="shared" si="1"/>
        <v>Não</v>
      </c>
      <c r="AE72" s="38">
        <f t="shared" si="6"/>
        <v>2</v>
      </c>
      <c r="AF72" s="29">
        <f>IF(N72,N72+((VLOOKUP(C72,'NPS de resultado'!$C$7:$D$36,2)*30)),"")</f>
        <v>45462</v>
      </c>
      <c r="AG72" s="39"/>
    </row>
    <row r="73">
      <c r="A73" s="43" t="s">
        <v>226</v>
      </c>
      <c r="B73" s="66" t="s">
        <v>187</v>
      </c>
      <c r="C73" s="59" t="s">
        <v>188</v>
      </c>
      <c r="D73" s="59" t="s">
        <v>2</v>
      </c>
      <c r="E73" s="46">
        <v>30000.0</v>
      </c>
      <c r="F73" s="60">
        <v>12.0</v>
      </c>
      <c r="G73" s="60">
        <v>2.0</v>
      </c>
      <c r="H73" s="29">
        <v>45188.0</v>
      </c>
      <c r="I73" s="29">
        <v>45251.0</v>
      </c>
      <c r="J73" s="61" t="s">
        <v>39</v>
      </c>
      <c r="K73" s="54">
        <v>45188.0</v>
      </c>
      <c r="L73" s="68">
        <v>13.3</v>
      </c>
      <c r="M73" s="29">
        <f t="shared" si="14"/>
        <v>45365.1</v>
      </c>
      <c r="N73" s="54">
        <v>45392.0</v>
      </c>
      <c r="O73" s="61" t="s">
        <v>60</v>
      </c>
      <c r="P73" s="51" t="b">
        <v>0</v>
      </c>
      <c r="Q73" s="51" t="b">
        <v>0</v>
      </c>
      <c r="R73" s="31" t="b">
        <v>0</v>
      </c>
      <c r="S73" s="63"/>
      <c r="T73" s="65"/>
      <c r="U73" s="31" t="b">
        <f t="shared" si="11"/>
        <v>0</v>
      </c>
      <c r="V73" s="65" t="s">
        <v>202</v>
      </c>
      <c r="W73" s="65" t="s">
        <v>224</v>
      </c>
      <c r="X73" s="65" t="s">
        <v>191</v>
      </c>
      <c r="Y73" s="65" t="s">
        <v>227</v>
      </c>
      <c r="Z73" s="65"/>
      <c r="AA73" s="34">
        <f t="shared" si="3"/>
        <v>31.68571429</v>
      </c>
      <c r="AB73" s="35">
        <f t="shared" si="15"/>
        <v>9607.142857</v>
      </c>
      <c r="AC73" s="29" t="str">
        <f t="shared" si="5"/>
        <v>Sim</v>
      </c>
      <c r="AD73" s="37" t="str">
        <f t="shared" si="1"/>
        <v>Não</v>
      </c>
      <c r="AE73" s="38">
        <f t="shared" si="6"/>
        <v>0</v>
      </c>
      <c r="AF73" s="29">
        <f>IF(N73,N73+((VLOOKUP(C73,'NPS de resultado'!$C$7:$D$36,2)*30)),"")</f>
        <v>45482</v>
      </c>
      <c r="AG73" s="39"/>
    </row>
    <row r="74">
      <c r="A74" s="43" t="s">
        <v>228</v>
      </c>
      <c r="B74" s="66" t="s">
        <v>187</v>
      </c>
      <c r="C74" s="59" t="s">
        <v>188</v>
      </c>
      <c r="D74" s="59"/>
      <c r="E74" s="46">
        <v>21000.0</v>
      </c>
      <c r="F74" s="60">
        <v>7.0</v>
      </c>
      <c r="G74" s="60">
        <v>2.0</v>
      </c>
      <c r="H74" s="29">
        <v>45293.0</v>
      </c>
      <c r="I74" s="29">
        <v>45321.0</v>
      </c>
      <c r="J74" s="61" t="s">
        <v>39</v>
      </c>
      <c r="K74" s="54"/>
      <c r="L74" s="62">
        <v>0.0</v>
      </c>
      <c r="M74" s="29" t="str">
        <f t="shared" si="14"/>
        <v/>
      </c>
      <c r="N74" s="29"/>
      <c r="O74" s="61" t="s">
        <v>103</v>
      </c>
      <c r="P74" s="51" t="b">
        <v>0</v>
      </c>
      <c r="Q74" s="51" t="b">
        <v>0</v>
      </c>
      <c r="R74" s="31" t="b">
        <v>0</v>
      </c>
      <c r="S74" s="63"/>
      <c r="T74" s="65"/>
      <c r="U74" s="31" t="b">
        <f t="shared" si="11"/>
        <v>0</v>
      </c>
      <c r="V74" s="65"/>
      <c r="W74" s="65"/>
      <c r="X74" s="65"/>
      <c r="Y74" s="65"/>
      <c r="Z74" s="65"/>
      <c r="AA74" s="34">
        <f t="shared" si="3"/>
        <v>0</v>
      </c>
      <c r="AB74" s="35">
        <f t="shared" si="15"/>
        <v>0</v>
      </c>
      <c r="AC74" s="29" t="str">
        <f t="shared" si="5"/>
        <v>NÃO</v>
      </c>
      <c r="AD74" s="37" t="str">
        <f t="shared" si="1"/>
        <v>Não</v>
      </c>
      <c r="AE74" s="38">
        <f t="shared" si="6"/>
        <v>0</v>
      </c>
      <c r="AF74" s="29" t="str">
        <f>IF(N74,N74+((VLOOKUP(C74,'NPS de resultado'!$C$7:$D$36,2)*30)),"")</f>
        <v/>
      </c>
      <c r="AG74" s="39"/>
    </row>
    <row r="75">
      <c r="A75" s="43" t="s">
        <v>229</v>
      </c>
      <c r="B75" s="66" t="s">
        <v>187</v>
      </c>
      <c r="C75" s="59" t="s">
        <v>208</v>
      </c>
      <c r="D75" s="59" t="s">
        <v>2</v>
      </c>
      <c r="E75" s="46">
        <v>27000.0</v>
      </c>
      <c r="F75" s="60">
        <v>9.0</v>
      </c>
      <c r="G75" s="60">
        <v>2.0</v>
      </c>
      <c r="H75" s="29">
        <v>45208.0</v>
      </c>
      <c r="I75" s="29">
        <v>45274.0</v>
      </c>
      <c r="J75" s="61" t="s">
        <v>39</v>
      </c>
      <c r="K75" s="54">
        <v>45252.0</v>
      </c>
      <c r="L75" s="62">
        <v>0.0</v>
      </c>
      <c r="M75" s="29">
        <f t="shared" si="14"/>
        <v>45315</v>
      </c>
      <c r="N75" s="54">
        <v>45415.0</v>
      </c>
      <c r="O75" s="85" t="s">
        <v>46</v>
      </c>
      <c r="P75" s="51" t="b">
        <v>0</v>
      </c>
      <c r="Q75" s="51" t="b">
        <v>0</v>
      </c>
      <c r="R75" s="31" t="b">
        <v>1</v>
      </c>
      <c r="S75" s="63"/>
      <c r="T75" s="65"/>
      <c r="U75" s="31" t="b">
        <f t="shared" si="11"/>
        <v>0</v>
      </c>
      <c r="V75" s="65" t="s">
        <v>230</v>
      </c>
      <c r="W75" s="65" t="s">
        <v>231</v>
      </c>
      <c r="X75" s="65" t="s">
        <v>205</v>
      </c>
      <c r="Y75" s="65" t="s">
        <v>232</v>
      </c>
      <c r="Z75" s="65"/>
      <c r="AA75" s="34">
        <f t="shared" si="3"/>
        <v>46.57142857</v>
      </c>
      <c r="AB75" s="35">
        <f t="shared" si="15"/>
        <v>42857.14286</v>
      </c>
      <c r="AC75" s="29" t="str">
        <f t="shared" si="5"/>
        <v>Sim</v>
      </c>
      <c r="AD75" s="37" t="str">
        <f t="shared" si="1"/>
        <v>Não</v>
      </c>
      <c r="AE75" s="38">
        <f t="shared" si="6"/>
        <v>44</v>
      </c>
      <c r="AF75" s="29">
        <f>IF(N75,N75+((VLOOKUP(C75,'NPS de resultado'!$C$7:$D$36,2)*30)),"")</f>
        <v>45595</v>
      </c>
      <c r="AG75" s="39"/>
    </row>
    <row r="76">
      <c r="A76" s="43" t="s">
        <v>233</v>
      </c>
      <c r="B76" s="66" t="s">
        <v>187</v>
      </c>
      <c r="C76" s="59" t="s">
        <v>188</v>
      </c>
      <c r="D76" s="59" t="s">
        <v>2</v>
      </c>
      <c r="E76" s="46">
        <v>15000.0</v>
      </c>
      <c r="F76" s="60">
        <v>6.0</v>
      </c>
      <c r="G76" s="60">
        <v>2.0</v>
      </c>
      <c r="H76" s="29">
        <v>45208.0</v>
      </c>
      <c r="I76" s="29">
        <v>45246.0</v>
      </c>
      <c r="J76" s="61" t="s">
        <v>39</v>
      </c>
      <c r="K76" s="54">
        <v>45219.0</v>
      </c>
      <c r="L76" s="62">
        <v>5.142857142857143</v>
      </c>
      <c r="M76" s="29">
        <f t="shared" si="14"/>
        <v>45297</v>
      </c>
      <c r="N76" s="54">
        <v>45294.0</v>
      </c>
      <c r="O76" s="85" t="s">
        <v>46</v>
      </c>
      <c r="P76" s="51" t="b">
        <v>0</v>
      </c>
      <c r="Q76" s="51" t="b">
        <v>0</v>
      </c>
      <c r="R76" s="31" t="b">
        <v>1</v>
      </c>
      <c r="S76" s="63">
        <v>10.0</v>
      </c>
      <c r="T76" s="65"/>
      <c r="U76" s="31" t="b">
        <f t="shared" si="11"/>
        <v>1</v>
      </c>
      <c r="V76" s="65" t="s">
        <v>209</v>
      </c>
      <c r="W76" s="65" t="s">
        <v>230</v>
      </c>
      <c r="X76" s="65" t="s">
        <v>210</v>
      </c>
      <c r="Y76" s="65"/>
      <c r="Z76" s="65"/>
      <c r="AA76" s="34">
        <f t="shared" si="3"/>
        <v>11.14285714</v>
      </c>
      <c r="AB76" s="35">
        <f t="shared" si="15"/>
        <v>0</v>
      </c>
      <c r="AC76" s="29" t="str">
        <f t="shared" si="5"/>
        <v>Sim</v>
      </c>
      <c r="AD76" s="37" t="str">
        <f t="shared" si="1"/>
        <v>Não</v>
      </c>
      <c r="AE76" s="38">
        <f t="shared" si="6"/>
        <v>11</v>
      </c>
      <c r="AF76" s="29">
        <f>IF(N76,N76+((VLOOKUP(C76,'NPS de resultado'!$C$7:$D$36,2)*30)),"")</f>
        <v>45384</v>
      </c>
      <c r="AG76" s="39"/>
    </row>
    <row r="77">
      <c r="A77" s="43" t="s">
        <v>234</v>
      </c>
      <c r="B77" s="66" t="s">
        <v>187</v>
      </c>
      <c r="C77" s="59" t="s">
        <v>188</v>
      </c>
      <c r="D77" s="59" t="s">
        <v>2</v>
      </c>
      <c r="E77" s="46">
        <v>12600.0</v>
      </c>
      <c r="F77" s="60">
        <v>8.0</v>
      </c>
      <c r="G77" s="60">
        <v>1.0</v>
      </c>
      <c r="H77" s="29">
        <v>45208.0</v>
      </c>
      <c r="I77" s="29">
        <v>45271.0</v>
      </c>
      <c r="J77" s="61" t="s">
        <v>39</v>
      </c>
      <c r="K77" s="54">
        <v>45219.0</v>
      </c>
      <c r="L77" s="62">
        <v>7.571428571428571</v>
      </c>
      <c r="M77" s="29">
        <f t="shared" si="14"/>
        <v>45328</v>
      </c>
      <c r="N77" s="54">
        <v>45372.0</v>
      </c>
      <c r="O77" s="85" t="s">
        <v>46</v>
      </c>
      <c r="P77" s="51" t="b">
        <v>0</v>
      </c>
      <c r="Q77" s="51" t="b">
        <v>0</v>
      </c>
      <c r="R77" s="31" t="b">
        <v>0</v>
      </c>
      <c r="S77" s="63"/>
      <c r="T77" s="65"/>
      <c r="U77" s="31" t="b">
        <f t="shared" si="11"/>
        <v>0</v>
      </c>
      <c r="V77" s="65" t="s">
        <v>224</v>
      </c>
      <c r="W77" s="65" t="s">
        <v>235</v>
      </c>
      <c r="X77" s="65"/>
      <c r="Y77" s="65"/>
      <c r="Z77" s="65"/>
      <c r="AA77" s="34">
        <f t="shared" si="3"/>
        <v>14.28571429</v>
      </c>
      <c r="AB77" s="35">
        <f t="shared" si="15"/>
        <v>9900</v>
      </c>
      <c r="AC77" s="29" t="str">
        <f t="shared" si="5"/>
        <v>Sim</v>
      </c>
      <c r="AD77" s="37" t="str">
        <f t="shared" si="1"/>
        <v>Não</v>
      </c>
      <c r="AE77" s="38">
        <f t="shared" si="6"/>
        <v>11</v>
      </c>
      <c r="AF77" s="29">
        <f>IF(N77,N77+((VLOOKUP(C77,'NPS de resultado'!$C$7:$D$36,2)*30)),"")</f>
        <v>45462</v>
      </c>
      <c r="AG77" s="39"/>
    </row>
    <row r="78">
      <c r="A78" s="43" t="s">
        <v>236</v>
      </c>
      <c r="B78" s="66" t="s">
        <v>187</v>
      </c>
      <c r="C78" s="59" t="s">
        <v>218</v>
      </c>
      <c r="D78" s="59" t="s">
        <v>2</v>
      </c>
      <c r="E78" s="46">
        <v>20000.0</v>
      </c>
      <c r="F78" s="60">
        <v>12.0</v>
      </c>
      <c r="G78" s="60">
        <v>1.0</v>
      </c>
      <c r="H78" s="29">
        <v>45208.0</v>
      </c>
      <c r="I78" s="29">
        <v>45291.0</v>
      </c>
      <c r="J78" s="61" t="s">
        <v>39</v>
      </c>
      <c r="K78" s="54">
        <v>45229.0</v>
      </c>
      <c r="L78" s="62">
        <v>0.0</v>
      </c>
      <c r="M78" s="29">
        <f t="shared" si="14"/>
        <v>45313</v>
      </c>
      <c r="N78" s="54">
        <v>45313.0</v>
      </c>
      <c r="O78" s="85" t="s">
        <v>46</v>
      </c>
      <c r="P78" s="51" t="b">
        <v>0</v>
      </c>
      <c r="Q78" s="51" t="b">
        <v>0</v>
      </c>
      <c r="R78" s="31" t="b">
        <v>0</v>
      </c>
      <c r="S78" s="63">
        <v>7.0</v>
      </c>
      <c r="T78" s="65"/>
      <c r="U78" s="31" t="b">
        <f t="shared" si="11"/>
        <v>0</v>
      </c>
      <c r="V78" s="65" t="s">
        <v>202</v>
      </c>
      <c r="W78" s="65" t="s">
        <v>216</v>
      </c>
      <c r="X78" s="65"/>
      <c r="Y78" s="65"/>
      <c r="Z78" s="65"/>
      <c r="AA78" s="34">
        <f t="shared" si="3"/>
        <v>12</v>
      </c>
      <c r="AB78" s="35">
        <f t="shared" si="15"/>
        <v>0</v>
      </c>
      <c r="AC78" s="29" t="str">
        <f t="shared" si="5"/>
        <v>Sim</v>
      </c>
      <c r="AD78" s="37" t="str">
        <f t="shared" si="1"/>
        <v>Não</v>
      </c>
      <c r="AE78" s="38">
        <f t="shared" si="6"/>
        <v>21</v>
      </c>
      <c r="AF78" s="29">
        <f>IF(N78,N78+((VLOOKUP(C78,'NPS de resultado'!$C$7:$D$36,2)*30)),"")</f>
        <v>45493</v>
      </c>
      <c r="AG78" s="39"/>
    </row>
    <row r="79">
      <c r="A79" s="43" t="s">
        <v>237</v>
      </c>
      <c r="B79" s="66" t="s">
        <v>187</v>
      </c>
      <c r="C79" s="59" t="s">
        <v>212</v>
      </c>
      <c r="D79" s="59" t="s">
        <v>2</v>
      </c>
      <c r="E79" s="46">
        <v>12000.0</v>
      </c>
      <c r="F79" s="60">
        <v>6.0</v>
      </c>
      <c r="G79" s="60">
        <v>2.0</v>
      </c>
      <c r="H79" s="29">
        <v>45224.0</v>
      </c>
      <c r="I79" s="29">
        <v>45280.0</v>
      </c>
      <c r="J79" s="61" t="s">
        <v>39</v>
      </c>
      <c r="K79" s="54">
        <v>45226.0</v>
      </c>
      <c r="L79" s="62">
        <v>4.142857142857143</v>
      </c>
      <c r="M79" s="29">
        <f t="shared" si="14"/>
        <v>45297</v>
      </c>
      <c r="N79" s="54">
        <v>45352.0</v>
      </c>
      <c r="O79" s="85" t="s">
        <v>46</v>
      </c>
      <c r="P79" s="51" t="b">
        <v>0</v>
      </c>
      <c r="Q79" s="51" t="b">
        <v>0</v>
      </c>
      <c r="R79" s="31" t="b">
        <v>0</v>
      </c>
      <c r="S79" s="63">
        <v>10.0</v>
      </c>
      <c r="T79" s="65"/>
      <c r="U79" s="31" t="b">
        <f t="shared" si="11"/>
        <v>0</v>
      </c>
      <c r="V79" s="65" t="s">
        <v>202</v>
      </c>
      <c r="W79" s="65" t="s">
        <v>238</v>
      </c>
      <c r="X79" s="65" t="s">
        <v>239</v>
      </c>
      <c r="Y79" s="65"/>
      <c r="Z79" s="65"/>
      <c r="AA79" s="34">
        <f t="shared" si="3"/>
        <v>27.71428571</v>
      </c>
      <c r="AB79" s="35">
        <f t="shared" si="15"/>
        <v>15714.28571</v>
      </c>
      <c r="AC79" s="29" t="str">
        <f t="shared" si="5"/>
        <v>Sim</v>
      </c>
      <c r="AD79" s="37" t="str">
        <f t="shared" si="1"/>
        <v>Não</v>
      </c>
      <c r="AE79" s="38">
        <f t="shared" si="6"/>
        <v>2</v>
      </c>
      <c r="AF79" s="29">
        <f>IF(N79,N79+((VLOOKUP(C79,'NPS de resultado'!$C$7:$D$36,2)*30)),"")</f>
        <v>45532</v>
      </c>
      <c r="AG79" s="39"/>
    </row>
    <row r="80">
      <c r="A80" s="43" t="s">
        <v>240</v>
      </c>
      <c r="B80" s="66" t="s">
        <v>187</v>
      </c>
      <c r="C80" s="59" t="s">
        <v>218</v>
      </c>
      <c r="D80" s="59" t="s">
        <v>2</v>
      </c>
      <c r="E80" s="46">
        <v>30000.0</v>
      </c>
      <c r="F80" s="60">
        <v>24.0</v>
      </c>
      <c r="G80" s="60">
        <v>1.25</v>
      </c>
      <c r="H80" s="29">
        <v>45250.0</v>
      </c>
      <c r="I80" s="29">
        <v>45066.0</v>
      </c>
      <c r="J80" s="61" t="s">
        <v>39</v>
      </c>
      <c r="K80" s="54">
        <v>45257.0</v>
      </c>
      <c r="L80" s="62">
        <v>0.0</v>
      </c>
      <c r="M80" s="29">
        <f t="shared" si="14"/>
        <v>45425</v>
      </c>
      <c r="N80" s="29"/>
      <c r="O80" s="61" t="s">
        <v>40</v>
      </c>
      <c r="P80" s="51" t="b">
        <v>0</v>
      </c>
      <c r="Q80" s="51" t="b">
        <v>0</v>
      </c>
      <c r="R80" s="31" t="b">
        <v>1</v>
      </c>
      <c r="S80" s="63"/>
      <c r="T80" s="65"/>
      <c r="U80" s="31" t="b">
        <f t="shared" si="11"/>
        <v>0</v>
      </c>
      <c r="V80" s="65" t="s">
        <v>230</v>
      </c>
      <c r="W80" s="65" t="s">
        <v>241</v>
      </c>
      <c r="X80" s="65" t="s">
        <v>195</v>
      </c>
      <c r="Y80" s="65"/>
      <c r="Z80" s="65"/>
      <c r="AA80" s="34">
        <f t="shared" si="3"/>
        <v>0</v>
      </c>
      <c r="AB80" s="35">
        <f t="shared" si="15"/>
        <v>7857.142857</v>
      </c>
      <c r="AC80" s="29" t="str">
        <f t="shared" si="5"/>
        <v>Sim</v>
      </c>
      <c r="AD80" s="37" t="str">
        <f t="shared" si="1"/>
        <v>Sim</v>
      </c>
      <c r="AE80" s="38">
        <f t="shared" si="6"/>
        <v>7</v>
      </c>
      <c r="AF80" s="29" t="str">
        <f>IF(N80,N80+((VLOOKUP(C80,'NPS de resultado'!$C$7:$D$36,2)*30)),"")</f>
        <v/>
      </c>
      <c r="AG80" s="39"/>
    </row>
    <row r="81">
      <c r="A81" s="43" t="s">
        <v>242</v>
      </c>
      <c r="B81" s="66" t="s">
        <v>187</v>
      </c>
      <c r="C81" s="59" t="s">
        <v>218</v>
      </c>
      <c r="D81" s="59" t="s">
        <v>2</v>
      </c>
      <c r="E81" s="46">
        <v>9000.0</v>
      </c>
      <c r="F81" s="60">
        <v>6.0</v>
      </c>
      <c r="G81" s="60">
        <v>1.0</v>
      </c>
      <c r="H81" s="29">
        <v>45257.0</v>
      </c>
      <c r="I81" s="29">
        <v>45306.0</v>
      </c>
      <c r="J81" s="61" t="s">
        <v>39</v>
      </c>
      <c r="K81" s="54">
        <v>45261.0</v>
      </c>
      <c r="L81" s="62">
        <v>0.0</v>
      </c>
      <c r="M81" s="29">
        <f t="shared" si="14"/>
        <v>45303</v>
      </c>
      <c r="N81" s="29"/>
      <c r="O81" s="61" t="s">
        <v>100</v>
      </c>
      <c r="P81" s="51" t="b">
        <v>0</v>
      </c>
      <c r="Q81" s="51" t="b">
        <v>0</v>
      </c>
      <c r="R81" s="31" t="b">
        <v>0</v>
      </c>
      <c r="S81" s="63"/>
      <c r="T81" s="65"/>
      <c r="U81" s="31" t="b">
        <f t="shared" si="11"/>
        <v>0</v>
      </c>
      <c r="V81" s="65" t="s">
        <v>219</v>
      </c>
      <c r="W81" s="65" t="s">
        <v>243</v>
      </c>
      <c r="X81" s="65"/>
      <c r="Y81" s="65"/>
      <c r="Z81" s="65"/>
      <c r="AA81" s="34">
        <f t="shared" si="3"/>
        <v>0</v>
      </c>
      <c r="AB81" s="35">
        <f t="shared" si="15"/>
        <v>0</v>
      </c>
      <c r="AC81" s="29" t="str">
        <f t="shared" si="5"/>
        <v>Sim</v>
      </c>
      <c r="AD81" s="37" t="str">
        <f t="shared" si="1"/>
        <v>Não</v>
      </c>
      <c r="AE81" s="38">
        <f t="shared" si="6"/>
        <v>4</v>
      </c>
      <c r="AF81" s="29" t="str">
        <f>IF(N81,N81+((VLOOKUP(C81,'NPS de resultado'!$C$7:$D$36,2)*30)),"")</f>
        <v/>
      </c>
      <c r="AG81" s="39"/>
    </row>
    <row r="82">
      <c r="A82" s="43" t="s">
        <v>244</v>
      </c>
      <c r="B82" s="66" t="s">
        <v>187</v>
      </c>
      <c r="C82" s="59" t="s">
        <v>188</v>
      </c>
      <c r="D82" s="59" t="s">
        <v>2</v>
      </c>
      <c r="E82" s="46">
        <v>5400.0</v>
      </c>
      <c r="F82" s="60">
        <v>4.0</v>
      </c>
      <c r="G82" s="60">
        <v>1.0</v>
      </c>
      <c r="H82" s="29">
        <v>45257.0</v>
      </c>
      <c r="I82" s="29">
        <v>45299.0</v>
      </c>
      <c r="J82" s="61" t="s">
        <v>39</v>
      </c>
      <c r="K82" s="54">
        <v>45264.0</v>
      </c>
      <c r="L82" s="62">
        <v>3.142857142857143</v>
      </c>
      <c r="M82" s="29">
        <f t="shared" si="14"/>
        <v>45314</v>
      </c>
      <c r="N82" s="54">
        <v>45307.0</v>
      </c>
      <c r="O82" s="85" t="s">
        <v>46</v>
      </c>
      <c r="P82" s="51" t="b">
        <v>0</v>
      </c>
      <c r="Q82" s="51" t="b">
        <v>0</v>
      </c>
      <c r="R82" s="31" t="b">
        <v>0</v>
      </c>
      <c r="S82" s="63">
        <v>10.0</v>
      </c>
      <c r="T82" s="65"/>
      <c r="U82" s="31" t="b">
        <f t="shared" si="11"/>
        <v>0</v>
      </c>
      <c r="V82" s="65" t="s">
        <v>224</v>
      </c>
      <c r="W82" s="65" t="s">
        <v>238</v>
      </c>
      <c r="X82" s="65"/>
      <c r="Y82" s="65"/>
      <c r="Z82" s="65"/>
      <c r="AA82" s="34">
        <f t="shared" si="3"/>
        <v>3</v>
      </c>
      <c r="AB82" s="35">
        <f t="shared" si="15"/>
        <v>0</v>
      </c>
      <c r="AC82" s="29" t="str">
        <f t="shared" si="5"/>
        <v>Sim</v>
      </c>
      <c r="AD82" s="37" t="str">
        <f t="shared" si="1"/>
        <v>Não</v>
      </c>
      <c r="AE82" s="38">
        <f t="shared" si="6"/>
        <v>7</v>
      </c>
      <c r="AF82" s="29">
        <f>IF(N82,N82+((VLOOKUP(C82,'NPS de resultado'!$C$7:$D$36,2)*30)),"")</f>
        <v>45397</v>
      </c>
      <c r="AG82" s="39"/>
    </row>
    <row r="83">
      <c r="A83" s="43" t="s">
        <v>245</v>
      </c>
      <c r="B83" s="66" t="s">
        <v>187</v>
      </c>
      <c r="C83" s="59" t="s">
        <v>212</v>
      </c>
      <c r="D83" s="59" t="s">
        <v>2</v>
      </c>
      <c r="E83" s="46">
        <v>13500.0</v>
      </c>
      <c r="F83" s="60">
        <v>5.0</v>
      </c>
      <c r="G83" s="60">
        <v>2.0</v>
      </c>
      <c r="H83" s="29">
        <v>45261.0</v>
      </c>
      <c r="I83" s="29">
        <v>45323.0</v>
      </c>
      <c r="J83" s="61" t="s">
        <v>39</v>
      </c>
      <c r="K83" s="54">
        <v>45264.0</v>
      </c>
      <c r="L83" s="62">
        <v>3.7142857142857144</v>
      </c>
      <c r="M83" s="29">
        <f t="shared" si="14"/>
        <v>45325</v>
      </c>
      <c r="N83" s="54">
        <v>45324.0</v>
      </c>
      <c r="O83" s="85" t="s">
        <v>46</v>
      </c>
      <c r="P83" s="51" t="b">
        <v>0</v>
      </c>
      <c r="Q83" s="51" t="b">
        <v>0</v>
      </c>
      <c r="R83" s="31" t="b">
        <v>1</v>
      </c>
      <c r="S83" s="63">
        <v>9.0</v>
      </c>
      <c r="T83" s="65"/>
      <c r="U83" s="31" t="b">
        <f t="shared" si="11"/>
        <v>1</v>
      </c>
      <c r="V83" s="65" t="s">
        <v>230</v>
      </c>
      <c r="W83" s="65" t="s">
        <v>246</v>
      </c>
      <c r="X83" s="65" t="s">
        <v>247</v>
      </c>
      <c r="Y83" s="65"/>
      <c r="Z83" s="65"/>
      <c r="AA83" s="34">
        <f t="shared" si="3"/>
        <v>9.714285714</v>
      </c>
      <c r="AB83" s="35">
        <f t="shared" si="15"/>
        <v>0</v>
      </c>
      <c r="AC83" s="29" t="str">
        <f t="shared" si="5"/>
        <v>Sim</v>
      </c>
      <c r="AD83" s="37" t="str">
        <f t="shared" si="1"/>
        <v>Não</v>
      </c>
      <c r="AE83" s="38">
        <f t="shared" si="6"/>
        <v>3</v>
      </c>
      <c r="AF83" s="29">
        <f>IF(N83,N83+((VLOOKUP(C83,'NPS de resultado'!$C$7:$D$36,2)*30)),"")</f>
        <v>45504</v>
      </c>
      <c r="AG83" s="39"/>
    </row>
    <row r="84">
      <c r="A84" s="43" t="s">
        <v>248</v>
      </c>
      <c r="B84" s="66" t="s">
        <v>187</v>
      </c>
      <c r="C84" s="59" t="s">
        <v>249</v>
      </c>
      <c r="D84" s="59" t="s">
        <v>2</v>
      </c>
      <c r="E84" s="46">
        <v>6500.0</v>
      </c>
      <c r="F84" s="63">
        <v>7.0</v>
      </c>
      <c r="G84" s="60">
        <v>1.0</v>
      </c>
      <c r="H84" s="29">
        <v>45278.0</v>
      </c>
      <c r="I84" s="29">
        <v>44944.0</v>
      </c>
      <c r="J84" s="61" t="s">
        <v>39</v>
      </c>
      <c r="K84" s="54">
        <v>45301.0</v>
      </c>
      <c r="L84" s="68">
        <v>10.0</v>
      </c>
      <c r="M84" s="29">
        <f t="shared" si="14"/>
        <v>45420</v>
      </c>
      <c r="N84" s="54">
        <v>45467.0</v>
      </c>
      <c r="O84" s="85" t="s">
        <v>46</v>
      </c>
      <c r="P84" s="51" t="b">
        <v>0</v>
      </c>
      <c r="Q84" s="51" t="b">
        <v>0</v>
      </c>
      <c r="R84" s="31" t="b">
        <v>1</v>
      </c>
      <c r="S84" s="63">
        <v>9.0</v>
      </c>
      <c r="T84" s="65"/>
      <c r="U84" s="31" t="b">
        <f t="shared" si="11"/>
        <v>0</v>
      </c>
      <c r="V84" s="65" t="s">
        <v>191</v>
      </c>
      <c r="W84" s="65" t="s">
        <v>247</v>
      </c>
      <c r="X84" s="65"/>
      <c r="Y84" s="65"/>
      <c r="Z84" s="65"/>
      <c r="AA84" s="34">
        <f t="shared" si="3"/>
        <v>13.71428571</v>
      </c>
      <c r="AB84" s="35">
        <f t="shared" si="15"/>
        <v>6234.693878</v>
      </c>
      <c r="AC84" s="29" t="str">
        <f t="shared" si="5"/>
        <v>Sim</v>
      </c>
      <c r="AD84" s="37" t="str">
        <f t="shared" si="1"/>
        <v>Não</v>
      </c>
      <c r="AE84" s="38">
        <f t="shared" si="6"/>
        <v>23</v>
      </c>
      <c r="AF84" s="29">
        <f>IF(N84,N84+((VLOOKUP(C84,'NPS de resultado'!$C$7:$D$36,2)*30)),"")</f>
        <v>45647</v>
      </c>
      <c r="AG84" s="39"/>
    </row>
    <row r="85">
      <c r="A85" s="43" t="s">
        <v>250</v>
      </c>
      <c r="B85" s="66" t="s">
        <v>187</v>
      </c>
      <c r="C85" s="59" t="s">
        <v>249</v>
      </c>
      <c r="D85" s="59" t="s">
        <v>2</v>
      </c>
      <c r="E85" s="46">
        <v>150000.0</v>
      </c>
      <c r="F85" s="60">
        <v>10.0</v>
      </c>
      <c r="G85" s="60">
        <v>10.0</v>
      </c>
      <c r="H85" s="29">
        <v>45267.0</v>
      </c>
      <c r="I85" s="29">
        <v>44956.0</v>
      </c>
      <c r="J85" s="61" t="s">
        <v>39</v>
      </c>
      <c r="K85" s="54">
        <v>45294.0</v>
      </c>
      <c r="L85" s="62">
        <v>3.7142857142857144</v>
      </c>
      <c r="M85" s="29">
        <f t="shared" si="14"/>
        <v>45390</v>
      </c>
      <c r="N85" s="54">
        <v>45365.0</v>
      </c>
      <c r="O85" s="85" t="s">
        <v>46</v>
      </c>
      <c r="P85" s="51" t="b">
        <v>0</v>
      </c>
      <c r="Q85" s="51" t="b">
        <v>0</v>
      </c>
      <c r="R85" s="31" t="b">
        <v>1</v>
      </c>
      <c r="S85" s="63"/>
      <c r="T85" s="65"/>
      <c r="U85" s="31" t="b">
        <f t="shared" si="11"/>
        <v>0</v>
      </c>
      <c r="V85" s="65" t="s">
        <v>191</v>
      </c>
      <c r="W85" s="64" t="s">
        <v>238</v>
      </c>
      <c r="X85" s="64" t="s">
        <v>203</v>
      </c>
      <c r="Y85" s="65" t="s">
        <v>241</v>
      </c>
      <c r="Z85" s="65" t="s">
        <v>251</v>
      </c>
      <c r="AA85" s="34">
        <f t="shared" si="3"/>
        <v>64.28571429</v>
      </c>
      <c r="AB85" s="35">
        <f t="shared" si="15"/>
        <v>0</v>
      </c>
      <c r="AC85" s="29" t="str">
        <f t="shared" si="5"/>
        <v>Sim</v>
      </c>
      <c r="AD85" s="37" t="str">
        <f t="shared" si="1"/>
        <v>Não</v>
      </c>
      <c r="AE85" s="38">
        <f t="shared" si="6"/>
        <v>27</v>
      </c>
      <c r="AF85" s="29">
        <f>IF(N85,N85+((VLOOKUP(C85,'NPS de resultado'!$C$7:$D$36,2)*30)),"")</f>
        <v>45545</v>
      </c>
      <c r="AG85" s="39"/>
    </row>
    <row r="86">
      <c r="A86" s="43" t="s">
        <v>252</v>
      </c>
      <c r="B86" s="66" t="s">
        <v>187</v>
      </c>
      <c r="C86" s="59" t="s">
        <v>218</v>
      </c>
      <c r="D86" s="59" t="s">
        <v>2</v>
      </c>
      <c r="E86" s="46">
        <v>10000.0</v>
      </c>
      <c r="F86" s="60">
        <v>7.0</v>
      </c>
      <c r="G86" s="60">
        <v>1.0</v>
      </c>
      <c r="H86" s="29">
        <v>45278.0</v>
      </c>
      <c r="I86" s="29">
        <v>44944.0</v>
      </c>
      <c r="J86" s="61" t="s">
        <v>39</v>
      </c>
      <c r="K86" s="54">
        <v>45296.0</v>
      </c>
      <c r="L86" s="62">
        <v>3.0</v>
      </c>
      <c r="M86" s="29">
        <f t="shared" si="14"/>
        <v>45366</v>
      </c>
      <c r="N86" s="54">
        <v>45365.0</v>
      </c>
      <c r="O86" s="85" t="s">
        <v>46</v>
      </c>
      <c r="P86" s="51" t="b">
        <v>0</v>
      </c>
      <c r="Q86" s="51" t="b">
        <v>0</v>
      </c>
      <c r="R86" s="31" t="b">
        <v>1</v>
      </c>
      <c r="S86" s="63">
        <v>9.0</v>
      </c>
      <c r="T86" s="65"/>
      <c r="U86" s="31" t="b">
        <f t="shared" si="11"/>
        <v>1</v>
      </c>
      <c r="V86" s="65" t="s">
        <v>209</v>
      </c>
      <c r="W86" s="65" t="s">
        <v>253</v>
      </c>
      <c r="X86" s="65"/>
      <c r="Y86" s="65"/>
      <c r="Z86" s="65"/>
      <c r="AA86" s="34">
        <f t="shared" si="3"/>
        <v>6.857142857</v>
      </c>
      <c r="AB86" s="35">
        <f t="shared" si="15"/>
        <v>0</v>
      </c>
      <c r="AC86" s="29" t="str">
        <f t="shared" si="5"/>
        <v>Sim</v>
      </c>
      <c r="AD86" s="37" t="str">
        <f t="shared" si="1"/>
        <v>Não</v>
      </c>
      <c r="AE86" s="38">
        <f t="shared" si="6"/>
        <v>18</v>
      </c>
      <c r="AF86" s="29">
        <f>IF(N86,N86+((VLOOKUP(C86,'NPS de resultado'!$C$7:$D$36,2)*30)),"")</f>
        <v>45545</v>
      </c>
      <c r="AG86" s="39"/>
    </row>
    <row r="87">
      <c r="A87" s="43" t="s">
        <v>254</v>
      </c>
      <c r="B87" s="66" t="s">
        <v>187</v>
      </c>
      <c r="C87" s="59" t="s">
        <v>221</v>
      </c>
      <c r="D87" s="59" t="s">
        <v>2</v>
      </c>
      <c r="E87" s="46">
        <v>36000.0</v>
      </c>
      <c r="F87" s="60">
        <v>8.0</v>
      </c>
      <c r="G87" s="60">
        <v>3.0</v>
      </c>
      <c r="H87" s="29">
        <v>45278.0</v>
      </c>
      <c r="I87" s="29">
        <v>44975.0</v>
      </c>
      <c r="J87" s="61" t="s">
        <v>50</v>
      </c>
      <c r="K87" s="54">
        <v>45279.0</v>
      </c>
      <c r="L87" s="62">
        <v>5.0</v>
      </c>
      <c r="M87" s="29">
        <f t="shared" si="14"/>
        <v>45370</v>
      </c>
      <c r="N87" s="54">
        <v>45355.0</v>
      </c>
      <c r="O87" s="85" t="s">
        <v>46</v>
      </c>
      <c r="P87" s="51" t="b">
        <v>0</v>
      </c>
      <c r="Q87" s="51" t="b">
        <v>0</v>
      </c>
      <c r="R87" s="31" t="b">
        <v>1</v>
      </c>
      <c r="S87" s="63">
        <v>7.0</v>
      </c>
      <c r="T87" s="65"/>
      <c r="U87" s="31" t="b">
        <f t="shared" si="11"/>
        <v>0</v>
      </c>
      <c r="V87" s="65" t="s">
        <v>230</v>
      </c>
      <c r="W87" s="65" t="s">
        <v>232</v>
      </c>
      <c r="X87" s="65" t="s">
        <v>253</v>
      </c>
      <c r="Y87" s="65"/>
      <c r="Z87" s="65"/>
      <c r="AA87" s="34">
        <f t="shared" si="3"/>
        <v>17.57142857</v>
      </c>
      <c r="AB87" s="35">
        <f t="shared" si="15"/>
        <v>0</v>
      </c>
      <c r="AC87" s="29" t="str">
        <f t="shared" si="5"/>
        <v>Sim</v>
      </c>
      <c r="AD87" s="37" t="str">
        <f t="shared" si="1"/>
        <v>Não</v>
      </c>
      <c r="AE87" s="38">
        <f t="shared" si="6"/>
        <v>1</v>
      </c>
      <c r="AF87" s="29" t="str">
        <f>IF(N87,N87+((VLOOKUP(C87,'NPS de resultado'!$C$7:$D$36,2)*30)),"")</f>
        <v>#N/A</v>
      </c>
      <c r="AG87" s="39"/>
    </row>
    <row r="88">
      <c r="A88" s="43" t="s">
        <v>255</v>
      </c>
      <c r="B88" s="66" t="s">
        <v>187</v>
      </c>
      <c r="C88" s="59" t="s">
        <v>221</v>
      </c>
      <c r="D88" s="59" t="s">
        <v>2</v>
      </c>
      <c r="E88" s="46">
        <v>36000.0</v>
      </c>
      <c r="F88" s="60">
        <v>8.0</v>
      </c>
      <c r="G88" s="60">
        <v>3.0</v>
      </c>
      <c r="H88" s="29">
        <v>45299.0</v>
      </c>
      <c r="I88" s="29">
        <v>45346.0</v>
      </c>
      <c r="J88" s="61" t="s">
        <v>39</v>
      </c>
      <c r="K88" s="54">
        <v>45342.0</v>
      </c>
      <c r="L88" s="62">
        <v>0.0</v>
      </c>
      <c r="M88" s="29">
        <f t="shared" si="14"/>
        <v>45398</v>
      </c>
      <c r="N88" s="29"/>
      <c r="O88" s="61" t="s">
        <v>40</v>
      </c>
      <c r="P88" s="51" t="b">
        <v>0</v>
      </c>
      <c r="Q88" s="51" t="b">
        <v>0</v>
      </c>
      <c r="R88" s="31" t="b">
        <v>1</v>
      </c>
      <c r="S88" s="63"/>
      <c r="T88" s="65"/>
      <c r="U88" s="31" t="b">
        <f t="shared" si="11"/>
        <v>0</v>
      </c>
      <c r="V88" s="65" t="s">
        <v>230</v>
      </c>
      <c r="W88" s="65" t="s">
        <v>238</v>
      </c>
      <c r="X88" s="65" t="s">
        <v>247</v>
      </c>
      <c r="Y88" s="65"/>
      <c r="Z88" s="65"/>
      <c r="AA88" s="34">
        <f t="shared" si="3"/>
        <v>0</v>
      </c>
      <c r="AB88" s="35">
        <f t="shared" si="15"/>
        <v>45642.85714</v>
      </c>
      <c r="AC88" s="29" t="str">
        <f t="shared" si="5"/>
        <v>Sim</v>
      </c>
      <c r="AD88" s="37" t="str">
        <f t="shared" si="1"/>
        <v>Sim</v>
      </c>
      <c r="AE88" s="38">
        <f t="shared" si="6"/>
        <v>43</v>
      </c>
      <c r="AF88" s="29" t="str">
        <f>IF(N88,N88+((VLOOKUP(C88,'NPS de resultado'!$C$7:$D$36,2)*30)),"")</f>
        <v/>
      </c>
      <c r="AG88" s="39"/>
    </row>
    <row r="89">
      <c r="A89" s="43" t="s">
        <v>256</v>
      </c>
      <c r="B89" s="66" t="s">
        <v>187</v>
      </c>
      <c r="C89" s="59" t="s">
        <v>188</v>
      </c>
      <c r="D89" s="59" t="s">
        <v>2</v>
      </c>
      <c r="E89" s="46">
        <v>7500.0</v>
      </c>
      <c r="F89" s="60">
        <v>5.0</v>
      </c>
      <c r="G89" s="60">
        <v>1.0</v>
      </c>
      <c r="H89" s="29">
        <v>45264.0</v>
      </c>
      <c r="I89" s="29">
        <v>45322.0</v>
      </c>
      <c r="J89" s="61" t="s">
        <v>39</v>
      </c>
      <c r="K89" s="54"/>
      <c r="L89" s="62">
        <v>0.0</v>
      </c>
      <c r="M89" s="29" t="str">
        <f t="shared" si="14"/>
        <v/>
      </c>
      <c r="N89" s="29"/>
      <c r="O89" s="61" t="s">
        <v>40</v>
      </c>
      <c r="P89" s="51" t="b">
        <v>0</v>
      </c>
      <c r="Q89" s="51" t="b">
        <v>0</v>
      </c>
      <c r="R89" s="31" t="b">
        <v>0</v>
      </c>
      <c r="S89" s="63"/>
      <c r="T89" s="65"/>
      <c r="U89" s="31" t="b">
        <f t="shared" si="11"/>
        <v>0</v>
      </c>
      <c r="V89" s="65" t="s">
        <v>219</v>
      </c>
      <c r="W89" s="65" t="s">
        <v>243</v>
      </c>
      <c r="X89" s="65"/>
      <c r="Y89" s="65"/>
      <c r="Z89" s="65"/>
      <c r="AA89" s="34">
        <f t="shared" si="3"/>
        <v>0</v>
      </c>
      <c r="AB89" s="35">
        <f t="shared" si="15"/>
        <v>0</v>
      </c>
      <c r="AC89" s="29" t="str">
        <f t="shared" si="5"/>
        <v>NÃO</v>
      </c>
      <c r="AD89" s="37" t="str">
        <f t="shared" si="1"/>
        <v>Não</v>
      </c>
      <c r="AE89" s="38">
        <f t="shared" si="6"/>
        <v>0</v>
      </c>
      <c r="AF89" s="29" t="str">
        <f>IF(N89,N89+((VLOOKUP(C89,'NPS de resultado'!$C$7:$D$36,2)*30)),"")</f>
        <v/>
      </c>
      <c r="AG89" s="39"/>
    </row>
    <row r="90" hidden="1">
      <c r="A90" s="43" t="s">
        <v>257</v>
      </c>
      <c r="B90" s="44" t="s">
        <v>36</v>
      </c>
      <c r="C90" s="32" t="s">
        <v>258</v>
      </c>
      <c r="D90" s="32" t="s">
        <v>2</v>
      </c>
      <c r="E90" s="46">
        <v>9600.0</v>
      </c>
      <c r="F90" s="34">
        <v>4.0</v>
      </c>
      <c r="G90" s="34">
        <v>3.0</v>
      </c>
      <c r="H90" s="47">
        <v>44788.0</v>
      </c>
      <c r="I90" s="47">
        <v>44819.0</v>
      </c>
      <c r="J90" s="64" t="s">
        <v>50</v>
      </c>
      <c r="K90" s="47"/>
      <c r="L90" s="81"/>
      <c r="M90" s="29" t="str">
        <f t="shared" ref="M90:M118" si="16">IF(K90&lt;&gt;"",K90+(F90+L90)*7,"-")</f>
        <v>-</v>
      </c>
      <c r="N90" s="47"/>
      <c r="O90" s="22" t="s">
        <v>100</v>
      </c>
      <c r="P90" s="51" t="b">
        <v>0</v>
      </c>
      <c r="Q90" s="51" t="b">
        <v>0</v>
      </c>
      <c r="R90" s="51" t="b">
        <v>0</v>
      </c>
      <c r="S90" s="34"/>
      <c r="T90" s="32"/>
      <c r="U90" s="31" t="b">
        <f t="shared" si="11"/>
        <v>0</v>
      </c>
      <c r="V90" s="32"/>
      <c r="W90" s="32"/>
      <c r="X90" s="32"/>
      <c r="Y90" s="32"/>
      <c r="Z90" s="32"/>
      <c r="AA90" s="34">
        <f t="shared" si="3"/>
        <v>0</v>
      </c>
      <c r="AB90" s="35">
        <f t="shared" si="15"/>
        <v>0</v>
      </c>
      <c r="AC90" s="29" t="str">
        <f t="shared" si="5"/>
        <v>NÃO</v>
      </c>
      <c r="AD90" s="37" t="str">
        <f t="shared" si="1"/>
        <v>Não</v>
      </c>
      <c r="AE90" s="38">
        <f t="shared" si="6"/>
        <v>0</v>
      </c>
      <c r="AF90" s="29" t="str">
        <f>IF(N90,N90+((VLOOKUP(C90,'NPS de resultado'!$C$7:$D$36,2)*30)),"")</f>
        <v/>
      </c>
      <c r="AG90" s="25"/>
    </row>
    <row r="91" hidden="1">
      <c r="A91" s="43" t="s">
        <v>259</v>
      </c>
      <c r="B91" s="44" t="s">
        <v>36</v>
      </c>
      <c r="C91" s="32" t="s">
        <v>37</v>
      </c>
      <c r="D91" s="32" t="s">
        <v>2</v>
      </c>
      <c r="E91" s="46">
        <v>22000.0</v>
      </c>
      <c r="F91" s="34">
        <v>8.0</v>
      </c>
      <c r="G91" s="34">
        <v>3.0</v>
      </c>
      <c r="H91" s="47">
        <v>44834.0</v>
      </c>
      <c r="I91" s="47">
        <v>44895.0</v>
      </c>
      <c r="J91" s="64" t="s">
        <v>50</v>
      </c>
      <c r="K91" s="47"/>
      <c r="L91" s="81"/>
      <c r="M91" s="29" t="str">
        <f t="shared" si="16"/>
        <v>-</v>
      </c>
      <c r="N91" s="47"/>
      <c r="O91" s="22" t="s">
        <v>100</v>
      </c>
      <c r="P91" s="51" t="b">
        <v>0</v>
      </c>
      <c r="Q91" s="51" t="b">
        <v>0</v>
      </c>
      <c r="R91" s="51" t="b">
        <v>0</v>
      </c>
      <c r="S91" s="34"/>
      <c r="T91" s="32"/>
      <c r="U91" s="31" t="b">
        <f t="shared" si="11"/>
        <v>0</v>
      </c>
      <c r="V91" s="32"/>
      <c r="W91" s="32"/>
      <c r="X91" s="32"/>
      <c r="Y91" s="32"/>
      <c r="Z91" s="32"/>
      <c r="AA91" s="34">
        <f t="shared" si="3"/>
        <v>0</v>
      </c>
      <c r="AB91" s="35">
        <f t="shared" si="15"/>
        <v>0</v>
      </c>
      <c r="AC91" s="29" t="str">
        <f t="shared" si="5"/>
        <v>NÃO</v>
      </c>
      <c r="AD91" s="37" t="str">
        <f t="shared" si="1"/>
        <v>Não</v>
      </c>
      <c r="AE91" s="38">
        <f t="shared" si="6"/>
        <v>0</v>
      </c>
      <c r="AF91" s="29" t="str">
        <f>IF(N91,N91+((VLOOKUP(C91,'NPS de resultado'!$C$7:$D$36,2)*30)),"")</f>
        <v/>
      </c>
      <c r="AG91" s="25"/>
    </row>
    <row r="92" hidden="1">
      <c r="A92" s="43" t="s">
        <v>260</v>
      </c>
      <c r="B92" s="44" t="s">
        <v>36</v>
      </c>
      <c r="C92" s="32" t="s">
        <v>261</v>
      </c>
      <c r="D92" s="32" t="s">
        <v>2</v>
      </c>
      <c r="E92" s="46">
        <v>139200.0</v>
      </c>
      <c r="F92" s="34">
        <v>48.0</v>
      </c>
      <c r="G92" s="34">
        <v>3.0</v>
      </c>
      <c r="H92" s="47">
        <v>44963.0</v>
      </c>
      <c r="I92" s="47">
        <f>H92+F92*7</f>
        <v>45299</v>
      </c>
      <c r="J92" s="64" t="s">
        <v>50</v>
      </c>
      <c r="K92" s="26">
        <v>44963.0</v>
      </c>
      <c r="L92" s="86">
        <v>5.0</v>
      </c>
      <c r="M92" s="29">
        <f t="shared" si="16"/>
        <v>45334</v>
      </c>
      <c r="N92" s="26">
        <v>45397.0</v>
      </c>
      <c r="O92" s="31" t="s">
        <v>46</v>
      </c>
      <c r="P92" s="51" t="b">
        <v>0</v>
      </c>
      <c r="Q92" s="51" t="b">
        <v>0</v>
      </c>
      <c r="R92" s="51" t="b">
        <v>0</v>
      </c>
      <c r="S92" s="25">
        <v>9.0</v>
      </c>
      <c r="T92" s="32"/>
      <c r="U92" s="31" t="b">
        <f t="shared" si="11"/>
        <v>0</v>
      </c>
      <c r="V92" s="22" t="s">
        <v>262</v>
      </c>
      <c r="W92" s="32"/>
      <c r="X92" s="32"/>
      <c r="Y92" s="22" t="s">
        <v>263</v>
      </c>
      <c r="Z92" s="32"/>
      <c r="AA92" s="34">
        <f t="shared" si="3"/>
        <v>171</v>
      </c>
      <c r="AB92" s="35">
        <f t="shared" si="15"/>
        <v>26100</v>
      </c>
      <c r="AC92" s="29" t="str">
        <f t="shared" si="5"/>
        <v>Sim</v>
      </c>
      <c r="AD92" s="37" t="str">
        <f t="shared" si="1"/>
        <v>Não</v>
      </c>
      <c r="AE92" s="38">
        <f t="shared" si="6"/>
        <v>0</v>
      </c>
      <c r="AF92" s="29">
        <f>IF(N92,N92+((VLOOKUP(C92,'NPS de resultado'!$C$7:$D$36,2)*30)),"")</f>
        <v>45577</v>
      </c>
      <c r="AG92" s="25"/>
    </row>
    <row r="93" hidden="1">
      <c r="A93" s="43" t="s">
        <v>264</v>
      </c>
      <c r="B93" s="44" t="s">
        <v>36</v>
      </c>
      <c r="C93" s="32" t="s">
        <v>37</v>
      </c>
      <c r="D93" s="32" t="s">
        <v>2</v>
      </c>
      <c r="E93" s="46">
        <v>67500.0</v>
      </c>
      <c r="F93" s="34">
        <v>14.0</v>
      </c>
      <c r="G93" s="34">
        <v>4.43</v>
      </c>
      <c r="H93" s="47">
        <v>44970.0</v>
      </c>
      <c r="I93" s="47">
        <v>45065.0</v>
      </c>
      <c r="J93" s="64" t="s">
        <v>50</v>
      </c>
      <c r="K93" s="26">
        <v>44970.0</v>
      </c>
      <c r="L93" s="86">
        <v>6.0</v>
      </c>
      <c r="M93" s="29">
        <f t="shared" si="16"/>
        <v>45110</v>
      </c>
      <c r="N93" s="47"/>
      <c r="O93" s="22" t="s">
        <v>100</v>
      </c>
      <c r="P93" s="51" t="b">
        <v>0</v>
      </c>
      <c r="Q93" s="51" t="b">
        <v>0</v>
      </c>
      <c r="R93" s="51" t="b">
        <v>0</v>
      </c>
      <c r="S93" s="34"/>
      <c r="T93" s="32"/>
      <c r="U93" s="33" t="b">
        <f t="shared" si="11"/>
        <v>0</v>
      </c>
      <c r="V93" s="22" t="s">
        <v>265</v>
      </c>
      <c r="W93" s="22" t="s">
        <v>266</v>
      </c>
      <c r="X93" s="22" t="s">
        <v>267</v>
      </c>
      <c r="Y93" s="22" t="s">
        <v>268</v>
      </c>
      <c r="Z93" s="32"/>
      <c r="AA93" s="34">
        <f t="shared" si="3"/>
        <v>0</v>
      </c>
      <c r="AB93" s="35">
        <f t="shared" si="15"/>
        <v>0</v>
      </c>
      <c r="AC93" s="29" t="str">
        <f t="shared" si="5"/>
        <v>Sim</v>
      </c>
      <c r="AD93" s="37" t="str">
        <f t="shared" si="1"/>
        <v>Não</v>
      </c>
      <c r="AE93" s="38">
        <f t="shared" si="6"/>
        <v>0</v>
      </c>
      <c r="AF93" s="29" t="str">
        <f>IF(N93,N93+((VLOOKUP(C93,'NPS de resultado'!$C$7:$D$36,2)*30)),"")</f>
        <v/>
      </c>
      <c r="AG93" s="25"/>
    </row>
    <row r="94" hidden="1">
      <c r="A94" s="43" t="s">
        <v>269</v>
      </c>
      <c r="B94" s="44" t="s">
        <v>36</v>
      </c>
      <c r="C94" s="32" t="s">
        <v>37</v>
      </c>
      <c r="D94" s="32" t="s">
        <v>2</v>
      </c>
      <c r="E94" s="46">
        <v>13000.0</v>
      </c>
      <c r="F94" s="34">
        <v>6.0</v>
      </c>
      <c r="G94" s="34">
        <v>3.0</v>
      </c>
      <c r="H94" s="47">
        <v>45005.0</v>
      </c>
      <c r="I94" s="47"/>
      <c r="J94" s="64" t="s">
        <v>50</v>
      </c>
      <c r="K94" s="47"/>
      <c r="L94" s="86">
        <v>2.0</v>
      </c>
      <c r="M94" s="29" t="str">
        <f t="shared" si="16"/>
        <v>-</v>
      </c>
      <c r="N94" s="47"/>
      <c r="O94" s="22" t="s">
        <v>100</v>
      </c>
      <c r="P94" s="51" t="b">
        <v>0</v>
      </c>
      <c r="Q94" s="51" t="b">
        <v>0</v>
      </c>
      <c r="R94" s="51" t="b">
        <v>0</v>
      </c>
      <c r="S94" s="34"/>
      <c r="T94" s="32"/>
      <c r="U94" s="33" t="b">
        <f t="shared" si="11"/>
        <v>0</v>
      </c>
      <c r="V94" s="22" t="s">
        <v>265</v>
      </c>
      <c r="W94" s="22" t="s">
        <v>263</v>
      </c>
      <c r="X94" s="22" t="s">
        <v>270</v>
      </c>
      <c r="Y94" s="32"/>
      <c r="Z94" s="32"/>
      <c r="AA94" s="34">
        <f t="shared" si="3"/>
        <v>0</v>
      </c>
      <c r="AB94" s="35">
        <f t="shared" si="15"/>
        <v>0</v>
      </c>
      <c r="AC94" s="29" t="str">
        <f t="shared" si="5"/>
        <v>NÃO</v>
      </c>
      <c r="AD94" s="37" t="str">
        <f t="shared" si="1"/>
        <v>Não</v>
      </c>
      <c r="AE94" s="38">
        <f t="shared" si="6"/>
        <v>0</v>
      </c>
      <c r="AF94" s="29" t="str">
        <f>IF(N94,N94+((VLOOKUP(C94,'NPS de resultado'!$C$7:$D$36,2)*30)),"")</f>
        <v/>
      </c>
      <c r="AG94" s="25"/>
    </row>
    <row r="95" hidden="1">
      <c r="A95" s="43" t="s">
        <v>271</v>
      </c>
      <c r="B95" s="44" t="s">
        <v>36</v>
      </c>
      <c r="C95" s="32" t="s">
        <v>37</v>
      </c>
      <c r="D95" s="32" t="s">
        <v>2</v>
      </c>
      <c r="E95" s="46">
        <v>800.0</v>
      </c>
      <c r="F95" s="34">
        <v>1.0</v>
      </c>
      <c r="G95" s="34">
        <v>1.0</v>
      </c>
      <c r="H95" s="47">
        <v>45117.0</v>
      </c>
      <c r="I95" s="47">
        <v>45128.0</v>
      </c>
      <c r="J95" s="64" t="s">
        <v>39</v>
      </c>
      <c r="K95" s="26">
        <v>45117.0</v>
      </c>
      <c r="L95" s="86">
        <v>7.0</v>
      </c>
      <c r="M95" s="29">
        <f t="shared" si="16"/>
        <v>45173</v>
      </c>
      <c r="N95" s="47"/>
      <c r="O95" s="22" t="s">
        <v>40</v>
      </c>
      <c r="P95" s="51" t="b">
        <v>0</v>
      </c>
      <c r="Q95" s="51" t="b">
        <v>0</v>
      </c>
      <c r="R95" s="51" t="b">
        <v>0</v>
      </c>
      <c r="S95" s="34"/>
      <c r="T95" s="32"/>
      <c r="U95" s="33" t="b">
        <f t="shared" si="11"/>
        <v>0</v>
      </c>
      <c r="V95" s="32"/>
      <c r="W95" s="22" t="s">
        <v>41</v>
      </c>
      <c r="X95" s="32"/>
      <c r="Y95" s="32"/>
      <c r="Z95" s="22" t="s">
        <v>272</v>
      </c>
      <c r="AA95" s="34">
        <f t="shared" si="3"/>
        <v>0</v>
      </c>
      <c r="AB95" s="35">
        <f t="shared" si="15"/>
        <v>33828.57143</v>
      </c>
      <c r="AC95" s="29" t="str">
        <f t="shared" si="5"/>
        <v>Sim</v>
      </c>
      <c r="AD95" s="37" t="str">
        <f t="shared" si="1"/>
        <v>Sim</v>
      </c>
      <c r="AE95" s="38">
        <f t="shared" si="6"/>
        <v>0</v>
      </c>
      <c r="AF95" s="29" t="str">
        <f>IF(N95,N95+((VLOOKUP(C95,'NPS de resultado'!$C$7:$D$36,2)*30)),"")</f>
        <v/>
      </c>
      <c r="AG95" s="25"/>
    </row>
    <row r="96" hidden="1">
      <c r="A96" s="43" t="s">
        <v>273</v>
      </c>
      <c r="B96" s="44" t="s">
        <v>36</v>
      </c>
      <c r="C96" s="32" t="s">
        <v>261</v>
      </c>
      <c r="D96" s="32" t="s">
        <v>2</v>
      </c>
      <c r="E96" s="46">
        <v>171600.0</v>
      </c>
      <c r="F96" s="34">
        <v>52.0</v>
      </c>
      <c r="G96" s="34">
        <v>3.0</v>
      </c>
      <c r="H96" s="47">
        <v>45117.0</v>
      </c>
      <c r="I96" s="47">
        <v>45148.0</v>
      </c>
      <c r="J96" s="64" t="s">
        <v>50</v>
      </c>
      <c r="K96" s="26">
        <v>45128.0</v>
      </c>
      <c r="L96" s="86">
        <v>1.0</v>
      </c>
      <c r="M96" s="29">
        <f t="shared" si="16"/>
        <v>45499</v>
      </c>
      <c r="N96" s="47"/>
      <c r="O96" s="22" t="s">
        <v>40</v>
      </c>
      <c r="P96" s="51" t="b">
        <v>0</v>
      </c>
      <c r="Q96" s="51" t="b">
        <v>0</v>
      </c>
      <c r="R96" s="51" t="b">
        <v>0</v>
      </c>
      <c r="S96" s="34"/>
      <c r="T96" s="32"/>
      <c r="U96" s="33" t="b">
        <f t="shared" si="11"/>
        <v>0</v>
      </c>
      <c r="V96" s="22" t="s">
        <v>274</v>
      </c>
      <c r="W96" s="22" t="s">
        <v>275</v>
      </c>
      <c r="X96" s="32"/>
      <c r="Y96" s="22" t="s">
        <v>276</v>
      </c>
      <c r="Z96" s="22" t="s">
        <v>277</v>
      </c>
      <c r="AA96" s="34">
        <f t="shared" si="3"/>
        <v>0</v>
      </c>
      <c r="AB96" s="35">
        <f t="shared" si="15"/>
        <v>0</v>
      </c>
      <c r="AC96" s="29" t="str">
        <f t="shared" si="5"/>
        <v>NÃO</v>
      </c>
      <c r="AD96" s="37" t="str">
        <f t="shared" si="1"/>
        <v>Não</v>
      </c>
      <c r="AE96" s="38">
        <f t="shared" si="6"/>
        <v>11</v>
      </c>
      <c r="AF96" s="29" t="str">
        <f>IF(N96,N96+((VLOOKUP(C96,'NPS de resultado'!$C$7:$D$36,2)*30)),"")</f>
        <v/>
      </c>
      <c r="AG96" s="25"/>
    </row>
    <row r="97" hidden="1">
      <c r="A97" s="43" t="s">
        <v>278</v>
      </c>
      <c r="B97" s="44" t="s">
        <v>36</v>
      </c>
      <c r="C97" s="32" t="s">
        <v>37</v>
      </c>
      <c r="D97" s="32" t="s">
        <v>2</v>
      </c>
      <c r="E97" s="46">
        <v>36000.0</v>
      </c>
      <c r="F97" s="34">
        <v>12.0</v>
      </c>
      <c r="G97" s="34">
        <v>3.0</v>
      </c>
      <c r="H97" s="47">
        <v>45152.0</v>
      </c>
      <c r="I97" s="47">
        <v>45233.0</v>
      </c>
      <c r="J97" s="64" t="s">
        <v>50</v>
      </c>
      <c r="K97" s="26">
        <v>45192.0</v>
      </c>
      <c r="L97" s="86">
        <v>5.0</v>
      </c>
      <c r="M97" s="29">
        <f t="shared" si="16"/>
        <v>45311</v>
      </c>
      <c r="N97" s="26">
        <v>45393.0</v>
      </c>
      <c r="O97" s="31" t="s">
        <v>46</v>
      </c>
      <c r="P97" s="51" t="b">
        <v>0</v>
      </c>
      <c r="Q97" s="51" t="b">
        <v>0</v>
      </c>
      <c r="R97" s="51" t="b">
        <v>0</v>
      </c>
      <c r="S97" s="34"/>
      <c r="T97" s="32"/>
      <c r="U97" s="33" t="b">
        <f t="shared" si="11"/>
        <v>0</v>
      </c>
      <c r="V97" s="22" t="s">
        <v>279</v>
      </c>
      <c r="W97" s="32"/>
      <c r="X97" s="32"/>
      <c r="Y97" s="22" t="s">
        <v>280</v>
      </c>
      <c r="Z97" s="22" t="s">
        <v>281</v>
      </c>
      <c r="AA97" s="34">
        <f t="shared" si="3"/>
        <v>71.14285714</v>
      </c>
      <c r="AB97" s="35">
        <f t="shared" si="15"/>
        <v>35142.85714</v>
      </c>
      <c r="AC97" s="29" t="str">
        <f t="shared" si="5"/>
        <v>Sim</v>
      </c>
      <c r="AD97" s="37" t="str">
        <f t="shared" si="1"/>
        <v>Não</v>
      </c>
      <c r="AE97" s="38">
        <f t="shared" si="6"/>
        <v>40</v>
      </c>
      <c r="AF97" s="29">
        <f>IF(N97,N97+((VLOOKUP(C97,'NPS de resultado'!$C$7:$D$36,2)*30)),"")</f>
        <v>45573</v>
      </c>
      <c r="AG97" s="25"/>
    </row>
    <row r="98" hidden="1">
      <c r="A98" s="43" t="s">
        <v>282</v>
      </c>
      <c r="B98" s="44" t="s">
        <v>36</v>
      </c>
      <c r="C98" s="32" t="s">
        <v>37</v>
      </c>
      <c r="D98" s="32" t="s">
        <v>2</v>
      </c>
      <c r="E98" s="46">
        <v>17200.0</v>
      </c>
      <c r="F98" s="34">
        <v>6.0</v>
      </c>
      <c r="G98" s="34">
        <v>3.0</v>
      </c>
      <c r="H98" s="47">
        <v>45166.0</v>
      </c>
      <c r="I98" s="47">
        <v>45205.0</v>
      </c>
      <c r="J98" s="64" t="s">
        <v>50</v>
      </c>
      <c r="K98" s="26">
        <v>45167.0</v>
      </c>
      <c r="L98" s="86">
        <v>2.0</v>
      </c>
      <c r="M98" s="29">
        <f t="shared" si="16"/>
        <v>45223</v>
      </c>
      <c r="N98" s="26">
        <v>45268.0</v>
      </c>
      <c r="O98" s="31" t="s">
        <v>46</v>
      </c>
      <c r="P98" s="51" t="b">
        <v>0</v>
      </c>
      <c r="Q98" s="51" t="b">
        <v>0</v>
      </c>
      <c r="R98" s="51" t="b">
        <v>0</v>
      </c>
      <c r="S98" s="25">
        <v>8.0</v>
      </c>
      <c r="T98" s="32"/>
      <c r="U98" s="33" t="b">
        <f t="shared" si="11"/>
        <v>0</v>
      </c>
      <c r="V98" s="22" t="s">
        <v>283</v>
      </c>
      <c r="W98" s="32"/>
      <c r="X98" s="32"/>
      <c r="Y98" s="22" t="s">
        <v>274</v>
      </c>
      <c r="Z98" s="22" t="s">
        <v>266</v>
      </c>
      <c r="AA98" s="34">
        <f t="shared" si="3"/>
        <v>37.28571429</v>
      </c>
      <c r="AB98" s="35">
        <f t="shared" si="15"/>
        <v>18428.57143</v>
      </c>
      <c r="AC98" s="29" t="str">
        <f t="shared" si="5"/>
        <v>Sim</v>
      </c>
      <c r="AD98" s="37" t="str">
        <f t="shared" si="1"/>
        <v>Não</v>
      </c>
      <c r="AE98" s="38">
        <f t="shared" si="6"/>
        <v>1</v>
      </c>
      <c r="AF98" s="29">
        <f>IF(N98,N98+((VLOOKUP(C98,'NPS de resultado'!$C$7:$D$36,2)*30)),"")</f>
        <v>45448</v>
      </c>
      <c r="AG98" s="25"/>
    </row>
    <row r="99" hidden="1">
      <c r="A99" s="43" t="s">
        <v>284</v>
      </c>
      <c r="B99" s="44" t="s">
        <v>36</v>
      </c>
      <c r="C99" s="32" t="s">
        <v>261</v>
      </c>
      <c r="D99" s="32" t="s">
        <v>2</v>
      </c>
      <c r="E99" s="46">
        <v>44000.0</v>
      </c>
      <c r="F99" s="34">
        <v>14.0</v>
      </c>
      <c r="G99" s="34">
        <v>3.0</v>
      </c>
      <c r="H99" s="47">
        <v>45154.0</v>
      </c>
      <c r="I99" s="47">
        <v>45252.0</v>
      </c>
      <c r="J99" s="64" t="s">
        <v>50</v>
      </c>
      <c r="K99" s="26">
        <v>45151.0</v>
      </c>
      <c r="L99" s="86">
        <v>4.0</v>
      </c>
      <c r="M99" s="29">
        <f t="shared" si="16"/>
        <v>45277</v>
      </c>
      <c r="N99" s="26">
        <v>45419.0</v>
      </c>
      <c r="O99" s="31" t="s">
        <v>46</v>
      </c>
      <c r="P99" s="51" t="b">
        <v>0</v>
      </c>
      <c r="Q99" s="51" t="b">
        <v>0</v>
      </c>
      <c r="R99" s="51" t="b">
        <v>0</v>
      </c>
      <c r="S99" s="34"/>
      <c r="T99" s="32"/>
      <c r="U99" s="33" t="b">
        <f t="shared" si="11"/>
        <v>0</v>
      </c>
      <c r="V99" s="22" t="s">
        <v>279</v>
      </c>
      <c r="W99" s="22" t="s">
        <v>285</v>
      </c>
      <c r="X99" s="22" t="s">
        <v>286</v>
      </c>
      <c r="Y99" s="22" t="s">
        <v>287</v>
      </c>
      <c r="Z99" s="22" t="s">
        <v>288</v>
      </c>
      <c r="AA99" s="34">
        <f t="shared" si="3"/>
        <v>102.8571429</v>
      </c>
      <c r="AB99" s="35">
        <f t="shared" si="15"/>
        <v>63755.10204</v>
      </c>
      <c r="AC99" s="29" t="str">
        <f t="shared" si="5"/>
        <v>Sim</v>
      </c>
      <c r="AD99" s="37" t="str">
        <f t="shared" si="1"/>
        <v>Não</v>
      </c>
      <c r="AE99" s="38">
        <f t="shared" si="6"/>
        <v>-3</v>
      </c>
      <c r="AF99" s="29">
        <f>IF(N99,N99+((VLOOKUP(C99,'NPS de resultado'!$C$7:$D$36,2)*30)),"")</f>
        <v>45599</v>
      </c>
      <c r="AG99" s="25"/>
    </row>
    <row r="100" hidden="1">
      <c r="A100" s="43" t="s">
        <v>289</v>
      </c>
      <c r="B100" s="44" t="s">
        <v>36</v>
      </c>
      <c r="C100" s="32" t="s">
        <v>261</v>
      </c>
      <c r="D100" s="32" t="s">
        <v>2</v>
      </c>
      <c r="E100" s="46">
        <v>35000.0</v>
      </c>
      <c r="F100" s="34">
        <v>12.0</v>
      </c>
      <c r="G100" s="34">
        <v>3.0</v>
      </c>
      <c r="H100" s="47">
        <v>45167.0</v>
      </c>
      <c r="I100" s="47">
        <v>45244.0</v>
      </c>
      <c r="J100" s="64" t="s">
        <v>50</v>
      </c>
      <c r="K100" s="26">
        <v>45173.0</v>
      </c>
      <c r="L100" s="86">
        <v>4.0</v>
      </c>
      <c r="M100" s="29">
        <f t="shared" si="16"/>
        <v>45285</v>
      </c>
      <c r="N100" s="26">
        <v>45343.0</v>
      </c>
      <c r="O100" s="31" t="s">
        <v>46</v>
      </c>
      <c r="P100" s="51" t="b">
        <v>0</v>
      </c>
      <c r="Q100" s="51" t="b">
        <v>0</v>
      </c>
      <c r="R100" s="51" t="b">
        <v>0</v>
      </c>
      <c r="S100" s="25">
        <v>8.0</v>
      </c>
      <c r="T100" s="32"/>
      <c r="U100" s="33" t="b">
        <f t="shared" si="11"/>
        <v>0</v>
      </c>
      <c r="V100" s="22" t="s">
        <v>263</v>
      </c>
      <c r="W100" s="22" t="s">
        <v>41</v>
      </c>
      <c r="X100" s="32"/>
      <c r="Y100" s="22" t="s">
        <v>290</v>
      </c>
      <c r="Z100" s="22"/>
      <c r="AA100" s="34">
        <f t="shared" si="3"/>
        <v>60.85714286</v>
      </c>
      <c r="AB100" s="35">
        <f t="shared" si="15"/>
        <v>24166.66667</v>
      </c>
      <c r="AC100" s="29" t="str">
        <f t="shared" si="5"/>
        <v>Sim</v>
      </c>
      <c r="AD100" s="37" t="str">
        <f t="shared" si="1"/>
        <v>Não</v>
      </c>
      <c r="AE100" s="38">
        <f t="shared" si="6"/>
        <v>6</v>
      </c>
      <c r="AF100" s="29">
        <f>IF(N100,N100+((VLOOKUP(C100,'NPS de resultado'!$C$7:$D$36,2)*30)),"")</f>
        <v>45523</v>
      </c>
      <c r="AG100" s="25"/>
    </row>
    <row r="101" hidden="1">
      <c r="A101" s="43" t="s">
        <v>291</v>
      </c>
      <c r="B101" s="44" t="s">
        <v>36</v>
      </c>
      <c r="C101" s="32" t="s">
        <v>261</v>
      </c>
      <c r="D101" s="32" t="s">
        <v>2</v>
      </c>
      <c r="E101" s="46">
        <v>40000.0</v>
      </c>
      <c r="F101" s="34">
        <v>16.0</v>
      </c>
      <c r="G101" s="34">
        <v>3.0</v>
      </c>
      <c r="H101" s="47">
        <v>45222.0</v>
      </c>
      <c r="I101" s="47">
        <v>45331.0</v>
      </c>
      <c r="J101" s="64" t="s">
        <v>50</v>
      </c>
      <c r="K101" s="26">
        <v>45233.0</v>
      </c>
      <c r="L101" s="86">
        <v>10.0</v>
      </c>
      <c r="M101" s="29">
        <f t="shared" si="16"/>
        <v>45415</v>
      </c>
      <c r="N101" s="47"/>
      <c r="O101" s="22" t="s">
        <v>40</v>
      </c>
      <c r="P101" s="51" t="b">
        <v>0</v>
      </c>
      <c r="Q101" s="51" t="b">
        <v>0</v>
      </c>
      <c r="R101" s="51" t="b">
        <v>0</v>
      </c>
      <c r="S101" s="34"/>
      <c r="T101" s="32"/>
      <c r="U101" s="33" t="b">
        <f t="shared" si="11"/>
        <v>0</v>
      </c>
      <c r="V101" s="22" t="s">
        <v>292</v>
      </c>
      <c r="W101" s="22" t="s">
        <v>293</v>
      </c>
      <c r="X101" s="22" t="s">
        <v>286</v>
      </c>
      <c r="Y101" s="22" t="s">
        <v>294</v>
      </c>
      <c r="Z101" s="22" t="s">
        <v>272</v>
      </c>
      <c r="AA101" s="34">
        <f t="shared" si="3"/>
        <v>0</v>
      </c>
      <c r="AB101" s="35">
        <f t="shared" si="15"/>
        <v>19285.71429</v>
      </c>
      <c r="AC101" s="29" t="str">
        <f t="shared" si="5"/>
        <v>Sim</v>
      </c>
      <c r="AD101" s="37" t="str">
        <f t="shared" si="1"/>
        <v>Sim</v>
      </c>
      <c r="AE101" s="38">
        <f t="shared" si="6"/>
        <v>11</v>
      </c>
      <c r="AF101" s="29" t="str">
        <f>IF(N101,N101+((VLOOKUP(C101,'NPS de resultado'!$C$7:$D$36,2)*30)),"")</f>
        <v/>
      </c>
      <c r="AG101" s="25"/>
    </row>
    <row r="102" hidden="1">
      <c r="A102" s="43" t="s">
        <v>295</v>
      </c>
      <c r="B102" s="44" t="s">
        <v>36</v>
      </c>
      <c r="C102" s="32" t="s">
        <v>296</v>
      </c>
      <c r="D102" s="32" t="s">
        <v>2</v>
      </c>
      <c r="E102" s="46">
        <v>19800.0</v>
      </c>
      <c r="F102" s="34">
        <v>9.0</v>
      </c>
      <c r="G102" s="34">
        <v>2.0</v>
      </c>
      <c r="H102" s="47">
        <v>45250.0</v>
      </c>
      <c r="I102" s="47">
        <v>45310.0</v>
      </c>
      <c r="J102" s="64" t="s">
        <v>50</v>
      </c>
      <c r="K102" s="47"/>
      <c r="L102" s="81"/>
      <c r="M102" s="29" t="str">
        <f t="shared" si="16"/>
        <v>-</v>
      </c>
      <c r="N102" s="47"/>
      <c r="O102" s="22" t="s">
        <v>103</v>
      </c>
      <c r="P102" s="51" t="b">
        <v>0</v>
      </c>
      <c r="Q102" s="51" t="b">
        <v>0</v>
      </c>
      <c r="R102" s="51" t="b">
        <v>0</v>
      </c>
      <c r="S102" s="34"/>
      <c r="T102" s="32"/>
      <c r="U102" s="33" t="b">
        <f t="shared" si="11"/>
        <v>0</v>
      </c>
      <c r="V102" s="32"/>
      <c r="W102" s="32"/>
      <c r="X102" s="32"/>
      <c r="Y102" s="32"/>
      <c r="Z102" s="32"/>
      <c r="AA102" s="34">
        <f t="shared" si="3"/>
        <v>0</v>
      </c>
      <c r="AB102" s="35">
        <f t="shared" si="15"/>
        <v>0</v>
      </c>
      <c r="AC102" s="29" t="str">
        <f t="shared" si="5"/>
        <v>NÃO</v>
      </c>
      <c r="AD102" s="37" t="str">
        <f t="shared" si="1"/>
        <v>Não</v>
      </c>
      <c r="AE102" s="38">
        <f t="shared" si="6"/>
        <v>0</v>
      </c>
      <c r="AF102" s="29" t="str">
        <f>IF(N102,N102+((VLOOKUP(C102,'NPS de resultado'!$C$7:$D$36,2)*30)),"")</f>
        <v/>
      </c>
      <c r="AG102" s="25"/>
    </row>
    <row r="103" hidden="1">
      <c r="A103" s="43" t="s">
        <v>297</v>
      </c>
      <c r="B103" s="44" t="s">
        <v>36</v>
      </c>
      <c r="C103" s="32" t="s">
        <v>37</v>
      </c>
      <c r="D103" s="32" t="s">
        <v>2</v>
      </c>
      <c r="E103" s="46">
        <v>100000.0</v>
      </c>
      <c r="F103" s="34">
        <v>24.0</v>
      </c>
      <c r="G103" s="34">
        <v>3.0</v>
      </c>
      <c r="H103" s="47">
        <v>45201.0</v>
      </c>
      <c r="I103" s="47">
        <v>45359.0</v>
      </c>
      <c r="J103" s="64" t="s">
        <v>50</v>
      </c>
      <c r="K103" s="47"/>
      <c r="L103" s="81"/>
      <c r="M103" s="29" t="str">
        <f t="shared" si="16"/>
        <v>-</v>
      </c>
      <c r="N103" s="47"/>
      <c r="O103" s="22" t="s">
        <v>100</v>
      </c>
      <c r="P103" s="51" t="b">
        <v>0</v>
      </c>
      <c r="Q103" s="51" t="b">
        <v>0</v>
      </c>
      <c r="R103" s="51" t="b">
        <v>0</v>
      </c>
      <c r="S103" s="34"/>
      <c r="T103" s="32"/>
      <c r="U103" s="33" t="b">
        <f t="shared" si="11"/>
        <v>0</v>
      </c>
      <c r="V103" s="32"/>
      <c r="W103" s="32"/>
      <c r="X103" s="32"/>
      <c r="Y103" s="32"/>
      <c r="Z103" s="32"/>
      <c r="AA103" s="34">
        <f t="shared" si="3"/>
        <v>0</v>
      </c>
      <c r="AB103" s="35">
        <f t="shared" si="15"/>
        <v>0</v>
      </c>
      <c r="AC103" s="29" t="str">
        <f t="shared" si="5"/>
        <v>NÃO</v>
      </c>
      <c r="AD103" s="37" t="str">
        <f t="shared" si="1"/>
        <v>Não</v>
      </c>
      <c r="AE103" s="38">
        <f t="shared" si="6"/>
        <v>0</v>
      </c>
      <c r="AF103" s="29" t="str">
        <f>IF(N103,N103+((VLOOKUP(C103,'NPS de resultado'!$C$7:$D$36,2)*30)),"")</f>
        <v/>
      </c>
      <c r="AG103" s="25"/>
    </row>
    <row r="104" hidden="1">
      <c r="A104" s="43" t="s">
        <v>298</v>
      </c>
      <c r="B104" s="44" t="s">
        <v>36</v>
      </c>
      <c r="C104" s="32" t="s">
        <v>258</v>
      </c>
      <c r="D104" s="32" t="s">
        <v>2</v>
      </c>
      <c r="E104" s="46">
        <v>12000.0</v>
      </c>
      <c r="F104" s="34">
        <v>3.0</v>
      </c>
      <c r="G104" s="34">
        <v>3.0</v>
      </c>
      <c r="H104" s="47">
        <v>45292.0</v>
      </c>
      <c r="I104" s="47">
        <v>45322.0</v>
      </c>
      <c r="J104" s="64" t="s">
        <v>50</v>
      </c>
      <c r="K104" s="47"/>
      <c r="L104" s="81"/>
      <c r="M104" s="29" t="str">
        <f t="shared" si="16"/>
        <v>-</v>
      </c>
      <c r="N104" s="47"/>
      <c r="O104" s="22" t="s">
        <v>100</v>
      </c>
      <c r="P104" s="51" t="b">
        <v>0</v>
      </c>
      <c r="Q104" s="51" t="b">
        <v>0</v>
      </c>
      <c r="R104" s="51" t="b">
        <v>0</v>
      </c>
      <c r="S104" s="34"/>
      <c r="T104" s="32"/>
      <c r="U104" s="33" t="b">
        <f t="shared" si="11"/>
        <v>0</v>
      </c>
      <c r="V104" s="32"/>
      <c r="W104" s="32"/>
      <c r="X104" s="32"/>
      <c r="Y104" s="32"/>
      <c r="Z104" s="32"/>
      <c r="AA104" s="34">
        <f t="shared" si="3"/>
        <v>0</v>
      </c>
      <c r="AB104" s="35">
        <f t="shared" si="15"/>
        <v>0</v>
      </c>
      <c r="AC104" s="29" t="str">
        <f t="shared" si="5"/>
        <v>NÃO</v>
      </c>
      <c r="AD104" s="37" t="str">
        <f t="shared" si="1"/>
        <v>Não</v>
      </c>
      <c r="AE104" s="38">
        <f t="shared" si="6"/>
        <v>0</v>
      </c>
      <c r="AF104" s="29" t="str">
        <f>IF(N104,N104+((VLOOKUP(C104,'NPS de resultado'!$C$7:$D$36,2)*30)),"")</f>
        <v/>
      </c>
      <c r="AG104" s="25"/>
    </row>
    <row r="105" hidden="1">
      <c r="A105" s="43" t="s">
        <v>299</v>
      </c>
      <c r="B105" s="44" t="s">
        <v>36</v>
      </c>
      <c r="C105" s="32" t="s">
        <v>37</v>
      </c>
      <c r="D105" s="32" t="s">
        <v>2</v>
      </c>
      <c r="E105" s="46">
        <v>55000.0</v>
      </c>
      <c r="F105" s="34">
        <v>14.0</v>
      </c>
      <c r="G105" s="34">
        <v>4.0</v>
      </c>
      <c r="H105" s="47">
        <v>45292.0</v>
      </c>
      <c r="I105" s="47">
        <v>45394.0</v>
      </c>
      <c r="J105" s="64" t="s">
        <v>50</v>
      </c>
      <c r="K105" s="47"/>
      <c r="L105" s="81"/>
      <c r="M105" s="29" t="str">
        <f t="shared" si="16"/>
        <v>-</v>
      </c>
      <c r="N105" s="47"/>
      <c r="O105" s="22" t="s">
        <v>100</v>
      </c>
      <c r="P105" s="51" t="b">
        <v>0</v>
      </c>
      <c r="Q105" s="51" t="b">
        <v>0</v>
      </c>
      <c r="R105" s="51" t="b">
        <v>0</v>
      </c>
      <c r="S105" s="34"/>
      <c r="T105" s="32"/>
      <c r="U105" s="33" t="b">
        <f t="shared" si="11"/>
        <v>0</v>
      </c>
      <c r="V105" s="32"/>
      <c r="W105" s="32"/>
      <c r="X105" s="32"/>
      <c r="Y105" s="32"/>
      <c r="Z105" s="22" t="s">
        <v>286</v>
      </c>
      <c r="AA105" s="34">
        <f t="shared" si="3"/>
        <v>0</v>
      </c>
      <c r="AB105" s="35">
        <f t="shared" si="15"/>
        <v>0</v>
      </c>
      <c r="AC105" s="29" t="str">
        <f t="shared" si="5"/>
        <v>NÃO</v>
      </c>
      <c r="AD105" s="37" t="str">
        <f t="shared" si="1"/>
        <v>Não</v>
      </c>
      <c r="AE105" s="38">
        <f t="shared" si="6"/>
        <v>0</v>
      </c>
      <c r="AF105" s="29" t="str">
        <f>IF(N105,N105+((VLOOKUP(C105,'NPS de resultado'!$C$7:$D$36,2)*30)),"")</f>
        <v/>
      </c>
      <c r="AG105" s="25"/>
    </row>
    <row r="106" hidden="1">
      <c r="A106" s="43" t="s">
        <v>300</v>
      </c>
      <c r="B106" s="44" t="s">
        <v>36</v>
      </c>
      <c r="C106" s="32" t="s">
        <v>261</v>
      </c>
      <c r="D106" s="32" t="s">
        <v>2</v>
      </c>
      <c r="E106" s="46">
        <v>32500.0</v>
      </c>
      <c r="F106" s="34">
        <v>13.0</v>
      </c>
      <c r="G106" s="34">
        <v>3.0</v>
      </c>
      <c r="H106" s="47"/>
      <c r="I106" s="47"/>
      <c r="J106" s="64" t="s">
        <v>50</v>
      </c>
      <c r="K106" s="26">
        <v>45306.0</v>
      </c>
      <c r="L106" s="81"/>
      <c r="M106" s="29">
        <f t="shared" si="16"/>
        <v>45397</v>
      </c>
      <c r="N106" s="47"/>
      <c r="O106" s="22" t="s">
        <v>40</v>
      </c>
      <c r="P106" s="51" t="b">
        <v>0</v>
      </c>
      <c r="Q106" s="51" t="b">
        <v>0</v>
      </c>
      <c r="R106" s="51" t="b">
        <v>0</v>
      </c>
      <c r="S106" s="25"/>
      <c r="T106" s="32"/>
      <c r="U106" s="33" t="b">
        <f t="shared" si="11"/>
        <v>0</v>
      </c>
      <c r="V106" s="22" t="s">
        <v>301</v>
      </c>
      <c r="W106" s="22" t="s">
        <v>302</v>
      </c>
      <c r="X106" s="22" t="s">
        <v>303</v>
      </c>
      <c r="Y106" s="22" t="s">
        <v>304</v>
      </c>
      <c r="Z106" s="22" t="s">
        <v>305</v>
      </c>
      <c r="AA106" s="34">
        <f t="shared" si="3"/>
        <v>0</v>
      </c>
      <c r="AB106" s="35">
        <f t="shared" si="15"/>
        <v>25714.28571</v>
      </c>
      <c r="AC106" s="29" t="str">
        <f t="shared" si="5"/>
        <v>Sim</v>
      </c>
      <c r="AD106" s="37" t="str">
        <f t="shared" si="1"/>
        <v>Sim</v>
      </c>
      <c r="AE106" s="38">
        <f t="shared" si="6"/>
        <v>0</v>
      </c>
      <c r="AF106" s="29" t="str">
        <f>IF(N106,N106+((VLOOKUP(C106,'NPS de resultado'!$C$7:$D$36,2)*30)),"")</f>
        <v/>
      </c>
      <c r="AG106" s="25">
        <v>10.0</v>
      </c>
    </row>
    <row r="107" hidden="1">
      <c r="A107" s="43" t="s">
        <v>306</v>
      </c>
      <c r="B107" s="44" t="s">
        <v>36</v>
      </c>
      <c r="C107" s="32" t="s">
        <v>261</v>
      </c>
      <c r="D107" s="32" t="s">
        <v>2</v>
      </c>
      <c r="E107" s="46">
        <v>52000.0</v>
      </c>
      <c r="F107" s="34">
        <v>18.0</v>
      </c>
      <c r="G107" s="34">
        <v>3.0</v>
      </c>
      <c r="H107" s="47"/>
      <c r="I107" s="47"/>
      <c r="J107" s="64" t="s">
        <v>50</v>
      </c>
      <c r="K107" s="47"/>
      <c r="L107" s="81"/>
      <c r="M107" s="29" t="str">
        <f t="shared" si="16"/>
        <v>-</v>
      </c>
      <c r="N107" s="47"/>
      <c r="O107" s="22" t="s">
        <v>103</v>
      </c>
      <c r="P107" s="51" t="b">
        <v>0</v>
      </c>
      <c r="Q107" s="51" t="b">
        <v>0</v>
      </c>
      <c r="R107" s="51" t="b">
        <v>0</v>
      </c>
      <c r="S107" s="25"/>
      <c r="T107" s="32"/>
      <c r="U107" s="33" t="b">
        <f t="shared" si="11"/>
        <v>0</v>
      </c>
      <c r="V107" s="32"/>
      <c r="W107" s="32"/>
      <c r="X107" s="32"/>
      <c r="Y107" s="32"/>
      <c r="Z107" s="32"/>
      <c r="AA107" s="34">
        <f t="shared" si="3"/>
        <v>0</v>
      </c>
      <c r="AB107" s="35">
        <f t="shared" si="15"/>
        <v>0</v>
      </c>
      <c r="AC107" s="29" t="str">
        <f t="shared" si="5"/>
        <v>NÃO</v>
      </c>
      <c r="AD107" s="37" t="str">
        <f t="shared" si="1"/>
        <v>Não</v>
      </c>
      <c r="AE107" s="38">
        <f t="shared" si="6"/>
        <v>0</v>
      </c>
      <c r="AF107" s="29" t="str">
        <f>IF(N107,N107+((VLOOKUP(C107,'NPS de resultado'!$C$7:$D$36,2)*30)),"")</f>
        <v/>
      </c>
      <c r="AG107" s="25"/>
    </row>
    <row r="108" hidden="1">
      <c r="A108" s="43" t="s">
        <v>307</v>
      </c>
      <c r="B108" s="44" t="s">
        <v>36</v>
      </c>
      <c r="C108" s="32" t="s">
        <v>261</v>
      </c>
      <c r="D108" s="32" t="s">
        <v>2</v>
      </c>
      <c r="E108" s="46">
        <v>99000.0</v>
      </c>
      <c r="F108" s="34">
        <v>25.0</v>
      </c>
      <c r="G108" s="34">
        <v>4.0</v>
      </c>
      <c r="H108" s="47"/>
      <c r="I108" s="47"/>
      <c r="J108" s="64" t="s">
        <v>50</v>
      </c>
      <c r="K108" s="26">
        <v>45306.0</v>
      </c>
      <c r="L108" s="86">
        <v>2.0</v>
      </c>
      <c r="M108" s="29">
        <f t="shared" si="16"/>
        <v>45495</v>
      </c>
      <c r="N108" s="47"/>
      <c r="O108" s="22" t="s">
        <v>40</v>
      </c>
      <c r="P108" s="51" t="b">
        <v>0</v>
      </c>
      <c r="Q108" s="51" t="b">
        <v>0</v>
      </c>
      <c r="R108" s="51" t="b">
        <v>0</v>
      </c>
      <c r="S108" s="25"/>
      <c r="T108" s="32"/>
      <c r="U108" s="33" t="b">
        <f t="shared" si="11"/>
        <v>0</v>
      </c>
      <c r="V108" s="22" t="s">
        <v>308</v>
      </c>
      <c r="W108" s="22" t="s">
        <v>41</v>
      </c>
      <c r="X108" s="22"/>
      <c r="Y108" s="22" t="s">
        <v>309</v>
      </c>
      <c r="Z108" s="22" t="s">
        <v>310</v>
      </c>
      <c r="AA108" s="34">
        <f t="shared" si="3"/>
        <v>0</v>
      </c>
      <c r="AB108" s="35">
        <f t="shared" si="15"/>
        <v>0</v>
      </c>
      <c r="AC108" s="29" t="str">
        <f t="shared" si="5"/>
        <v>NÃO</v>
      </c>
      <c r="AD108" s="37" t="str">
        <f t="shared" si="1"/>
        <v>Não</v>
      </c>
      <c r="AE108" s="38">
        <f t="shared" si="6"/>
        <v>0</v>
      </c>
      <c r="AF108" s="29" t="str">
        <f>IF(N108,N108+((VLOOKUP(C108,'NPS de resultado'!$C$7:$D$36,2)*30)),"")</f>
        <v/>
      </c>
      <c r="AG108" s="25">
        <v>10.0</v>
      </c>
    </row>
    <row r="109" hidden="1">
      <c r="A109" s="43" t="s">
        <v>311</v>
      </c>
      <c r="B109" s="44" t="s">
        <v>36</v>
      </c>
      <c r="C109" s="32" t="s">
        <v>261</v>
      </c>
      <c r="D109" s="32" t="s">
        <v>2</v>
      </c>
      <c r="E109" s="46">
        <v>36000.0</v>
      </c>
      <c r="F109" s="34">
        <v>12.0</v>
      </c>
      <c r="G109" s="34">
        <v>3.0</v>
      </c>
      <c r="H109" s="47"/>
      <c r="I109" s="47"/>
      <c r="J109" s="64" t="s">
        <v>50</v>
      </c>
      <c r="K109" s="26">
        <v>45306.0</v>
      </c>
      <c r="L109" s="81"/>
      <c r="M109" s="29">
        <f t="shared" si="16"/>
        <v>45390</v>
      </c>
      <c r="N109" s="47"/>
      <c r="O109" s="22" t="s">
        <v>100</v>
      </c>
      <c r="P109" s="51" t="b">
        <v>0</v>
      </c>
      <c r="Q109" s="51" t="b">
        <v>0</v>
      </c>
      <c r="R109" s="51" t="b">
        <v>0</v>
      </c>
      <c r="S109" s="34"/>
      <c r="T109" s="32"/>
      <c r="U109" s="33" t="b">
        <f t="shared" si="11"/>
        <v>0</v>
      </c>
      <c r="V109" s="22" t="s">
        <v>302</v>
      </c>
      <c r="W109" s="22" t="s">
        <v>312</v>
      </c>
      <c r="X109" s="22" t="s">
        <v>302</v>
      </c>
      <c r="Y109" s="22" t="s">
        <v>313</v>
      </c>
      <c r="Z109" s="22" t="s">
        <v>314</v>
      </c>
      <c r="AA109" s="34">
        <f t="shared" si="3"/>
        <v>0</v>
      </c>
      <c r="AB109" s="35">
        <f t="shared" si="15"/>
        <v>0</v>
      </c>
      <c r="AC109" s="29" t="str">
        <f t="shared" si="5"/>
        <v>Sim</v>
      </c>
      <c r="AD109" s="37" t="str">
        <f t="shared" si="1"/>
        <v>Não</v>
      </c>
      <c r="AE109" s="38">
        <f t="shared" si="6"/>
        <v>0</v>
      </c>
      <c r="AF109" s="29" t="str">
        <f>IF(N109,N109+((VLOOKUP(C109,'NPS de resultado'!$C$7:$D$36,2)*30)),"")</f>
        <v/>
      </c>
      <c r="AG109" s="25"/>
    </row>
    <row r="110" hidden="1">
      <c r="A110" s="43" t="s">
        <v>315</v>
      </c>
      <c r="B110" s="44" t="s">
        <v>36</v>
      </c>
      <c r="C110" s="32" t="s">
        <v>261</v>
      </c>
      <c r="D110" s="32" t="s">
        <v>2</v>
      </c>
      <c r="E110" s="46">
        <v>49500.0</v>
      </c>
      <c r="F110" s="34">
        <v>12.0</v>
      </c>
      <c r="G110" s="34">
        <v>5.0</v>
      </c>
      <c r="H110" s="47"/>
      <c r="I110" s="47"/>
      <c r="J110" s="64" t="s">
        <v>50</v>
      </c>
      <c r="K110" s="26">
        <v>45327.0</v>
      </c>
      <c r="L110" s="86">
        <v>7.0</v>
      </c>
      <c r="M110" s="29">
        <f t="shared" si="16"/>
        <v>45460</v>
      </c>
      <c r="N110" s="47"/>
      <c r="O110" s="22" t="s">
        <v>40</v>
      </c>
      <c r="P110" s="51" t="b">
        <v>0</v>
      </c>
      <c r="Q110" s="51" t="b">
        <v>0</v>
      </c>
      <c r="R110" s="51" t="b">
        <v>0</v>
      </c>
      <c r="S110" s="34"/>
      <c r="T110" s="32"/>
      <c r="U110" s="33" t="b">
        <f t="shared" si="11"/>
        <v>0</v>
      </c>
      <c r="V110" s="22" t="s">
        <v>316</v>
      </c>
      <c r="W110" s="22" t="s">
        <v>303</v>
      </c>
      <c r="X110" s="22" t="s">
        <v>317</v>
      </c>
      <c r="Y110" s="22" t="s">
        <v>318</v>
      </c>
      <c r="Z110" s="22" t="s">
        <v>281</v>
      </c>
      <c r="AA110" s="34">
        <f t="shared" si="3"/>
        <v>0</v>
      </c>
      <c r="AB110" s="35">
        <f t="shared" si="15"/>
        <v>5303.571429</v>
      </c>
      <c r="AC110" s="29" t="str">
        <f t="shared" si="5"/>
        <v>Sim</v>
      </c>
      <c r="AD110" s="37" t="str">
        <f t="shared" si="1"/>
        <v>Sim</v>
      </c>
      <c r="AE110" s="38">
        <f t="shared" si="6"/>
        <v>0</v>
      </c>
      <c r="AF110" s="29" t="str">
        <f>IF(N110,N110+((VLOOKUP(C110,'NPS de resultado'!$C$7:$D$36,2)*30)),"")</f>
        <v/>
      </c>
      <c r="AG110" s="25">
        <v>10.0</v>
      </c>
    </row>
    <row r="111" hidden="1">
      <c r="A111" s="43" t="s">
        <v>319</v>
      </c>
      <c r="B111" s="44" t="s">
        <v>36</v>
      </c>
      <c r="C111" s="32" t="s">
        <v>261</v>
      </c>
      <c r="D111" s="32" t="s">
        <v>2</v>
      </c>
      <c r="E111" s="46">
        <v>79000.0</v>
      </c>
      <c r="F111" s="34">
        <v>17.0</v>
      </c>
      <c r="G111" s="34">
        <v>5.2</v>
      </c>
      <c r="H111" s="47"/>
      <c r="I111" s="47"/>
      <c r="J111" s="64" t="s">
        <v>50</v>
      </c>
      <c r="K111" s="26">
        <v>45259.0</v>
      </c>
      <c r="L111" s="86">
        <v>2.0</v>
      </c>
      <c r="M111" s="29">
        <f t="shared" si="16"/>
        <v>45392</v>
      </c>
      <c r="N111" s="47"/>
      <c r="O111" s="22" t="s">
        <v>40</v>
      </c>
      <c r="P111" s="51" t="b">
        <v>0</v>
      </c>
      <c r="Q111" s="51" t="b">
        <v>0</v>
      </c>
      <c r="R111" s="51" t="b">
        <v>0</v>
      </c>
      <c r="S111" s="34"/>
      <c r="T111" s="32"/>
      <c r="U111" s="33" t="b">
        <f t="shared" si="11"/>
        <v>0</v>
      </c>
      <c r="V111" s="22" t="s">
        <v>274</v>
      </c>
      <c r="W111" s="22" t="s">
        <v>293</v>
      </c>
      <c r="X111" s="22" t="s">
        <v>302</v>
      </c>
      <c r="Y111" s="32"/>
      <c r="Z111" s="32"/>
      <c r="AA111" s="34">
        <f t="shared" si="3"/>
        <v>0</v>
      </c>
      <c r="AB111" s="35">
        <f t="shared" si="15"/>
        <v>51117.64706</v>
      </c>
      <c r="AC111" s="29" t="str">
        <f t="shared" si="5"/>
        <v>Sim</v>
      </c>
      <c r="AD111" s="37" t="str">
        <f t="shared" si="1"/>
        <v>Sim</v>
      </c>
      <c r="AE111" s="38">
        <f t="shared" si="6"/>
        <v>0</v>
      </c>
      <c r="AF111" s="29" t="str">
        <f>IF(N111,N111+((VLOOKUP(C111,'NPS de resultado'!$C$7:$D$36,2)*30)),"")</f>
        <v/>
      </c>
      <c r="AG111" s="25"/>
    </row>
    <row r="112" hidden="1">
      <c r="A112" s="43" t="s">
        <v>320</v>
      </c>
      <c r="B112" s="44" t="s">
        <v>36</v>
      </c>
      <c r="C112" s="32" t="s">
        <v>37</v>
      </c>
      <c r="D112" s="32" t="s">
        <v>2</v>
      </c>
      <c r="E112" s="46">
        <v>23000.0</v>
      </c>
      <c r="F112" s="34">
        <v>7.0</v>
      </c>
      <c r="G112" s="34">
        <v>3.0</v>
      </c>
      <c r="H112" s="47"/>
      <c r="I112" s="47"/>
      <c r="J112" s="64" t="s">
        <v>50</v>
      </c>
      <c r="K112" s="47"/>
      <c r="L112" s="81"/>
      <c r="M112" s="29" t="str">
        <f t="shared" si="16"/>
        <v>-</v>
      </c>
      <c r="N112" s="47"/>
      <c r="O112" s="22" t="s">
        <v>103</v>
      </c>
      <c r="P112" s="51" t="b">
        <v>0</v>
      </c>
      <c r="Q112" s="51" t="b">
        <v>0</v>
      </c>
      <c r="R112" s="51" t="b">
        <v>0</v>
      </c>
      <c r="S112" s="34"/>
      <c r="T112" s="32"/>
      <c r="U112" s="33" t="b">
        <f t="shared" si="11"/>
        <v>0</v>
      </c>
      <c r="V112" s="32"/>
      <c r="W112" s="32"/>
      <c r="X112" s="32"/>
      <c r="Y112" s="32"/>
      <c r="Z112" s="32"/>
      <c r="AA112" s="34">
        <f t="shared" si="3"/>
        <v>0</v>
      </c>
      <c r="AB112" s="35">
        <f t="shared" si="15"/>
        <v>0</v>
      </c>
      <c r="AC112" s="29" t="str">
        <f t="shared" si="5"/>
        <v>NÃO</v>
      </c>
      <c r="AD112" s="37" t="str">
        <f t="shared" si="1"/>
        <v>Não</v>
      </c>
      <c r="AE112" s="38">
        <f t="shared" si="6"/>
        <v>0</v>
      </c>
      <c r="AF112" s="29" t="str">
        <f>IF(N112,N112+((VLOOKUP(C112,'NPS de resultado'!$C$7:$D$36,2)*30)),"")</f>
        <v/>
      </c>
      <c r="AG112" s="25"/>
    </row>
    <row r="113" hidden="1">
      <c r="A113" s="43" t="s">
        <v>321</v>
      </c>
      <c r="B113" s="44" t="s">
        <v>36</v>
      </c>
      <c r="C113" s="32" t="s">
        <v>37</v>
      </c>
      <c r="D113" s="32" t="s">
        <v>2</v>
      </c>
      <c r="E113" s="46">
        <v>30000.0</v>
      </c>
      <c r="F113" s="34">
        <v>14.0</v>
      </c>
      <c r="G113" s="34">
        <v>3.0</v>
      </c>
      <c r="H113" s="47">
        <v>45299.0</v>
      </c>
      <c r="I113" s="47">
        <v>45401.0</v>
      </c>
      <c r="J113" s="64" t="s">
        <v>50</v>
      </c>
      <c r="K113" s="26">
        <v>45313.0</v>
      </c>
      <c r="L113" s="86">
        <v>3.0</v>
      </c>
      <c r="M113" s="29">
        <f t="shared" si="16"/>
        <v>45432</v>
      </c>
      <c r="N113" s="47"/>
      <c r="O113" s="22" t="s">
        <v>40</v>
      </c>
      <c r="P113" s="51" t="b">
        <v>0</v>
      </c>
      <c r="Q113" s="51" t="b">
        <v>0</v>
      </c>
      <c r="R113" s="51" t="b">
        <v>0</v>
      </c>
      <c r="S113" s="34"/>
      <c r="T113" s="32"/>
      <c r="U113" s="33" t="b">
        <f t="shared" si="11"/>
        <v>0</v>
      </c>
      <c r="V113" s="22" t="s">
        <v>308</v>
      </c>
      <c r="W113" s="32"/>
      <c r="X113" s="32"/>
      <c r="Y113" s="22" t="s">
        <v>310</v>
      </c>
      <c r="Z113" s="22" t="s">
        <v>322</v>
      </c>
      <c r="AA113" s="34">
        <f t="shared" si="3"/>
        <v>0</v>
      </c>
      <c r="AB113" s="35">
        <f t="shared" si="15"/>
        <v>11326.53061</v>
      </c>
      <c r="AC113" s="29" t="str">
        <f t="shared" si="5"/>
        <v>Sim</v>
      </c>
      <c r="AD113" s="37" t="str">
        <f t="shared" si="1"/>
        <v>Sim</v>
      </c>
      <c r="AE113" s="38">
        <f t="shared" si="6"/>
        <v>14</v>
      </c>
      <c r="AF113" s="29" t="str">
        <f>IF(N113,N113+((VLOOKUP(C113,'NPS de resultado'!$C$7:$D$36,2)*30)),"")</f>
        <v/>
      </c>
      <c r="AG113" s="25"/>
    </row>
    <row r="114" hidden="1">
      <c r="A114" s="43" t="s">
        <v>323</v>
      </c>
      <c r="B114" s="44" t="s">
        <v>36</v>
      </c>
      <c r="C114" s="32" t="s">
        <v>37</v>
      </c>
      <c r="D114" s="32" t="s">
        <v>2</v>
      </c>
      <c r="E114" s="46">
        <v>12000.0</v>
      </c>
      <c r="F114" s="34">
        <v>4.0</v>
      </c>
      <c r="G114" s="34">
        <v>3.0</v>
      </c>
      <c r="H114" s="47"/>
      <c r="I114" s="47"/>
      <c r="J114" s="64" t="s">
        <v>50</v>
      </c>
      <c r="K114" s="26">
        <v>45260.0</v>
      </c>
      <c r="L114" s="86">
        <v>6.0</v>
      </c>
      <c r="M114" s="29">
        <f t="shared" si="16"/>
        <v>45330</v>
      </c>
      <c r="N114" s="26">
        <v>45355.0</v>
      </c>
      <c r="O114" s="22" t="s">
        <v>46</v>
      </c>
      <c r="P114" s="51" t="b">
        <v>0</v>
      </c>
      <c r="Q114" s="51" t="b">
        <v>0</v>
      </c>
      <c r="R114" s="51" t="b">
        <v>0</v>
      </c>
      <c r="S114" s="34"/>
      <c r="T114" s="32"/>
      <c r="U114" s="33" t="b">
        <f t="shared" si="11"/>
        <v>0</v>
      </c>
      <c r="V114" s="32"/>
      <c r="W114" s="32"/>
      <c r="X114" s="32"/>
      <c r="Y114" s="22" t="s">
        <v>308</v>
      </c>
      <c r="Z114" s="22" t="s">
        <v>288</v>
      </c>
      <c r="AA114" s="34">
        <f t="shared" si="3"/>
        <v>22.71428571</v>
      </c>
      <c r="AB114" s="35">
        <f t="shared" si="15"/>
        <v>10714.28571</v>
      </c>
      <c r="AC114" s="29" t="str">
        <f t="shared" si="5"/>
        <v>Sim</v>
      </c>
      <c r="AD114" s="37" t="str">
        <f t="shared" si="1"/>
        <v>Não</v>
      </c>
      <c r="AE114" s="38">
        <f t="shared" si="6"/>
        <v>0</v>
      </c>
      <c r="AF114" s="29">
        <f>IF(N114,N114+((VLOOKUP(C114,'NPS de resultado'!$C$7:$D$36,2)*30)),"")</f>
        <v>45535</v>
      </c>
      <c r="AG114" s="25"/>
    </row>
    <row r="115" hidden="1">
      <c r="A115" s="43" t="s">
        <v>324</v>
      </c>
      <c r="B115" s="44" t="s">
        <v>36</v>
      </c>
      <c r="C115" s="32" t="s">
        <v>261</v>
      </c>
      <c r="D115" s="32" t="s">
        <v>2</v>
      </c>
      <c r="E115" s="46">
        <v>70000.0</v>
      </c>
      <c r="F115" s="34">
        <v>24.0</v>
      </c>
      <c r="G115" s="34">
        <v>3.0</v>
      </c>
      <c r="H115" s="47"/>
      <c r="I115" s="47"/>
      <c r="J115" s="64" t="s">
        <v>50</v>
      </c>
      <c r="K115" s="47"/>
      <c r="L115" s="81"/>
      <c r="M115" s="29" t="str">
        <f t="shared" si="16"/>
        <v>-</v>
      </c>
      <c r="N115" s="47"/>
      <c r="O115" s="22" t="s">
        <v>103</v>
      </c>
      <c r="P115" s="51" t="b">
        <v>0</v>
      </c>
      <c r="Q115" s="51" t="b">
        <v>0</v>
      </c>
      <c r="R115" s="51" t="b">
        <v>0</v>
      </c>
      <c r="S115" s="34"/>
      <c r="T115" s="32"/>
      <c r="U115" s="33" t="b">
        <f t="shared" si="11"/>
        <v>0</v>
      </c>
      <c r="V115" s="32"/>
      <c r="W115" s="32"/>
      <c r="X115" s="32"/>
      <c r="Y115" s="32"/>
      <c r="Z115" s="32"/>
      <c r="AA115" s="34">
        <f t="shared" si="3"/>
        <v>0</v>
      </c>
      <c r="AB115" s="35">
        <f t="shared" si="15"/>
        <v>0</v>
      </c>
      <c r="AC115" s="29" t="str">
        <f t="shared" si="5"/>
        <v>NÃO</v>
      </c>
      <c r="AD115" s="37" t="str">
        <f t="shared" si="1"/>
        <v>Não</v>
      </c>
      <c r="AE115" s="38">
        <f t="shared" si="6"/>
        <v>0</v>
      </c>
      <c r="AF115" s="29" t="str">
        <f>IF(N115,N115+((VLOOKUP(C115,'NPS de resultado'!$C$7:$D$36,2)*30)),"")</f>
        <v/>
      </c>
      <c r="AG115" s="25"/>
    </row>
    <row r="116" hidden="1">
      <c r="A116" s="43" t="s">
        <v>325</v>
      </c>
      <c r="B116" s="44" t="s">
        <v>36</v>
      </c>
      <c r="C116" s="32" t="s">
        <v>37</v>
      </c>
      <c r="D116" s="32" t="s">
        <v>2</v>
      </c>
      <c r="E116" s="46">
        <v>32500.0</v>
      </c>
      <c r="F116" s="34">
        <v>12.0</v>
      </c>
      <c r="G116" s="34">
        <v>3.0</v>
      </c>
      <c r="H116" s="47"/>
      <c r="I116" s="47"/>
      <c r="J116" s="64" t="s">
        <v>50</v>
      </c>
      <c r="K116" s="26">
        <v>45327.0</v>
      </c>
      <c r="L116" s="86">
        <v>2.0</v>
      </c>
      <c r="M116" s="29">
        <f t="shared" si="16"/>
        <v>45425</v>
      </c>
      <c r="N116" s="47"/>
      <c r="O116" s="22" t="s">
        <v>40</v>
      </c>
      <c r="P116" s="51" t="b">
        <v>0</v>
      </c>
      <c r="Q116" s="51" t="b">
        <v>0</v>
      </c>
      <c r="R116" s="51" t="b">
        <v>0</v>
      </c>
      <c r="S116" s="34"/>
      <c r="T116" s="32"/>
      <c r="U116" s="33" t="b">
        <f t="shared" si="11"/>
        <v>0</v>
      </c>
      <c r="V116" s="22" t="s">
        <v>292</v>
      </c>
      <c r="W116" s="32"/>
      <c r="X116" s="32"/>
      <c r="Y116" s="22" t="s">
        <v>309</v>
      </c>
      <c r="Z116" s="22" t="s">
        <v>326</v>
      </c>
      <c r="AA116" s="34">
        <f t="shared" si="3"/>
        <v>0</v>
      </c>
      <c r="AB116" s="35">
        <f t="shared" si="15"/>
        <v>17023.80952</v>
      </c>
      <c r="AC116" s="29" t="str">
        <f t="shared" si="5"/>
        <v>Sim</v>
      </c>
      <c r="AD116" s="37" t="str">
        <f t="shared" si="1"/>
        <v>Sim</v>
      </c>
      <c r="AE116" s="38">
        <f t="shared" si="6"/>
        <v>0</v>
      </c>
      <c r="AF116" s="29" t="str">
        <f>IF(N116,N116+((VLOOKUP(C116,'NPS de resultado'!$C$7:$D$36,2)*30)),"")</f>
        <v/>
      </c>
      <c r="AG116" s="25"/>
    </row>
    <row r="117" hidden="1">
      <c r="A117" s="43" t="s">
        <v>327</v>
      </c>
      <c r="B117" s="44" t="s">
        <v>36</v>
      </c>
      <c r="C117" s="32" t="s">
        <v>37</v>
      </c>
      <c r="D117" s="32" t="s">
        <v>2</v>
      </c>
      <c r="E117" s="46">
        <v>10000.0</v>
      </c>
      <c r="F117" s="34">
        <v>4.0</v>
      </c>
      <c r="G117" s="34">
        <v>3.0</v>
      </c>
      <c r="H117" s="47"/>
      <c r="I117" s="47"/>
      <c r="J117" s="64" t="s">
        <v>50</v>
      </c>
      <c r="K117" s="26">
        <v>45356.0</v>
      </c>
      <c r="L117" s="81"/>
      <c r="M117" s="29">
        <f t="shared" si="16"/>
        <v>45384</v>
      </c>
      <c r="N117" s="26"/>
      <c r="O117" s="22" t="s">
        <v>40</v>
      </c>
      <c r="P117" s="51" t="b">
        <v>0</v>
      </c>
      <c r="Q117" s="51" t="b">
        <v>0</v>
      </c>
      <c r="R117" s="51" t="b">
        <v>0</v>
      </c>
      <c r="S117" s="34"/>
      <c r="T117" s="32"/>
      <c r="U117" s="33" t="b">
        <f t="shared" si="11"/>
        <v>0</v>
      </c>
      <c r="V117" s="22" t="s">
        <v>276</v>
      </c>
      <c r="W117" s="32"/>
      <c r="X117" s="32"/>
      <c r="Y117" s="22" t="s">
        <v>290</v>
      </c>
      <c r="Z117" s="22" t="s">
        <v>328</v>
      </c>
      <c r="AA117" s="34">
        <f t="shared" si="3"/>
        <v>0</v>
      </c>
      <c r="AB117" s="35">
        <f t="shared" si="15"/>
        <v>30357.14286</v>
      </c>
      <c r="AC117" s="29" t="str">
        <f t="shared" si="5"/>
        <v>Sim</v>
      </c>
      <c r="AD117" s="37" t="str">
        <f t="shared" si="1"/>
        <v>Sim</v>
      </c>
      <c r="AE117" s="38">
        <f t="shared" si="6"/>
        <v>0</v>
      </c>
      <c r="AF117" s="29" t="str">
        <f>IF(N117,N117+((VLOOKUP(C117,'NPS de resultado'!$C$7:$D$36,2)*30)),"")</f>
        <v/>
      </c>
      <c r="AG117" s="25"/>
    </row>
    <row r="118" hidden="1">
      <c r="A118" s="43" t="str">
        <f>IFERROR(__xludf.DUMMYFUNCTION("QUERY(IMPORTRANGE(""https://docs.google.com/spreadsheets/d/1vD2gqCvM9CLksmQouedLzkILeaZ6oQXXMoEOZSVaLBQ/edit#gid=0"",""Registro!C3:O""),""select Col1, Col2, Col3, Col4, Col6, Col8, Col9, Col12, Col13 where not Col2 contains 'WI' and not Col2 contains 'Rec"&amp;"ursos'"")
"),"MP Tadeu")</f>
        <v>MP Tadeu</v>
      </c>
      <c r="B118" s="43" t="str">
        <f>IFERROR(__xludf.DUMMYFUNCTION("""COMPUTED_VALUE"""),"NCon")</f>
        <v>NCon</v>
      </c>
      <c r="C118" s="43" t="str">
        <f>IFERROR(__xludf.DUMMYFUNCTION("""COMPUTED_VALUE"""),"Modelagem e Projeção")</f>
        <v>Modelagem e Projeção</v>
      </c>
      <c r="D118" s="43" t="str">
        <f>IFERROR(__xludf.DUMMYFUNCTION("""COMPUTED_VALUE"""),"Projeto")</f>
        <v>Projeto</v>
      </c>
      <c r="E118" s="46">
        <f>IFERROR(__xludf.DUMMYFUNCTION("""COMPUTED_VALUE"""),12150.0)</f>
        <v>12150</v>
      </c>
      <c r="F118" s="34">
        <f>IFERROR(__xludf.DUMMYFUNCTION("""COMPUTED_VALUE"""),9.0)</f>
        <v>9</v>
      </c>
      <c r="G118" s="34">
        <f>IFERROR(__xludf.DUMMYFUNCTION("""COMPUTED_VALUE"""),1.0)</f>
        <v>1</v>
      </c>
      <c r="H118" s="47">
        <f>IFERROR(__xludf.DUMMYFUNCTION("""COMPUTED_VALUE"""),45299.0)</f>
        <v>45299</v>
      </c>
      <c r="I118" s="47">
        <f>IFERROR(__xludf.DUMMYFUNCTION("""COMPUTED_VALUE"""),45359.0)</f>
        <v>45359</v>
      </c>
      <c r="J118" s="87" t="s">
        <v>39</v>
      </c>
      <c r="K118" s="88">
        <v>45307.0</v>
      </c>
      <c r="L118" s="89">
        <v>1.0</v>
      </c>
      <c r="M118" s="29">
        <f t="shared" si="16"/>
        <v>45377</v>
      </c>
      <c r="N118" s="88">
        <v>45390.0</v>
      </c>
      <c r="O118" s="69" t="s">
        <v>46</v>
      </c>
      <c r="P118" s="51" t="b">
        <v>0</v>
      </c>
      <c r="Q118" s="51" t="b">
        <v>0</v>
      </c>
      <c r="R118" s="51" t="b">
        <v>0</v>
      </c>
      <c r="S118" s="90">
        <v>8.0</v>
      </c>
      <c r="T118" s="91"/>
      <c r="U118" s="33" t="b">
        <f t="shared" si="11"/>
        <v>0</v>
      </c>
      <c r="V118" s="92" t="s">
        <v>120</v>
      </c>
      <c r="W118" s="92" t="s">
        <v>164</v>
      </c>
      <c r="X118" s="93"/>
      <c r="Y118" s="93"/>
      <c r="AA118" s="34">
        <f t="shared" si="3"/>
        <v>10.85714286</v>
      </c>
      <c r="AB118" s="35">
        <f t="shared" si="15"/>
        <v>2507.142857</v>
      </c>
      <c r="AC118" s="29" t="str">
        <f t="shared" si="5"/>
        <v>Sim</v>
      </c>
      <c r="AD118" s="37" t="str">
        <f t="shared" si="1"/>
        <v>Não</v>
      </c>
      <c r="AE118" s="38">
        <f t="shared" si="6"/>
        <v>8</v>
      </c>
      <c r="AF118" s="29">
        <f>IF(N118,N118+((VLOOKUP(C118,'NPS de resultado'!$C$7:$D$36,2)*30)),"")</f>
        <v>45570</v>
      </c>
      <c r="AG118" s="39"/>
    </row>
    <row r="119" hidden="1">
      <c r="A119" s="43" t="str">
        <f>IFERROR(__xludf.DUMMYFUNCTION("""COMPUTED_VALUE"""),"PM Angélica")</f>
        <v>PM Angélica</v>
      </c>
      <c r="B119" s="43" t="str">
        <f>IFERROR(__xludf.DUMMYFUNCTION("""COMPUTED_VALUE"""),"NCon")</f>
        <v>NCon</v>
      </c>
      <c r="C119" s="43" t="str">
        <f>IFERROR(__xludf.DUMMYFUNCTION("""COMPUTED_VALUE"""),"Pesquisa de Mercado")</f>
        <v>Pesquisa de Mercado</v>
      </c>
      <c r="D119" s="43" t="str">
        <f>IFERROR(__xludf.DUMMYFUNCTION("""COMPUTED_VALUE"""),"Projeto")</f>
        <v>Projeto</v>
      </c>
      <c r="E119" s="46">
        <f>IFERROR(__xludf.DUMMYFUNCTION("""COMPUTED_VALUE"""),6000.0)</f>
        <v>6000</v>
      </c>
      <c r="F119" s="34">
        <f>IFERROR(__xludf.DUMMYFUNCTION("""COMPUTED_VALUE"""),4.0)</f>
        <v>4</v>
      </c>
      <c r="G119" s="34">
        <f>IFERROR(__xludf.DUMMYFUNCTION("""COMPUTED_VALUE"""),1.0)</f>
        <v>1</v>
      </c>
      <c r="H119" s="47">
        <f>IFERROR(__xludf.DUMMYFUNCTION("""COMPUTED_VALUE"""),45299.0)</f>
        <v>45299</v>
      </c>
      <c r="I119" s="47">
        <f>IFERROR(__xludf.DUMMYFUNCTION("""COMPUTED_VALUE"""),45324.0)</f>
        <v>45324</v>
      </c>
      <c r="J119" s="87" t="s">
        <v>39</v>
      </c>
      <c r="K119" s="88">
        <v>45292.0</v>
      </c>
      <c r="L119" s="89">
        <v>0.0</v>
      </c>
      <c r="M119" s="88">
        <v>45345.0</v>
      </c>
      <c r="N119" s="88">
        <v>45345.0</v>
      </c>
      <c r="O119" s="74" t="s">
        <v>46</v>
      </c>
      <c r="P119" s="51" t="b">
        <v>0</v>
      </c>
      <c r="Q119" s="51" t="b">
        <v>0</v>
      </c>
      <c r="R119" s="31" t="b">
        <v>1</v>
      </c>
      <c r="S119" s="90">
        <v>10.0</v>
      </c>
      <c r="U119" s="33" t="b">
        <f t="shared" si="11"/>
        <v>1</v>
      </c>
      <c r="V119" s="92" t="s">
        <v>120</v>
      </c>
      <c r="W119" s="92" t="s">
        <v>151</v>
      </c>
      <c r="X119" s="93"/>
      <c r="Y119" s="93"/>
      <c r="AA119" s="34">
        <f t="shared" si="3"/>
        <v>7.571428571</v>
      </c>
      <c r="AB119" s="35">
        <f t="shared" si="15"/>
        <v>0</v>
      </c>
      <c r="AC119" s="29" t="str">
        <f t="shared" si="5"/>
        <v>Sim</v>
      </c>
      <c r="AD119" s="37" t="str">
        <f t="shared" si="1"/>
        <v>Não</v>
      </c>
      <c r="AE119" s="38">
        <f t="shared" si="6"/>
        <v>-7</v>
      </c>
      <c r="AF119" s="29">
        <f>IF(N119,N119+((VLOOKUP(C119,'NPS de resultado'!$C$7:$D$36,2)*30)),"")</f>
        <v>45525</v>
      </c>
      <c r="AG119" s="39"/>
    </row>
    <row r="120" hidden="1">
      <c r="A120" s="43" t="str">
        <f>IFERROR(__xludf.DUMMYFUNCTION("""COMPUTED_VALUE"""),"App Sérgio")</f>
        <v>App Sérgio</v>
      </c>
      <c r="B120" s="43" t="str">
        <f>IFERROR(__xludf.DUMMYFUNCTION("""COMPUTED_VALUE"""),"NTec")</f>
        <v>NTec</v>
      </c>
      <c r="C120" s="43" t="str">
        <f>IFERROR(__xludf.DUMMYFUNCTION("""COMPUTED_VALUE"""),"Escopo Aberto")</f>
        <v>Escopo Aberto</v>
      </c>
      <c r="D120" s="43" t="str">
        <f>IFERROR(__xludf.DUMMYFUNCTION("""COMPUTED_VALUE"""),"Projeto")</f>
        <v>Projeto</v>
      </c>
      <c r="E120" s="46">
        <f>IFERROR(__xludf.DUMMYFUNCTION("""COMPUTED_VALUE"""),73700.0)</f>
        <v>73700</v>
      </c>
      <c r="F120" s="34">
        <f>IFERROR(__xludf.DUMMYFUNCTION("""COMPUTED_VALUE"""),20.0)</f>
        <v>20</v>
      </c>
      <c r="G120" s="34">
        <f>IFERROR(__xludf.DUMMYFUNCTION("""COMPUTED_VALUE"""),4.0)</f>
        <v>4</v>
      </c>
      <c r="H120" s="47">
        <f>IFERROR(__xludf.DUMMYFUNCTION("""COMPUTED_VALUE"""),45334.0)</f>
        <v>45334</v>
      </c>
      <c r="I120" s="47">
        <f>IFERROR(__xludf.DUMMYFUNCTION("""COMPUTED_VALUE"""),45478.0)</f>
        <v>45478</v>
      </c>
      <c r="J120" s="64" t="s">
        <v>50</v>
      </c>
      <c r="K120" s="88">
        <v>45349.0</v>
      </c>
      <c r="L120" s="89">
        <v>2.0</v>
      </c>
      <c r="M120" s="29">
        <f t="shared" ref="M120:M122" si="17">IF(K120&lt;&gt;"",K120+(F120+L120)*7,"-")</f>
        <v>45503</v>
      </c>
      <c r="N120" s="94"/>
      <c r="O120" s="92" t="s">
        <v>100</v>
      </c>
      <c r="P120" s="51" t="b">
        <v>0</v>
      </c>
      <c r="Q120" s="51" t="b">
        <v>0</v>
      </c>
      <c r="R120" s="51" t="b">
        <v>0</v>
      </c>
      <c r="S120" s="95"/>
      <c r="U120" s="33" t="b">
        <f t="shared" si="11"/>
        <v>0</v>
      </c>
      <c r="V120" s="96" t="s">
        <v>302</v>
      </c>
      <c r="W120" s="96" t="s">
        <v>312</v>
      </c>
      <c r="X120" s="96" t="s">
        <v>329</v>
      </c>
      <c r="Y120" s="93"/>
      <c r="AA120" s="34">
        <f t="shared" si="3"/>
        <v>0</v>
      </c>
      <c r="AB120" s="35">
        <f t="shared" si="15"/>
        <v>0</v>
      </c>
      <c r="AC120" s="29" t="str">
        <f t="shared" si="5"/>
        <v>NÃO</v>
      </c>
      <c r="AD120" s="37" t="str">
        <f t="shared" si="1"/>
        <v>Não</v>
      </c>
      <c r="AE120" s="38">
        <f t="shared" si="6"/>
        <v>15</v>
      </c>
      <c r="AF120" s="29" t="str">
        <f>IF(N120,N120+((VLOOKUP(C120,'NPS de resultado'!$C$7:$D$36,2)*30)),"")</f>
        <v/>
      </c>
      <c r="AG120" s="25"/>
    </row>
    <row r="121" hidden="1">
      <c r="A121" s="43" t="str">
        <f>IFERROR(__xludf.DUMMYFUNCTION("""COMPUTED_VALUE"""),"App Mangue")</f>
        <v>App Mangue</v>
      </c>
      <c r="B121" s="43" t="str">
        <f>IFERROR(__xludf.DUMMYFUNCTION("""COMPUTED_VALUE"""),"NTec")</f>
        <v>NTec</v>
      </c>
      <c r="C121" s="43" t="str">
        <f>IFERROR(__xludf.DUMMYFUNCTION("""COMPUTED_VALUE"""),"Escopo Aberto")</f>
        <v>Escopo Aberto</v>
      </c>
      <c r="D121" s="43" t="str">
        <f>IFERROR(__xludf.DUMMYFUNCTION("""COMPUTED_VALUE"""),"Projeto")</f>
        <v>Projeto</v>
      </c>
      <c r="E121" s="46">
        <f>IFERROR(__xludf.DUMMYFUNCTION("""COMPUTED_VALUE"""),96000.0)</f>
        <v>96000</v>
      </c>
      <c r="F121" s="34">
        <f>IFERROR(__xludf.DUMMYFUNCTION("""COMPUTED_VALUE"""),34.0)</f>
        <v>34</v>
      </c>
      <c r="G121" s="34">
        <f>IFERROR(__xludf.DUMMYFUNCTION("""COMPUTED_VALUE"""),3.0)</f>
        <v>3</v>
      </c>
      <c r="H121" s="47">
        <f>IFERROR(__xludf.DUMMYFUNCTION("""COMPUTED_VALUE"""),45362.0)</f>
        <v>45362</v>
      </c>
      <c r="I121" s="47">
        <f>IFERROR(__xludf.DUMMYFUNCTION("""COMPUTED_VALUE"""),45604.0)</f>
        <v>45604</v>
      </c>
      <c r="J121" s="64" t="s">
        <v>50</v>
      </c>
      <c r="K121" s="88">
        <v>45365.0</v>
      </c>
      <c r="L121" s="97"/>
      <c r="M121" s="29">
        <f t="shared" si="17"/>
        <v>45603</v>
      </c>
      <c r="N121" s="94"/>
      <c r="O121" s="92" t="s">
        <v>40</v>
      </c>
      <c r="P121" s="51" t="b">
        <v>0</v>
      </c>
      <c r="Q121" s="51" t="b">
        <v>0</v>
      </c>
      <c r="R121" s="51" t="b">
        <v>0</v>
      </c>
      <c r="S121" s="95"/>
      <c r="U121" s="33" t="b">
        <f t="shared" si="11"/>
        <v>0</v>
      </c>
      <c r="V121" s="22" t="s">
        <v>41</v>
      </c>
      <c r="W121" s="22" t="s">
        <v>302</v>
      </c>
      <c r="X121" s="22" t="s">
        <v>303</v>
      </c>
      <c r="Y121" s="93"/>
      <c r="AA121" s="34">
        <f t="shared" si="3"/>
        <v>0</v>
      </c>
      <c r="AB121" s="35">
        <f t="shared" si="15"/>
        <v>0</v>
      </c>
      <c r="AC121" s="29" t="str">
        <f t="shared" si="5"/>
        <v>NÃO</v>
      </c>
      <c r="AD121" s="37" t="str">
        <f t="shared" si="1"/>
        <v>Não</v>
      </c>
      <c r="AE121" s="38">
        <f t="shared" si="6"/>
        <v>3</v>
      </c>
      <c r="AF121" s="29" t="str">
        <f>IF(N121,N121+((VLOOKUP(C121,'NPS de resultado'!$C$7:$D$36,2)*30)),"")</f>
        <v/>
      </c>
      <c r="AG121" s="25">
        <v>10.0</v>
      </c>
    </row>
    <row r="122" hidden="1">
      <c r="A122" s="43" t="str">
        <f>IFERROR(__xludf.DUMMYFUNCTION("""COMPUTED_VALUE"""),"Aditivo App Plantões")</f>
        <v>Aditivo App Plantões</v>
      </c>
      <c r="B122" s="43" t="str">
        <f>IFERROR(__xludf.DUMMYFUNCTION("""COMPUTED_VALUE"""),"NTec")</f>
        <v>NTec</v>
      </c>
      <c r="C122" s="43" t="str">
        <f>IFERROR(__xludf.DUMMYFUNCTION("""COMPUTED_VALUE"""),"Desenvolvimento")</f>
        <v>Desenvolvimento</v>
      </c>
      <c r="D122" s="43" t="str">
        <f>IFERROR(__xludf.DUMMYFUNCTION("""COMPUTED_VALUE"""),"Aditivo")</f>
        <v>Aditivo</v>
      </c>
      <c r="E122" s="46">
        <f>IFERROR(__xludf.DUMMYFUNCTION("""COMPUTED_VALUE"""),11000.0)</f>
        <v>11000</v>
      </c>
      <c r="F122" s="34">
        <f>IFERROR(__xludf.DUMMYFUNCTION("""COMPUTED_VALUE"""),4.0)</f>
        <v>4</v>
      </c>
      <c r="G122" s="34">
        <f>IFERROR(__xludf.DUMMYFUNCTION("""COMPUTED_VALUE"""),3.0)</f>
        <v>3</v>
      </c>
      <c r="H122" s="47">
        <f>IFERROR(__xludf.DUMMYFUNCTION("""COMPUTED_VALUE"""),45306.0)</f>
        <v>45306</v>
      </c>
      <c r="I122" s="47">
        <f>IFERROR(__xludf.DUMMYFUNCTION("""COMPUTED_VALUE"""),45605.0)</f>
        <v>45605</v>
      </c>
      <c r="J122" s="64" t="s">
        <v>50</v>
      </c>
      <c r="K122" s="88">
        <v>45309.0</v>
      </c>
      <c r="L122" s="89">
        <v>3.0</v>
      </c>
      <c r="M122" s="29">
        <f t="shared" si="17"/>
        <v>45358</v>
      </c>
      <c r="N122" s="26">
        <v>45419.0</v>
      </c>
      <c r="O122" s="98" t="s">
        <v>46</v>
      </c>
      <c r="P122" s="51" t="b">
        <v>0</v>
      </c>
      <c r="Q122" s="31" t="b">
        <v>1</v>
      </c>
      <c r="R122" s="51" t="b">
        <v>0</v>
      </c>
      <c r="S122" s="95"/>
      <c r="U122" s="33" t="b">
        <f t="shared" si="11"/>
        <v>0</v>
      </c>
      <c r="V122" s="96" t="s">
        <v>279</v>
      </c>
      <c r="W122" s="93"/>
      <c r="X122" s="93"/>
      <c r="Y122" s="96" t="s">
        <v>301</v>
      </c>
      <c r="Z122" s="96" t="s">
        <v>288</v>
      </c>
      <c r="AA122" s="34">
        <f t="shared" si="3"/>
        <v>38.14285714</v>
      </c>
      <c r="AB122" s="35">
        <f t="shared" si="15"/>
        <v>23964.28571</v>
      </c>
      <c r="AC122" s="29" t="str">
        <f t="shared" si="5"/>
        <v>Sim</v>
      </c>
      <c r="AD122" s="37" t="str">
        <f t="shared" si="1"/>
        <v>Não</v>
      </c>
      <c r="AE122" s="38">
        <f t="shared" si="6"/>
        <v>3</v>
      </c>
      <c r="AF122" s="29">
        <f>IF(N122,N122+((VLOOKUP(C122,'NPS de resultado'!$C$7:$D$36,2)*30)),"")</f>
        <v>45599</v>
      </c>
      <c r="AG122" s="25"/>
    </row>
    <row r="123" hidden="1">
      <c r="A123" s="43" t="str">
        <f>IFERROR(__xludf.DUMMYFUNCTION("""COMPUTED_VALUE"""),"MP Juliana")</f>
        <v>MP Juliana</v>
      </c>
      <c r="B123" s="43" t="str">
        <f>IFERROR(__xludf.DUMMYFUNCTION("""COMPUTED_VALUE"""),"NCon")</f>
        <v>NCon</v>
      </c>
      <c r="C123" s="43" t="str">
        <f>IFERROR(__xludf.DUMMYFUNCTION("""COMPUTED_VALUE"""),"Modelagem e Projeção")</f>
        <v>Modelagem e Projeção</v>
      </c>
      <c r="D123" s="43" t="str">
        <f>IFERROR(__xludf.DUMMYFUNCTION("""COMPUTED_VALUE"""),"Projeto")</f>
        <v>Projeto</v>
      </c>
      <c r="E123" s="46">
        <f>IFERROR(__xludf.DUMMYFUNCTION("""COMPUTED_VALUE"""),11000.0)</f>
        <v>11000</v>
      </c>
      <c r="F123" s="34">
        <f>IFERROR(__xludf.DUMMYFUNCTION("""COMPUTED_VALUE"""),7.0)</f>
        <v>7</v>
      </c>
      <c r="G123" s="34">
        <f>IFERROR(__xludf.DUMMYFUNCTION("""COMPUTED_VALUE"""),1.0)</f>
        <v>1</v>
      </c>
      <c r="H123" s="47">
        <f>IFERROR(__xludf.DUMMYFUNCTION("""COMPUTED_VALUE"""),45334.0)</f>
        <v>45334</v>
      </c>
      <c r="I123" s="47">
        <f>IFERROR(__xludf.DUMMYFUNCTION("""COMPUTED_VALUE"""),45380.0)</f>
        <v>45380</v>
      </c>
      <c r="J123" s="99" t="s">
        <v>39</v>
      </c>
      <c r="K123" s="88">
        <v>45322.0</v>
      </c>
      <c r="L123" s="89">
        <v>0.0</v>
      </c>
      <c r="M123" s="54">
        <v>45373.0</v>
      </c>
      <c r="N123" s="88">
        <v>45373.0</v>
      </c>
      <c r="O123" s="74" t="s">
        <v>46</v>
      </c>
      <c r="P123" s="51" t="b">
        <v>0</v>
      </c>
      <c r="Q123" s="51" t="b">
        <v>0</v>
      </c>
      <c r="R123" s="31" t="b">
        <v>1</v>
      </c>
      <c r="S123" s="100">
        <v>10.0</v>
      </c>
      <c r="U123" s="33" t="b">
        <f t="shared" si="11"/>
        <v>1</v>
      </c>
      <c r="V123" s="92" t="s">
        <v>120</v>
      </c>
      <c r="W123" s="92" t="s">
        <v>123</v>
      </c>
      <c r="X123" s="93"/>
      <c r="Y123" s="93"/>
      <c r="AA123" s="34">
        <f t="shared" si="3"/>
        <v>7.285714286</v>
      </c>
      <c r="AB123" s="35">
        <f t="shared" si="15"/>
        <v>0</v>
      </c>
      <c r="AC123" s="29" t="str">
        <f t="shared" si="5"/>
        <v>Sim</v>
      </c>
      <c r="AD123" s="37" t="str">
        <f t="shared" si="1"/>
        <v>Não</v>
      </c>
      <c r="AE123" s="38">
        <f t="shared" si="6"/>
        <v>-12</v>
      </c>
      <c r="AF123" s="29">
        <f>IF(N123,N123+((VLOOKUP(C123,'NPS de resultado'!$C$7:$D$36,2)*30)),"")</f>
        <v>45553</v>
      </c>
      <c r="AG123" s="39"/>
    </row>
    <row r="124">
      <c r="A124" s="43" t="str">
        <f>IFERROR(__xludf.DUMMYFUNCTION("""COMPUTED_VALUE"""),"Stabia 2.0")</f>
        <v>Stabia 2.0</v>
      </c>
      <c r="B124" s="43" t="str">
        <f>IFERROR(__xludf.DUMMYFUNCTION("""COMPUTED_VALUE"""),"NDados")</f>
        <v>NDados</v>
      </c>
      <c r="C124" s="43" t="str">
        <f>IFERROR(__xludf.DUMMYFUNCTION("""COMPUTED_VALUE"""),"Visualização")</f>
        <v>Visualização</v>
      </c>
      <c r="D124" s="43" t="str">
        <f>IFERROR(__xludf.DUMMYFUNCTION("""COMPUTED_VALUE"""),"Aditivo")</f>
        <v>Aditivo</v>
      </c>
      <c r="E124" s="46">
        <f>IFERROR(__xludf.DUMMYFUNCTION("""COMPUTED_VALUE"""),6000.0)</f>
        <v>6000</v>
      </c>
      <c r="F124" s="34">
        <f>IFERROR(__xludf.DUMMYFUNCTION("""COMPUTED_VALUE"""),4.0)</f>
        <v>4</v>
      </c>
      <c r="G124" s="34">
        <f>IFERROR(__xludf.DUMMYFUNCTION("""COMPUTED_VALUE"""),1.0)</f>
        <v>1</v>
      </c>
      <c r="H124" s="47">
        <f>IFERROR(__xludf.DUMMYFUNCTION("""COMPUTED_VALUE"""),45306.0)</f>
        <v>45306</v>
      </c>
      <c r="I124" s="47">
        <f>IFERROR(__xludf.DUMMYFUNCTION("""COMPUTED_VALUE"""),45334.0)</f>
        <v>45334</v>
      </c>
      <c r="J124" s="99" t="s">
        <v>39</v>
      </c>
      <c r="K124" s="80">
        <v>45321.0</v>
      </c>
      <c r="L124" s="97">
        <v>2.0</v>
      </c>
      <c r="M124" s="29">
        <f t="shared" ref="M124:M135" si="18">IF(K124&lt;&gt;"",K124+(F124+L124)*7,"-")</f>
        <v>45363</v>
      </c>
      <c r="N124" s="88">
        <v>45358.0</v>
      </c>
      <c r="O124" s="101" t="s">
        <v>46</v>
      </c>
      <c r="P124" s="51" t="b">
        <v>0</v>
      </c>
      <c r="Q124" s="51" t="b">
        <v>0</v>
      </c>
      <c r="R124" s="51" t="b">
        <v>0</v>
      </c>
      <c r="S124" s="90">
        <v>9.0</v>
      </c>
      <c r="U124" s="33" t="b">
        <f t="shared" si="11"/>
        <v>0</v>
      </c>
      <c r="V124" s="96" t="s">
        <v>224</v>
      </c>
      <c r="W124" s="96" t="s">
        <v>330</v>
      </c>
      <c r="X124" s="93"/>
      <c r="Y124" s="93"/>
      <c r="AA124" s="34">
        <f t="shared" si="3"/>
        <v>3.285714286</v>
      </c>
      <c r="AB124" s="35">
        <f t="shared" si="15"/>
        <v>0</v>
      </c>
      <c r="AC124" s="29" t="str">
        <f t="shared" si="5"/>
        <v>Sim</v>
      </c>
      <c r="AD124" s="37" t="str">
        <f t="shared" si="1"/>
        <v>Não</v>
      </c>
      <c r="AE124" s="38">
        <f t="shared" si="6"/>
        <v>15</v>
      </c>
      <c r="AF124" s="29">
        <f>IF(N124,N124+((VLOOKUP(C124,'NPS de resultado'!$C$7:$D$36,2)*30)),"")</f>
        <v>45448</v>
      </c>
      <c r="AG124" s="39"/>
    </row>
    <row r="125" hidden="1">
      <c r="A125" s="43" t="str">
        <f>IFERROR(__xludf.DUMMYFUNCTION("""COMPUTED_VALUE"""),"Musical")</f>
        <v>Musical</v>
      </c>
      <c r="B125" s="43" t="str">
        <f>IFERROR(__xludf.DUMMYFUNCTION("""COMPUTED_VALUE"""),"NCiv")</f>
        <v>NCiv</v>
      </c>
      <c r="C125" s="43" t="str">
        <f>IFERROR(__xludf.DUMMYFUNCTION("""COMPUTED_VALUE"""),"Completo")</f>
        <v>Completo</v>
      </c>
      <c r="D125" s="43" t="str">
        <f>IFERROR(__xludf.DUMMYFUNCTION("""COMPUTED_VALUE"""),"Projeto")</f>
        <v>Projeto</v>
      </c>
      <c r="E125" s="46">
        <f>IFERROR(__xludf.DUMMYFUNCTION("""COMPUTED_VALUE"""),19650.0)</f>
        <v>19650</v>
      </c>
      <c r="F125" s="34">
        <f>IFERROR(__xludf.DUMMYFUNCTION("""COMPUTED_VALUE"""),8.0)</f>
        <v>8</v>
      </c>
      <c r="G125" s="34">
        <f>IFERROR(__xludf.DUMMYFUNCTION("""COMPUTED_VALUE"""),4.0)</f>
        <v>4</v>
      </c>
      <c r="H125" s="47">
        <f>IFERROR(__xludf.DUMMYFUNCTION("""COMPUTED_VALUE"""),45327.0)</f>
        <v>45327</v>
      </c>
      <c r="I125" s="47">
        <f>IFERROR(__xludf.DUMMYFUNCTION("""COMPUTED_VALUE"""),45383.0)</f>
        <v>45383</v>
      </c>
      <c r="J125" s="99" t="s">
        <v>50</v>
      </c>
      <c r="K125" s="88">
        <v>45352.0</v>
      </c>
      <c r="L125" s="97"/>
      <c r="M125" s="29">
        <f t="shared" si="18"/>
        <v>45408</v>
      </c>
      <c r="N125" s="94"/>
      <c r="O125" s="31" t="s">
        <v>100</v>
      </c>
      <c r="P125" s="51" t="b">
        <v>0</v>
      </c>
      <c r="Q125" s="51" t="b">
        <v>0</v>
      </c>
      <c r="R125" s="51" t="b">
        <v>0</v>
      </c>
      <c r="S125" s="95"/>
      <c r="U125" s="33" t="b">
        <f t="shared" si="11"/>
        <v>0</v>
      </c>
      <c r="V125" s="22" t="s">
        <v>110</v>
      </c>
      <c r="W125" s="22" t="s">
        <v>91</v>
      </c>
      <c r="X125" s="22" t="s">
        <v>82</v>
      </c>
      <c r="Y125" s="22" t="s">
        <v>53</v>
      </c>
      <c r="Z125" s="22" t="s">
        <v>85</v>
      </c>
      <c r="AA125" s="34">
        <f t="shared" si="3"/>
        <v>0</v>
      </c>
      <c r="AB125" s="35">
        <f t="shared" si="15"/>
        <v>0</v>
      </c>
      <c r="AC125" s="29" t="str">
        <f t="shared" si="5"/>
        <v>Sim</v>
      </c>
      <c r="AD125" s="37" t="str">
        <f t="shared" si="1"/>
        <v>Não</v>
      </c>
      <c r="AE125" s="38">
        <f t="shared" si="6"/>
        <v>25</v>
      </c>
      <c r="AF125" s="29" t="str">
        <f>IF(N125,N125+((VLOOKUP(C125,'NPS de resultado'!$C$7:$D$36,2)*30)),"")</f>
        <v/>
      </c>
      <c r="AG125" s="39"/>
    </row>
    <row r="126" hidden="1">
      <c r="A126" s="43" t="str">
        <f>IFERROR(__xludf.DUMMYFUNCTION("""COMPUTED_VALUE"""),"Petlove")</f>
        <v>Petlove</v>
      </c>
      <c r="B126" s="43" t="str">
        <f>IFERROR(__xludf.DUMMYFUNCTION("""COMPUTED_VALUE"""),"NCon")</f>
        <v>NCon</v>
      </c>
      <c r="C126" s="43" t="str">
        <f>IFERROR(__xludf.DUMMYFUNCTION("""COMPUTED_VALUE"""),"Pesquisa de Mercado")</f>
        <v>Pesquisa de Mercado</v>
      </c>
      <c r="D126" s="43" t="str">
        <f>IFERROR(__xludf.DUMMYFUNCTION("""COMPUTED_VALUE"""),"Projeto")</f>
        <v>Projeto</v>
      </c>
      <c r="E126" s="46">
        <f>IFERROR(__xludf.DUMMYFUNCTION("""COMPUTED_VALUE"""),11000.0)</f>
        <v>11000</v>
      </c>
      <c r="F126" s="34">
        <f>IFERROR(__xludf.DUMMYFUNCTION("""COMPUTED_VALUE"""),5.0)</f>
        <v>5</v>
      </c>
      <c r="G126" s="34">
        <f>IFERROR(__xludf.DUMMYFUNCTION("""COMPUTED_VALUE"""),1.0)</f>
        <v>1</v>
      </c>
      <c r="H126" s="47">
        <f>IFERROR(__xludf.DUMMYFUNCTION("""COMPUTED_VALUE"""),45334.0)</f>
        <v>45334</v>
      </c>
      <c r="I126" s="47">
        <f>IFERROR(__xludf.DUMMYFUNCTION("""COMPUTED_VALUE"""),45366.0)</f>
        <v>45366</v>
      </c>
      <c r="J126" s="99" t="s">
        <v>39</v>
      </c>
      <c r="K126" s="88">
        <v>45323.0</v>
      </c>
      <c r="L126" s="89">
        <v>0.0</v>
      </c>
      <c r="M126" s="29">
        <f t="shared" si="18"/>
        <v>45358</v>
      </c>
      <c r="N126" s="88">
        <v>45405.0</v>
      </c>
      <c r="O126" s="69" t="s">
        <v>46</v>
      </c>
      <c r="P126" s="51" t="b">
        <v>0</v>
      </c>
      <c r="Q126" s="51" t="b">
        <v>0</v>
      </c>
      <c r="R126" s="31" t="b">
        <v>1</v>
      </c>
      <c r="S126" s="90">
        <v>10.0</v>
      </c>
      <c r="U126" s="33" t="b">
        <f t="shared" si="11"/>
        <v>0</v>
      </c>
      <c r="V126" s="92" t="s">
        <v>125</v>
      </c>
      <c r="W126" s="92" t="s">
        <v>119</v>
      </c>
      <c r="X126" s="93"/>
      <c r="Y126" s="93"/>
      <c r="AA126" s="34">
        <f t="shared" si="3"/>
        <v>11.71428571</v>
      </c>
      <c r="AB126" s="35">
        <f t="shared" si="15"/>
        <v>14771.42857</v>
      </c>
      <c r="AC126" s="29" t="str">
        <f t="shared" si="5"/>
        <v>Sim</v>
      </c>
      <c r="AD126" s="37" t="str">
        <f t="shared" si="1"/>
        <v>Não</v>
      </c>
      <c r="AE126" s="38">
        <f t="shared" si="6"/>
        <v>-11</v>
      </c>
      <c r="AF126" s="29">
        <f>IF(N126,N126+((VLOOKUP(C126,'NPS de resultado'!$C$7:$D$36,2)*30)),"")</f>
        <v>45585</v>
      </c>
      <c r="AG126" s="39"/>
    </row>
    <row r="127" hidden="1">
      <c r="A127" s="43" t="str">
        <f>IFERROR(__xludf.DUMMYFUNCTION("""COMPUTED_VALUE"""),"Design Vila Mariana")</f>
        <v>Design Vila Mariana</v>
      </c>
      <c r="B127" s="43" t="str">
        <f>IFERROR(__xludf.DUMMYFUNCTION("""COMPUTED_VALUE"""),"NCiv")</f>
        <v>NCiv</v>
      </c>
      <c r="C127" s="43" t="str">
        <f>IFERROR(__xludf.DUMMYFUNCTION("""COMPUTED_VALUE"""),"Design de Interiores")</f>
        <v>Design de Interiores</v>
      </c>
      <c r="D127" s="43" t="str">
        <f>IFERROR(__xludf.DUMMYFUNCTION("""COMPUTED_VALUE"""),"Projeto")</f>
        <v>Projeto</v>
      </c>
      <c r="E127" s="46">
        <f>IFERROR(__xludf.DUMMYFUNCTION("""COMPUTED_VALUE"""),5400.0)</f>
        <v>5400</v>
      </c>
      <c r="F127" s="34">
        <f>IFERROR(__xludf.DUMMYFUNCTION("""COMPUTED_VALUE"""),6.0)</f>
        <v>6</v>
      </c>
      <c r="G127" s="34">
        <f>IFERROR(__xludf.DUMMYFUNCTION("""COMPUTED_VALUE"""),1.0)</f>
        <v>1</v>
      </c>
      <c r="H127" s="47">
        <f>IFERROR(__xludf.DUMMYFUNCTION("""COMPUTED_VALUE"""),45334.0)</f>
        <v>45334</v>
      </c>
      <c r="I127" s="47">
        <f>IFERROR(__xludf.DUMMYFUNCTION("""COMPUTED_VALUE"""),45376.0)</f>
        <v>45376</v>
      </c>
      <c r="J127" s="99" t="s">
        <v>50</v>
      </c>
      <c r="K127" s="88">
        <v>45342.0</v>
      </c>
      <c r="L127" s="97"/>
      <c r="M127" s="29">
        <f t="shared" si="18"/>
        <v>45384</v>
      </c>
      <c r="N127" s="94"/>
      <c r="O127" s="31" t="s">
        <v>51</v>
      </c>
      <c r="P127" s="51" t="b">
        <v>0</v>
      </c>
      <c r="Q127" s="51" t="b">
        <v>0</v>
      </c>
      <c r="R127" s="51" t="b">
        <v>0</v>
      </c>
      <c r="S127" s="95"/>
      <c r="U127" s="33" t="b">
        <f t="shared" si="11"/>
        <v>0</v>
      </c>
      <c r="V127" s="22" t="s">
        <v>110</v>
      </c>
      <c r="W127" s="22" t="s">
        <v>77</v>
      </c>
      <c r="X127" s="22"/>
      <c r="Y127" s="22"/>
      <c r="Z127" s="22"/>
      <c r="AA127" s="34">
        <f t="shared" si="3"/>
        <v>0</v>
      </c>
      <c r="AB127" s="35">
        <f t="shared" si="15"/>
        <v>10928.57143</v>
      </c>
      <c r="AC127" s="29" t="str">
        <f t="shared" si="5"/>
        <v>Sim</v>
      </c>
      <c r="AD127" s="37" t="str">
        <f t="shared" si="1"/>
        <v>Não</v>
      </c>
      <c r="AE127" s="38">
        <f t="shared" si="6"/>
        <v>8</v>
      </c>
      <c r="AF127" s="29" t="str">
        <f>IF(N127,N127+((VLOOKUP(C127,'NPS de resultado'!$C$7:$D$36,2)*30)),"")</f>
        <v/>
      </c>
      <c r="AG127" s="39"/>
    </row>
    <row r="128" hidden="1">
      <c r="A128" s="43" t="str">
        <f>IFERROR(__xludf.DUMMYFUNCTION("""COMPUTED_VALUE"""),"São Carlos")</f>
        <v>São Carlos</v>
      </c>
      <c r="B128" s="43" t="str">
        <f>IFERROR(__xludf.DUMMYFUNCTION("""COMPUTED_VALUE"""),"NCiv")</f>
        <v>NCiv</v>
      </c>
      <c r="C128" s="43" t="str">
        <f>IFERROR(__xludf.DUMMYFUNCTION("""COMPUTED_VALUE"""),"Arquitetônico")</f>
        <v>Arquitetônico</v>
      </c>
      <c r="D128" s="43" t="str">
        <f>IFERROR(__xludf.DUMMYFUNCTION("""COMPUTED_VALUE"""),"Projeto")</f>
        <v>Projeto</v>
      </c>
      <c r="E128" s="46">
        <f>IFERROR(__xludf.DUMMYFUNCTION("""COMPUTED_VALUE"""),7380.0)</f>
        <v>7380</v>
      </c>
      <c r="F128" s="34">
        <f>IFERROR(__xludf.DUMMYFUNCTION("""COMPUTED_VALUE"""),9.0)</f>
        <v>9</v>
      </c>
      <c r="G128" s="34">
        <f>IFERROR(__xludf.DUMMYFUNCTION("""COMPUTED_VALUE"""),1.0)</f>
        <v>1</v>
      </c>
      <c r="H128" s="47">
        <f>IFERROR(__xludf.DUMMYFUNCTION("""COMPUTED_VALUE"""),45334.0)</f>
        <v>45334</v>
      </c>
      <c r="I128" s="47">
        <f>IFERROR(__xludf.DUMMYFUNCTION("""COMPUTED_VALUE"""),45401.0)</f>
        <v>45401</v>
      </c>
      <c r="J128" s="99" t="s">
        <v>50</v>
      </c>
      <c r="K128" s="26">
        <v>45344.0</v>
      </c>
      <c r="L128" s="81"/>
      <c r="M128" s="29">
        <f t="shared" si="18"/>
        <v>45407</v>
      </c>
      <c r="N128" s="47"/>
      <c r="O128" s="31" t="s">
        <v>51</v>
      </c>
      <c r="P128" s="51" t="b">
        <v>0</v>
      </c>
      <c r="Q128" s="51" t="b">
        <v>0</v>
      </c>
      <c r="R128" s="51" t="b">
        <v>0</v>
      </c>
      <c r="S128" s="25"/>
      <c r="T128" s="43"/>
      <c r="U128" s="33" t="b">
        <f t="shared" si="11"/>
        <v>0</v>
      </c>
      <c r="V128" s="20" t="s">
        <v>81</v>
      </c>
      <c r="W128" s="20" t="s">
        <v>84</v>
      </c>
      <c r="X128" s="43"/>
      <c r="Y128" s="43"/>
      <c r="Z128" s="43"/>
      <c r="AA128" s="34">
        <f t="shared" si="3"/>
        <v>0</v>
      </c>
      <c r="AB128" s="35">
        <f t="shared" si="15"/>
        <v>7262.857143</v>
      </c>
      <c r="AC128" s="29" t="str">
        <f t="shared" si="5"/>
        <v>Sim</v>
      </c>
      <c r="AD128" s="37" t="str">
        <f t="shared" si="1"/>
        <v>Não</v>
      </c>
      <c r="AE128" s="38">
        <f t="shared" si="6"/>
        <v>10</v>
      </c>
      <c r="AF128" s="29" t="str">
        <f>IF(N128,N128+((VLOOKUP(C128,'NPS de resultado'!$C$7:$D$36,2)*30)),"")</f>
        <v/>
      </c>
      <c r="AG128" s="39"/>
    </row>
    <row r="129" hidden="1">
      <c r="A129" s="43" t="str">
        <f>IFERROR(__xludf.DUMMYFUNCTION("""COMPUTED_VALUE"""),"App Pedro Solfa")</f>
        <v>App Pedro Solfa</v>
      </c>
      <c r="B129" s="43" t="str">
        <f>IFERROR(__xludf.DUMMYFUNCTION("""COMPUTED_VALUE"""),"NTec")</f>
        <v>NTec</v>
      </c>
      <c r="C129" s="43" t="str">
        <f>IFERROR(__xludf.DUMMYFUNCTION("""COMPUTED_VALUE"""),"Escopo Aberto")</f>
        <v>Escopo Aberto</v>
      </c>
      <c r="D129" s="43" t="str">
        <f>IFERROR(__xludf.DUMMYFUNCTION("""COMPUTED_VALUE"""),"Projeto")</f>
        <v>Projeto</v>
      </c>
      <c r="E129" s="46">
        <f>IFERROR(__xludf.DUMMYFUNCTION("""COMPUTED_VALUE"""),48200.0)</f>
        <v>48200</v>
      </c>
      <c r="F129" s="34">
        <f>IFERROR(__xludf.DUMMYFUNCTION("""COMPUTED_VALUE"""),16.0)</f>
        <v>16</v>
      </c>
      <c r="G129" s="34">
        <f>IFERROR(__xludf.DUMMYFUNCTION("""COMPUTED_VALUE"""),3.0)</f>
        <v>3</v>
      </c>
      <c r="H129" s="47">
        <f>IFERROR(__xludf.DUMMYFUNCTION("""COMPUTED_VALUE"""),45334.0)</f>
        <v>45334</v>
      </c>
      <c r="I129" s="47">
        <f>IFERROR(__xludf.DUMMYFUNCTION("""COMPUTED_VALUE"""),45446.0)</f>
        <v>45446</v>
      </c>
      <c r="J129" s="64" t="s">
        <v>50</v>
      </c>
      <c r="K129" s="26">
        <v>45348.0</v>
      </c>
      <c r="L129" s="81"/>
      <c r="M129" s="29">
        <f t="shared" si="18"/>
        <v>45460</v>
      </c>
      <c r="N129" s="47"/>
      <c r="O129" s="20" t="s">
        <v>40</v>
      </c>
      <c r="P129" s="51" t="b">
        <v>0</v>
      </c>
      <c r="Q129" s="51" t="b">
        <v>0</v>
      </c>
      <c r="R129" s="51" t="b">
        <v>0</v>
      </c>
      <c r="S129" s="25"/>
      <c r="T129" s="43"/>
      <c r="U129" s="33" t="b">
        <f t="shared" si="11"/>
        <v>0</v>
      </c>
      <c r="V129" s="20" t="s">
        <v>277</v>
      </c>
      <c r="W129" s="20" t="s">
        <v>331</v>
      </c>
      <c r="X129" s="20" t="s">
        <v>293</v>
      </c>
      <c r="Y129" s="43"/>
      <c r="Z129" s="43"/>
      <c r="AA129" s="34">
        <f t="shared" si="3"/>
        <v>0</v>
      </c>
      <c r="AB129" s="35">
        <f t="shared" si="15"/>
        <v>3873.214286</v>
      </c>
      <c r="AC129" s="29" t="str">
        <f t="shared" si="5"/>
        <v>Sim</v>
      </c>
      <c r="AD129" s="37" t="str">
        <f t="shared" si="1"/>
        <v>Sim</v>
      </c>
      <c r="AE129" s="38">
        <f t="shared" si="6"/>
        <v>14</v>
      </c>
      <c r="AF129" s="29" t="str">
        <f>IF(N129,N129+((VLOOKUP(C129,'NPS de resultado'!$C$7:$D$36,2)*30)),"")</f>
        <v/>
      </c>
      <c r="AG129" s="25">
        <v>10.0</v>
      </c>
    </row>
    <row r="130" hidden="1">
      <c r="A130" s="43" t="str">
        <f>IFERROR(__xludf.DUMMYFUNCTION("""COMPUTED_VALUE"""),"Doctor Credit")</f>
        <v>Doctor Credit</v>
      </c>
      <c r="B130" s="43" t="str">
        <f>IFERROR(__xludf.DUMMYFUNCTION("""COMPUTED_VALUE"""),"NTec")</f>
        <v>NTec</v>
      </c>
      <c r="C130" s="43" t="str">
        <f>IFERROR(__xludf.DUMMYFUNCTION("""COMPUTED_VALUE"""),"Escopo Aberto")</f>
        <v>Escopo Aberto</v>
      </c>
      <c r="D130" s="43" t="str">
        <f>IFERROR(__xludf.DUMMYFUNCTION("""COMPUTED_VALUE"""),"Projeto")</f>
        <v>Projeto</v>
      </c>
      <c r="E130" s="46">
        <f>IFERROR(__xludf.DUMMYFUNCTION("""COMPUTED_VALUE"""),19800.0)</f>
        <v>19800</v>
      </c>
      <c r="F130" s="34">
        <f>IFERROR(__xludf.DUMMYFUNCTION("""COMPUTED_VALUE"""),6.0)</f>
        <v>6</v>
      </c>
      <c r="G130" s="34">
        <f>IFERROR(__xludf.DUMMYFUNCTION("""COMPUTED_VALUE"""),3.0)</f>
        <v>3</v>
      </c>
      <c r="H130" s="47">
        <f>IFERROR(__xludf.DUMMYFUNCTION("""COMPUTED_VALUE"""),45327.0)</f>
        <v>45327</v>
      </c>
      <c r="I130" s="47">
        <f>IFERROR(__xludf.DUMMYFUNCTION("""COMPUTED_VALUE"""),45369.0)</f>
        <v>45369</v>
      </c>
      <c r="J130" s="64" t="s">
        <v>50</v>
      </c>
      <c r="K130" s="26">
        <v>45338.0</v>
      </c>
      <c r="L130" s="81"/>
      <c r="M130" s="29">
        <f t="shared" si="18"/>
        <v>45380</v>
      </c>
      <c r="N130" s="47"/>
      <c r="O130" s="51" t="s">
        <v>51</v>
      </c>
      <c r="P130" s="51" t="b">
        <v>0</v>
      </c>
      <c r="Q130" s="51" t="b">
        <v>0</v>
      </c>
      <c r="R130" s="51" t="b">
        <v>0</v>
      </c>
      <c r="S130" s="34"/>
      <c r="T130" s="43"/>
      <c r="U130" s="33" t="b">
        <f t="shared" si="11"/>
        <v>0</v>
      </c>
      <c r="V130" s="20" t="s">
        <v>276</v>
      </c>
      <c r="W130" s="20" t="s">
        <v>329</v>
      </c>
      <c r="X130" s="20" t="s">
        <v>331</v>
      </c>
      <c r="Y130" s="43"/>
      <c r="Z130" s="20" t="s">
        <v>288</v>
      </c>
      <c r="AA130" s="34">
        <f t="shared" si="3"/>
        <v>0</v>
      </c>
      <c r="AB130" s="35">
        <f t="shared" si="15"/>
        <v>41957.14286</v>
      </c>
      <c r="AC130" s="29" t="str">
        <f t="shared" si="5"/>
        <v>Sim</v>
      </c>
      <c r="AD130" s="37" t="str">
        <f t="shared" si="1"/>
        <v>Não</v>
      </c>
      <c r="AE130" s="38">
        <f t="shared" si="6"/>
        <v>11</v>
      </c>
      <c r="AF130" s="29" t="str">
        <f>IF(N130,N130+((VLOOKUP(C130,'NPS de resultado'!$C$7:$D$36,2)*30)),"")</f>
        <v/>
      </c>
      <c r="AG130" s="25"/>
    </row>
    <row r="131" hidden="1">
      <c r="A131" s="43" t="str">
        <f>IFERROR(__xludf.DUMMYFUNCTION("""COMPUTED_VALUE"""),"Lucas Farias")</f>
        <v>Lucas Farias</v>
      </c>
      <c r="B131" s="43" t="str">
        <f>IFERROR(__xludf.DUMMYFUNCTION("""COMPUTED_VALUE"""),"NTec")</f>
        <v>NTec</v>
      </c>
      <c r="C131" s="43" t="str">
        <f>IFERROR(__xludf.DUMMYFUNCTION("""COMPUTED_VALUE"""),"Concepção")</f>
        <v>Concepção</v>
      </c>
      <c r="D131" s="43" t="str">
        <f>IFERROR(__xludf.DUMMYFUNCTION("""COMPUTED_VALUE"""),"Projeto")</f>
        <v>Projeto</v>
      </c>
      <c r="E131" s="46">
        <f>IFERROR(__xludf.DUMMYFUNCTION("""COMPUTED_VALUE"""),13200.0)</f>
        <v>13200</v>
      </c>
      <c r="F131" s="34">
        <f>IFERROR(__xludf.DUMMYFUNCTION("""COMPUTED_VALUE"""),4.0)</f>
        <v>4</v>
      </c>
      <c r="G131" s="34">
        <f>IFERROR(__xludf.DUMMYFUNCTION("""COMPUTED_VALUE"""),3.0)</f>
        <v>3</v>
      </c>
      <c r="H131" s="47">
        <f>IFERROR(__xludf.DUMMYFUNCTION("""COMPUTED_VALUE"""),45320.0)</f>
        <v>45320</v>
      </c>
      <c r="I131" s="47">
        <f>IFERROR(__xludf.DUMMYFUNCTION("""COMPUTED_VALUE"""),45348.0)</f>
        <v>45348</v>
      </c>
      <c r="J131" s="64" t="s">
        <v>50</v>
      </c>
      <c r="K131" s="26">
        <v>45321.0</v>
      </c>
      <c r="L131" s="86">
        <v>1.0</v>
      </c>
      <c r="M131" s="29">
        <f t="shared" si="18"/>
        <v>45356</v>
      </c>
      <c r="N131" s="26">
        <v>45363.0</v>
      </c>
      <c r="O131" s="51" t="s">
        <v>46</v>
      </c>
      <c r="P131" s="51" t="b">
        <v>0</v>
      </c>
      <c r="Q131" s="51" t="b">
        <v>0</v>
      </c>
      <c r="R131" s="51" t="b">
        <v>0</v>
      </c>
      <c r="S131" s="34"/>
      <c r="T131" s="43"/>
      <c r="U131" s="33" t="b">
        <f t="shared" si="11"/>
        <v>0</v>
      </c>
      <c r="V131" s="20" t="s">
        <v>316</v>
      </c>
      <c r="W131" s="20" t="s">
        <v>293</v>
      </c>
      <c r="X131" s="20" t="s">
        <v>317</v>
      </c>
      <c r="Y131" s="43"/>
      <c r="Z131" s="43"/>
      <c r="AA131" s="34">
        <f t="shared" si="3"/>
        <v>15</v>
      </c>
      <c r="AB131" s="35">
        <f t="shared" si="15"/>
        <v>3300</v>
      </c>
      <c r="AC131" s="29" t="str">
        <f t="shared" si="5"/>
        <v>Sim</v>
      </c>
      <c r="AD131" s="37" t="str">
        <f t="shared" si="1"/>
        <v>Não</v>
      </c>
      <c r="AE131" s="38">
        <f t="shared" si="6"/>
        <v>1</v>
      </c>
      <c r="AF131" s="29">
        <f>IF(N131,N131+((VLOOKUP(C131,'NPS de resultado'!$C$7:$D$36,2)*30)),"")</f>
        <v>45543</v>
      </c>
      <c r="AG131" s="25"/>
    </row>
    <row r="132" hidden="1">
      <c r="A132" s="43" t="str">
        <f>IFERROR(__xludf.DUMMYFUNCTION("""COMPUTED_VALUE"""),"Clube do Horto")</f>
        <v>Clube do Horto</v>
      </c>
      <c r="B132" s="43" t="str">
        <f>IFERROR(__xludf.DUMMYFUNCTION("""COMPUTED_VALUE"""),"NTec")</f>
        <v>NTec</v>
      </c>
      <c r="C132" s="43" t="str">
        <f>IFERROR(__xludf.DUMMYFUNCTION("""COMPUTED_VALUE"""),"Escopo Aberto")</f>
        <v>Escopo Aberto</v>
      </c>
      <c r="D132" s="43" t="str">
        <f>IFERROR(__xludf.DUMMYFUNCTION("""COMPUTED_VALUE"""),"Projeto")</f>
        <v>Projeto</v>
      </c>
      <c r="E132" s="46">
        <f>IFERROR(__xludf.DUMMYFUNCTION("""COMPUTED_VALUE"""),55000.0)</f>
        <v>55000</v>
      </c>
      <c r="F132" s="34">
        <f>IFERROR(__xludf.DUMMYFUNCTION("""COMPUTED_VALUE"""),18.0)</f>
        <v>18</v>
      </c>
      <c r="G132" s="34">
        <f>IFERROR(__xludf.DUMMYFUNCTION("""COMPUTED_VALUE"""),3.0)</f>
        <v>3</v>
      </c>
      <c r="H132" s="47">
        <f>IFERROR(__xludf.DUMMYFUNCTION("""COMPUTED_VALUE"""),45341.0)</f>
        <v>45341</v>
      </c>
      <c r="I132" s="47">
        <f>IFERROR(__xludf.DUMMYFUNCTION("""COMPUTED_VALUE"""),45474.0)</f>
        <v>45474</v>
      </c>
      <c r="J132" s="64" t="s">
        <v>50</v>
      </c>
      <c r="K132" s="26">
        <v>45350.0</v>
      </c>
      <c r="L132" s="86">
        <v>2.0</v>
      </c>
      <c r="M132" s="29">
        <f t="shared" si="18"/>
        <v>45490</v>
      </c>
      <c r="N132" s="47"/>
      <c r="O132" s="20" t="s">
        <v>40</v>
      </c>
      <c r="P132" s="102" t="b">
        <v>0</v>
      </c>
      <c r="Q132" s="102" t="b">
        <v>0</v>
      </c>
      <c r="R132" s="102" t="b">
        <v>0</v>
      </c>
      <c r="S132" s="34"/>
      <c r="T132" s="43"/>
      <c r="U132" s="33" t="b">
        <f t="shared" si="11"/>
        <v>0</v>
      </c>
      <c r="V132" s="20" t="s">
        <v>290</v>
      </c>
      <c r="W132" s="20" t="s">
        <v>303</v>
      </c>
      <c r="X132" s="20" t="s">
        <v>317</v>
      </c>
      <c r="Y132" s="43"/>
      <c r="Z132" s="43"/>
      <c r="AA132" s="34">
        <f t="shared" si="3"/>
        <v>0</v>
      </c>
      <c r="AB132" s="35">
        <f t="shared" si="15"/>
        <v>0</v>
      </c>
      <c r="AC132" s="29" t="str">
        <f t="shared" si="5"/>
        <v>NÃO</v>
      </c>
      <c r="AD132" s="37" t="str">
        <f t="shared" si="1"/>
        <v>Não</v>
      </c>
      <c r="AE132" s="38">
        <f t="shared" si="6"/>
        <v>9</v>
      </c>
      <c r="AF132" s="29" t="str">
        <f>IF(N132,N132+((VLOOKUP(C132,'NPS de resultado'!$C$7:$D$36,2)*30)),"")</f>
        <v/>
      </c>
      <c r="AG132" s="25"/>
    </row>
    <row r="133" hidden="1">
      <c r="A133" s="43" t="str">
        <f>IFERROR(__xludf.DUMMYFUNCTION("""COMPUTED_VALUE"""),"PM + GP Diálogos Embalados")</f>
        <v>PM + GP Diálogos Embalados</v>
      </c>
      <c r="B133" s="43" t="str">
        <f>IFERROR(__xludf.DUMMYFUNCTION("""COMPUTED_VALUE"""),"NCon")</f>
        <v>NCon</v>
      </c>
      <c r="C133" s="43" t="str">
        <f>IFERROR(__xludf.DUMMYFUNCTION("""COMPUTED_VALUE"""),"Gestão de Processos")</f>
        <v>Gestão de Processos</v>
      </c>
      <c r="D133" s="43" t="str">
        <f>IFERROR(__xludf.DUMMYFUNCTION("""COMPUTED_VALUE"""),"Projeto")</f>
        <v>Projeto</v>
      </c>
      <c r="E133" s="46">
        <f>IFERROR(__xludf.DUMMYFUNCTION("""COMPUTED_VALUE"""),29070.0)</f>
        <v>29070</v>
      </c>
      <c r="F133" s="34">
        <f>IFERROR(__xludf.DUMMYFUNCTION("""COMPUTED_VALUE"""),7.0)</f>
        <v>7</v>
      </c>
      <c r="G133" s="34">
        <f>IFERROR(__xludf.DUMMYFUNCTION("""COMPUTED_VALUE"""),3.0)</f>
        <v>3</v>
      </c>
      <c r="H133" s="47">
        <f>IFERROR(__xludf.DUMMYFUNCTION("""COMPUTED_VALUE"""),45296.0)</f>
        <v>45296</v>
      </c>
      <c r="I133" s="47">
        <f>IFERROR(__xludf.DUMMYFUNCTION("""COMPUTED_VALUE"""),45373.0)</f>
        <v>45373</v>
      </c>
      <c r="J133" s="103" t="s">
        <v>50</v>
      </c>
      <c r="K133" s="26">
        <v>45341.0</v>
      </c>
      <c r="L133" s="86" t="s">
        <v>332</v>
      </c>
      <c r="M133" s="29">
        <f t="shared" si="18"/>
        <v>45390</v>
      </c>
      <c r="N133" s="104">
        <v>45406.0</v>
      </c>
      <c r="O133" s="69" t="s">
        <v>46</v>
      </c>
      <c r="P133" s="102" t="b">
        <v>0</v>
      </c>
      <c r="Q133" s="102" t="b">
        <v>0</v>
      </c>
      <c r="R133" s="31" t="b">
        <v>1</v>
      </c>
      <c r="S133" s="25">
        <v>9.0</v>
      </c>
      <c r="T133" s="20"/>
      <c r="U133" s="33" t="b">
        <f t="shared" si="11"/>
        <v>0</v>
      </c>
      <c r="V133" s="20" t="s">
        <v>120</v>
      </c>
      <c r="W133" s="20" t="s">
        <v>132</v>
      </c>
      <c r="X133" s="20" t="s">
        <v>149</v>
      </c>
      <c r="Y133" s="20" t="s">
        <v>151</v>
      </c>
      <c r="Z133" s="43"/>
      <c r="AA133" s="34">
        <f t="shared" si="3"/>
        <v>27.85714286</v>
      </c>
      <c r="AB133" s="35">
        <f t="shared" si="15"/>
        <v>9492.244898</v>
      </c>
      <c r="AC133" s="29" t="str">
        <f t="shared" si="5"/>
        <v>Sim</v>
      </c>
      <c r="AD133" s="37" t="str">
        <f t="shared" si="1"/>
        <v>Não</v>
      </c>
      <c r="AE133" s="38">
        <f t="shared" si="6"/>
        <v>45</v>
      </c>
      <c r="AF133" s="29">
        <f>IF(N133,N133+((VLOOKUP(C133,'NPS de resultado'!$C$7:$D$36,2)*30)),"")</f>
        <v>45586</v>
      </c>
      <c r="AG133" s="39"/>
    </row>
    <row r="134" hidden="1">
      <c r="A134" s="43" t="str">
        <f>IFERROR(__xludf.DUMMYFUNCTION("""COMPUTED_VALUE"""),"Palmela")</f>
        <v>Palmela</v>
      </c>
      <c r="B134" s="43" t="str">
        <f>IFERROR(__xludf.DUMMYFUNCTION("""COMPUTED_VALUE"""),"NCiv")</f>
        <v>NCiv</v>
      </c>
      <c r="C134" s="43" t="str">
        <f>IFERROR(__xludf.DUMMYFUNCTION("""COMPUTED_VALUE"""),"Completo")</f>
        <v>Completo</v>
      </c>
      <c r="D134" s="43" t="str">
        <f>IFERROR(__xludf.DUMMYFUNCTION("""COMPUTED_VALUE"""),"Projeto")</f>
        <v>Projeto</v>
      </c>
      <c r="E134" s="46">
        <f>IFERROR(__xludf.DUMMYFUNCTION("""COMPUTED_VALUE"""),12165.0)</f>
        <v>12165</v>
      </c>
      <c r="F134" s="34">
        <f>IFERROR(__xludf.DUMMYFUNCTION("""COMPUTED_VALUE"""),9.0)</f>
        <v>9</v>
      </c>
      <c r="G134" s="34">
        <f>IFERROR(__xludf.DUMMYFUNCTION("""COMPUTED_VALUE"""),4.0)</f>
        <v>4</v>
      </c>
      <c r="H134" s="47">
        <f>IFERROR(__xludf.DUMMYFUNCTION("""COMPUTED_VALUE"""),45355.0)</f>
        <v>45355</v>
      </c>
      <c r="I134" s="47">
        <f>IFERROR(__xludf.DUMMYFUNCTION("""COMPUTED_VALUE"""),45418.0)</f>
        <v>45418</v>
      </c>
      <c r="J134" s="99" t="s">
        <v>50</v>
      </c>
      <c r="K134" s="26">
        <v>45370.0</v>
      </c>
      <c r="L134" s="86">
        <v>1.0</v>
      </c>
      <c r="M134" s="29">
        <f t="shared" si="18"/>
        <v>45440</v>
      </c>
      <c r="N134" s="47"/>
      <c r="O134" s="31" t="s">
        <v>40</v>
      </c>
      <c r="P134" s="102" t="b">
        <v>0</v>
      </c>
      <c r="Q134" s="102" t="b">
        <v>0</v>
      </c>
      <c r="R134" s="31" t="b">
        <v>1</v>
      </c>
      <c r="S134" s="34"/>
      <c r="T134" s="43"/>
      <c r="U134" s="33" t="b">
        <f t="shared" si="11"/>
        <v>0</v>
      </c>
      <c r="V134" s="20" t="s">
        <v>110</v>
      </c>
      <c r="W134" s="20" t="s">
        <v>84</v>
      </c>
      <c r="X134" s="43"/>
      <c r="Y134" s="43"/>
      <c r="Z134" s="43"/>
      <c r="AA134" s="34">
        <f t="shared" si="3"/>
        <v>0</v>
      </c>
      <c r="AB134" s="35">
        <f t="shared" si="15"/>
        <v>5599.761905</v>
      </c>
      <c r="AC134" s="29" t="str">
        <f t="shared" si="5"/>
        <v>Sim</v>
      </c>
      <c r="AD134" s="37" t="str">
        <f t="shared" si="1"/>
        <v>Sim</v>
      </c>
      <c r="AE134" s="38">
        <f t="shared" si="6"/>
        <v>15</v>
      </c>
      <c r="AF134" s="29" t="str">
        <f>IF(N134,N134+((VLOOKUP(C134,'NPS de resultado'!$C$7:$D$36,2)*30)),"")</f>
        <v/>
      </c>
      <c r="AG134" s="39"/>
    </row>
    <row r="135" hidden="1">
      <c r="A135" s="43" t="str">
        <f>IFERROR(__xludf.DUMMYFUNCTION("""COMPUTED_VALUE"""),"Aditivo Elvis")</f>
        <v>Aditivo Elvis</v>
      </c>
      <c r="B135" s="43" t="str">
        <f>IFERROR(__xludf.DUMMYFUNCTION("""COMPUTED_VALUE"""),"NCiv")</f>
        <v>NCiv</v>
      </c>
      <c r="C135" s="43" t="str">
        <f>IFERROR(__xludf.DUMMYFUNCTION("""COMPUTED_VALUE"""),"Arquitetônico")</f>
        <v>Arquitetônico</v>
      </c>
      <c r="D135" s="43" t="str">
        <f>IFERROR(__xludf.DUMMYFUNCTION("""COMPUTED_VALUE"""),"Extensão")</f>
        <v>Extensão</v>
      </c>
      <c r="E135" s="46">
        <f>IFERROR(__xludf.DUMMYFUNCTION("""COMPUTED_VALUE"""),1800.0)</f>
        <v>1800</v>
      </c>
      <c r="F135" s="34">
        <f>IFERROR(__xludf.DUMMYFUNCTION("""COMPUTED_VALUE"""),3.0)</f>
        <v>3</v>
      </c>
      <c r="G135" s="34">
        <f>IFERROR(__xludf.DUMMYFUNCTION("""COMPUTED_VALUE"""),1.0)</f>
        <v>1</v>
      </c>
      <c r="H135" s="47">
        <f>IFERROR(__xludf.DUMMYFUNCTION("""COMPUTED_VALUE"""),44955.0)</f>
        <v>44955</v>
      </c>
      <c r="I135" s="47">
        <f>IFERROR(__xludf.DUMMYFUNCTION("""COMPUTED_VALUE"""),44969.0)</f>
        <v>44969</v>
      </c>
      <c r="J135" s="99" t="s">
        <v>50</v>
      </c>
      <c r="K135" s="26">
        <v>45371.0</v>
      </c>
      <c r="L135" s="81"/>
      <c r="M135" s="29">
        <f t="shared" si="18"/>
        <v>45392</v>
      </c>
      <c r="N135" s="26">
        <v>45392.0</v>
      </c>
      <c r="O135" s="51" t="s">
        <v>46</v>
      </c>
      <c r="P135" s="102" t="b">
        <v>0</v>
      </c>
      <c r="Q135" s="31" t="b">
        <v>1</v>
      </c>
      <c r="R135" s="31" t="b">
        <v>1</v>
      </c>
      <c r="S135" s="34"/>
      <c r="T135" s="43"/>
      <c r="U135" s="33" t="b">
        <f t="shared" si="11"/>
        <v>0</v>
      </c>
      <c r="V135" s="43"/>
      <c r="W135" s="43"/>
      <c r="X135" s="43"/>
      <c r="Y135" s="43"/>
      <c r="Z135" s="43"/>
      <c r="AA135" s="34">
        <f t="shared" si="3"/>
        <v>3</v>
      </c>
      <c r="AB135" s="35">
        <f t="shared" si="15"/>
        <v>0</v>
      </c>
      <c r="AC135" s="29" t="str">
        <f t="shared" si="5"/>
        <v>Sim</v>
      </c>
      <c r="AD135" s="37" t="str">
        <f t="shared" si="1"/>
        <v>Não</v>
      </c>
      <c r="AE135" s="38">
        <f t="shared" si="6"/>
        <v>416</v>
      </c>
      <c r="AF135" s="29">
        <f>IF(N135,N135+((VLOOKUP(C135,'NPS de resultado'!$C$7:$D$36,2)*30)),"")</f>
        <v>45572</v>
      </c>
      <c r="AG135" s="39"/>
    </row>
    <row r="136">
      <c r="A136" s="43" t="str">
        <f>IFERROR(__xludf.DUMMYFUNCTION("""COMPUTED_VALUE"""),"Seiva Distribuidora")</f>
        <v>Seiva Distribuidora</v>
      </c>
      <c r="B136" s="43" t="str">
        <f>IFERROR(__xludf.DUMMYFUNCTION("""COMPUTED_VALUE"""),"NDados")</f>
        <v>NDados</v>
      </c>
      <c r="C136" s="43" t="str">
        <f>IFERROR(__xludf.DUMMYFUNCTION("""COMPUTED_VALUE"""),"Visualização")</f>
        <v>Visualização</v>
      </c>
      <c r="D136" s="43" t="str">
        <f>IFERROR(__xludf.DUMMYFUNCTION("""COMPUTED_VALUE"""),"Projeto")</f>
        <v>Projeto</v>
      </c>
      <c r="E136" s="46">
        <f>IFERROR(__xludf.DUMMYFUNCTION("""COMPUTED_VALUE"""),6000.0)</f>
        <v>6000</v>
      </c>
      <c r="F136" s="34">
        <f>IFERROR(__xludf.DUMMYFUNCTION("""COMPUTED_VALUE"""),4.0)</f>
        <v>4</v>
      </c>
      <c r="G136" s="34">
        <f>IFERROR(__xludf.DUMMYFUNCTION("""COMPUTED_VALUE"""),1.0)</f>
        <v>1</v>
      </c>
      <c r="H136" s="47">
        <f>IFERROR(__xludf.DUMMYFUNCTION("""COMPUTED_VALUE"""),45320.0)</f>
        <v>45320</v>
      </c>
      <c r="I136" s="47">
        <f>IFERROR(__xludf.DUMMYFUNCTION("""COMPUTED_VALUE"""),45341.0)</f>
        <v>45341</v>
      </c>
      <c r="J136" s="103" t="s">
        <v>39</v>
      </c>
      <c r="K136" s="105"/>
      <c r="L136" s="81">
        <v>0.0</v>
      </c>
      <c r="M136" s="36" t="s">
        <v>190</v>
      </c>
      <c r="N136" s="105"/>
      <c r="O136" s="20" t="s">
        <v>103</v>
      </c>
      <c r="P136" s="102" t="b">
        <v>0</v>
      </c>
      <c r="Q136" s="102" t="b">
        <v>0</v>
      </c>
      <c r="R136" s="102" t="b">
        <v>0</v>
      </c>
      <c r="S136" s="34"/>
      <c r="T136" s="43"/>
      <c r="U136" s="31" t="b">
        <f t="shared" si="11"/>
        <v>0</v>
      </c>
      <c r="V136" s="43"/>
      <c r="W136" s="43"/>
      <c r="X136" s="43"/>
      <c r="Y136" s="43"/>
      <c r="Z136" s="43"/>
      <c r="AA136" s="34">
        <f t="shared" si="3"/>
        <v>0</v>
      </c>
      <c r="AB136" s="35">
        <f t="shared" si="15"/>
        <v>0</v>
      </c>
      <c r="AC136" s="29" t="str">
        <f t="shared" si="5"/>
        <v>NÃO</v>
      </c>
      <c r="AD136" s="37" t="str">
        <f t="shared" si="1"/>
        <v>Não</v>
      </c>
      <c r="AE136" s="38">
        <f t="shared" si="6"/>
        <v>0</v>
      </c>
      <c r="AF136" s="29" t="str">
        <f>IF(N136,N136+((VLOOKUP(C136,'NPS de resultado'!$C$7:$D$36,2)*30)),"")</f>
        <v/>
      </c>
      <c r="AG136" s="39"/>
    </row>
    <row r="137" hidden="1">
      <c r="A137" s="43" t="str">
        <f>IFERROR(__xludf.DUMMYFUNCTION("""COMPUTED_VALUE"""),"PM Hotel")</f>
        <v>PM Hotel</v>
      </c>
      <c r="B137" s="43" t="str">
        <f>IFERROR(__xludf.DUMMYFUNCTION("""COMPUTED_VALUE"""),"NCon")</f>
        <v>NCon</v>
      </c>
      <c r="C137" s="43" t="str">
        <f>IFERROR(__xludf.DUMMYFUNCTION("""COMPUTED_VALUE"""),"Pesquisa de Mercado")</f>
        <v>Pesquisa de Mercado</v>
      </c>
      <c r="D137" s="43" t="str">
        <f>IFERROR(__xludf.DUMMYFUNCTION("""COMPUTED_VALUE"""),"Projeto")</f>
        <v>Projeto</v>
      </c>
      <c r="E137" s="46">
        <f>IFERROR(__xludf.DUMMYFUNCTION("""COMPUTED_VALUE"""),12000.0)</f>
        <v>12000</v>
      </c>
      <c r="F137" s="34">
        <f>IFERROR(__xludf.DUMMYFUNCTION("""COMPUTED_VALUE"""),7.0)</f>
        <v>7</v>
      </c>
      <c r="G137" s="34">
        <f>IFERROR(__xludf.DUMMYFUNCTION("""COMPUTED_VALUE"""),1.0)</f>
        <v>1</v>
      </c>
      <c r="H137" s="47">
        <f>IFERROR(__xludf.DUMMYFUNCTION("""COMPUTED_VALUE"""),45327.0)</f>
        <v>45327</v>
      </c>
      <c r="I137" s="47">
        <f>IFERROR(__xludf.DUMMYFUNCTION("""COMPUTED_VALUE"""),45373.0)</f>
        <v>45373</v>
      </c>
      <c r="J137" s="103" t="s">
        <v>39</v>
      </c>
      <c r="K137" s="26">
        <v>45341.0</v>
      </c>
      <c r="L137" s="86" t="s">
        <v>332</v>
      </c>
      <c r="M137" s="29">
        <f t="shared" ref="M137:M139" si="19">IF(K137&lt;&gt;"",K137+(F137+L137)*7,"-")</f>
        <v>45390</v>
      </c>
      <c r="N137" s="26">
        <v>45422.0</v>
      </c>
      <c r="O137" s="71" t="s">
        <v>46</v>
      </c>
      <c r="P137" s="102" t="b">
        <v>0</v>
      </c>
      <c r="Q137" s="102" t="b">
        <v>0</v>
      </c>
      <c r="R137" s="31" t="b">
        <v>0</v>
      </c>
      <c r="S137" s="25">
        <v>10.0</v>
      </c>
      <c r="T137" s="20"/>
      <c r="U137" s="33" t="b">
        <f t="shared" si="11"/>
        <v>0</v>
      </c>
      <c r="V137" s="20" t="s">
        <v>138</v>
      </c>
      <c r="W137" s="20" t="s">
        <v>159</v>
      </c>
      <c r="X137" s="43"/>
      <c r="Y137" s="43"/>
      <c r="Z137" s="43"/>
      <c r="AA137" s="34">
        <f t="shared" si="3"/>
        <v>11.57142857</v>
      </c>
      <c r="AB137" s="35">
        <f t="shared" si="15"/>
        <v>7836.734694</v>
      </c>
      <c r="AC137" s="29" t="str">
        <f t="shared" si="5"/>
        <v>Sim</v>
      </c>
      <c r="AD137" s="37" t="str">
        <f t="shared" si="1"/>
        <v>Não</v>
      </c>
      <c r="AE137" s="38">
        <f t="shared" si="6"/>
        <v>14</v>
      </c>
      <c r="AF137" s="29">
        <f>IF(N137,N137+((VLOOKUP(C137,'NPS de resultado'!$C$7:$D$36,2)*30)),"")</f>
        <v>45602</v>
      </c>
      <c r="AG137" s="39"/>
    </row>
    <row r="138" hidden="1">
      <c r="A138" s="43" t="str">
        <f>IFERROR(__xludf.DUMMYFUNCTION("""COMPUTED_VALUE"""),"Site ZiliCred")</f>
        <v>Site ZiliCred</v>
      </c>
      <c r="B138" s="43" t="str">
        <f>IFERROR(__xludf.DUMMYFUNCTION("""COMPUTED_VALUE"""),"NTec")</f>
        <v>NTec</v>
      </c>
      <c r="C138" s="43" t="str">
        <f>IFERROR(__xludf.DUMMYFUNCTION("""COMPUTED_VALUE"""),"Desenvolvimento")</f>
        <v>Desenvolvimento</v>
      </c>
      <c r="D138" s="43" t="str">
        <f>IFERROR(__xludf.DUMMYFUNCTION("""COMPUTED_VALUE"""),"Projeto")</f>
        <v>Projeto</v>
      </c>
      <c r="E138" s="46">
        <f>IFERROR(__xludf.DUMMYFUNCTION("""COMPUTED_VALUE"""),35000.0)</f>
        <v>35000</v>
      </c>
      <c r="F138" s="34">
        <f>IFERROR(__xludf.DUMMYFUNCTION("""COMPUTED_VALUE"""),12.0)</f>
        <v>12</v>
      </c>
      <c r="G138" s="34">
        <f>IFERROR(__xludf.DUMMYFUNCTION("""COMPUTED_VALUE"""),3.0)</f>
        <v>3</v>
      </c>
      <c r="H138" s="47">
        <f>IFERROR(__xludf.DUMMYFUNCTION("""COMPUTED_VALUE"""),45327.0)</f>
        <v>45327</v>
      </c>
      <c r="I138" s="47">
        <f>IFERROR(__xludf.DUMMYFUNCTION("""COMPUTED_VALUE"""),45418.0)</f>
        <v>45418</v>
      </c>
      <c r="J138" s="64" t="s">
        <v>50</v>
      </c>
      <c r="K138" s="26">
        <v>45329.0</v>
      </c>
      <c r="L138" s="86">
        <v>2.0</v>
      </c>
      <c r="M138" s="29">
        <f t="shared" si="19"/>
        <v>45427</v>
      </c>
      <c r="N138" s="47"/>
      <c r="O138" s="20" t="s">
        <v>40</v>
      </c>
      <c r="P138" s="102" t="b">
        <v>0</v>
      </c>
      <c r="Q138" s="102" t="b">
        <v>0</v>
      </c>
      <c r="R138" s="102" t="b">
        <v>0</v>
      </c>
      <c r="S138" s="34"/>
      <c r="T138" s="43"/>
      <c r="U138" s="33" t="b">
        <f t="shared" si="11"/>
        <v>0</v>
      </c>
      <c r="V138" s="20" t="s">
        <v>316</v>
      </c>
      <c r="W138" s="20" t="s">
        <v>41</v>
      </c>
      <c r="X138" s="43"/>
      <c r="Y138" s="20" t="s">
        <v>333</v>
      </c>
      <c r="Z138" s="20"/>
      <c r="AA138" s="34">
        <f t="shared" si="3"/>
        <v>0</v>
      </c>
      <c r="AB138" s="35">
        <f t="shared" si="15"/>
        <v>17500</v>
      </c>
      <c r="AC138" s="29" t="str">
        <f t="shared" si="5"/>
        <v>Sim</v>
      </c>
      <c r="AD138" s="37" t="str">
        <f t="shared" si="1"/>
        <v>Sim</v>
      </c>
      <c r="AE138" s="38">
        <f t="shared" si="6"/>
        <v>2</v>
      </c>
      <c r="AF138" s="29" t="str">
        <f>IF(N138,N138+((VLOOKUP(C138,'NPS de resultado'!$C$7:$D$36,2)*30)),"")</f>
        <v/>
      </c>
      <c r="AG138" s="25"/>
    </row>
    <row r="139">
      <c r="A139" s="43" t="str">
        <f>IFERROR(__xludf.DUMMYFUNCTION("""COMPUTED_VALUE"""),"FonteCred")</f>
        <v>FonteCred</v>
      </c>
      <c r="B139" s="43" t="str">
        <f>IFERROR(__xludf.DUMMYFUNCTION("""COMPUTED_VALUE"""),"NDados")</f>
        <v>NDados</v>
      </c>
      <c r="C139" s="43" t="str">
        <f>IFERROR(__xludf.DUMMYFUNCTION("""COMPUTED_VALUE"""),"Visualização")</f>
        <v>Visualização</v>
      </c>
      <c r="D139" s="43" t="str">
        <f>IFERROR(__xludf.DUMMYFUNCTION("""COMPUTED_VALUE"""),"Projeto")</f>
        <v>Projeto</v>
      </c>
      <c r="E139" s="46">
        <f>IFERROR(__xludf.DUMMYFUNCTION("""COMPUTED_VALUE"""),26500.0)</f>
        <v>26500</v>
      </c>
      <c r="F139" s="34">
        <f>IFERROR(__xludf.DUMMYFUNCTION("""COMPUTED_VALUE"""),9.0)</f>
        <v>9</v>
      </c>
      <c r="G139" s="34">
        <f>IFERROR(__xludf.DUMMYFUNCTION("""COMPUTED_VALUE"""),2.0)</f>
        <v>2</v>
      </c>
      <c r="H139" s="47">
        <f>IFERROR(__xludf.DUMMYFUNCTION("""COMPUTED_VALUE"""),45327.0)</f>
        <v>45327</v>
      </c>
      <c r="I139" s="47">
        <f>IFERROR(__xludf.DUMMYFUNCTION("""COMPUTED_VALUE"""),45394.0)</f>
        <v>45394</v>
      </c>
      <c r="J139" s="103" t="s">
        <v>39</v>
      </c>
      <c r="K139" s="106">
        <v>45383.0</v>
      </c>
      <c r="L139" s="81">
        <v>0.0</v>
      </c>
      <c r="M139" s="29">
        <f t="shared" si="19"/>
        <v>45446</v>
      </c>
      <c r="N139" s="105"/>
      <c r="O139" s="51" t="s">
        <v>51</v>
      </c>
      <c r="P139" s="102" t="b">
        <v>0</v>
      </c>
      <c r="Q139" s="102" t="b">
        <v>0</v>
      </c>
      <c r="R139" s="102" t="b">
        <v>0</v>
      </c>
      <c r="S139" s="34"/>
      <c r="T139" s="43"/>
      <c r="U139" s="31" t="b">
        <f t="shared" si="11"/>
        <v>0</v>
      </c>
      <c r="V139" s="20" t="s">
        <v>191</v>
      </c>
      <c r="W139" s="20" t="s">
        <v>219</v>
      </c>
      <c r="X139" s="20" t="s">
        <v>232</v>
      </c>
      <c r="Y139" s="43"/>
      <c r="Z139" s="43"/>
      <c r="AA139" s="34">
        <f t="shared" si="3"/>
        <v>0</v>
      </c>
      <c r="AB139" s="35">
        <f t="shared" si="15"/>
        <v>9674.603175</v>
      </c>
      <c r="AC139" s="29" t="str">
        <f t="shared" si="5"/>
        <v>Sim</v>
      </c>
      <c r="AD139" s="37" t="str">
        <f t="shared" si="1"/>
        <v>Não</v>
      </c>
      <c r="AE139" s="38">
        <f t="shared" si="6"/>
        <v>56</v>
      </c>
      <c r="AF139" s="29" t="str">
        <f>IF(N139,N139+((VLOOKUP(C139,'NPS de resultado'!$C$7:$D$36,2)*30)),"")</f>
        <v/>
      </c>
      <c r="AG139" s="39"/>
    </row>
    <row r="140" hidden="1">
      <c r="A140" s="43" t="str">
        <f>IFERROR(__xludf.DUMMYFUNCTION("""COMPUTED_VALUE"""),"PM Bruna")</f>
        <v>PM Bruna</v>
      </c>
      <c r="B140" s="43" t="str">
        <f>IFERROR(__xludf.DUMMYFUNCTION("""COMPUTED_VALUE"""),"NCon")</f>
        <v>NCon</v>
      </c>
      <c r="C140" s="43" t="str">
        <f>IFERROR(__xludf.DUMMYFUNCTION("""COMPUTED_VALUE"""),"Pesquisa de Mercado")</f>
        <v>Pesquisa de Mercado</v>
      </c>
      <c r="D140" s="43" t="str">
        <f>IFERROR(__xludf.DUMMYFUNCTION("""COMPUTED_VALUE"""),"Projeto")</f>
        <v>Projeto</v>
      </c>
      <c r="E140" s="46">
        <f>IFERROR(__xludf.DUMMYFUNCTION("""COMPUTED_VALUE"""),7200.0)</f>
        <v>7200</v>
      </c>
      <c r="F140" s="34">
        <f>IFERROR(__xludf.DUMMYFUNCTION("""COMPUTED_VALUE"""),5.0)</f>
        <v>5</v>
      </c>
      <c r="G140" s="34">
        <f>IFERROR(__xludf.DUMMYFUNCTION("""COMPUTED_VALUE"""),1.0)</f>
        <v>1</v>
      </c>
      <c r="H140" s="47">
        <f>IFERROR(__xludf.DUMMYFUNCTION("""COMPUTED_VALUE"""),45327.0)</f>
        <v>45327</v>
      </c>
      <c r="I140" s="47">
        <f>IFERROR(__xludf.DUMMYFUNCTION("""COMPUTED_VALUE"""),45359.0)</f>
        <v>45359</v>
      </c>
      <c r="J140" s="103" t="s">
        <v>39</v>
      </c>
      <c r="K140" s="26">
        <v>45355.0</v>
      </c>
      <c r="L140" s="86">
        <v>0.0</v>
      </c>
      <c r="M140" s="54">
        <v>45387.0</v>
      </c>
      <c r="N140" s="47"/>
      <c r="O140" s="20" t="s">
        <v>51</v>
      </c>
      <c r="P140" s="102" t="b">
        <v>0</v>
      </c>
      <c r="Q140" s="102" t="b">
        <v>0</v>
      </c>
      <c r="R140" s="31" t="b">
        <v>0</v>
      </c>
      <c r="S140" s="25"/>
      <c r="T140" s="43"/>
      <c r="U140" s="33" t="b">
        <f t="shared" si="11"/>
        <v>0</v>
      </c>
      <c r="V140" s="20" t="s">
        <v>131</v>
      </c>
      <c r="W140" s="20" t="s">
        <v>159</v>
      </c>
      <c r="X140" s="43"/>
      <c r="Y140" s="43"/>
      <c r="Z140" s="43"/>
      <c r="AA140" s="34">
        <f t="shared" si="3"/>
        <v>0</v>
      </c>
      <c r="AB140" s="35">
        <f t="shared" si="15"/>
        <v>16868.57143</v>
      </c>
      <c r="AC140" s="29" t="str">
        <f t="shared" si="5"/>
        <v>Sim</v>
      </c>
      <c r="AD140" s="37" t="str">
        <f t="shared" si="1"/>
        <v>Não</v>
      </c>
      <c r="AE140" s="38">
        <f t="shared" si="6"/>
        <v>28</v>
      </c>
      <c r="AF140" s="29" t="str">
        <f>IF(N140,N140+((VLOOKUP(C140,'NPS de resultado'!$C$7:$D$36,2)*30)),"")</f>
        <v/>
      </c>
      <c r="AG140" s="39"/>
    </row>
    <row r="141" hidden="1">
      <c r="A141" s="43" t="str">
        <f>IFERROR(__xludf.DUMMYFUNCTION("""COMPUTED_VALUE"""),"Nazaré")</f>
        <v>Nazaré</v>
      </c>
      <c r="B141" s="43" t="str">
        <f>IFERROR(__xludf.DUMMYFUNCTION("""COMPUTED_VALUE"""),"NCiv")</f>
        <v>NCiv</v>
      </c>
      <c r="C141" s="43" t="str">
        <f>IFERROR(__xludf.DUMMYFUNCTION("""COMPUTED_VALUE"""),"Completo")</f>
        <v>Completo</v>
      </c>
      <c r="D141" s="43" t="str">
        <f>IFERROR(__xludf.DUMMYFUNCTION("""COMPUTED_VALUE"""),"Projeto")</f>
        <v>Projeto</v>
      </c>
      <c r="E141" s="46">
        <f>IFERROR(__xludf.DUMMYFUNCTION("""COMPUTED_VALUE"""),17280.0)</f>
        <v>17280</v>
      </c>
      <c r="F141" s="34">
        <f>IFERROR(__xludf.DUMMYFUNCTION("""COMPUTED_VALUE"""),9.0)</f>
        <v>9</v>
      </c>
      <c r="G141" s="34">
        <f>IFERROR(__xludf.DUMMYFUNCTION("""COMPUTED_VALUE"""),4.0)</f>
        <v>4</v>
      </c>
      <c r="H141" s="47">
        <f>IFERROR(__xludf.DUMMYFUNCTION("""COMPUTED_VALUE"""),45376.0)</f>
        <v>45376</v>
      </c>
      <c r="I141" s="47">
        <f>IFERROR(__xludf.DUMMYFUNCTION("""COMPUTED_VALUE"""),45439.0)</f>
        <v>45439</v>
      </c>
      <c r="J141" s="99" t="s">
        <v>50</v>
      </c>
      <c r="K141" s="26"/>
      <c r="L141" s="81"/>
      <c r="M141" s="29" t="str">
        <f>IF(K141&lt;&gt;"",K141+(F141+L141)*7,"-")</f>
        <v>-</v>
      </c>
      <c r="N141" s="47"/>
      <c r="O141" s="51" t="s">
        <v>103</v>
      </c>
      <c r="P141" s="102" t="b">
        <v>0</v>
      </c>
      <c r="Q141" s="102" t="b">
        <v>0</v>
      </c>
      <c r="R141" s="31" t="b">
        <v>0</v>
      </c>
      <c r="S141" s="34"/>
      <c r="T141" s="43"/>
      <c r="U141" s="33" t="b">
        <f t="shared" si="11"/>
        <v>0</v>
      </c>
      <c r="V141" s="43"/>
      <c r="W141" s="43"/>
      <c r="X141" s="43"/>
      <c r="Y141" s="43"/>
      <c r="Z141" s="43"/>
      <c r="AA141" s="34">
        <f t="shared" si="3"/>
        <v>0</v>
      </c>
      <c r="AB141" s="35">
        <f t="shared" si="15"/>
        <v>0</v>
      </c>
      <c r="AC141" s="29" t="str">
        <f t="shared" si="5"/>
        <v>NÃO</v>
      </c>
      <c r="AD141" s="37" t="str">
        <f t="shared" si="1"/>
        <v>Não</v>
      </c>
      <c r="AE141" s="38">
        <f t="shared" si="6"/>
        <v>0</v>
      </c>
      <c r="AF141" s="29" t="str">
        <f>IF(N141,N141+((VLOOKUP(C141,'NPS de resultado'!$C$7:$D$36,2)*30)),"")</f>
        <v/>
      </c>
      <c r="AG141" s="39"/>
    </row>
    <row r="142" hidden="1">
      <c r="A142" s="43" t="str">
        <f>IFERROR(__xludf.DUMMYFUNCTION("""COMPUTED_VALUE"""),"PM Eugênio")</f>
        <v>PM Eugênio</v>
      </c>
      <c r="B142" s="43" t="str">
        <f>IFERROR(__xludf.DUMMYFUNCTION("""COMPUTED_VALUE"""),"NCon")</f>
        <v>NCon</v>
      </c>
      <c r="C142" s="43" t="str">
        <f>IFERROR(__xludf.DUMMYFUNCTION("""COMPUTED_VALUE"""),"Pesquisa de Mercado")</f>
        <v>Pesquisa de Mercado</v>
      </c>
      <c r="D142" s="43" t="str">
        <f>IFERROR(__xludf.DUMMYFUNCTION("""COMPUTED_VALUE"""),"Projeto")</f>
        <v>Projeto</v>
      </c>
      <c r="E142" s="46">
        <f>IFERROR(__xludf.DUMMYFUNCTION("""COMPUTED_VALUE"""),6000.0)</f>
        <v>6000</v>
      </c>
      <c r="F142" s="34">
        <f>IFERROR(__xludf.DUMMYFUNCTION("""COMPUTED_VALUE"""),4.0)</f>
        <v>4</v>
      </c>
      <c r="G142" s="34">
        <f>IFERROR(__xludf.DUMMYFUNCTION("""COMPUTED_VALUE"""),1.0)</f>
        <v>1</v>
      </c>
      <c r="H142" s="47">
        <f>IFERROR(__xludf.DUMMYFUNCTION("""COMPUTED_VALUE"""),45341.0)</f>
        <v>45341</v>
      </c>
      <c r="I142" s="47">
        <f>IFERROR(__xludf.DUMMYFUNCTION("""COMPUTED_VALUE"""),45366.0)</f>
        <v>45366</v>
      </c>
      <c r="J142" s="103" t="s">
        <v>39</v>
      </c>
      <c r="K142" s="26">
        <v>45341.0</v>
      </c>
      <c r="L142" s="86">
        <v>1.0</v>
      </c>
      <c r="M142" s="54">
        <v>45378.0</v>
      </c>
      <c r="N142" s="107">
        <v>45378.0</v>
      </c>
      <c r="O142" s="20" t="s">
        <v>46</v>
      </c>
      <c r="P142" s="102" t="b">
        <v>0</v>
      </c>
      <c r="Q142" s="102" t="b">
        <v>0</v>
      </c>
      <c r="R142" s="31" t="b">
        <v>1</v>
      </c>
      <c r="S142" s="25">
        <v>9.0</v>
      </c>
      <c r="T142" s="20"/>
      <c r="U142" s="33" t="b">
        <f t="shared" si="11"/>
        <v>1</v>
      </c>
      <c r="V142" s="20" t="s">
        <v>136</v>
      </c>
      <c r="W142" s="20" t="s">
        <v>161</v>
      </c>
      <c r="X142" s="43"/>
      <c r="Y142" s="43"/>
      <c r="Z142" s="43"/>
      <c r="AA142" s="34">
        <f t="shared" si="3"/>
        <v>4.285714286</v>
      </c>
      <c r="AB142" s="35">
        <f t="shared" si="15"/>
        <v>0</v>
      </c>
      <c r="AC142" s="29" t="str">
        <f t="shared" si="5"/>
        <v>Sim</v>
      </c>
      <c r="AD142" s="37" t="str">
        <f t="shared" si="1"/>
        <v>Não</v>
      </c>
      <c r="AE142" s="38">
        <f t="shared" si="6"/>
        <v>0</v>
      </c>
      <c r="AF142" s="29">
        <f>IF(N142,N142+((VLOOKUP(C142,'NPS de resultado'!$C$7:$D$36,2)*30)),"")</f>
        <v>45558</v>
      </c>
      <c r="AG142" s="39"/>
    </row>
    <row r="143" hidden="1">
      <c r="A143" s="43" t="str">
        <f>IFERROR(__xludf.DUMMYFUNCTION("""COMPUTED_VALUE"""),"PM Aegea")</f>
        <v>PM Aegea</v>
      </c>
      <c r="B143" s="43" t="str">
        <f>IFERROR(__xludf.DUMMYFUNCTION("""COMPUTED_VALUE"""),"NCon")</f>
        <v>NCon</v>
      </c>
      <c r="C143" s="43" t="str">
        <f>IFERROR(__xludf.DUMMYFUNCTION("""COMPUTED_VALUE"""),"Pesquisa de Mercado")</f>
        <v>Pesquisa de Mercado</v>
      </c>
      <c r="D143" s="43" t="str">
        <f>IFERROR(__xludf.DUMMYFUNCTION("""COMPUTED_VALUE"""),"Projeto")</f>
        <v>Projeto</v>
      </c>
      <c r="E143" s="46">
        <f>IFERROR(__xludf.DUMMYFUNCTION("""COMPUTED_VALUE"""),14300.0)</f>
        <v>14300</v>
      </c>
      <c r="F143" s="34">
        <f>IFERROR(__xludf.DUMMYFUNCTION("""COMPUTED_VALUE"""),4.0)</f>
        <v>4</v>
      </c>
      <c r="G143" s="34">
        <f>IFERROR(__xludf.DUMMYFUNCTION("""COMPUTED_VALUE"""),1.0)</f>
        <v>1</v>
      </c>
      <c r="H143" s="47">
        <f>IFERROR(__xludf.DUMMYFUNCTION("""COMPUTED_VALUE"""),45341.0)</f>
        <v>45341</v>
      </c>
      <c r="I143" s="47">
        <f>IFERROR(__xludf.DUMMYFUNCTION("""COMPUTED_VALUE"""),45373.0)</f>
        <v>45373</v>
      </c>
      <c r="J143" s="103" t="s">
        <v>39</v>
      </c>
      <c r="K143" s="26">
        <v>45337.0</v>
      </c>
      <c r="L143" s="86" t="s">
        <v>332</v>
      </c>
      <c r="M143" s="29">
        <f t="shared" ref="M143:M154" si="20">IF(K143&lt;&gt;"",K143+(F143+L143)*7,"-")</f>
        <v>45365</v>
      </c>
      <c r="N143" s="26">
        <v>45404.0</v>
      </c>
      <c r="O143" s="20" t="s">
        <v>46</v>
      </c>
      <c r="P143" s="102" t="b">
        <v>0</v>
      </c>
      <c r="Q143" s="102" t="b">
        <v>0</v>
      </c>
      <c r="R143" s="31" t="b">
        <v>1</v>
      </c>
      <c r="S143" s="108">
        <v>8.0</v>
      </c>
      <c r="T143" s="20"/>
      <c r="U143" s="33" t="b">
        <f t="shared" si="11"/>
        <v>0</v>
      </c>
      <c r="V143" s="20" t="s">
        <v>125</v>
      </c>
      <c r="W143" s="20" t="s">
        <v>179</v>
      </c>
      <c r="X143" s="43"/>
      <c r="Y143" s="43"/>
      <c r="Z143" s="43"/>
      <c r="AA143" s="34">
        <f t="shared" si="3"/>
        <v>9.571428571</v>
      </c>
      <c r="AB143" s="35">
        <f t="shared" si="15"/>
        <v>19917.85714</v>
      </c>
      <c r="AC143" s="29" t="str">
        <f t="shared" si="5"/>
        <v>Sim</v>
      </c>
      <c r="AD143" s="37" t="str">
        <f t="shared" si="1"/>
        <v>Não</v>
      </c>
      <c r="AE143" s="38">
        <f t="shared" si="6"/>
        <v>-4</v>
      </c>
      <c r="AF143" s="29">
        <f>IF(N143,N143+((VLOOKUP(C143,'NPS de resultado'!$C$7:$D$36,2)*30)),"")</f>
        <v>45584</v>
      </c>
      <c r="AG143" s="39"/>
    </row>
    <row r="144">
      <c r="A144" s="43" t="str">
        <f>IFERROR(__xludf.DUMMYFUNCTION("""COMPUTED_VALUE"""),"Xtay")</f>
        <v>Xtay</v>
      </c>
      <c r="B144" s="43" t="str">
        <f>IFERROR(__xludf.DUMMYFUNCTION("""COMPUTED_VALUE"""),"NDados")</f>
        <v>NDados</v>
      </c>
      <c r="C144" s="43" t="str">
        <f>IFERROR(__xludf.DUMMYFUNCTION("""COMPUTED_VALUE"""),"Previsão")</f>
        <v>Previsão</v>
      </c>
      <c r="D144" s="43" t="str">
        <f>IFERROR(__xludf.DUMMYFUNCTION("""COMPUTED_VALUE"""),"Projeto")</f>
        <v>Projeto</v>
      </c>
      <c r="E144" s="46">
        <f>IFERROR(__xludf.DUMMYFUNCTION("""COMPUTED_VALUE"""),25500.0)</f>
        <v>25500</v>
      </c>
      <c r="F144" s="34">
        <f>IFERROR(__xludf.DUMMYFUNCTION("""COMPUTED_VALUE"""),8.0)</f>
        <v>8</v>
      </c>
      <c r="G144" s="34">
        <f>IFERROR(__xludf.DUMMYFUNCTION("""COMPUTED_VALUE"""),2.0)</f>
        <v>2</v>
      </c>
      <c r="H144" s="47">
        <f>IFERROR(__xludf.DUMMYFUNCTION("""COMPUTED_VALUE"""),45341.0)</f>
        <v>45341</v>
      </c>
      <c r="I144" s="47">
        <f>IFERROR(__xludf.DUMMYFUNCTION("""COMPUTED_VALUE"""),45390.0)</f>
        <v>45390</v>
      </c>
      <c r="J144" s="103" t="s">
        <v>39</v>
      </c>
      <c r="K144" s="106">
        <v>45355.0</v>
      </c>
      <c r="L144" s="81">
        <v>0.0</v>
      </c>
      <c r="M144" s="29">
        <f t="shared" si="20"/>
        <v>45411</v>
      </c>
      <c r="N144" s="105"/>
      <c r="O144" s="20" t="s">
        <v>40</v>
      </c>
      <c r="P144" s="102" t="b">
        <v>0</v>
      </c>
      <c r="Q144" s="102" t="b">
        <v>0</v>
      </c>
      <c r="R144" s="31" t="b">
        <v>1</v>
      </c>
      <c r="S144" s="34"/>
      <c r="T144" s="43"/>
      <c r="U144" s="31" t="b">
        <f t="shared" si="11"/>
        <v>0</v>
      </c>
      <c r="V144" s="20" t="s">
        <v>191</v>
      </c>
      <c r="W144" s="20" t="s">
        <v>243</v>
      </c>
      <c r="X144" s="20" t="s">
        <v>241</v>
      </c>
      <c r="Y144" s="43"/>
      <c r="Z144" s="43"/>
      <c r="AA144" s="34">
        <f t="shared" si="3"/>
        <v>0</v>
      </c>
      <c r="AB144" s="35">
        <f t="shared" si="15"/>
        <v>26410.71429</v>
      </c>
      <c r="AC144" s="29" t="str">
        <f t="shared" si="5"/>
        <v>Sim</v>
      </c>
      <c r="AD144" s="37" t="str">
        <f t="shared" si="1"/>
        <v>Sim</v>
      </c>
      <c r="AE144" s="38">
        <f t="shared" si="6"/>
        <v>14</v>
      </c>
      <c r="AF144" s="29" t="str">
        <f>IF(N144,N144+((VLOOKUP(C144,'NPS de resultado'!$C$7:$D$36,2)*30)),"")</f>
        <v/>
      </c>
      <c r="AG144" s="39"/>
    </row>
    <row r="145">
      <c r="A145" s="43" t="str">
        <f>IFERROR(__xludf.DUMMYFUNCTION("""COMPUTED_VALUE"""),"Zoetis 2.0")</f>
        <v>Zoetis 2.0</v>
      </c>
      <c r="B145" s="43" t="str">
        <f>IFERROR(__xludf.DUMMYFUNCTION("""COMPUTED_VALUE"""),"NDados")</f>
        <v>NDados</v>
      </c>
      <c r="C145" s="43" t="str">
        <f>IFERROR(__xludf.DUMMYFUNCTION("""COMPUTED_VALUE"""),"Visualização")</f>
        <v>Visualização</v>
      </c>
      <c r="D145" s="43" t="str">
        <f>IFERROR(__xludf.DUMMYFUNCTION("""COMPUTED_VALUE"""),"Projeto")</f>
        <v>Projeto</v>
      </c>
      <c r="E145" s="46">
        <f>IFERROR(__xludf.DUMMYFUNCTION("""COMPUTED_VALUE"""),16900.0)</f>
        <v>16900</v>
      </c>
      <c r="F145" s="34">
        <f>IFERROR(__xludf.DUMMYFUNCTION("""COMPUTED_VALUE"""),8.0)</f>
        <v>8</v>
      </c>
      <c r="G145" s="34">
        <f>IFERROR(__xludf.DUMMYFUNCTION("""COMPUTED_VALUE"""),1.0)</f>
        <v>1</v>
      </c>
      <c r="H145" s="47">
        <f>IFERROR(__xludf.DUMMYFUNCTION("""COMPUTED_VALUE"""),45348.0)</f>
        <v>45348</v>
      </c>
      <c r="I145" s="47">
        <f>IFERROR(__xludf.DUMMYFUNCTION("""COMPUTED_VALUE"""),45397.0)</f>
        <v>45397</v>
      </c>
      <c r="J145" s="103" t="s">
        <v>50</v>
      </c>
      <c r="K145" s="106">
        <v>45376.0</v>
      </c>
      <c r="L145" s="81">
        <v>0.0</v>
      </c>
      <c r="M145" s="29">
        <f t="shared" si="20"/>
        <v>45432</v>
      </c>
      <c r="N145" s="105"/>
      <c r="O145" s="20" t="s">
        <v>40</v>
      </c>
      <c r="P145" s="102" t="b">
        <v>0</v>
      </c>
      <c r="Q145" s="102" t="b">
        <v>0</v>
      </c>
      <c r="R145" s="31" t="b">
        <v>1</v>
      </c>
      <c r="S145" s="34"/>
      <c r="T145" s="43"/>
      <c r="U145" s="31" t="b">
        <f t="shared" si="11"/>
        <v>0</v>
      </c>
      <c r="V145" s="20" t="s">
        <v>191</v>
      </c>
      <c r="W145" s="43"/>
      <c r="X145" s="43"/>
      <c r="Y145" s="43"/>
      <c r="Z145" s="43"/>
      <c r="AA145" s="34">
        <f t="shared" si="3"/>
        <v>0</v>
      </c>
      <c r="AB145" s="35">
        <f t="shared" si="15"/>
        <v>11166.07143</v>
      </c>
      <c r="AC145" s="29" t="str">
        <f t="shared" si="5"/>
        <v>Sim</v>
      </c>
      <c r="AD145" s="37" t="str">
        <f t="shared" si="1"/>
        <v>Sim</v>
      </c>
      <c r="AE145" s="38">
        <f t="shared" si="6"/>
        <v>28</v>
      </c>
      <c r="AF145" s="29" t="str">
        <f>IF(N145,N145+((VLOOKUP(C145,'NPS de resultado'!$C$7:$D$36,2)*30)),"")</f>
        <v/>
      </c>
      <c r="AG145" s="39"/>
    </row>
    <row r="146">
      <c r="A146" s="43" t="str">
        <f>IFERROR(__xludf.DUMMYFUNCTION("""COMPUTED_VALUE"""),"Avannto")</f>
        <v>Avannto</v>
      </c>
      <c r="B146" s="43" t="str">
        <f>IFERROR(__xludf.DUMMYFUNCTION("""COMPUTED_VALUE"""),"NDados")</f>
        <v>NDados</v>
      </c>
      <c r="C146" s="43" t="str">
        <f>IFERROR(__xludf.DUMMYFUNCTION("""COMPUTED_VALUE"""),"Visualização")</f>
        <v>Visualização</v>
      </c>
      <c r="D146" s="43" t="str">
        <f>IFERROR(__xludf.DUMMYFUNCTION("""COMPUTED_VALUE"""),"Projeto")</f>
        <v>Projeto</v>
      </c>
      <c r="E146" s="46">
        <f>IFERROR(__xludf.DUMMYFUNCTION("""COMPUTED_VALUE"""),34560.0)</f>
        <v>34560</v>
      </c>
      <c r="F146" s="34">
        <f>IFERROR(__xludf.DUMMYFUNCTION("""COMPUTED_VALUE"""),12.0)</f>
        <v>12</v>
      </c>
      <c r="G146" s="34">
        <f>IFERROR(__xludf.DUMMYFUNCTION("""COMPUTED_VALUE"""),2.0)</f>
        <v>2</v>
      </c>
      <c r="H146" s="47">
        <f>IFERROR(__xludf.DUMMYFUNCTION("""COMPUTED_VALUE"""),45341.0)</f>
        <v>45341</v>
      </c>
      <c r="I146" s="47">
        <f>IFERROR(__xludf.DUMMYFUNCTION("""COMPUTED_VALUE"""),45432.0)</f>
        <v>45432</v>
      </c>
      <c r="J146" s="103" t="s">
        <v>39</v>
      </c>
      <c r="K146" s="106">
        <v>45352.0</v>
      </c>
      <c r="L146" s="86">
        <v>5.0</v>
      </c>
      <c r="M146" s="29">
        <f t="shared" si="20"/>
        <v>45471</v>
      </c>
      <c r="N146" s="105"/>
      <c r="O146" s="20" t="s">
        <v>40</v>
      </c>
      <c r="P146" s="102" t="b">
        <v>0</v>
      </c>
      <c r="Q146" s="102" t="b">
        <v>0</v>
      </c>
      <c r="R146" s="31" t="b">
        <v>1</v>
      </c>
      <c r="S146" s="34"/>
      <c r="T146" s="43"/>
      <c r="U146" s="31" t="b">
        <f t="shared" si="11"/>
        <v>0</v>
      </c>
      <c r="V146" s="20" t="s">
        <v>191</v>
      </c>
      <c r="W146" s="20" t="s">
        <v>227</v>
      </c>
      <c r="X146" s="20" t="s">
        <v>253</v>
      </c>
      <c r="Y146" s="43"/>
      <c r="Z146" s="43"/>
      <c r="AA146" s="34">
        <f t="shared" si="3"/>
        <v>0</v>
      </c>
      <c r="AB146" s="35">
        <f t="shared" si="15"/>
        <v>0</v>
      </c>
      <c r="AC146" s="29" t="str">
        <f t="shared" si="5"/>
        <v>NÃO</v>
      </c>
      <c r="AD146" s="37" t="str">
        <f t="shared" si="1"/>
        <v>Não</v>
      </c>
      <c r="AE146" s="38">
        <f t="shared" si="6"/>
        <v>11</v>
      </c>
      <c r="AF146" s="29" t="str">
        <f>IF(N146,N146+((VLOOKUP(C146,'NPS de resultado'!$C$7:$D$36,2)*30)),"")</f>
        <v/>
      </c>
      <c r="AG146" s="39"/>
    </row>
    <row r="147" hidden="1">
      <c r="A147" s="43" t="str">
        <f>IFERROR(__xludf.DUMMYFUNCTION("""COMPUTED_VALUE"""),"Reckitt")</f>
        <v>Reckitt</v>
      </c>
      <c r="B147" s="43" t="str">
        <f>IFERROR(__xludf.DUMMYFUNCTION("""COMPUTED_VALUE"""),"NCon")</f>
        <v>NCon</v>
      </c>
      <c r="C147" s="43" t="str">
        <f>IFERROR(__xludf.DUMMYFUNCTION("""COMPUTED_VALUE"""),"Gestão de Processos")</f>
        <v>Gestão de Processos</v>
      </c>
      <c r="D147" s="43" t="str">
        <f>IFERROR(__xludf.DUMMYFUNCTION("""COMPUTED_VALUE"""),"Projeto")</f>
        <v>Projeto</v>
      </c>
      <c r="E147" s="46">
        <f>IFERROR(__xludf.DUMMYFUNCTION("""COMPUTED_VALUE"""),25000.0)</f>
        <v>25000</v>
      </c>
      <c r="F147" s="34">
        <f>IFERROR(__xludf.DUMMYFUNCTION("""COMPUTED_VALUE"""),9.0)</f>
        <v>9</v>
      </c>
      <c r="G147" s="34">
        <f>IFERROR(__xludf.DUMMYFUNCTION("""COMPUTED_VALUE"""),2.0)</f>
        <v>2</v>
      </c>
      <c r="H147" s="47">
        <f>IFERROR(__xludf.DUMMYFUNCTION("""COMPUTED_VALUE"""),45342.0)</f>
        <v>45342</v>
      </c>
      <c r="I147" s="47">
        <f>IFERROR(__xludf.DUMMYFUNCTION("""COMPUTED_VALUE"""),45397.0)</f>
        <v>45397</v>
      </c>
      <c r="J147" s="103" t="s">
        <v>50</v>
      </c>
      <c r="K147" s="26">
        <v>45348.0</v>
      </c>
      <c r="L147" s="86">
        <v>0.0</v>
      </c>
      <c r="M147" s="29">
        <f t="shared" si="20"/>
        <v>45411</v>
      </c>
      <c r="N147" s="26">
        <v>45411.0</v>
      </c>
      <c r="O147" s="20" t="s">
        <v>46</v>
      </c>
      <c r="P147" s="102" t="b">
        <v>0</v>
      </c>
      <c r="Q147" s="102" t="b">
        <v>0</v>
      </c>
      <c r="R147" s="31" t="b">
        <v>1</v>
      </c>
      <c r="S147" s="25"/>
      <c r="T147" s="20"/>
      <c r="U147" s="33" t="b">
        <f t="shared" si="11"/>
        <v>0</v>
      </c>
      <c r="V147" s="20" t="s">
        <v>125</v>
      </c>
      <c r="W147" s="20" t="s">
        <v>168</v>
      </c>
      <c r="X147" s="20" t="s">
        <v>123</v>
      </c>
      <c r="Y147" s="43"/>
      <c r="Z147" s="43"/>
      <c r="AA147" s="34">
        <f t="shared" si="3"/>
        <v>18</v>
      </c>
      <c r="AB147" s="35">
        <f t="shared" si="15"/>
        <v>0</v>
      </c>
      <c r="AC147" s="29" t="str">
        <f t="shared" si="5"/>
        <v>Sim</v>
      </c>
      <c r="AD147" s="37" t="str">
        <f t="shared" si="1"/>
        <v>Não</v>
      </c>
      <c r="AE147" s="38">
        <f t="shared" si="6"/>
        <v>6</v>
      </c>
      <c r="AF147" s="29">
        <f>IF(N147,N147+((VLOOKUP(C147,'NPS de resultado'!$C$7:$D$36,2)*30)),"")</f>
        <v>45591</v>
      </c>
      <c r="AG147" s="39"/>
    </row>
    <row r="148">
      <c r="A148" s="43" t="str">
        <f>IFERROR(__xludf.DUMMYFUNCTION("""COMPUTED_VALUE"""),"SolarGrid")</f>
        <v>SolarGrid</v>
      </c>
      <c r="B148" s="43" t="str">
        <f>IFERROR(__xludf.DUMMYFUNCTION("""COMPUTED_VALUE"""),"NDados")</f>
        <v>NDados</v>
      </c>
      <c r="C148" s="43" t="str">
        <f>IFERROR(__xludf.DUMMYFUNCTION("""COMPUTED_VALUE"""),"Integração")</f>
        <v>Integração</v>
      </c>
      <c r="D148" s="43" t="str">
        <f>IFERROR(__xludf.DUMMYFUNCTION("""COMPUTED_VALUE"""),"Projeto")</f>
        <v>Projeto</v>
      </c>
      <c r="E148" s="46">
        <f>IFERROR(__xludf.DUMMYFUNCTION("""COMPUTED_VALUE"""),19000.0)</f>
        <v>19000</v>
      </c>
      <c r="F148" s="34">
        <f>IFERROR(__xludf.DUMMYFUNCTION("""COMPUTED_VALUE"""),6.0)</f>
        <v>6</v>
      </c>
      <c r="G148" s="34">
        <f>IFERROR(__xludf.DUMMYFUNCTION("""COMPUTED_VALUE"""),2.0)</f>
        <v>2</v>
      </c>
      <c r="H148" s="47">
        <f>IFERROR(__xludf.DUMMYFUNCTION("""COMPUTED_VALUE"""),45348.0)</f>
        <v>45348</v>
      </c>
      <c r="I148" s="47">
        <f>IFERROR(__xludf.DUMMYFUNCTION("""COMPUTED_VALUE"""),45390.0)</f>
        <v>45390</v>
      </c>
      <c r="J148" s="103" t="s">
        <v>39</v>
      </c>
      <c r="K148" s="26">
        <v>45362.0</v>
      </c>
      <c r="L148" s="86">
        <v>2.0</v>
      </c>
      <c r="M148" s="29">
        <f t="shared" si="20"/>
        <v>45418</v>
      </c>
      <c r="N148" s="47"/>
      <c r="O148" s="20" t="s">
        <v>40</v>
      </c>
      <c r="P148" s="102" t="b">
        <v>0</v>
      </c>
      <c r="Q148" s="102" t="b">
        <v>0</v>
      </c>
      <c r="R148" s="31" t="b">
        <v>1</v>
      </c>
      <c r="S148" s="34"/>
      <c r="T148" s="43"/>
      <c r="U148" s="31" t="b">
        <f t="shared" si="11"/>
        <v>0</v>
      </c>
      <c r="V148" s="20" t="s">
        <v>191</v>
      </c>
      <c r="W148" s="20" t="s">
        <v>243</v>
      </c>
      <c r="X148" s="20" t="s">
        <v>334</v>
      </c>
      <c r="Y148" s="43"/>
      <c r="Z148" s="43"/>
      <c r="AA148" s="34">
        <f t="shared" si="3"/>
        <v>0</v>
      </c>
      <c r="AB148" s="35">
        <f t="shared" si="15"/>
        <v>23071.42857</v>
      </c>
      <c r="AC148" s="29" t="str">
        <f t="shared" si="5"/>
        <v>Sim</v>
      </c>
      <c r="AD148" s="37" t="str">
        <f t="shared" si="1"/>
        <v>Sim</v>
      </c>
      <c r="AE148" s="38">
        <f t="shared" si="6"/>
        <v>14</v>
      </c>
      <c r="AF148" s="29" t="str">
        <f>IF(N148,N148+((VLOOKUP(C148,'NPS de resultado'!$C$7:$D$36,2)*30)),"")</f>
        <v/>
      </c>
      <c r="AG148" s="39"/>
    </row>
    <row r="149" hidden="1">
      <c r="A149" s="43" t="str">
        <f>IFERROR(__xludf.DUMMYFUNCTION("""COMPUTED_VALUE"""),"INTI")</f>
        <v>INTI</v>
      </c>
      <c r="B149" s="43" t="str">
        <f>IFERROR(__xludf.DUMMYFUNCTION("""COMPUTED_VALUE"""),"NCon")</f>
        <v>NCon</v>
      </c>
      <c r="C149" s="43" t="str">
        <f>IFERROR(__xludf.DUMMYFUNCTION("""COMPUTED_VALUE"""),"Gestão de Processos")</f>
        <v>Gestão de Processos</v>
      </c>
      <c r="D149" s="43" t="str">
        <f>IFERROR(__xludf.DUMMYFUNCTION("""COMPUTED_VALUE"""),"Projeto")</f>
        <v>Projeto</v>
      </c>
      <c r="E149" s="46">
        <f>IFERROR(__xludf.DUMMYFUNCTION("""COMPUTED_VALUE"""),25600.0)</f>
        <v>25600</v>
      </c>
      <c r="F149" s="34">
        <f>IFERROR(__xludf.DUMMYFUNCTION("""COMPUTED_VALUE"""),7.0)</f>
        <v>7</v>
      </c>
      <c r="G149" s="34">
        <f>IFERROR(__xludf.DUMMYFUNCTION("""COMPUTED_VALUE"""),2.0)</f>
        <v>2</v>
      </c>
      <c r="H149" s="47">
        <f>IFERROR(__xludf.DUMMYFUNCTION("""COMPUTED_VALUE"""),45348.0)</f>
        <v>45348</v>
      </c>
      <c r="I149" s="47">
        <f>IFERROR(__xludf.DUMMYFUNCTION("""COMPUTED_VALUE"""),45394.0)</f>
        <v>45394</v>
      </c>
      <c r="J149" s="103" t="s">
        <v>50</v>
      </c>
      <c r="K149" s="47"/>
      <c r="L149" s="81"/>
      <c r="M149" s="29" t="str">
        <f t="shared" si="20"/>
        <v>-</v>
      </c>
      <c r="N149" s="47"/>
      <c r="O149" s="20" t="s">
        <v>40</v>
      </c>
      <c r="P149" s="102" t="b">
        <v>0</v>
      </c>
      <c r="Q149" s="102" t="b">
        <v>0</v>
      </c>
      <c r="R149" s="102" t="b">
        <v>0</v>
      </c>
      <c r="S149" s="25"/>
      <c r="T149" s="43"/>
      <c r="U149" s="33" t="b">
        <f t="shared" si="11"/>
        <v>0</v>
      </c>
      <c r="V149" s="20" t="s">
        <v>120</v>
      </c>
      <c r="W149" s="20" t="s">
        <v>166</v>
      </c>
      <c r="X149" s="20" t="s">
        <v>159</v>
      </c>
      <c r="Y149" s="43"/>
      <c r="Z149" s="43"/>
      <c r="AA149" s="34">
        <f t="shared" si="3"/>
        <v>0</v>
      </c>
      <c r="AB149" s="35">
        <f t="shared" si="15"/>
        <v>0</v>
      </c>
      <c r="AC149" s="29" t="str">
        <f t="shared" si="5"/>
        <v>NÃO</v>
      </c>
      <c r="AD149" s="37" t="str">
        <f t="shared" si="1"/>
        <v>Não</v>
      </c>
      <c r="AE149" s="38">
        <f t="shared" si="6"/>
        <v>0</v>
      </c>
      <c r="AF149" s="29" t="str">
        <f>IF(N149,N149+((VLOOKUP(C149,'NPS de resultado'!$C$7:$D$36,2)*30)),"")</f>
        <v/>
      </c>
      <c r="AG149" s="39"/>
    </row>
    <row r="150">
      <c r="A150" s="43" t="str">
        <f>IFERROR(__xludf.DUMMYFUNCTION("""COMPUTED_VALUE"""),"LeafPay Aditivo")</f>
        <v>LeafPay Aditivo</v>
      </c>
      <c r="B150" s="43" t="str">
        <f>IFERROR(__xludf.DUMMYFUNCTION("""COMPUTED_VALUE"""),"NDados")</f>
        <v>NDados</v>
      </c>
      <c r="C150" s="43" t="str">
        <f>IFERROR(__xludf.DUMMYFUNCTION("""COMPUTED_VALUE"""),"Extração")</f>
        <v>Extração</v>
      </c>
      <c r="D150" s="43" t="str">
        <f>IFERROR(__xludf.DUMMYFUNCTION("""COMPUTED_VALUE"""),"Aditivo")</f>
        <v>Aditivo</v>
      </c>
      <c r="E150" s="46">
        <f>IFERROR(__xludf.DUMMYFUNCTION("""COMPUTED_VALUE"""),1500.0)</f>
        <v>1500</v>
      </c>
      <c r="F150" s="34">
        <f>IFERROR(__xludf.DUMMYFUNCTION("""COMPUTED_VALUE"""),3.0)</f>
        <v>3</v>
      </c>
      <c r="G150" s="34">
        <f>IFERROR(__xludf.DUMMYFUNCTION("""COMPUTED_VALUE"""),1.0)</f>
        <v>1</v>
      </c>
      <c r="H150" s="47">
        <f>IFERROR(__xludf.DUMMYFUNCTION("""COMPUTED_VALUE"""),45348.0)</f>
        <v>45348</v>
      </c>
      <c r="I150" s="47">
        <f>IFERROR(__xludf.DUMMYFUNCTION("""COMPUTED_VALUE"""),45369.0)</f>
        <v>45369</v>
      </c>
      <c r="J150" s="103" t="s">
        <v>39</v>
      </c>
      <c r="K150" s="26"/>
      <c r="L150" s="81">
        <v>0.0</v>
      </c>
      <c r="M150" s="29" t="str">
        <f t="shared" si="20"/>
        <v>-</v>
      </c>
      <c r="N150" s="47"/>
      <c r="O150" s="20" t="s">
        <v>46</v>
      </c>
      <c r="P150" s="102" t="b">
        <v>0</v>
      </c>
      <c r="Q150" s="31" t="b">
        <v>1</v>
      </c>
      <c r="R150" s="102" t="b">
        <v>0</v>
      </c>
      <c r="S150" s="34"/>
      <c r="T150" s="43"/>
      <c r="U150" s="31" t="b">
        <f t="shared" si="11"/>
        <v>0</v>
      </c>
      <c r="V150" s="20" t="s">
        <v>191</v>
      </c>
      <c r="W150" s="20" t="s">
        <v>247</v>
      </c>
      <c r="X150" s="43"/>
      <c r="Y150" s="43"/>
      <c r="Z150" s="43"/>
      <c r="AA150" s="34">
        <f t="shared" si="3"/>
        <v>0</v>
      </c>
      <c r="AB150" s="35">
        <f t="shared" si="15"/>
        <v>0</v>
      </c>
      <c r="AC150" s="29" t="str">
        <f t="shared" si="5"/>
        <v>NÃO</v>
      </c>
      <c r="AD150" s="37" t="str">
        <f t="shared" si="1"/>
        <v>Não</v>
      </c>
      <c r="AE150" s="38">
        <f t="shared" si="6"/>
        <v>0</v>
      </c>
      <c r="AF150" s="29" t="str">
        <f>IF(N150,N150+((VLOOKUP(C150,'NPS de resultado'!$C$7:$D$36,2)*30)),"")</f>
        <v/>
      </c>
      <c r="AG150" s="39"/>
    </row>
    <row r="151" hidden="1">
      <c r="A151" s="43" t="str">
        <f>IFERROR(__xludf.DUMMYFUNCTION("""COMPUTED_VALUE"""),"João Siufi")</f>
        <v>João Siufi</v>
      </c>
      <c r="B151" s="43" t="str">
        <f>IFERROR(__xludf.DUMMYFUNCTION("""COMPUTED_VALUE"""),"NTec")</f>
        <v>NTec</v>
      </c>
      <c r="C151" s="43" t="str">
        <f>IFERROR(__xludf.DUMMYFUNCTION("""COMPUTED_VALUE"""),"Escopo Aberto")</f>
        <v>Escopo Aberto</v>
      </c>
      <c r="D151" s="43" t="str">
        <f>IFERROR(__xludf.DUMMYFUNCTION("""COMPUTED_VALUE"""),"Projeto")</f>
        <v>Projeto</v>
      </c>
      <c r="E151" s="46">
        <f>IFERROR(__xludf.DUMMYFUNCTION("""COMPUTED_VALUE"""),55000.0)</f>
        <v>55000</v>
      </c>
      <c r="F151" s="34">
        <f>IFERROR(__xludf.DUMMYFUNCTION("""COMPUTED_VALUE"""),18.0)</f>
        <v>18</v>
      </c>
      <c r="G151" s="34">
        <f>IFERROR(__xludf.DUMMYFUNCTION("""COMPUTED_VALUE"""),3.0)</f>
        <v>3</v>
      </c>
      <c r="H151" s="47">
        <f>IFERROR(__xludf.DUMMYFUNCTION("""COMPUTED_VALUE"""),45369.0)</f>
        <v>45369</v>
      </c>
      <c r="I151" s="47">
        <f>IFERROR(__xludf.DUMMYFUNCTION("""COMPUTED_VALUE"""),45509.0)</f>
        <v>45509</v>
      </c>
      <c r="J151" s="64" t="s">
        <v>50</v>
      </c>
      <c r="K151" s="26">
        <v>45370.0</v>
      </c>
      <c r="L151" s="86">
        <v>2.0</v>
      </c>
      <c r="M151" s="29">
        <f t="shared" si="20"/>
        <v>45510</v>
      </c>
      <c r="N151" s="47"/>
      <c r="O151" s="20" t="s">
        <v>40</v>
      </c>
      <c r="P151" s="102" t="b">
        <v>0</v>
      </c>
      <c r="Q151" s="102" t="b">
        <v>0</v>
      </c>
      <c r="R151" s="102" t="b">
        <v>0</v>
      </c>
      <c r="S151" s="34"/>
      <c r="T151" s="43"/>
      <c r="U151" s="33" t="b">
        <f t="shared" si="11"/>
        <v>0</v>
      </c>
      <c r="V151" s="20" t="s">
        <v>290</v>
      </c>
      <c r="W151" s="20" t="s">
        <v>303</v>
      </c>
      <c r="X151" s="20" t="s">
        <v>293</v>
      </c>
      <c r="Y151" s="43"/>
      <c r="Z151" s="43"/>
      <c r="AA151" s="34">
        <f t="shared" si="3"/>
        <v>0</v>
      </c>
      <c r="AB151" s="35">
        <f t="shared" si="15"/>
        <v>0</v>
      </c>
      <c r="AC151" s="29" t="str">
        <f t="shared" si="5"/>
        <v>NÃO</v>
      </c>
      <c r="AD151" s="37" t="str">
        <f t="shared" si="1"/>
        <v>Não</v>
      </c>
      <c r="AE151" s="38">
        <f t="shared" si="6"/>
        <v>1</v>
      </c>
      <c r="AF151" s="29" t="str">
        <f>IF(N151,N151+((VLOOKUP(C151,'NPS de resultado'!$C$7:$D$36,2)*30)),"")</f>
        <v/>
      </c>
      <c r="AG151" s="25"/>
    </row>
    <row r="152">
      <c r="A152" s="43" t="str">
        <f>IFERROR(__xludf.DUMMYFUNCTION("""COMPUTED_VALUE"""),"Plena Saúde 2.0")</f>
        <v>Plena Saúde 2.0</v>
      </c>
      <c r="B152" s="43" t="str">
        <f>IFERROR(__xludf.DUMMYFUNCTION("""COMPUTED_VALUE"""),"NDados")</f>
        <v>NDados</v>
      </c>
      <c r="C152" s="43" t="str">
        <f>IFERROR(__xludf.DUMMYFUNCTION("""COMPUTED_VALUE"""),"Extração")</f>
        <v>Extração</v>
      </c>
      <c r="D152" s="43" t="str">
        <f>IFERROR(__xludf.DUMMYFUNCTION("""COMPUTED_VALUE"""),"Projeto")</f>
        <v>Projeto</v>
      </c>
      <c r="E152" s="46">
        <f>IFERROR(__xludf.DUMMYFUNCTION("""COMPUTED_VALUE"""),15000.0)</f>
        <v>15000</v>
      </c>
      <c r="F152" s="34">
        <f>IFERROR(__xludf.DUMMYFUNCTION("""COMPUTED_VALUE"""),6.0)</f>
        <v>6</v>
      </c>
      <c r="G152" s="34">
        <f>IFERROR(__xludf.DUMMYFUNCTION("""COMPUTED_VALUE"""),2.0)</f>
        <v>2</v>
      </c>
      <c r="H152" s="47">
        <f>IFERROR(__xludf.DUMMYFUNCTION("""COMPUTED_VALUE"""),45362.0)</f>
        <v>45362</v>
      </c>
      <c r="I152" s="47">
        <f>IFERROR(__xludf.DUMMYFUNCTION("""COMPUTED_VALUE"""),45418.0)</f>
        <v>45418</v>
      </c>
      <c r="J152" s="103" t="s">
        <v>39</v>
      </c>
      <c r="K152" s="26">
        <v>45362.0</v>
      </c>
      <c r="L152" s="81">
        <v>2.857142857142857</v>
      </c>
      <c r="M152" s="29">
        <f t="shared" si="20"/>
        <v>45424</v>
      </c>
      <c r="N152" s="47"/>
      <c r="O152" s="20" t="s">
        <v>103</v>
      </c>
      <c r="P152" s="102" t="b">
        <v>0</v>
      </c>
      <c r="Q152" s="102" t="b">
        <v>0</v>
      </c>
      <c r="R152" s="102" t="b">
        <v>0</v>
      </c>
      <c r="S152" s="34"/>
      <c r="T152" s="43"/>
      <c r="U152" s="31" t="b">
        <f t="shared" si="11"/>
        <v>0</v>
      </c>
      <c r="V152" s="43"/>
      <c r="W152" s="43"/>
      <c r="X152" s="43"/>
      <c r="Y152" s="43"/>
      <c r="Z152" s="43"/>
      <c r="AA152" s="34">
        <f t="shared" si="3"/>
        <v>0</v>
      </c>
      <c r="AB152" s="35">
        <f t="shared" si="15"/>
        <v>16071.42857</v>
      </c>
      <c r="AC152" s="29" t="str">
        <f t="shared" si="5"/>
        <v>Sim</v>
      </c>
      <c r="AD152" s="37" t="str">
        <f t="shared" si="1"/>
        <v>Sim</v>
      </c>
      <c r="AE152" s="38">
        <f t="shared" si="6"/>
        <v>0</v>
      </c>
      <c r="AF152" s="29" t="str">
        <f>IF(N152,N152+((VLOOKUP(C152,'NPS de resultado'!$C$7:$D$36,2)*30)),"")</f>
        <v/>
      </c>
      <c r="AG152" s="39"/>
    </row>
    <row r="153">
      <c r="A153" s="43" t="str">
        <f>IFERROR(__xludf.DUMMYFUNCTION("""COMPUTED_VALUE"""),"Sandoz")</f>
        <v>Sandoz</v>
      </c>
      <c r="B153" s="43" t="str">
        <f>IFERROR(__xludf.DUMMYFUNCTION("""COMPUTED_VALUE"""),"NDados")</f>
        <v>NDados</v>
      </c>
      <c r="C153" s="43" t="str">
        <f>IFERROR(__xludf.DUMMYFUNCTION("""COMPUTED_VALUE"""),"Extração")</f>
        <v>Extração</v>
      </c>
      <c r="D153" s="43" t="str">
        <f>IFERROR(__xludf.DUMMYFUNCTION("""COMPUTED_VALUE"""),"Projeto")</f>
        <v>Projeto</v>
      </c>
      <c r="E153" s="46">
        <f>IFERROR(__xludf.DUMMYFUNCTION("""COMPUTED_VALUE"""),8965.5)</f>
        <v>8965.5</v>
      </c>
      <c r="F153" s="34">
        <f>IFERROR(__xludf.DUMMYFUNCTION("""COMPUTED_VALUE"""),4.0)</f>
        <v>4</v>
      </c>
      <c r="G153" s="34">
        <f>IFERROR(__xludf.DUMMYFUNCTION("""COMPUTED_VALUE"""),1.0)</f>
        <v>1</v>
      </c>
      <c r="H153" s="47">
        <f>IFERROR(__xludf.DUMMYFUNCTION("""COMPUTED_VALUE"""),45355.0)</f>
        <v>45355</v>
      </c>
      <c r="I153" s="47">
        <f>IFERROR(__xludf.DUMMYFUNCTION("""COMPUTED_VALUE"""),45418.0)</f>
        <v>45418</v>
      </c>
      <c r="J153" s="103" t="s">
        <v>39</v>
      </c>
      <c r="K153" s="26">
        <v>45376.0</v>
      </c>
      <c r="L153" s="81">
        <v>0.0</v>
      </c>
      <c r="M153" s="29">
        <f t="shared" si="20"/>
        <v>45404</v>
      </c>
      <c r="N153" s="26">
        <v>45411.0</v>
      </c>
      <c r="O153" s="20" t="s">
        <v>46</v>
      </c>
      <c r="P153" s="102" t="b">
        <v>0</v>
      </c>
      <c r="Q153" s="102" t="b">
        <v>0</v>
      </c>
      <c r="R153" s="31" t="b">
        <v>1</v>
      </c>
      <c r="S153" s="25">
        <v>7.0</v>
      </c>
      <c r="T153" s="43"/>
      <c r="U153" s="33" t="b">
        <f t="shared" si="11"/>
        <v>0</v>
      </c>
      <c r="V153" s="20" t="s">
        <v>230</v>
      </c>
      <c r="W153" s="20" t="s">
        <v>253</v>
      </c>
      <c r="X153" s="43"/>
      <c r="Y153" s="43"/>
      <c r="Z153" s="43"/>
      <c r="AA153" s="34">
        <f t="shared" si="3"/>
        <v>5</v>
      </c>
      <c r="AB153" s="35">
        <f t="shared" si="15"/>
        <v>2241.375</v>
      </c>
      <c r="AC153" s="29" t="str">
        <f t="shared" si="5"/>
        <v>Sim</v>
      </c>
      <c r="AD153" s="37" t="str">
        <f t="shared" si="1"/>
        <v>Não</v>
      </c>
      <c r="AE153" s="38">
        <f t="shared" si="6"/>
        <v>21</v>
      </c>
      <c r="AF153" s="29">
        <f>IF(N153,N153+((VLOOKUP(C153,'NPS de resultado'!$C$7:$D$36,2)*30)),"")</f>
        <v>45591</v>
      </c>
      <c r="AG153" s="39"/>
    </row>
    <row r="154" hidden="1">
      <c r="A154" s="43" t="str">
        <f>IFERROR(__xludf.DUMMYFUNCTION("""COMPUTED_VALUE"""),"Voticare")</f>
        <v>Voticare</v>
      </c>
      <c r="B154" s="43" t="str">
        <f>IFERROR(__xludf.DUMMYFUNCTION("""COMPUTED_VALUE"""),"NCon")</f>
        <v>NCon</v>
      </c>
      <c r="C154" s="43" t="str">
        <f>IFERROR(__xludf.DUMMYFUNCTION("""COMPUTED_VALUE"""),"Gestão de Processos")</f>
        <v>Gestão de Processos</v>
      </c>
      <c r="D154" s="43" t="str">
        <f>IFERROR(__xludf.DUMMYFUNCTION("""COMPUTED_VALUE"""),"Projeto")</f>
        <v>Projeto</v>
      </c>
      <c r="E154" s="46">
        <f>IFERROR(__xludf.DUMMYFUNCTION("""COMPUTED_VALUE"""),20880.0)</f>
        <v>20880</v>
      </c>
      <c r="F154" s="34">
        <f>IFERROR(__xludf.DUMMYFUNCTION("""COMPUTED_VALUE"""),7.0)</f>
        <v>7</v>
      </c>
      <c r="G154" s="34">
        <f>IFERROR(__xludf.DUMMYFUNCTION("""COMPUTED_VALUE"""),2.0)</f>
        <v>2</v>
      </c>
      <c r="H154" s="47">
        <f>IFERROR(__xludf.DUMMYFUNCTION("""COMPUTED_VALUE"""),45355.0)</f>
        <v>45355</v>
      </c>
      <c r="I154" s="47">
        <f>IFERROR(__xludf.DUMMYFUNCTION("""COMPUTED_VALUE"""),45401.0)</f>
        <v>45401</v>
      </c>
      <c r="J154" s="103" t="s">
        <v>50</v>
      </c>
      <c r="K154" s="47"/>
      <c r="L154" s="81"/>
      <c r="M154" s="29" t="str">
        <f t="shared" si="20"/>
        <v>-</v>
      </c>
      <c r="N154" s="47"/>
      <c r="O154" s="20" t="s">
        <v>103</v>
      </c>
      <c r="P154" s="102" t="b">
        <v>0</v>
      </c>
      <c r="Q154" s="102" t="b">
        <v>0</v>
      </c>
      <c r="R154" s="102" t="b">
        <v>0</v>
      </c>
      <c r="S154" s="25"/>
      <c r="T154" s="43"/>
      <c r="U154" s="33" t="b">
        <f t="shared" si="11"/>
        <v>0</v>
      </c>
      <c r="V154" s="20" t="s">
        <v>125</v>
      </c>
      <c r="W154" s="20" t="s">
        <v>335</v>
      </c>
      <c r="X154" s="20" t="s">
        <v>176</v>
      </c>
      <c r="Y154" s="43"/>
      <c r="Z154" s="43"/>
      <c r="AA154" s="34">
        <f t="shared" si="3"/>
        <v>0</v>
      </c>
      <c r="AB154" s="35">
        <f t="shared" si="15"/>
        <v>0</v>
      </c>
      <c r="AC154" s="29" t="str">
        <f t="shared" si="5"/>
        <v>NÃO</v>
      </c>
      <c r="AD154" s="37" t="str">
        <f t="shared" si="1"/>
        <v>Não</v>
      </c>
      <c r="AE154" s="38">
        <f t="shared" si="6"/>
        <v>0</v>
      </c>
      <c r="AF154" s="29"/>
      <c r="AG154" s="39"/>
    </row>
    <row r="155" hidden="1">
      <c r="A155" s="43" t="str">
        <f>IFERROR(__xludf.DUMMYFUNCTION("""COMPUTED_VALUE"""),"Dengo 2.0")</f>
        <v>Dengo 2.0</v>
      </c>
      <c r="B155" s="43" t="str">
        <f>IFERROR(__xludf.DUMMYFUNCTION("""COMPUTED_VALUE"""),"NCon")</f>
        <v>NCon</v>
      </c>
      <c r="C155" s="43" t="str">
        <f>IFERROR(__xludf.DUMMYFUNCTION("""COMPUTED_VALUE"""),"Gestão de Processos")</f>
        <v>Gestão de Processos</v>
      </c>
      <c r="D155" s="43" t="str">
        <f>IFERROR(__xludf.DUMMYFUNCTION("""COMPUTED_VALUE"""),"Projeto")</f>
        <v>Projeto</v>
      </c>
      <c r="E155" s="46">
        <f>IFERROR(__xludf.DUMMYFUNCTION("""COMPUTED_VALUE"""),27500.0)</f>
        <v>27500</v>
      </c>
      <c r="F155" s="34">
        <f>IFERROR(__xludf.DUMMYFUNCTION("""COMPUTED_VALUE"""),6.0)</f>
        <v>6</v>
      </c>
      <c r="G155" s="34">
        <f>IFERROR(__xludf.DUMMYFUNCTION("""COMPUTED_VALUE"""),3.0)</f>
        <v>3</v>
      </c>
      <c r="H155" s="47">
        <f>IFERROR(__xludf.DUMMYFUNCTION("""COMPUTED_VALUE"""),45355.0)</f>
        <v>45355</v>
      </c>
      <c r="I155" s="47">
        <f>IFERROR(__xludf.DUMMYFUNCTION("""COMPUTED_VALUE"""),45394.0)</f>
        <v>45394</v>
      </c>
      <c r="J155" s="103" t="s">
        <v>50</v>
      </c>
      <c r="K155" s="26">
        <v>45356.0</v>
      </c>
      <c r="L155" s="81"/>
      <c r="M155" s="29">
        <f>IF(K155&lt;&gt;"",K155+(F155+L155)*7,"")</f>
        <v>45398</v>
      </c>
      <c r="N155" s="47"/>
      <c r="O155" s="20" t="s">
        <v>40</v>
      </c>
      <c r="P155" s="102" t="b">
        <v>0</v>
      </c>
      <c r="Q155" s="102" t="b">
        <v>0</v>
      </c>
      <c r="R155" s="102" t="b">
        <v>0</v>
      </c>
      <c r="S155" s="25"/>
      <c r="T155" s="43"/>
      <c r="U155" s="33" t="b">
        <f t="shared" si="11"/>
        <v>0</v>
      </c>
      <c r="V155" s="20" t="s">
        <v>138</v>
      </c>
      <c r="W155" s="20" t="s">
        <v>153</v>
      </c>
      <c r="X155" s="20" t="s">
        <v>143</v>
      </c>
      <c r="Y155" s="43"/>
      <c r="Z155" s="43"/>
      <c r="AA155" s="34">
        <f t="shared" si="3"/>
        <v>0</v>
      </c>
      <c r="AB155" s="35">
        <f t="shared" si="15"/>
        <v>46488.09524</v>
      </c>
      <c r="AC155" s="29" t="str">
        <f t="shared" si="5"/>
        <v>Sim</v>
      </c>
      <c r="AD155" s="37" t="str">
        <f t="shared" si="1"/>
        <v>Sim</v>
      </c>
      <c r="AE155" s="38">
        <f t="shared" si="6"/>
        <v>1</v>
      </c>
      <c r="AF155" s="29" t="str">
        <f>IF(N155,N155+((VLOOKUP(C155,'NPS de resultado'!$C$7:$D$36,2)*30)),"")</f>
        <v/>
      </c>
      <c r="AG155" s="39"/>
    </row>
    <row r="156" hidden="1">
      <c r="A156" s="43" t="str">
        <f>IFERROR(__xludf.DUMMYFUNCTION("""COMPUTED_VALUE"""),"Grafeno 2.0")</f>
        <v>Grafeno 2.0</v>
      </c>
      <c r="B156" s="43" t="str">
        <f>IFERROR(__xludf.DUMMYFUNCTION("""COMPUTED_VALUE"""),"NCon")</f>
        <v>NCon</v>
      </c>
      <c r="C156" s="43" t="str">
        <f>IFERROR(__xludf.DUMMYFUNCTION("""COMPUTED_VALUE"""),"Gestão de Processos")</f>
        <v>Gestão de Processos</v>
      </c>
      <c r="D156" s="43" t="str">
        <f>IFERROR(__xludf.DUMMYFUNCTION("""COMPUTED_VALUE"""),"Projeto")</f>
        <v>Projeto</v>
      </c>
      <c r="E156" s="46">
        <f>IFERROR(__xludf.DUMMYFUNCTION("""COMPUTED_VALUE"""),35000.0)</f>
        <v>35000</v>
      </c>
      <c r="F156" s="34">
        <f>IFERROR(__xludf.DUMMYFUNCTION("""COMPUTED_VALUE"""),7.0)</f>
        <v>7</v>
      </c>
      <c r="G156" s="34">
        <f>IFERROR(__xludf.DUMMYFUNCTION("""COMPUTED_VALUE"""),3.0)</f>
        <v>3</v>
      </c>
      <c r="H156" s="47">
        <f>IFERROR(__xludf.DUMMYFUNCTION("""COMPUTED_VALUE"""),45350.0)</f>
        <v>45350</v>
      </c>
      <c r="I156" s="47">
        <f>IFERROR(__xludf.DUMMYFUNCTION("""COMPUTED_VALUE"""),45400.0)</f>
        <v>45400</v>
      </c>
      <c r="J156" s="103" t="s">
        <v>50</v>
      </c>
      <c r="K156" s="26">
        <v>45355.0</v>
      </c>
      <c r="L156" s="86">
        <v>5.0</v>
      </c>
      <c r="M156" s="54">
        <v>45419.0</v>
      </c>
      <c r="N156" s="26">
        <v>45455.0</v>
      </c>
      <c r="O156" s="20" t="s">
        <v>46</v>
      </c>
      <c r="P156" s="102" t="b">
        <v>0</v>
      </c>
      <c r="Q156" s="102" t="b">
        <v>0</v>
      </c>
      <c r="R156" s="31" t="b">
        <v>1</v>
      </c>
      <c r="S156" s="109"/>
      <c r="T156" s="20"/>
      <c r="U156" s="33" t="b">
        <f t="shared" si="11"/>
        <v>0</v>
      </c>
      <c r="V156" s="20" t="s">
        <v>136</v>
      </c>
      <c r="W156" s="20" t="s">
        <v>157</v>
      </c>
      <c r="X156" s="20" t="s">
        <v>151</v>
      </c>
      <c r="Y156" s="43"/>
      <c r="Z156" s="43"/>
      <c r="AA156" s="34">
        <f t="shared" si="3"/>
        <v>27.85714286</v>
      </c>
      <c r="AB156" s="35">
        <f t="shared" si="15"/>
        <v>25714.28571</v>
      </c>
      <c r="AC156" s="29" t="str">
        <f t="shared" si="5"/>
        <v>Sim</v>
      </c>
      <c r="AD156" s="37" t="str">
        <f t="shared" si="1"/>
        <v>Não</v>
      </c>
      <c r="AE156" s="38">
        <f t="shared" si="6"/>
        <v>5</v>
      </c>
      <c r="AF156" s="29">
        <f>IF(N156,N156+((VLOOKUP(C156,'NPS de resultado'!$C$7:$D$36,2)*30)),"")</f>
        <v>45635</v>
      </c>
      <c r="AG156" s="39"/>
    </row>
    <row r="157" hidden="1">
      <c r="A157" s="43" t="str">
        <f>IFERROR(__xludf.DUMMYFUNCTION("""COMPUTED_VALUE"""),"MP Perfil Company")</f>
        <v>MP Perfil Company</v>
      </c>
      <c r="B157" s="43" t="str">
        <f>IFERROR(__xludf.DUMMYFUNCTION("""COMPUTED_VALUE"""),"NCon")</f>
        <v>NCon</v>
      </c>
      <c r="C157" s="43" t="str">
        <f>IFERROR(__xludf.DUMMYFUNCTION("""COMPUTED_VALUE"""),"Modelagem e Projeção")</f>
        <v>Modelagem e Projeção</v>
      </c>
      <c r="D157" s="43" t="str">
        <f>IFERROR(__xludf.DUMMYFUNCTION("""COMPUTED_VALUE"""),"Projeto")</f>
        <v>Projeto</v>
      </c>
      <c r="E157" s="46">
        <f>IFERROR(__xludf.DUMMYFUNCTION("""COMPUTED_VALUE"""),11000.0)</f>
        <v>11000</v>
      </c>
      <c r="F157" s="34">
        <f>IFERROR(__xludf.DUMMYFUNCTION("""COMPUTED_VALUE"""),8.0)</f>
        <v>8</v>
      </c>
      <c r="G157" s="34">
        <f>IFERROR(__xludf.DUMMYFUNCTION("""COMPUTED_VALUE"""),1.0)</f>
        <v>1</v>
      </c>
      <c r="H157" s="47">
        <f>IFERROR(__xludf.DUMMYFUNCTION("""COMPUTED_VALUE"""),45355.0)</f>
        <v>45355</v>
      </c>
      <c r="I157" s="47">
        <f>IFERROR(__xludf.DUMMYFUNCTION("""COMPUTED_VALUE"""),45401.0)</f>
        <v>45401</v>
      </c>
      <c r="J157" s="103" t="s">
        <v>39</v>
      </c>
      <c r="K157" s="26">
        <v>45364.0</v>
      </c>
      <c r="L157" s="81"/>
      <c r="M157" s="29">
        <f>IF(K157&lt;&gt;"",K157+(F157+L157)*7,"")</f>
        <v>45420</v>
      </c>
      <c r="N157" s="47"/>
      <c r="O157" s="20" t="s">
        <v>46</v>
      </c>
      <c r="P157" s="102" t="b">
        <v>0</v>
      </c>
      <c r="Q157" s="102" t="b">
        <v>0</v>
      </c>
      <c r="R157" s="31" t="b">
        <v>1</v>
      </c>
      <c r="S157" s="25"/>
      <c r="T157" s="43"/>
      <c r="U157" s="33" t="b">
        <f t="shared" si="11"/>
        <v>0</v>
      </c>
      <c r="V157" s="20" t="s">
        <v>136</v>
      </c>
      <c r="W157" s="20" t="s">
        <v>143</v>
      </c>
      <c r="X157" s="43"/>
      <c r="Y157" s="43"/>
      <c r="Z157" s="43"/>
      <c r="AA157" s="34">
        <f t="shared" si="3"/>
        <v>0</v>
      </c>
      <c r="AB157" s="35">
        <f t="shared" si="15"/>
        <v>9625</v>
      </c>
      <c r="AC157" s="29" t="str">
        <f t="shared" si="5"/>
        <v>Sim</v>
      </c>
      <c r="AD157" s="37" t="str">
        <f t="shared" si="1"/>
        <v>Sim</v>
      </c>
      <c r="AE157" s="38">
        <f t="shared" si="6"/>
        <v>9</v>
      </c>
      <c r="AF157" s="29" t="str">
        <f>IF(N157,N157+((VLOOKUP(C157,'NPS de resultado'!$C$7:$D$36,2)*30)),"")</f>
        <v/>
      </c>
      <c r="AG157" s="39"/>
    </row>
    <row r="158">
      <c r="A158" s="43" t="str">
        <f>IFERROR(__xludf.DUMMYFUNCTION("""COMPUTED_VALUE"""),"Enpower")</f>
        <v>Enpower</v>
      </c>
      <c r="B158" s="43" t="str">
        <f>IFERROR(__xludf.DUMMYFUNCTION("""COMPUTED_VALUE"""),"NDados")</f>
        <v>NDados</v>
      </c>
      <c r="C158" s="43" t="str">
        <f>IFERROR(__xludf.DUMMYFUNCTION("""COMPUTED_VALUE"""),"Previsão")</f>
        <v>Previsão</v>
      </c>
      <c r="D158" s="43" t="str">
        <f>IFERROR(__xludf.DUMMYFUNCTION("""COMPUTED_VALUE"""),"Projeto")</f>
        <v>Projeto</v>
      </c>
      <c r="E158" s="46">
        <f>IFERROR(__xludf.DUMMYFUNCTION("""COMPUTED_VALUE"""),27000.0)</f>
        <v>27000</v>
      </c>
      <c r="F158" s="34">
        <f>IFERROR(__xludf.DUMMYFUNCTION("""COMPUTED_VALUE"""),7.0)</f>
        <v>7</v>
      </c>
      <c r="G158" s="34">
        <f>IFERROR(__xludf.DUMMYFUNCTION("""COMPUTED_VALUE"""),2.0)</f>
        <v>2</v>
      </c>
      <c r="H158" s="47">
        <f>IFERROR(__xludf.DUMMYFUNCTION("""COMPUTED_VALUE"""),45355.0)</f>
        <v>45355</v>
      </c>
      <c r="I158" s="47">
        <f>IFERROR(__xludf.DUMMYFUNCTION("""COMPUTED_VALUE"""),45411.0)</f>
        <v>45411</v>
      </c>
      <c r="J158" s="103" t="s">
        <v>39</v>
      </c>
      <c r="K158" s="26">
        <v>45370.0</v>
      </c>
      <c r="L158" s="81">
        <v>0.0</v>
      </c>
      <c r="M158" s="29">
        <f>IF(K158&lt;&gt;"",K158+(F158+L158)*7,"-")</f>
        <v>45419</v>
      </c>
      <c r="N158" s="26">
        <v>45439.0</v>
      </c>
      <c r="O158" s="20" t="s">
        <v>46</v>
      </c>
      <c r="P158" s="102" t="b">
        <v>0</v>
      </c>
      <c r="Q158" s="102" t="b">
        <v>0</v>
      </c>
      <c r="R158" s="31" t="b">
        <v>1</v>
      </c>
      <c r="S158" s="25">
        <v>8.0</v>
      </c>
      <c r="T158" s="43"/>
      <c r="U158" s="33" t="b">
        <f t="shared" si="11"/>
        <v>0</v>
      </c>
      <c r="V158" s="20" t="s">
        <v>230</v>
      </c>
      <c r="W158" s="20" t="s">
        <v>227</v>
      </c>
      <c r="X158" s="20" t="s">
        <v>246</v>
      </c>
      <c r="Y158" s="43"/>
      <c r="Z158" s="43"/>
      <c r="AA158" s="34">
        <f t="shared" si="3"/>
        <v>19.71428571</v>
      </c>
      <c r="AB158" s="35">
        <f t="shared" si="15"/>
        <v>11020.40816</v>
      </c>
      <c r="AC158" s="29" t="str">
        <f t="shared" si="5"/>
        <v>Sim</v>
      </c>
      <c r="AD158" s="37" t="str">
        <f t="shared" si="1"/>
        <v>Não</v>
      </c>
      <c r="AE158" s="38">
        <f t="shared" si="6"/>
        <v>15</v>
      </c>
      <c r="AF158" s="29">
        <f>IF(N158,N158+((VLOOKUP(C158,'NPS de resultado'!$C$7:$D$36,2)*30)),"")</f>
        <v>45619</v>
      </c>
      <c r="AG158" s="39"/>
    </row>
    <row r="159" hidden="1">
      <c r="A159" s="43" t="str">
        <f>IFERROR(__xludf.DUMMYFUNCTION("""COMPUTED_VALUE"""),"PM Educantes")</f>
        <v>PM Educantes</v>
      </c>
      <c r="B159" s="43" t="str">
        <f>IFERROR(__xludf.DUMMYFUNCTION("""COMPUTED_VALUE"""),"NCon")</f>
        <v>NCon</v>
      </c>
      <c r="C159" s="43" t="str">
        <f>IFERROR(__xludf.DUMMYFUNCTION("""COMPUTED_VALUE"""),"Pesquisa de Mercado")</f>
        <v>Pesquisa de Mercado</v>
      </c>
      <c r="D159" s="43" t="str">
        <f>IFERROR(__xludf.DUMMYFUNCTION("""COMPUTED_VALUE"""),"Projeto")</f>
        <v>Projeto</v>
      </c>
      <c r="E159" s="46">
        <f>IFERROR(__xludf.DUMMYFUNCTION("""COMPUTED_VALUE"""),7560.0)</f>
        <v>7560</v>
      </c>
      <c r="F159" s="34">
        <f>IFERROR(__xludf.DUMMYFUNCTION("""COMPUTED_VALUE"""),5.0)</f>
        <v>5</v>
      </c>
      <c r="G159" s="34">
        <f>IFERROR(__xludf.DUMMYFUNCTION("""COMPUTED_VALUE"""),1.0)</f>
        <v>1</v>
      </c>
      <c r="H159" s="47">
        <f>IFERROR(__xludf.DUMMYFUNCTION("""COMPUTED_VALUE"""),45355.0)</f>
        <v>45355</v>
      </c>
      <c r="I159" s="47">
        <f>IFERROR(__xludf.DUMMYFUNCTION("""COMPUTED_VALUE"""),45387.0)</f>
        <v>45387</v>
      </c>
      <c r="J159" s="103" t="s">
        <v>39</v>
      </c>
      <c r="K159" s="26">
        <v>45370.0</v>
      </c>
      <c r="L159" s="86">
        <v>0.0</v>
      </c>
      <c r="M159" s="54">
        <v>45412.0</v>
      </c>
      <c r="N159" s="26">
        <v>45411.0</v>
      </c>
      <c r="O159" s="20" t="s">
        <v>46</v>
      </c>
      <c r="P159" s="102" t="b">
        <v>0</v>
      </c>
      <c r="Q159" s="102" t="b">
        <v>0</v>
      </c>
      <c r="R159" s="31" t="b">
        <v>1</v>
      </c>
      <c r="S159" s="25">
        <v>10.0</v>
      </c>
      <c r="T159" s="20"/>
      <c r="U159" s="33" t="b">
        <f t="shared" si="11"/>
        <v>1</v>
      </c>
      <c r="V159" s="20" t="s">
        <v>125</v>
      </c>
      <c r="W159" s="20" t="s">
        <v>168</v>
      </c>
      <c r="X159" s="43"/>
      <c r="Y159" s="43"/>
      <c r="Z159" s="43"/>
      <c r="AA159" s="34">
        <f t="shared" si="3"/>
        <v>5.857142857</v>
      </c>
      <c r="AB159" s="35">
        <f t="shared" si="15"/>
        <v>0</v>
      </c>
      <c r="AC159" s="29" t="str">
        <f t="shared" si="5"/>
        <v>Sim</v>
      </c>
      <c r="AD159" s="37" t="str">
        <f t="shared" si="1"/>
        <v>Não</v>
      </c>
      <c r="AE159" s="38">
        <f t="shared" si="6"/>
        <v>15</v>
      </c>
      <c r="AF159" s="29">
        <f>IF(N159,N159+((VLOOKUP(C159,'NPS de resultado'!$C$7:$D$36,2)*30)),"")</f>
        <v>45591</v>
      </c>
      <c r="AG159" s="39"/>
    </row>
    <row r="160" hidden="1">
      <c r="A160" s="43" t="str">
        <f>IFERROR(__xludf.DUMMYFUNCTION("""COMPUTED_VALUE"""),"PM Framework ")</f>
        <v>PM Framework </v>
      </c>
      <c r="B160" s="43" t="str">
        <f>IFERROR(__xludf.DUMMYFUNCTION("""COMPUTED_VALUE"""),"NCon")</f>
        <v>NCon</v>
      </c>
      <c r="C160" s="43" t="str">
        <f>IFERROR(__xludf.DUMMYFUNCTION("""COMPUTED_VALUE"""),"Pesquisa de Mercado")</f>
        <v>Pesquisa de Mercado</v>
      </c>
      <c r="D160" s="43" t="str">
        <f>IFERROR(__xludf.DUMMYFUNCTION("""COMPUTED_VALUE"""),"Projeto")</f>
        <v>Projeto</v>
      </c>
      <c r="E160" s="46">
        <f>IFERROR(__xludf.DUMMYFUNCTION("""COMPUTED_VALUE"""),8500.0)</f>
        <v>8500</v>
      </c>
      <c r="F160" s="34">
        <f>IFERROR(__xludf.DUMMYFUNCTION("""COMPUTED_VALUE"""),5.0)</f>
        <v>5</v>
      </c>
      <c r="G160" s="34">
        <f>IFERROR(__xludf.DUMMYFUNCTION("""COMPUTED_VALUE"""),1.0)</f>
        <v>1</v>
      </c>
      <c r="H160" s="47">
        <f>IFERROR(__xludf.DUMMYFUNCTION("""COMPUTED_VALUE"""),45355.0)</f>
        <v>45355</v>
      </c>
      <c r="I160" s="47">
        <f>IFERROR(__xludf.DUMMYFUNCTION("""COMPUTED_VALUE"""),45387.0)</f>
        <v>45387</v>
      </c>
      <c r="J160" s="103" t="s">
        <v>39</v>
      </c>
      <c r="K160" s="26">
        <v>45371.0</v>
      </c>
      <c r="L160" s="81"/>
      <c r="M160" s="54">
        <v>45413.0</v>
      </c>
      <c r="N160" s="26">
        <v>45429.0</v>
      </c>
      <c r="O160" s="20" t="s">
        <v>46</v>
      </c>
      <c r="P160" s="102" t="b">
        <v>0</v>
      </c>
      <c r="Q160" s="102" t="b">
        <v>0</v>
      </c>
      <c r="R160" s="31" t="b">
        <v>1</v>
      </c>
      <c r="S160" s="25"/>
      <c r="T160" s="20"/>
      <c r="U160" s="33" t="b">
        <f t="shared" si="11"/>
        <v>0</v>
      </c>
      <c r="V160" s="20" t="s">
        <v>125</v>
      </c>
      <c r="W160" s="20" t="s">
        <v>123</v>
      </c>
      <c r="X160" s="43"/>
      <c r="Y160" s="43"/>
      <c r="Z160" s="43"/>
      <c r="AA160" s="34">
        <f t="shared" si="3"/>
        <v>8.285714286</v>
      </c>
      <c r="AB160" s="35">
        <f t="shared" si="15"/>
        <v>3885.714286</v>
      </c>
      <c r="AC160" s="29" t="str">
        <f t="shared" si="5"/>
        <v>Sim</v>
      </c>
      <c r="AD160" s="37" t="str">
        <f t="shared" si="1"/>
        <v>Não</v>
      </c>
      <c r="AE160" s="38">
        <f t="shared" si="6"/>
        <v>16</v>
      </c>
      <c r="AF160" s="29">
        <f>IF(N160,N160+((VLOOKUP(C160,'NPS de resultado'!$C$7:$D$36,2)*30)),"")</f>
        <v>45609</v>
      </c>
      <c r="AG160" s="39"/>
    </row>
    <row r="161" hidden="1">
      <c r="A161" s="43" t="str">
        <f>IFERROR(__xludf.DUMMYFUNCTION("""COMPUTED_VALUE"""),"Aditivo Kansas")</f>
        <v>Aditivo Kansas</v>
      </c>
      <c r="B161" s="43" t="str">
        <f>IFERROR(__xludf.DUMMYFUNCTION("""COMPUTED_VALUE"""),"NCiv")</f>
        <v>NCiv</v>
      </c>
      <c r="C161" s="43" t="str">
        <f>IFERROR(__xludf.DUMMYFUNCTION("""COMPUTED_VALUE"""),"Arq/Estru")</f>
        <v>Arq/Estru</v>
      </c>
      <c r="D161" s="43" t="str">
        <f>IFERROR(__xludf.DUMMYFUNCTION("""COMPUTED_VALUE"""),"Extensão")</f>
        <v>Extensão</v>
      </c>
      <c r="E161" s="46">
        <f>IFERROR(__xludf.DUMMYFUNCTION("""COMPUTED_VALUE"""),1800.0)</f>
        <v>1800</v>
      </c>
      <c r="F161" s="34">
        <f>IFERROR(__xludf.DUMMYFUNCTION("""COMPUTED_VALUE"""),3.0)</f>
        <v>3</v>
      </c>
      <c r="G161" s="34">
        <f>IFERROR(__xludf.DUMMYFUNCTION("""COMPUTED_VALUE"""),1.0)</f>
        <v>1</v>
      </c>
      <c r="H161" s="47">
        <f>IFERROR(__xludf.DUMMYFUNCTION("""COMPUTED_VALUE"""),45356.0)</f>
        <v>45356</v>
      </c>
      <c r="I161" s="47">
        <f>IFERROR(__xludf.DUMMYFUNCTION("""COMPUTED_VALUE"""),45380.0)</f>
        <v>45380</v>
      </c>
      <c r="J161" s="103" t="s">
        <v>50</v>
      </c>
      <c r="K161" s="26">
        <v>45373.0</v>
      </c>
      <c r="L161" s="81"/>
      <c r="M161" s="29">
        <f t="shared" ref="M161:M164" si="21">IF(K161&lt;&gt;"",K161+(F161+L161)*7,"-")</f>
        <v>45394</v>
      </c>
      <c r="N161" s="54">
        <v>45394.0</v>
      </c>
      <c r="O161" s="51" t="s">
        <v>46</v>
      </c>
      <c r="P161" s="102" t="b">
        <v>0</v>
      </c>
      <c r="Q161" s="31" t="b">
        <v>1</v>
      </c>
      <c r="R161" s="31" t="b">
        <v>1</v>
      </c>
      <c r="S161" s="34"/>
      <c r="T161" s="43"/>
      <c r="U161" s="33" t="b">
        <f t="shared" si="11"/>
        <v>0</v>
      </c>
      <c r="V161" s="20" t="s">
        <v>47</v>
      </c>
      <c r="W161" s="20" t="s">
        <v>73</v>
      </c>
      <c r="X161" s="43"/>
      <c r="Y161" s="43"/>
      <c r="Z161" s="43"/>
      <c r="AA161" s="34">
        <f t="shared" si="3"/>
        <v>3</v>
      </c>
      <c r="AB161" s="35">
        <f t="shared" si="15"/>
        <v>0</v>
      </c>
      <c r="AC161" s="29" t="str">
        <f t="shared" si="5"/>
        <v>Sim</v>
      </c>
      <c r="AD161" s="37" t="str">
        <f t="shared" si="1"/>
        <v>Não</v>
      </c>
      <c r="AE161" s="38">
        <f t="shared" si="6"/>
        <v>17</v>
      </c>
      <c r="AF161" s="29" t="str">
        <f>IF(N161,N161+((VLOOKUP(C161,'NPS de resultado'!$C$7:$D$36,2)*30)),"")</f>
        <v>#N/A</v>
      </c>
      <c r="AG161" s="39"/>
    </row>
    <row r="162" hidden="1">
      <c r="A162" s="43" t="str">
        <f>IFERROR(__xludf.DUMMYFUNCTION("""COMPUTED_VALUE"""),"Dev Leo Tubarão")</f>
        <v>Dev Leo Tubarão</v>
      </c>
      <c r="B162" s="43" t="str">
        <f>IFERROR(__xludf.DUMMYFUNCTION("""COMPUTED_VALUE"""),"NTec")</f>
        <v>NTec</v>
      </c>
      <c r="C162" s="43" t="str">
        <f>IFERROR(__xludf.DUMMYFUNCTION("""COMPUTED_VALUE"""),"Desenvolvimento")</f>
        <v>Desenvolvimento</v>
      </c>
      <c r="D162" s="43" t="str">
        <f>IFERROR(__xludf.DUMMYFUNCTION("""COMPUTED_VALUE"""),"Projeto")</f>
        <v>Projeto</v>
      </c>
      <c r="E162" s="46">
        <f>IFERROR(__xludf.DUMMYFUNCTION("""COMPUTED_VALUE"""),35000.0)</f>
        <v>35000</v>
      </c>
      <c r="F162" s="34">
        <f>IFERROR(__xludf.DUMMYFUNCTION("""COMPUTED_VALUE"""),12.0)</f>
        <v>12</v>
      </c>
      <c r="G162" s="34">
        <f>IFERROR(__xludf.DUMMYFUNCTION("""COMPUTED_VALUE"""),3.0)</f>
        <v>3</v>
      </c>
      <c r="H162" s="47">
        <f>IFERROR(__xludf.DUMMYFUNCTION("""COMPUTED_VALUE"""),45390.0)</f>
        <v>45390</v>
      </c>
      <c r="I162" s="47">
        <f>IFERROR(__xludf.DUMMYFUNCTION("""COMPUTED_VALUE"""),45488.0)</f>
        <v>45488</v>
      </c>
      <c r="J162" s="64" t="s">
        <v>50</v>
      </c>
      <c r="K162" s="26">
        <v>45405.0</v>
      </c>
      <c r="L162" s="81"/>
      <c r="M162" s="29">
        <f t="shared" si="21"/>
        <v>45489</v>
      </c>
      <c r="N162" s="47"/>
      <c r="O162" s="20" t="s">
        <v>40</v>
      </c>
      <c r="P162" s="102" t="b">
        <v>0</v>
      </c>
      <c r="Q162" s="102" t="b">
        <v>0</v>
      </c>
      <c r="R162" s="102" t="b">
        <v>0</v>
      </c>
      <c r="S162" s="34"/>
      <c r="T162" s="43"/>
      <c r="U162" s="33" t="b">
        <f t="shared" si="11"/>
        <v>0</v>
      </c>
      <c r="V162" s="20" t="s">
        <v>277</v>
      </c>
      <c r="W162" s="43"/>
      <c r="X162" s="43"/>
      <c r="Y162" s="20" t="s">
        <v>336</v>
      </c>
      <c r="Z162" s="20" t="s">
        <v>333</v>
      </c>
      <c r="AA162" s="34">
        <f>IF(N162,((N162-K162-(#REF!*7))/7)*G162,0)</f>
        <v>0</v>
      </c>
      <c r="AB162" s="35">
        <f t="shared" si="15"/>
        <v>0</v>
      </c>
      <c r="AC162" s="29" t="str">
        <f t="shared" si="5"/>
        <v>NÃO</v>
      </c>
      <c r="AD162" s="37" t="str">
        <f t="shared" si="1"/>
        <v>Não</v>
      </c>
      <c r="AE162" s="38">
        <f t="shared" si="6"/>
        <v>15</v>
      </c>
      <c r="AF162" s="29" t="str">
        <f>IF(N162,N162+((VLOOKUP(C162,'NPS de resultado'!$C$7:$D$36,2)*30)),"")</f>
        <v/>
      </c>
      <c r="AG162" s="25"/>
    </row>
    <row r="163">
      <c r="A163" s="43" t="str">
        <f>IFERROR(__xludf.DUMMYFUNCTION("""COMPUTED_VALUE"""),"LeafPay 2.0")</f>
        <v>LeafPay 2.0</v>
      </c>
      <c r="B163" s="43" t="str">
        <f>IFERROR(__xludf.DUMMYFUNCTION("""COMPUTED_VALUE"""),"NDados")</f>
        <v>NDados</v>
      </c>
      <c r="C163" s="43" t="str">
        <f>IFERROR(__xludf.DUMMYFUNCTION("""COMPUTED_VALUE"""),"Visualização")</f>
        <v>Visualização</v>
      </c>
      <c r="D163" s="43" t="str">
        <f>IFERROR(__xludf.DUMMYFUNCTION("""COMPUTED_VALUE"""),"Projeto")</f>
        <v>Projeto</v>
      </c>
      <c r="E163" s="46">
        <f>IFERROR(__xludf.DUMMYFUNCTION("""COMPUTED_VALUE"""),8550.0)</f>
        <v>8550</v>
      </c>
      <c r="F163" s="34">
        <f>IFERROR(__xludf.DUMMYFUNCTION("""COMPUTED_VALUE"""),7.0)</f>
        <v>7</v>
      </c>
      <c r="G163" s="34">
        <f>IFERROR(__xludf.DUMMYFUNCTION("""COMPUTED_VALUE"""),1.0)</f>
        <v>1</v>
      </c>
      <c r="H163" s="47">
        <f>IFERROR(__xludf.DUMMYFUNCTION("""COMPUTED_VALUE"""),45362.0)</f>
        <v>45362</v>
      </c>
      <c r="I163" s="47">
        <f>IFERROR(__xludf.DUMMYFUNCTION("""COMPUTED_VALUE"""),45050.0)</f>
        <v>45050</v>
      </c>
      <c r="J163" s="103" t="s">
        <v>39</v>
      </c>
      <c r="K163" s="26">
        <v>45378.0</v>
      </c>
      <c r="L163" s="81">
        <v>0.0</v>
      </c>
      <c r="M163" s="29">
        <f t="shared" si="21"/>
        <v>45427</v>
      </c>
      <c r="N163" s="47"/>
      <c r="O163" s="20" t="s">
        <v>40</v>
      </c>
      <c r="P163" s="102" t="b">
        <v>0</v>
      </c>
      <c r="Q163" s="102" t="b">
        <v>0</v>
      </c>
      <c r="R163" s="102" t="b">
        <v>0</v>
      </c>
      <c r="S163" s="34"/>
      <c r="T163" s="43"/>
      <c r="U163" s="31" t="b">
        <f t="shared" si="11"/>
        <v>0</v>
      </c>
      <c r="V163" s="20" t="s">
        <v>246</v>
      </c>
      <c r="W163" s="20" t="s">
        <v>239</v>
      </c>
      <c r="X163" s="43"/>
      <c r="Y163" s="43"/>
      <c r="Z163" s="43"/>
      <c r="AA163" s="34">
        <f t="shared" ref="AA163:AA167" si="22">IF(N163,((N163-K163-(L163*7))/7)*G163,0)</f>
        <v>0</v>
      </c>
      <c r="AB163" s="35">
        <f t="shared" si="15"/>
        <v>7328.571429</v>
      </c>
      <c r="AC163" s="29" t="str">
        <f t="shared" si="5"/>
        <v>Sim</v>
      </c>
      <c r="AD163" s="37" t="str">
        <f t="shared" si="1"/>
        <v>Sim</v>
      </c>
      <c r="AE163" s="38">
        <f t="shared" si="6"/>
        <v>16</v>
      </c>
      <c r="AF163" s="29" t="str">
        <f>IF(N163,N163+((VLOOKUP(C163,'NPS de resultado'!$C$7:$D$36,2)*30)),"")</f>
        <v/>
      </c>
      <c r="AG163" s="39"/>
    </row>
    <row r="164">
      <c r="A164" s="43" t="str">
        <f>IFERROR(__xludf.DUMMYFUNCTION("""COMPUTED_VALUE"""),"Messer 2.0")</f>
        <v>Messer 2.0</v>
      </c>
      <c r="B164" s="43" t="str">
        <f>IFERROR(__xludf.DUMMYFUNCTION("""COMPUTED_VALUE"""),"NDados")</f>
        <v>NDados</v>
      </c>
      <c r="C164" s="43" t="str">
        <f>IFERROR(__xludf.DUMMYFUNCTION("""COMPUTED_VALUE"""),"Visualização")</f>
        <v>Visualização</v>
      </c>
      <c r="D164" s="43" t="str">
        <f>IFERROR(__xludf.DUMMYFUNCTION("""COMPUTED_VALUE"""),"Projeto")</f>
        <v>Projeto</v>
      </c>
      <c r="E164" s="46">
        <f>IFERROR(__xludf.DUMMYFUNCTION("""COMPUTED_VALUE"""),9000.0)</f>
        <v>9000</v>
      </c>
      <c r="F164" s="34">
        <f>IFERROR(__xludf.DUMMYFUNCTION("""COMPUTED_VALUE"""),6.0)</f>
        <v>6</v>
      </c>
      <c r="G164" s="34">
        <f>IFERROR(__xludf.DUMMYFUNCTION("""COMPUTED_VALUE"""),1.0)</f>
        <v>1</v>
      </c>
      <c r="H164" s="47">
        <f>IFERROR(__xludf.DUMMYFUNCTION("""COMPUTED_VALUE"""),45362.0)</f>
        <v>45362</v>
      </c>
      <c r="I164" s="47">
        <f>IFERROR(__xludf.DUMMYFUNCTION("""COMPUTED_VALUE"""),45411.0)</f>
        <v>45411</v>
      </c>
      <c r="J164" s="103" t="s">
        <v>39</v>
      </c>
      <c r="K164" s="26">
        <v>45376.0</v>
      </c>
      <c r="L164" s="81">
        <v>0.0</v>
      </c>
      <c r="M164" s="29">
        <f t="shared" si="21"/>
        <v>45418</v>
      </c>
      <c r="N164" s="47"/>
      <c r="O164" s="20" t="s">
        <v>40</v>
      </c>
      <c r="P164" s="102" t="b">
        <v>0</v>
      </c>
      <c r="Q164" s="102" t="b">
        <v>0</v>
      </c>
      <c r="R164" s="102" t="b">
        <v>0</v>
      </c>
      <c r="S164" s="34"/>
      <c r="T164" s="43"/>
      <c r="U164" s="31" t="b">
        <f t="shared" si="11"/>
        <v>0</v>
      </c>
      <c r="V164" s="20" t="s">
        <v>230</v>
      </c>
      <c r="W164" s="20" t="s">
        <v>203</v>
      </c>
      <c r="X164" s="43"/>
      <c r="Y164" s="43"/>
      <c r="Z164" s="43"/>
      <c r="AA164" s="34">
        <f t="shared" si="22"/>
        <v>0</v>
      </c>
      <c r="AB164" s="35">
        <f t="shared" si="15"/>
        <v>10928.57143</v>
      </c>
      <c r="AC164" s="29" t="str">
        <f t="shared" si="5"/>
        <v>Sim</v>
      </c>
      <c r="AD164" s="37" t="str">
        <f t="shared" si="1"/>
        <v>Sim</v>
      </c>
      <c r="AE164" s="38">
        <f t="shared" si="6"/>
        <v>14</v>
      </c>
      <c r="AF164" s="29" t="str">
        <f>IF(N164,N164+((VLOOKUP(C164,'NPS de resultado'!$C$7:$D$36,2)*30)),"")</f>
        <v/>
      </c>
      <c r="AG164" s="39"/>
    </row>
    <row r="165" hidden="1">
      <c r="A165" s="43" t="str">
        <f>IFERROR(__xludf.DUMMYFUNCTION("""COMPUTED_VALUE"""),"Aditivo Nazaré")</f>
        <v>Aditivo Nazaré</v>
      </c>
      <c r="B165" s="43" t="str">
        <f>IFERROR(__xludf.DUMMYFUNCTION("""COMPUTED_VALUE"""),"NCiv")</f>
        <v>NCiv</v>
      </c>
      <c r="C165" s="43" t="str">
        <f>IFERROR(__xludf.DUMMYFUNCTION("""COMPUTED_VALUE"""),"Sondagem")</f>
        <v>Sondagem</v>
      </c>
      <c r="D165" s="43" t="str">
        <f>IFERROR(__xludf.DUMMYFUNCTION("""COMPUTED_VALUE"""),"Extensão")</f>
        <v>Extensão</v>
      </c>
      <c r="E165" s="46">
        <f>IFERROR(__xludf.DUMMYFUNCTION("""COMPUTED_VALUE"""),4500.0)</f>
        <v>4500</v>
      </c>
      <c r="F165" s="34"/>
      <c r="G165" s="34"/>
      <c r="H165" s="47"/>
      <c r="I165" s="47">
        <f>IFERROR(__xludf.DUMMYFUNCTION("""COMPUTED_VALUE"""),45382.0)</f>
        <v>45382</v>
      </c>
      <c r="J165" s="103" t="s">
        <v>50</v>
      </c>
      <c r="K165" s="26">
        <v>45374.0</v>
      </c>
      <c r="L165" s="81"/>
      <c r="M165" s="54" t="s">
        <v>190</v>
      </c>
      <c r="N165" s="47"/>
      <c r="O165" s="51" t="s">
        <v>46</v>
      </c>
      <c r="P165" s="102" t="b">
        <v>0</v>
      </c>
      <c r="Q165" s="31" t="b">
        <v>1</v>
      </c>
      <c r="R165" s="31" t="b">
        <v>1</v>
      </c>
      <c r="S165" s="34"/>
      <c r="T165" s="43"/>
      <c r="U165" s="33" t="b">
        <f t="shared" si="11"/>
        <v>0</v>
      </c>
      <c r="V165" s="43"/>
      <c r="W165" s="43"/>
      <c r="X165" s="43"/>
      <c r="Y165" s="43"/>
      <c r="Z165" s="43"/>
      <c r="AA165" s="34">
        <f t="shared" si="22"/>
        <v>0</v>
      </c>
      <c r="AB165" s="35"/>
      <c r="AC165" s="29" t="str">
        <f t="shared" si="5"/>
        <v>NÃO</v>
      </c>
      <c r="AD165" s="37" t="str">
        <f t="shared" si="1"/>
        <v>Não</v>
      </c>
      <c r="AE165" s="38">
        <f t="shared" si="6"/>
        <v>0</v>
      </c>
      <c r="AF165" s="29" t="str">
        <f>IF(N165,N165+((VLOOKUP(C165,'NPS de resultado'!$C$7:$D$36,2)*30)),"")</f>
        <v/>
      </c>
      <c r="AG165" s="39"/>
    </row>
    <row r="166" hidden="1">
      <c r="A166" s="43" t="str">
        <f>IFERROR(__xludf.DUMMYFUNCTION("""COMPUTED_VALUE"""),"Aditivo Grupo Nós")</f>
        <v>Aditivo Grupo Nós</v>
      </c>
      <c r="B166" s="43" t="str">
        <f>IFERROR(__xludf.DUMMYFUNCTION("""COMPUTED_VALUE"""),"NCon")</f>
        <v>NCon</v>
      </c>
      <c r="C166" s="43" t="str">
        <f>IFERROR(__xludf.DUMMYFUNCTION("""COMPUTED_VALUE"""),"Gestão de Processos")</f>
        <v>Gestão de Processos</v>
      </c>
      <c r="D166" s="43" t="str">
        <f>IFERROR(__xludf.DUMMYFUNCTION("""COMPUTED_VALUE"""),"Projeto")</f>
        <v>Projeto</v>
      </c>
      <c r="E166" s="46">
        <f>IFERROR(__xludf.DUMMYFUNCTION("""COMPUTED_VALUE"""),3500.0)</f>
        <v>3500</v>
      </c>
      <c r="F166" s="34">
        <f>IFERROR(__xludf.DUMMYFUNCTION("""COMPUTED_VALUE"""),2.0)</f>
        <v>2</v>
      </c>
      <c r="G166" s="34">
        <f>IFERROR(__xludf.DUMMYFUNCTION("""COMPUTED_VALUE"""),1.0)</f>
        <v>1</v>
      </c>
      <c r="H166" s="47">
        <f>IFERROR(__xludf.DUMMYFUNCTION("""COMPUTED_VALUE"""),45362.0)</f>
        <v>45362</v>
      </c>
      <c r="I166" s="47">
        <f>IFERROR(__xludf.DUMMYFUNCTION("""COMPUTED_VALUE"""),45373.0)</f>
        <v>45373</v>
      </c>
      <c r="J166" s="103" t="s">
        <v>50</v>
      </c>
      <c r="K166" s="26">
        <v>45369.0</v>
      </c>
      <c r="L166" s="81"/>
      <c r="M166" s="54">
        <v>45387.0</v>
      </c>
      <c r="N166" s="26">
        <v>45444.0</v>
      </c>
      <c r="O166" s="20" t="s">
        <v>46</v>
      </c>
      <c r="P166" s="102" t="b">
        <v>0</v>
      </c>
      <c r="Q166" s="31" t="b">
        <v>1</v>
      </c>
      <c r="R166" s="102" t="b">
        <v>0</v>
      </c>
      <c r="S166" s="25"/>
      <c r="T166" s="43"/>
      <c r="U166" s="33" t="b">
        <f t="shared" si="11"/>
        <v>0</v>
      </c>
      <c r="V166" s="20" t="s">
        <v>138</v>
      </c>
      <c r="W166" s="20" t="s">
        <v>153</v>
      </c>
      <c r="X166" s="20"/>
      <c r="Y166" s="43"/>
      <c r="Z166" s="43"/>
      <c r="AA166" s="34">
        <f t="shared" si="22"/>
        <v>10.71428571</v>
      </c>
      <c r="AB166" s="35">
        <f t="shared" ref="AB166:AB172" si="23">IF(N166&gt;M166,(E166/F166)*(N166-M166)/7,IF(AND(N166="",TODAY()&gt;M166,O166&lt;&gt;"Congelado"),(E166/F166)*(TODAY()-M166)/7,0))</f>
        <v>14250</v>
      </c>
      <c r="AC166" s="29" t="str">
        <f t="shared" si="5"/>
        <v>Sim</v>
      </c>
      <c r="AD166" s="37" t="str">
        <f t="shared" si="1"/>
        <v>Não</v>
      </c>
      <c r="AE166" s="38">
        <f t="shared" si="6"/>
        <v>7</v>
      </c>
      <c r="AF166" s="29">
        <f>IF(N166,N166+((VLOOKUP(C166,'NPS de resultado'!$C$7:$D$36,2)*30)),"")</f>
        <v>45624</v>
      </c>
      <c r="AG166" s="39"/>
    </row>
    <row r="167">
      <c r="A167" s="43" t="str">
        <f>IFERROR(__xludf.DUMMYFUNCTION("""COMPUTED_VALUE"""),"Aditivo Grupo Nós")</f>
        <v>Aditivo Grupo Nós</v>
      </c>
      <c r="B167" s="43" t="str">
        <f>IFERROR(__xludf.DUMMYFUNCTION("""COMPUTED_VALUE"""),"NDados")</f>
        <v>NDados</v>
      </c>
      <c r="C167" s="43" t="str">
        <f>IFERROR(__xludf.DUMMYFUNCTION("""COMPUTED_VALUE"""),"Visualização")</f>
        <v>Visualização</v>
      </c>
      <c r="D167" s="43" t="str">
        <f>IFERROR(__xludf.DUMMYFUNCTION("""COMPUTED_VALUE"""),"Projeto")</f>
        <v>Projeto</v>
      </c>
      <c r="E167" s="46">
        <f>IFERROR(__xludf.DUMMYFUNCTION("""COMPUTED_VALUE"""),1500.0)</f>
        <v>1500</v>
      </c>
      <c r="F167" s="34">
        <f>IFERROR(__xludf.DUMMYFUNCTION("""COMPUTED_VALUE"""),1.0)</f>
        <v>1</v>
      </c>
      <c r="G167" s="34">
        <f>IFERROR(__xludf.DUMMYFUNCTION("""COMPUTED_VALUE"""),1.0)</f>
        <v>1</v>
      </c>
      <c r="H167" s="47">
        <f>IFERROR(__xludf.DUMMYFUNCTION("""COMPUTED_VALUE"""),45363.0)</f>
        <v>45363</v>
      </c>
      <c r="I167" s="47">
        <f>IFERROR(__xludf.DUMMYFUNCTION("""COMPUTED_VALUE"""),45374.0)</f>
        <v>45374</v>
      </c>
      <c r="J167" s="103" t="s">
        <v>39</v>
      </c>
      <c r="K167" s="26">
        <v>45376.0</v>
      </c>
      <c r="L167" s="81">
        <v>0.0</v>
      </c>
      <c r="M167" s="29">
        <f t="shared" ref="M167:M173" si="24">IF(K167&lt;&gt;"",K167+(F167+L167)*7,"-")</f>
        <v>45383</v>
      </c>
      <c r="N167" s="26">
        <v>45415.0</v>
      </c>
      <c r="O167" s="20" t="s">
        <v>46</v>
      </c>
      <c r="P167" s="102" t="b">
        <v>0</v>
      </c>
      <c r="Q167" s="31" t="b">
        <v>1</v>
      </c>
      <c r="R167" s="102" t="b">
        <v>0</v>
      </c>
      <c r="S167" s="34"/>
      <c r="T167" s="43"/>
      <c r="U167" s="31" t="b">
        <f t="shared" si="11"/>
        <v>0</v>
      </c>
      <c r="V167" s="20" t="s">
        <v>224</v>
      </c>
      <c r="W167" s="20" t="s">
        <v>193</v>
      </c>
      <c r="X167" s="43"/>
      <c r="Y167" s="43"/>
      <c r="Z167" s="43"/>
      <c r="AA167" s="34">
        <f t="shared" si="22"/>
        <v>5.571428571</v>
      </c>
      <c r="AB167" s="35">
        <f t="shared" si="23"/>
        <v>6857.142857</v>
      </c>
      <c r="AC167" s="29" t="str">
        <f t="shared" si="5"/>
        <v>Sim</v>
      </c>
      <c r="AD167" s="37" t="str">
        <f t="shared" si="1"/>
        <v>Não</v>
      </c>
      <c r="AE167" s="38">
        <f t="shared" si="6"/>
        <v>13</v>
      </c>
      <c r="AF167" s="29">
        <f>IF(N167,N167+((VLOOKUP(C167,'NPS de resultado'!$C$7:$D$36,2)*30)),"")</f>
        <v>45505</v>
      </c>
      <c r="AG167" s="39"/>
    </row>
    <row r="168" hidden="1">
      <c r="A168" s="43" t="str">
        <f>IFERROR(__xludf.DUMMYFUNCTION("""COMPUTED_VALUE"""),"Dev Fernanda")</f>
        <v>Dev Fernanda</v>
      </c>
      <c r="B168" s="43" t="str">
        <f>IFERROR(__xludf.DUMMYFUNCTION("""COMPUTED_VALUE"""),"NTec")</f>
        <v>NTec</v>
      </c>
      <c r="C168" s="43" t="str">
        <f>IFERROR(__xludf.DUMMYFUNCTION("""COMPUTED_VALUE"""),"Desenvolvimento")</f>
        <v>Desenvolvimento</v>
      </c>
      <c r="D168" s="43" t="str">
        <f>IFERROR(__xludf.DUMMYFUNCTION("""COMPUTED_VALUE"""),"Projeto")</f>
        <v>Projeto</v>
      </c>
      <c r="E168" s="46">
        <f>IFERROR(__xludf.DUMMYFUNCTION("""COMPUTED_VALUE"""),10400.0)</f>
        <v>10400</v>
      </c>
      <c r="F168" s="34">
        <f>IFERROR(__xludf.DUMMYFUNCTION("""COMPUTED_VALUE"""),4.0)</f>
        <v>4</v>
      </c>
      <c r="G168" s="34">
        <f>IFERROR(__xludf.DUMMYFUNCTION("""COMPUTED_VALUE"""),2.0)</f>
        <v>2</v>
      </c>
      <c r="H168" s="47">
        <f>IFERROR(__xludf.DUMMYFUNCTION("""COMPUTED_VALUE"""),45397.0)</f>
        <v>45397</v>
      </c>
      <c r="I168" s="47">
        <f>IFERROR(__xludf.DUMMYFUNCTION("""COMPUTED_VALUE"""),45432.0)</f>
        <v>45432</v>
      </c>
      <c r="J168" s="64" t="s">
        <v>50</v>
      </c>
      <c r="K168" s="26">
        <v>45432.0</v>
      </c>
      <c r="L168" s="86">
        <v>0.5</v>
      </c>
      <c r="M168" s="29">
        <f t="shared" si="24"/>
        <v>45463.5</v>
      </c>
      <c r="N168" s="47"/>
      <c r="O168" s="20" t="s">
        <v>103</v>
      </c>
      <c r="P168" s="102" t="b">
        <v>0</v>
      </c>
      <c r="Q168" s="102" t="b">
        <v>0</v>
      </c>
      <c r="R168" s="102" t="b">
        <v>0</v>
      </c>
      <c r="S168" s="34"/>
      <c r="T168" s="43"/>
      <c r="U168" s="33" t="b">
        <f t="shared" si="11"/>
        <v>0</v>
      </c>
      <c r="V168" s="20" t="s">
        <v>301</v>
      </c>
      <c r="W168" s="20" t="s">
        <v>294</v>
      </c>
      <c r="X168" s="43"/>
      <c r="Y168" s="43"/>
      <c r="Z168" s="43"/>
      <c r="AA168" s="34">
        <f>IF(N168,((N168-K168-(L162*7))/7)*G168,0)</f>
        <v>0</v>
      </c>
      <c r="AB168" s="35">
        <f t="shared" si="23"/>
        <v>2042.857143</v>
      </c>
      <c r="AC168" s="29" t="str">
        <f t="shared" si="5"/>
        <v>Sim</v>
      </c>
      <c r="AD168" s="37" t="str">
        <f t="shared" si="1"/>
        <v>Sim</v>
      </c>
      <c r="AE168" s="38">
        <f t="shared" si="6"/>
        <v>35</v>
      </c>
      <c r="AF168" s="29" t="str">
        <f>IF(N168,N168+((VLOOKUP(C168,'NPS de resultado'!$C$7:$D$36,2)*30)),"")</f>
        <v/>
      </c>
      <c r="AG168" s="25"/>
    </row>
    <row r="169" hidden="1">
      <c r="A169" s="43" t="str">
        <f>IFERROR(__xludf.DUMMYFUNCTION("""COMPUTED_VALUE"""),"Botucatu")</f>
        <v>Botucatu</v>
      </c>
      <c r="B169" s="43" t="str">
        <f>IFERROR(__xludf.DUMMYFUNCTION("""COMPUTED_VALUE"""),"NCiv")</f>
        <v>NCiv</v>
      </c>
      <c r="C169" s="43" t="str">
        <f>IFERROR(__xludf.DUMMYFUNCTION("""COMPUTED_VALUE"""),"Arquitetônico")</f>
        <v>Arquitetônico</v>
      </c>
      <c r="D169" s="43" t="str">
        <f>IFERROR(__xludf.DUMMYFUNCTION("""COMPUTED_VALUE"""),"Projeto")</f>
        <v>Projeto</v>
      </c>
      <c r="E169" s="46">
        <f>IFERROR(__xludf.DUMMYFUNCTION("""COMPUTED_VALUE"""),5200.0)</f>
        <v>5200</v>
      </c>
      <c r="F169" s="34">
        <f>IFERROR(__xludf.DUMMYFUNCTION("""COMPUTED_VALUE"""),3.0)</f>
        <v>3</v>
      </c>
      <c r="G169" s="34">
        <f>IFERROR(__xludf.DUMMYFUNCTION("""COMPUTED_VALUE"""),1.0)</f>
        <v>1</v>
      </c>
      <c r="H169" s="47">
        <f>IFERROR(__xludf.DUMMYFUNCTION("""COMPUTED_VALUE"""),45425.0)</f>
        <v>45425</v>
      </c>
      <c r="I169" s="47">
        <f>IFERROR(__xludf.DUMMYFUNCTION("""COMPUTED_VALUE"""),45439.0)</f>
        <v>45439</v>
      </c>
      <c r="J169" s="103" t="s">
        <v>50</v>
      </c>
      <c r="K169" s="47"/>
      <c r="L169" s="81"/>
      <c r="M169" s="29" t="str">
        <f t="shared" si="24"/>
        <v>-</v>
      </c>
      <c r="N169" s="47"/>
      <c r="O169" s="51" t="s">
        <v>103</v>
      </c>
      <c r="P169" s="102" t="b">
        <v>0</v>
      </c>
      <c r="Q169" s="102" t="b">
        <v>0</v>
      </c>
      <c r="R169" s="31" t="b">
        <v>0</v>
      </c>
      <c r="S169" s="34"/>
      <c r="T169" s="43"/>
      <c r="U169" s="33" t="b">
        <f t="shared" si="11"/>
        <v>0</v>
      </c>
      <c r="V169" s="43"/>
      <c r="W169" s="43"/>
      <c r="X169" s="43"/>
      <c r="Y169" s="43"/>
      <c r="Z169" s="43"/>
      <c r="AA169" s="34">
        <f t="shared" ref="AA169:AA290" si="25">IF(N169,((N169-K169-(L169*7))/7)*G169,0)</f>
        <v>0</v>
      </c>
      <c r="AB169" s="35">
        <f t="shared" si="23"/>
        <v>0</v>
      </c>
      <c r="AC169" s="29" t="str">
        <f t="shared" si="5"/>
        <v>NÃO</v>
      </c>
      <c r="AD169" s="37" t="str">
        <f t="shared" si="1"/>
        <v>Não</v>
      </c>
      <c r="AE169" s="38">
        <f t="shared" si="6"/>
        <v>0</v>
      </c>
      <c r="AF169" s="29" t="str">
        <f>IF(N169,N169+((VLOOKUP(C169,'NPS de resultado'!$C$7:$D$36,2)*30)),"")</f>
        <v/>
      </c>
      <c r="AG169" s="39"/>
    </row>
    <row r="170" hidden="1">
      <c r="A170" s="43" t="str">
        <f>IFERROR(__xludf.DUMMYFUNCTION("""COMPUTED_VALUE"""),"Granja")</f>
        <v>Granja</v>
      </c>
      <c r="B170" s="43" t="str">
        <f>IFERROR(__xludf.DUMMYFUNCTION("""COMPUTED_VALUE"""),"NCon")</f>
        <v>NCon</v>
      </c>
      <c r="C170" s="43" t="str">
        <f>IFERROR(__xludf.DUMMYFUNCTION("""COMPUTED_VALUE"""),"Gestão de Processos")</f>
        <v>Gestão de Processos</v>
      </c>
      <c r="D170" s="43" t="str">
        <f>IFERROR(__xludf.DUMMYFUNCTION("""COMPUTED_VALUE"""),"Projeto")</f>
        <v>Projeto</v>
      </c>
      <c r="E170" s="46">
        <f>IFERROR(__xludf.DUMMYFUNCTION("""COMPUTED_VALUE"""),77500.0)</f>
        <v>77500</v>
      </c>
      <c r="F170" s="34">
        <f>IFERROR(__xludf.DUMMYFUNCTION("""COMPUTED_VALUE"""),24.0)</f>
        <v>24</v>
      </c>
      <c r="G170" s="34">
        <f>IFERROR(__xludf.DUMMYFUNCTION("""COMPUTED_VALUE"""),2.0)</f>
        <v>2</v>
      </c>
      <c r="H170" s="47">
        <f>IFERROR(__xludf.DUMMYFUNCTION("""COMPUTED_VALUE"""),45363.0)</f>
        <v>45363</v>
      </c>
      <c r="I170" s="47">
        <f>IFERROR(__xludf.DUMMYFUNCTION("""COMPUTED_VALUE"""),45544.0)</f>
        <v>45544</v>
      </c>
      <c r="J170" s="103" t="s">
        <v>50</v>
      </c>
      <c r="K170" s="26">
        <v>45369.0</v>
      </c>
      <c r="L170" s="81"/>
      <c r="M170" s="29">
        <f t="shared" si="24"/>
        <v>45537</v>
      </c>
      <c r="N170" s="47"/>
      <c r="O170" s="20" t="s">
        <v>51</v>
      </c>
      <c r="P170" s="102" t="b">
        <v>0</v>
      </c>
      <c r="Q170" s="102" t="b">
        <v>0</v>
      </c>
      <c r="R170" s="102" t="b">
        <v>0</v>
      </c>
      <c r="S170" s="25"/>
      <c r="T170" s="43"/>
      <c r="U170" s="33" t="b">
        <f t="shared" si="11"/>
        <v>0</v>
      </c>
      <c r="V170" s="20" t="s">
        <v>136</v>
      </c>
      <c r="W170" s="20" t="s">
        <v>132</v>
      </c>
      <c r="X170" s="43"/>
      <c r="Y170" s="43"/>
      <c r="Z170" s="43"/>
      <c r="AA170" s="34">
        <f t="shared" si="25"/>
        <v>0</v>
      </c>
      <c r="AB170" s="35">
        <f t="shared" si="23"/>
        <v>0</v>
      </c>
      <c r="AC170" s="29" t="str">
        <f t="shared" si="5"/>
        <v>NÃO</v>
      </c>
      <c r="AD170" s="37" t="str">
        <f t="shared" si="1"/>
        <v>Não</v>
      </c>
      <c r="AE170" s="38">
        <f t="shared" si="6"/>
        <v>6</v>
      </c>
      <c r="AF170" s="29" t="str">
        <f>IF(N170,N170+((VLOOKUP(C170,'NPS de resultado'!$C$7:$D$36,2)*30)),"")</f>
        <v/>
      </c>
      <c r="AG170" s="39"/>
    </row>
    <row r="171" hidden="1">
      <c r="A171" s="43" t="str">
        <f>IFERROR(__xludf.DUMMYFUNCTION("""COMPUTED_VALUE"""),"Fluxograma Pietro")</f>
        <v>Fluxograma Pietro</v>
      </c>
      <c r="B171" s="43" t="str">
        <f>IFERROR(__xludf.DUMMYFUNCTION("""COMPUTED_VALUE"""),"NTec")</f>
        <v>NTec</v>
      </c>
      <c r="C171" s="43" t="str">
        <f>IFERROR(__xludf.DUMMYFUNCTION("""COMPUTED_VALUE"""),"Concepção")</f>
        <v>Concepção</v>
      </c>
      <c r="D171" s="43" t="str">
        <f>IFERROR(__xludf.DUMMYFUNCTION("""COMPUTED_VALUE"""),"Projeto")</f>
        <v>Projeto</v>
      </c>
      <c r="E171" s="46">
        <f>IFERROR(__xludf.DUMMYFUNCTION("""COMPUTED_VALUE"""),2600.0)</f>
        <v>2600</v>
      </c>
      <c r="F171" s="34">
        <f>IFERROR(__xludf.DUMMYFUNCTION("""COMPUTED_VALUE"""),1.0)</f>
        <v>1</v>
      </c>
      <c r="G171" s="34">
        <f>IFERROR(__xludf.DUMMYFUNCTION("""COMPUTED_VALUE"""),2.0)</f>
        <v>2</v>
      </c>
      <c r="H171" s="47">
        <f>IFERROR(__xludf.DUMMYFUNCTION("""COMPUTED_VALUE"""),45365.0)</f>
        <v>45365</v>
      </c>
      <c r="I171" s="47">
        <f>IFERROR(__xludf.DUMMYFUNCTION("""COMPUTED_VALUE"""),45372.0)</f>
        <v>45372</v>
      </c>
      <c r="J171" s="64" t="s">
        <v>50</v>
      </c>
      <c r="K171" s="26">
        <v>45369.0</v>
      </c>
      <c r="L171" s="81"/>
      <c r="M171" s="29">
        <f t="shared" si="24"/>
        <v>45376</v>
      </c>
      <c r="N171" s="26">
        <v>45376.0</v>
      </c>
      <c r="O171" s="51" t="s">
        <v>46</v>
      </c>
      <c r="P171" s="102" t="b">
        <v>0</v>
      </c>
      <c r="Q171" s="102" t="b">
        <v>0</v>
      </c>
      <c r="R171" s="102" t="b">
        <v>0</v>
      </c>
      <c r="S171" s="25">
        <v>9.0</v>
      </c>
      <c r="T171" s="43"/>
      <c r="U171" s="33" t="b">
        <f t="shared" si="11"/>
        <v>0</v>
      </c>
      <c r="V171" s="20" t="s">
        <v>290</v>
      </c>
      <c r="W171" s="20" t="s">
        <v>292</v>
      </c>
      <c r="X171" s="43"/>
      <c r="Y171" s="43"/>
      <c r="Z171" s="43"/>
      <c r="AA171" s="34">
        <f t="shared" si="25"/>
        <v>2</v>
      </c>
      <c r="AB171" s="35">
        <f t="shared" si="23"/>
        <v>0</v>
      </c>
      <c r="AC171" s="29" t="str">
        <f t="shared" si="5"/>
        <v>Sim</v>
      </c>
      <c r="AD171" s="37" t="str">
        <f t="shared" si="1"/>
        <v>Não</v>
      </c>
      <c r="AE171" s="38">
        <f t="shared" si="6"/>
        <v>4</v>
      </c>
      <c r="AF171" s="29">
        <f>IF(N171,N171+((VLOOKUP(C171,'NPS de resultado'!$C$7:$D$36,2)*30)),"")</f>
        <v>45556</v>
      </c>
      <c r="AG171" s="25"/>
    </row>
    <row r="172" hidden="1">
      <c r="A172" s="43" t="str">
        <f>IFERROR(__xludf.DUMMYFUNCTION("""COMPUTED_VALUE"""),"Aditivo Albertoni ")</f>
        <v>Aditivo Albertoni </v>
      </c>
      <c r="B172" s="43" t="str">
        <f>IFERROR(__xludf.DUMMYFUNCTION("""COMPUTED_VALUE"""),"NCiv")</f>
        <v>NCiv</v>
      </c>
      <c r="C172" s="43" t="str">
        <f>IFERROR(__xludf.DUMMYFUNCTION("""COMPUTED_VALUE"""),"Arquitetônico")</f>
        <v>Arquitetônico</v>
      </c>
      <c r="D172" s="43" t="str">
        <f>IFERROR(__xludf.DUMMYFUNCTION("""COMPUTED_VALUE"""),"Extensão")</f>
        <v>Extensão</v>
      </c>
      <c r="E172" s="46">
        <f>IFERROR(__xludf.DUMMYFUNCTION("""COMPUTED_VALUE"""),600.0)</f>
        <v>600</v>
      </c>
      <c r="F172" s="34">
        <f>IFERROR(__xludf.DUMMYFUNCTION("""COMPUTED_VALUE"""),1.0)</f>
        <v>1</v>
      </c>
      <c r="G172" s="34">
        <f>IFERROR(__xludf.DUMMYFUNCTION("""COMPUTED_VALUE"""),1.0)</f>
        <v>1</v>
      </c>
      <c r="H172" s="47">
        <f>IFERROR(__xludf.DUMMYFUNCTION("""COMPUTED_VALUE"""),45385.0)</f>
        <v>45385</v>
      </c>
      <c r="I172" s="47">
        <f>IFERROR(__xludf.DUMMYFUNCTION("""COMPUTED_VALUE"""),45392.0)</f>
        <v>45392</v>
      </c>
      <c r="J172" s="103" t="s">
        <v>39</v>
      </c>
      <c r="K172" s="26">
        <v>45376.0</v>
      </c>
      <c r="L172" s="81"/>
      <c r="M172" s="29">
        <f t="shared" si="24"/>
        <v>45383</v>
      </c>
      <c r="N172" s="54">
        <v>45422.0</v>
      </c>
      <c r="O172" s="20" t="s">
        <v>46</v>
      </c>
      <c r="P172" s="102" t="b">
        <v>0</v>
      </c>
      <c r="Q172" s="31" t="b">
        <v>1</v>
      </c>
      <c r="R172" s="31" t="b">
        <v>1</v>
      </c>
      <c r="S172" s="34"/>
      <c r="T172" s="43"/>
      <c r="U172" s="33" t="b">
        <f t="shared" si="11"/>
        <v>0</v>
      </c>
      <c r="V172" s="43"/>
      <c r="W172" s="43"/>
      <c r="X172" s="43"/>
      <c r="Y172" s="43"/>
      <c r="Z172" s="43"/>
      <c r="AA172" s="34">
        <f t="shared" si="25"/>
        <v>6.571428571</v>
      </c>
      <c r="AB172" s="35">
        <f t="shared" si="23"/>
        <v>3342.857143</v>
      </c>
      <c r="AC172" s="29" t="str">
        <f t="shared" si="5"/>
        <v>Sim</v>
      </c>
      <c r="AD172" s="37" t="str">
        <f t="shared" si="1"/>
        <v>Não</v>
      </c>
      <c r="AE172" s="38">
        <f t="shared" si="6"/>
        <v>-9</v>
      </c>
      <c r="AF172" s="29">
        <f>IF(N172,N172+((VLOOKUP(C172,'NPS de resultado'!$C$7:$D$36,2)*30)),"")</f>
        <v>45602</v>
      </c>
      <c r="AG172" s="39"/>
    </row>
    <row r="173" hidden="1">
      <c r="A173" s="43" t="str">
        <f>IFERROR(__xludf.DUMMYFUNCTION("""COMPUTED_VALUE"""),"Aditivo Casa LC")</f>
        <v>Aditivo Casa LC</v>
      </c>
      <c r="B173" s="43" t="str">
        <f>IFERROR(__xludf.DUMMYFUNCTION("""COMPUTED_VALUE"""),"NCiv")</f>
        <v>NCiv</v>
      </c>
      <c r="C173" s="43" t="str">
        <f>IFERROR(__xludf.DUMMYFUNCTION("""COMPUTED_VALUE"""),"Sondagem")</f>
        <v>Sondagem</v>
      </c>
      <c r="D173" s="43" t="str">
        <f>IFERROR(__xludf.DUMMYFUNCTION("""COMPUTED_VALUE"""),"Extensão")</f>
        <v>Extensão</v>
      </c>
      <c r="E173" s="46">
        <f>IFERROR(__xludf.DUMMYFUNCTION("""COMPUTED_VALUE"""),1900.0)</f>
        <v>1900</v>
      </c>
      <c r="F173" s="34"/>
      <c r="G173" s="34"/>
      <c r="H173" s="47">
        <f>IFERROR(__xludf.DUMMYFUNCTION("""COMPUTED_VALUE"""),45371.0)</f>
        <v>45371</v>
      </c>
      <c r="I173" s="47">
        <f>IFERROR(__xludf.DUMMYFUNCTION("""COMPUTED_VALUE"""),45382.0)</f>
        <v>45382</v>
      </c>
      <c r="J173" s="103" t="s">
        <v>50</v>
      </c>
      <c r="K173" s="26">
        <v>45377.0</v>
      </c>
      <c r="L173" s="81"/>
      <c r="M173" s="29">
        <f t="shared" si="24"/>
        <v>45377</v>
      </c>
      <c r="N173" s="26">
        <v>45377.0</v>
      </c>
      <c r="O173" s="51" t="s">
        <v>46</v>
      </c>
      <c r="P173" s="102" t="b">
        <v>0</v>
      </c>
      <c r="Q173" s="31" t="b">
        <v>1</v>
      </c>
      <c r="R173" s="31" t="b">
        <v>1</v>
      </c>
      <c r="S173" s="34"/>
      <c r="T173" s="43"/>
      <c r="U173" s="33" t="b">
        <f t="shared" si="11"/>
        <v>0</v>
      </c>
      <c r="V173" s="43"/>
      <c r="W173" s="43"/>
      <c r="X173" s="43"/>
      <c r="Y173" s="43"/>
      <c r="Z173" s="43"/>
      <c r="AA173" s="34">
        <f t="shared" si="25"/>
        <v>0</v>
      </c>
      <c r="AB173" s="35"/>
      <c r="AC173" s="29" t="str">
        <f t="shared" si="5"/>
        <v>Sim</v>
      </c>
      <c r="AD173" s="37" t="str">
        <f t="shared" si="1"/>
        <v>Não</v>
      </c>
      <c r="AE173" s="38">
        <f t="shared" si="6"/>
        <v>6</v>
      </c>
      <c r="AF173" s="29">
        <f>IF(N173,N173+((VLOOKUP(C173,'NPS de resultado'!$C$7:$D$36,2)*30)),"")</f>
        <v>45467</v>
      </c>
      <c r="AG173" s="39"/>
    </row>
    <row r="174" hidden="1">
      <c r="A174" s="43" t="str">
        <f>IFERROR(__xludf.DUMMYFUNCTION("""COMPUTED_VALUE"""),"PM Sérgio")</f>
        <v>PM Sérgio</v>
      </c>
      <c r="B174" s="43" t="str">
        <f>IFERROR(__xludf.DUMMYFUNCTION("""COMPUTED_VALUE"""),"NCon")</f>
        <v>NCon</v>
      </c>
      <c r="C174" s="43" t="str">
        <f>IFERROR(__xludf.DUMMYFUNCTION("""COMPUTED_VALUE"""),"Pesquisa de Mercado")</f>
        <v>Pesquisa de Mercado</v>
      </c>
      <c r="D174" s="43" t="str">
        <f>IFERROR(__xludf.DUMMYFUNCTION("""COMPUTED_VALUE"""),"Projeto")</f>
        <v>Projeto</v>
      </c>
      <c r="E174" s="46">
        <f>IFERROR(__xludf.DUMMYFUNCTION("""COMPUTED_VALUE"""),10200.0)</f>
        <v>10200</v>
      </c>
      <c r="F174" s="34">
        <f>IFERROR(__xludf.DUMMYFUNCTION("""COMPUTED_VALUE"""),6.0)</f>
        <v>6</v>
      </c>
      <c r="G174" s="34">
        <f>IFERROR(__xludf.DUMMYFUNCTION("""COMPUTED_VALUE"""),1.0)</f>
        <v>1</v>
      </c>
      <c r="H174" s="47">
        <f>IFERROR(__xludf.DUMMYFUNCTION("""COMPUTED_VALUE"""),45369.0)</f>
        <v>45369</v>
      </c>
      <c r="I174" s="47">
        <f>IFERROR(__xludf.DUMMYFUNCTION("""COMPUTED_VALUE"""),45408.0)</f>
        <v>45408</v>
      </c>
      <c r="J174" s="103" t="s">
        <v>39</v>
      </c>
      <c r="K174" s="47"/>
      <c r="L174" s="81"/>
      <c r="M174" s="54">
        <v>45443.0</v>
      </c>
      <c r="N174" s="26">
        <v>45443.0</v>
      </c>
      <c r="O174" s="51" t="s">
        <v>46</v>
      </c>
      <c r="P174" s="102" t="b">
        <v>0</v>
      </c>
      <c r="Q174" s="102" t="b">
        <v>0</v>
      </c>
      <c r="R174" s="31" t="b">
        <v>1</v>
      </c>
      <c r="S174" s="110"/>
      <c r="T174" s="20"/>
      <c r="U174" s="33" t="b">
        <f t="shared" si="11"/>
        <v>0</v>
      </c>
      <c r="V174" s="20" t="s">
        <v>136</v>
      </c>
      <c r="W174" s="20" t="s">
        <v>149</v>
      </c>
      <c r="X174" s="43"/>
      <c r="Y174" s="43"/>
      <c r="Z174" s="43"/>
      <c r="AA174" s="34">
        <f t="shared" si="25"/>
        <v>6491.857143</v>
      </c>
      <c r="AB174" s="35">
        <f t="shared" ref="AB174:AB192" si="26">IF(N174&gt;M174,(E174/F174)*(N174-M174)/7,IF(AND(N174="",TODAY()&gt;M174,O174&lt;&gt;"Congelado"),(E174/F174)*(TODAY()-M174)/7,0))</f>
        <v>0</v>
      </c>
      <c r="AC174" s="29" t="str">
        <f t="shared" si="5"/>
        <v>Sim</v>
      </c>
      <c r="AD174" s="37" t="str">
        <f t="shared" si="1"/>
        <v>Não</v>
      </c>
      <c r="AE174" s="38">
        <f t="shared" si="6"/>
        <v>0</v>
      </c>
      <c r="AF174" s="29">
        <f>IF(N174,N174+((VLOOKUP(C174,'NPS de resultado'!$C$7:$D$36,2)*30)),"")</f>
        <v>45623</v>
      </c>
      <c r="AG174" s="39"/>
    </row>
    <row r="175" hidden="1">
      <c r="A175" s="43" t="str">
        <f>IFERROR(__xludf.DUMMYFUNCTION("""COMPUTED_VALUE"""),"App Lide")</f>
        <v>App Lide</v>
      </c>
      <c r="B175" s="43" t="str">
        <f>IFERROR(__xludf.DUMMYFUNCTION("""COMPUTED_VALUE"""),"NTec")</f>
        <v>NTec</v>
      </c>
      <c r="C175" s="43" t="str">
        <f>IFERROR(__xludf.DUMMYFUNCTION("""COMPUTED_VALUE"""),"Escopo Aberto")</f>
        <v>Escopo Aberto</v>
      </c>
      <c r="D175" s="43" t="str">
        <f>IFERROR(__xludf.DUMMYFUNCTION("""COMPUTED_VALUE"""),"Projeto")</f>
        <v>Projeto</v>
      </c>
      <c r="E175" s="46">
        <f>IFERROR(__xludf.DUMMYFUNCTION("""COMPUTED_VALUE"""),103000.0)</f>
        <v>103000</v>
      </c>
      <c r="F175" s="34">
        <f>IFERROR(__xludf.DUMMYFUNCTION("""COMPUTED_VALUE"""),32.0)</f>
        <v>32</v>
      </c>
      <c r="G175" s="34">
        <f>IFERROR(__xludf.DUMMYFUNCTION("""COMPUTED_VALUE"""),3.0)</f>
        <v>3</v>
      </c>
      <c r="H175" s="47">
        <f>IFERROR(__xludf.DUMMYFUNCTION("""COMPUTED_VALUE"""),45383.0)</f>
        <v>45383</v>
      </c>
      <c r="I175" s="47">
        <f>IFERROR(__xludf.DUMMYFUNCTION("""COMPUTED_VALUE"""),45649.0)</f>
        <v>45649</v>
      </c>
      <c r="J175" s="64" t="s">
        <v>50</v>
      </c>
      <c r="K175" s="26">
        <v>45384.0</v>
      </c>
      <c r="L175" s="81"/>
      <c r="M175" s="29">
        <f t="shared" ref="M175:M179" si="27">IF(K175&lt;&gt;"",K175+(F175+L175)*7,"-")</f>
        <v>45608</v>
      </c>
      <c r="N175" s="47"/>
      <c r="O175" s="20" t="s">
        <v>40</v>
      </c>
      <c r="P175" s="102" t="b">
        <v>0</v>
      </c>
      <c r="Q175" s="102" t="b">
        <v>0</v>
      </c>
      <c r="R175" s="102" t="b">
        <v>0</v>
      </c>
      <c r="S175" s="34"/>
      <c r="T175" s="43"/>
      <c r="U175" s="33" t="b">
        <f t="shared" si="11"/>
        <v>0</v>
      </c>
      <c r="V175" s="20" t="s">
        <v>274</v>
      </c>
      <c r="W175" s="20" t="s">
        <v>329</v>
      </c>
      <c r="X175" s="20" t="s">
        <v>317</v>
      </c>
      <c r="Y175" s="43"/>
      <c r="Z175" s="43"/>
      <c r="AA175" s="34">
        <f t="shared" si="25"/>
        <v>0</v>
      </c>
      <c r="AB175" s="35">
        <f t="shared" si="26"/>
        <v>0</v>
      </c>
      <c r="AC175" s="29" t="str">
        <f t="shared" si="5"/>
        <v>NÃO</v>
      </c>
      <c r="AD175" s="37" t="str">
        <f t="shared" si="1"/>
        <v>Não</v>
      </c>
      <c r="AE175" s="38">
        <f t="shared" si="6"/>
        <v>1</v>
      </c>
      <c r="AF175" s="29" t="str">
        <f>IF(N175,N175+((VLOOKUP(C175,'NPS de resultado'!$C$7:$D$36,2)*30)),"")</f>
        <v/>
      </c>
      <c r="AG175" s="25"/>
    </row>
    <row r="176" hidden="1">
      <c r="A176" s="43" t="str">
        <f>IFERROR(__xludf.DUMMYFUNCTION("""COMPUTED_VALUE"""),"Filipe")</f>
        <v>Filipe</v>
      </c>
      <c r="B176" s="43" t="str">
        <f>IFERROR(__xludf.DUMMYFUNCTION("""COMPUTED_VALUE"""),"NCiv")</f>
        <v>NCiv</v>
      </c>
      <c r="C176" s="43" t="str">
        <f>IFERROR(__xludf.DUMMYFUNCTION("""COMPUTED_VALUE"""),"Completo")</f>
        <v>Completo</v>
      </c>
      <c r="D176" s="43" t="str">
        <f>IFERROR(__xludf.DUMMYFUNCTION("""COMPUTED_VALUE"""),"Projeto")</f>
        <v>Projeto</v>
      </c>
      <c r="E176" s="46">
        <f>IFERROR(__xludf.DUMMYFUNCTION("""COMPUTED_VALUE"""),22220.0)</f>
        <v>22220</v>
      </c>
      <c r="F176" s="34">
        <f>IFERROR(__xludf.DUMMYFUNCTION("""COMPUTED_VALUE"""),11.0)</f>
        <v>11</v>
      </c>
      <c r="G176" s="34">
        <f>IFERROR(__xludf.DUMMYFUNCTION("""COMPUTED_VALUE"""),4.0)</f>
        <v>4</v>
      </c>
      <c r="H176" s="47">
        <f>IFERROR(__xludf.DUMMYFUNCTION("""COMPUTED_VALUE"""),45404.0)</f>
        <v>45404</v>
      </c>
      <c r="I176" s="47">
        <f>IFERROR(__xludf.DUMMYFUNCTION("""COMPUTED_VALUE"""),45488.0)</f>
        <v>45488</v>
      </c>
      <c r="J176" s="103" t="s">
        <v>50</v>
      </c>
      <c r="K176" s="26">
        <v>45418.0</v>
      </c>
      <c r="L176" s="81"/>
      <c r="M176" s="29">
        <f t="shared" si="27"/>
        <v>45495</v>
      </c>
      <c r="N176" s="47"/>
      <c r="O176" s="20" t="s">
        <v>100</v>
      </c>
      <c r="P176" s="102" t="b">
        <v>0</v>
      </c>
      <c r="Q176" s="102" t="b">
        <v>0</v>
      </c>
      <c r="R176" s="102" t="b">
        <v>0</v>
      </c>
      <c r="S176" s="34"/>
      <c r="T176" s="43"/>
      <c r="U176" s="33" t="b">
        <f t="shared" si="11"/>
        <v>0</v>
      </c>
      <c r="V176" s="43"/>
      <c r="W176" s="43"/>
      <c r="X176" s="43"/>
      <c r="Y176" s="43"/>
      <c r="Z176" s="43"/>
      <c r="AA176" s="34">
        <f t="shared" si="25"/>
        <v>0</v>
      </c>
      <c r="AB176" s="35">
        <f t="shared" si="26"/>
        <v>0</v>
      </c>
      <c r="AC176" s="29" t="str">
        <f t="shared" si="5"/>
        <v>NÃO</v>
      </c>
      <c r="AD176" s="37" t="str">
        <f t="shared" si="1"/>
        <v>Não</v>
      </c>
      <c r="AE176" s="38">
        <f t="shared" si="6"/>
        <v>14</v>
      </c>
      <c r="AF176" s="29" t="str">
        <f>IF(N176,N176+((VLOOKUP(C176,'NPS de resultado'!$C$7:$D$36,2)*30)),"")</f>
        <v/>
      </c>
      <c r="AG176" s="39"/>
    </row>
    <row r="177" hidden="1">
      <c r="A177" s="43" t="str">
        <f>IFERROR(__xludf.DUMMYFUNCTION("""COMPUTED_VALUE"""),"App + Site Luciana")</f>
        <v>App + Site Luciana</v>
      </c>
      <c r="B177" s="43" t="str">
        <f>IFERROR(__xludf.DUMMYFUNCTION("""COMPUTED_VALUE"""),"NTec")</f>
        <v>NTec</v>
      </c>
      <c r="C177" s="43" t="str">
        <f>IFERROR(__xludf.DUMMYFUNCTION("""COMPUTED_VALUE"""),"Escopo Aberto")</f>
        <v>Escopo Aberto</v>
      </c>
      <c r="D177" s="43" t="str">
        <f>IFERROR(__xludf.DUMMYFUNCTION("""COMPUTED_VALUE"""),"Projeto")</f>
        <v>Projeto</v>
      </c>
      <c r="E177" s="46">
        <f>IFERROR(__xludf.DUMMYFUNCTION("""COMPUTED_VALUE"""),195000.0)</f>
        <v>195000</v>
      </c>
      <c r="F177" s="34">
        <f>IFERROR(__xludf.DUMMYFUNCTION("""COMPUTED_VALUE"""),50.0)</f>
        <v>50</v>
      </c>
      <c r="G177" s="34">
        <f>IFERROR(__xludf.DUMMYFUNCTION("""COMPUTED_VALUE"""),3.0)</f>
        <v>3</v>
      </c>
      <c r="H177" s="47">
        <f>IFERROR(__xludf.DUMMYFUNCTION("""COMPUTED_VALUE"""),45390.0)</f>
        <v>45390</v>
      </c>
      <c r="I177" s="47">
        <f>IFERROR(__xludf.DUMMYFUNCTION("""COMPUTED_VALUE"""),45835.0)</f>
        <v>45835</v>
      </c>
      <c r="J177" s="64" t="s">
        <v>50</v>
      </c>
      <c r="K177" s="26">
        <v>45404.0</v>
      </c>
      <c r="L177" s="81"/>
      <c r="M177" s="29">
        <f t="shared" si="27"/>
        <v>45754</v>
      </c>
      <c r="N177" s="47"/>
      <c r="O177" s="20" t="s">
        <v>40</v>
      </c>
      <c r="P177" s="102" t="b">
        <v>0</v>
      </c>
      <c r="Q177" s="102" t="b">
        <v>0</v>
      </c>
      <c r="R177" s="102" t="b">
        <v>0</v>
      </c>
      <c r="S177" s="34"/>
      <c r="T177" s="43"/>
      <c r="U177" s="33" t="b">
        <f t="shared" si="11"/>
        <v>0</v>
      </c>
      <c r="V177" s="20" t="s">
        <v>308</v>
      </c>
      <c r="W177" s="20" t="s">
        <v>331</v>
      </c>
      <c r="X177" s="20" t="s">
        <v>303</v>
      </c>
      <c r="Y177" s="43"/>
      <c r="Z177" s="43"/>
      <c r="AA177" s="34">
        <f t="shared" si="25"/>
        <v>0</v>
      </c>
      <c r="AB177" s="35">
        <f t="shared" si="26"/>
        <v>0</v>
      </c>
      <c r="AC177" s="29" t="str">
        <f t="shared" si="5"/>
        <v>NÃO</v>
      </c>
      <c r="AD177" s="37" t="str">
        <f t="shared" si="1"/>
        <v>Não</v>
      </c>
      <c r="AE177" s="38">
        <f t="shared" si="6"/>
        <v>14</v>
      </c>
      <c r="AF177" s="29" t="str">
        <f>IF(N177,N177+((VLOOKUP(C177,'NPS de resultado'!$C$7:$D$36,2)*30)),"")</f>
        <v/>
      </c>
      <c r="AG177" s="25"/>
    </row>
    <row r="178" hidden="1">
      <c r="A178" s="43" t="str">
        <f>IFERROR(__xludf.DUMMYFUNCTION("""COMPUTED_VALUE"""),"App Luiz + Icaro")</f>
        <v>App Luiz + Icaro</v>
      </c>
      <c r="B178" s="43" t="str">
        <f>IFERROR(__xludf.DUMMYFUNCTION("""COMPUTED_VALUE"""),"NTec")</f>
        <v>NTec</v>
      </c>
      <c r="C178" s="43" t="str">
        <f>IFERROR(__xludf.DUMMYFUNCTION("""COMPUTED_VALUE"""),"Escopo Aberto")</f>
        <v>Escopo Aberto</v>
      </c>
      <c r="D178" s="43" t="str">
        <f>IFERROR(__xludf.DUMMYFUNCTION("""COMPUTED_VALUE"""),"Projeto")</f>
        <v>Projeto</v>
      </c>
      <c r="E178" s="46">
        <f>IFERROR(__xludf.DUMMYFUNCTION("""COMPUTED_VALUE"""),62100.0)</f>
        <v>62100</v>
      </c>
      <c r="F178" s="34">
        <f>IFERROR(__xludf.DUMMYFUNCTION("""COMPUTED_VALUE"""),18.0)</f>
        <v>18</v>
      </c>
      <c r="G178" s="34">
        <f>IFERROR(__xludf.DUMMYFUNCTION("""COMPUTED_VALUE"""),3.0)</f>
        <v>3</v>
      </c>
      <c r="H178" s="47">
        <f>IFERROR(__xludf.DUMMYFUNCTION("""COMPUTED_VALUE"""),45418.0)</f>
        <v>45418</v>
      </c>
      <c r="I178" s="47">
        <f>IFERROR(__xludf.DUMMYFUNCTION("""COMPUTED_VALUE"""),45562.0)</f>
        <v>45562</v>
      </c>
      <c r="J178" s="64" t="s">
        <v>50</v>
      </c>
      <c r="K178" s="47"/>
      <c r="L178" s="81"/>
      <c r="M178" s="29" t="str">
        <f t="shared" si="27"/>
        <v>-</v>
      </c>
      <c r="N178" s="47"/>
      <c r="O178" s="20" t="s">
        <v>103</v>
      </c>
      <c r="P178" s="102" t="b">
        <v>0</v>
      </c>
      <c r="Q178" s="102" t="b">
        <v>0</v>
      </c>
      <c r="R178" s="102" t="b">
        <v>0</v>
      </c>
      <c r="S178" s="34"/>
      <c r="T178" s="43"/>
      <c r="U178" s="33" t="b">
        <f t="shared" si="11"/>
        <v>0</v>
      </c>
      <c r="V178" s="20" t="s">
        <v>277</v>
      </c>
      <c r="W178" s="43"/>
      <c r="X178" s="43"/>
      <c r="Y178" s="43"/>
      <c r="Z178" s="43"/>
      <c r="AA178" s="34">
        <f t="shared" si="25"/>
        <v>0</v>
      </c>
      <c r="AB178" s="35">
        <f t="shared" si="26"/>
        <v>0</v>
      </c>
      <c r="AC178" s="29" t="str">
        <f t="shared" si="5"/>
        <v>NÃO</v>
      </c>
      <c r="AD178" s="37" t="str">
        <f t="shared" si="1"/>
        <v>Não</v>
      </c>
      <c r="AE178" s="38">
        <f t="shared" si="6"/>
        <v>0</v>
      </c>
      <c r="AF178" s="29" t="str">
        <f>IF(N178,N178+((VLOOKUP(C178,'NPS de resultado'!$C$7:$D$36,2)*30)),"")</f>
        <v/>
      </c>
      <c r="AG178" s="25"/>
    </row>
    <row r="179" hidden="1">
      <c r="A179" s="43" t="str">
        <f>IFERROR(__xludf.DUMMYFUNCTION("""COMPUTED_VALUE"""),"Itaquera")</f>
        <v>Itaquera</v>
      </c>
      <c r="B179" s="43" t="str">
        <f>IFERROR(__xludf.DUMMYFUNCTION("""COMPUTED_VALUE"""),"NCiv")</f>
        <v>NCiv</v>
      </c>
      <c r="C179" s="43" t="str">
        <f>IFERROR(__xludf.DUMMYFUNCTION("""COMPUTED_VALUE"""),"Completo")</f>
        <v>Completo</v>
      </c>
      <c r="D179" s="43" t="str">
        <f>IFERROR(__xludf.DUMMYFUNCTION("""COMPUTED_VALUE"""),"Projeto")</f>
        <v>Projeto</v>
      </c>
      <c r="E179" s="46">
        <f>IFERROR(__xludf.DUMMYFUNCTION("""COMPUTED_VALUE"""),46100.0)</f>
        <v>46100</v>
      </c>
      <c r="F179" s="34">
        <f>IFERROR(__xludf.DUMMYFUNCTION("""COMPUTED_VALUE"""),11.0)</f>
        <v>11</v>
      </c>
      <c r="G179" s="34">
        <f>IFERROR(__xludf.DUMMYFUNCTION("""COMPUTED_VALUE"""),4.0)</f>
        <v>4</v>
      </c>
      <c r="H179" s="47">
        <f>IFERROR(__xludf.DUMMYFUNCTION("""COMPUTED_VALUE"""),45432.0)</f>
        <v>45432</v>
      </c>
      <c r="I179" s="47">
        <f>IFERROR(__xludf.DUMMYFUNCTION("""COMPUTED_VALUE"""),45507.0)</f>
        <v>45507</v>
      </c>
      <c r="J179" s="111"/>
      <c r="K179" s="47"/>
      <c r="L179" s="81"/>
      <c r="M179" s="29" t="str">
        <f t="shared" si="27"/>
        <v>-</v>
      </c>
      <c r="N179" s="47"/>
      <c r="O179" s="20" t="s">
        <v>103</v>
      </c>
      <c r="P179" s="102" t="b">
        <v>0</v>
      </c>
      <c r="Q179" s="102" t="b">
        <v>0</v>
      </c>
      <c r="R179" s="102" t="b">
        <v>0</v>
      </c>
      <c r="S179" s="34"/>
      <c r="T179" s="43"/>
      <c r="U179" s="33" t="b">
        <f t="shared" si="11"/>
        <v>0</v>
      </c>
      <c r="V179" s="43"/>
      <c r="W179" s="43"/>
      <c r="X179" s="43"/>
      <c r="Y179" s="43"/>
      <c r="Z179" s="43"/>
      <c r="AA179" s="34">
        <f t="shared" si="25"/>
        <v>0</v>
      </c>
      <c r="AB179" s="35">
        <f t="shared" si="26"/>
        <v>0</v>
      </c>
      <c r="AC179" s="29" t="str">
        <f t="shared" si="5"/>
        <v>NÃO</v>
      </c>
      <c r="AD179" s="37" t="str">
        <f t="shared" si="1"/>
        <v>Não</v>
      </c>
      <c r="AE179" s="38">
        <f t="shared" si="6"/>
        <v>0</v>
      </c>
      <c r="AF179" s="29" t="str">
        <f>IF(N179,N179+((VLOOKUP(C179,'NPS de resultado'!$C$7:$D$36,2)*30)),"")</f>
        <v/>
      </c>
      <c r="AG179" s="39"/>
    </row>
    <row r="180" hidden="1">
      <c r="A180" s="43" t="str">
        <f>IFERROR(__xludf.DUMMYFUNCTION("""COMPUTED_VALUE"""),"MP Ele")</f>
        <v>MP Ele</v>
      </c>
      <c r="B180" s="43" t="str">
        <f>IFERROR(__xludf.DUMMYFUNCTION("""COMPUTED_VALUE"""),"NCon")</f>
        <v>NCon</v>
      </c>
      <c r="C180" s="43" t="str">
        <f>IFERROR(__xludf.DUMMYFUNCTION("""COMPUTED_VALUE"""),"Modelagem e Projeção")</f>
        <v>Modelagem e Projeção</v>
      </c>
      <c r="D180" s="43" t="str">
        <f>IFERROR(__xludf.DUMMYFUNCTION("""COMPUTED_VALUE"""),"Projeto")</f>
        <v>Projeto</v>
      </c>
      <c r="E180" s="46">
        <f>IFERROR(__xludf.DUMMYFUNCTION("""COMPUTED_VALUE"""),19800.0)</f>
        <v>19800</v>
      </c>
      <c r="F180" s="34">
        <f>IFERROR(__xludf.DUMMYFUNCTION("""COMPUTED_VALUE"""),14.0)</f>
        <v>14</v>
      </c>
      <c r="G180" s="34">
        <f>IFERROR(__xludf.DUMMYFUNCTION("""COMPUTED_VALUE"""),1.0)</f>
        <v>1</v>
      </c>
      <c r="H180" s="47">
        <f>IFERROR(__xludf.DUMMYFUNCTION("""COMPUTED_VALUE"""),45369.0)</f>
        <v>45369</v>
      </c>
      <c r="I180" s="47">
        <f>IFERROR(__xludf.DUMMYFUNCTION("""COMPUTED_VALUE"""),45458.0)</f>
        <v>45458</v>
      </c>
      <c r="J180" s="103" t="s">
        <v>39</v>
      </c>
      <c r="K180" s="47"/>
      <c r="L180" s="81"/>
      <c r="M180" s="54">
        <v>45457.0</v>
      </c>
      <c r="N180" s="47"/>
      <c r="O180" s="20" t="s">
        <v>40</v>
      </c>
      <c r="P180" s="102" t="b">
        <v>0</v>
      </c>
      <c r="Q180" s="102" t="b">
        <v>0</v>
      </c>
      <c r="R180" s="31" t="b">
        <v>1</v>
      </c>
      <c r="S180" s="34"/>
      <c r="T180" s="43"/>
      <c r="U180" s="33" t="b">
        <f t="shared" si="11"/>
        <v>0</v>
      </c>
      <c r="V180" s="20" t="s">
        <v>136</v>
      </c>
      <c r="W180" s="20" t="s">
        <v>179</v>
      </c>
      <c r="X180" s="43"/>
      <c r="Y180" s="43"/>
      <c r="Z180" s="43"/>
      <c r="AA180" s="34">
        <f t="shared" si="25"/>
        <v>0</v>
      </c>
      <c r="AB180" s="35">
        <f t="shared" si="26"/>
        <v>2424.489796</v>
      </c>
      <c r="AC180" s="29" t="str">
        <f t="shared" si="5"/>
        <v>Sim</v>
      </c>
      <c r="AD180" s="37" t="str">
        <f t="shared" si="1"/>
        <v>Não</v>
      </c>
      <c r="AE180" s="38">
        <f t="shared" si="6"/>
        <v>0</v>
      </c>
      <c r="AF180" s="29" t="str">
        <f>IF(N180,N180+((VLOOKUP(C180,'NPS de resultado'!$C$7:$D$36,2)*30)),"")</f>
        <v/>
      </c>
      <c r="AG180" s="39"/>
    </row>
    <row r="181" hidden="1">
      <c r="A181" s="43" t="str">
        <f>IFERROR(__xludf.DUMMYFUNCTION("""COMPUTED_VALUE"""),"MP Marlim")</f>
        <v>MP Marlim</v>
      </c>
      <c r="B181" s="43" t="str">
        <f>IFERROR(__xludf.DUMMYFUNCTION("""COMPUTED_VALUE"""),"NCon")</f>
        <v>NCon</v>
      </c>
      <c r="C181" s="43" t="str">
        <f>IFERROR(__xludf.DUMMYFUNCTION("""COMPUTED_VALUE"""),"Modelagem e Projeção")</f>
        <v>Modelagem e Projeção</v>
      </c>
      <c r="D181" s="43" t="str">
        <f>IFERROR(__xludf.DUMMYFUNCTION("""COMPUTED_VALUE"""),"Projeto")</f>
        <v>Projeto</v>
      </c>
      <c r="E181" s="46">
        <f>IFERROR(__xludf.DUMMYFUNCTION("""COMPUTED_VALUE"""),12500.0)</f>
        <v>12500</v>
      </c>
      <c r="F181" s="34">
        <f>IFERROR(__xludf.DUMMYFUNCTION("""COMPUTED_VALUE"""),9.0)</f>
        <v>9</v>
      </c>
      <c r="G181" s="34">
        <f>IFERROR(__xludf.DUMMYFUNCTION("""COMPUTED_VALUE"""),1.0)</f>
        <v>1</v>
      </c>
      <c r="H181" s="47">
        <f>IFERROR(__xludf.DUMMYFUNCTION("""COMPUTED_VALUE"""),45376.0)</f>
        <v>45376</v>
      </c>
      <c r="I181" s="47">
        <f>IFERROR(__xludf.DUMMYFUNCTION("""COMPUTED_VALUE"""),45436.0)</f>
        <v>45436</v>
      </c>
      <c r="J181" s="103" t="s">
        <v>39</v>
      </c>
      <c r="K181" s="26">
        <v>45376.0</v>
      </c>
      <c r="L181" s="86">
        <v>0.0</v>
      </c>
      <c r="M181" s="29">
        <f>IF(K181&lt;&gt;"",K181+(F181+L181)*7,"")</f>
        <v>45439</v>
      </c>
      <c r="N181" s="47"/>
      <c r="O181" s="51" t="s">
        <v>40</v>
      </c>
      <c r="P181" s="102" t="b">
        <v>0</v>
      </c>
      <c r="Q181" s="102" t="b">
        <v>0</v>
      </c>
      <c r="R181" s="102" t="b">
        <v>0</v>
      </c>
      <c r="S181" s="34"/>
      <c r="T181" s="43"/>
      <c r="U181" s="33" t="b">
        <f t="shared" si="11"/>
        <v>0</v>
      </c>
      <c r="V181" s="20" t="s">
        <v>136</v>
      </c>
      <c r="W181" s="20" t="s">
        <v>123</v>
      </c>
      <c r="X181" s="43"/>
      <c r="Y181" s="43"/>
      <c r="Z181" s="43"/>
      <c r="AA181" s="34">
        <f t="shared" si="25"/>
        <v>0</v>
      </c>
      <c r="AB181" s="35">
        <f t="shared" si="26"/>
        <v>5952.380952</v>
      </c>
      <c r="AC181" s="29" t="str">
        <f t="shared" si="5"/>
        <v>Sim</v>
      </c>
      <c r="AD181" s="37" t="str">
        <f t="shared" si="1"/>
        <v>Sim</v>
      </c>
      <c r="AE181" s="38">
        <f t="shared" si="6"/>
        <v>0</v>
      </c>
      <c r="AF181" s="29" t="str">
        <f>IF(N181,N181+((VLOOKUP(C181,'NPS de resultado'!$C$7:$D$36,2)*30)),"")</f>
        <v/>
      </c>
      <c r="AG181" s="39"/>
    </row>
    <row r="182" hidden="1">
      <c r="A182" s="43" t="str">
        <f>IFERROR(__xludf.DUMMYFUNCTION("""COMPUTED_VALUE"""),"App Intensiped")</f>
        <v>App Intensiped</v>
      </c>
      <c r="B182" s="43" t="str">
        <f>IFERROR(__xludf.DUMMYFUNCTION("""COMPUTED_VALUE"""),"NTec")</f>
        <v>NTec</v>
      </c>
      <c r="C182" s="43" t="str">
        <f>IFERROR(__xludf.DUMMYFUNCTION("""COMPUTED_VALUE"""),"Escopo Aberto")</f>
        <v>Escopo Aberto</v>
      </c>
      <c r="D182" s="43" t="str">
        <f>IFERROR(__xludf.DUMMYFUNCTION("""COMPUTED_VALUE"""),"Projeto")</f>
        <v>Projeto</v>
      </c>
      <c r="E182" s="46">
        <f>IFERROR(__xludf.DUMMYFUNCTION("""COMPUTED_VALUE"""),25000.0)</f>
        <v>25000</v>
      </c>
      <c r="F182" s="34">
        <f>IFERROR(__xludf.DUMMYFUNCTION("""COMPUTED_VALUE"""),7.0)</f>
        <v>7</v>
      </c>
      <c r="G182" s="34">
        <f>IFERROR(__xludf.DUMMYFUNCTION("""COMPUTED_VALUE"""),3.0)</f>
        <v>3</v>
      </c>
      <c r="H182" s="47">
        <f>IFERROR(__xludf.DUMMYFUNCTION("""COMPUTED_VALUE"""),45397.0)</f>
        <v>45397</v>
      </c>
      <c r="I182" s="47">
        <f>IFERROR(__xludf.DUMMYFUNCTION("""COMPUTED_VALUE"""),45460.0)</f>
        <v>45460</v>
      </c>
      <c r="J182" s="103" t="s">
        <v>50</v>
      </c>
      <c r="K182" s="26">
        <v>45405.0</v>
      </c>
      <c r="L182" s="81"/>
      <c r="M182" s="29">
        <f>IF(K182&lt;&gt;"",K182+(F182+L182)*7,"-")</f>
        <v>45454</v>
      </c>
      <c r="N182" s="47"/>
      <c r="O182" s="20" t="s">
        <v>40</v>
      </c>
      <c r="P182" s="102" t="b">
        <v>0</v>
      </c>
      <c r="Q182" s="102" t="b">
        <v>0</v>
      </c>
      <c r="R182" s="102" t="b">
        <v>0</v>
      </c>
      <c r="S182" s="25">
        <v>10.0</v>
      </c>
      <c r="T182" s="43"/>
      <c r="U182" s="33" t="b">
        <f t="shared" si="11"/>
        <v>0</v>
      </c>
      <c r="V182" s="20" t="s">
        <v>292</v>
      </c>
      <c r="W182" s="20" t="s">
        <v>337</v>
      </c>
      <c r="X182" s="20" t="s">
        <v>338</v>
      </c>
      <c r="Y182" s="43"/>
      <c r="Z182" s="43"/>
      <c r="AA182" s="34">
        <f t="shared" si="25"/>
        <v>0</v>
      </c>
      <c r="AB182" s="35">
        <f t="shared" si="26"/>
        <v>7653.061224</v>
      </c>
      <c r="AC182" s="29" t="str">
        <f t="shared" si="5"/>
        <v>Sim</v>
      </c>
      <c r="AD182" s="37" t="str">
        <f t="shared" si="1"/>
        <v>Sim</v>
      </c>
      <c r="AE182" s="38">
        <f t="shared" si="6"/>
        <v>8</v>
      </c>
      <c r="AF182" s="29" t="str">
        <f>IF(N182,N182+((VLOOKUP(C182,'NPS de resultado'!$C$7:$D$36,2)*30)),"")</f>
        <v/>
      </c>
      <c r="AG182" s="25">
        <v>10.0</v>
      </c>
    </row>
    <row r="183" hidden="1">
      <c r="A183" s="43" t="str">
        <f>IFERROR(__xludf.DUMMYFUNCTION("""COMPUTED_VALUE"""),"Aegea 2.0")</f>
        <v>Aegea 2.0</v>
      </c>
      <c r="B183" s="43" t="str">
        <f>IFERROR(__xludf.DUMMYFUNCTION("""COMPUTED_VALUE"""),"NCon")</f>
        <v>NCon</v>
      </c>
      <c r="C183" s="43" t="str">
        <f>IFERROR(__xludf.DUMMYFUNCTION("""COMPUTED_VALUE"""),"Gestão de Processos")</f>
        <v>Gestão de Processos</v>
      </c>
      <c r="D183" s="43" t="str">
        <f>IFERROR(__xludf.DUMMYFUNCTION("""COMPUTED_VALUE"""),"Projeto")</f>
        <v>Projeto</v>
      </c>
      <c r="E183" s="46">
        <f>IFERROR(__xludf.DUMMYFUNCTION("""COMPUTED_VALUE"""),42300.0)</f>
        <v>42300</v>
      </c>
      <c r="F183" s="34">
        <f>IFERROR(__xludf.DUMMYFUNCTION("""COMPUTED_VALUE"""),8.0)</f>
        <v>8</v>
      </c>
      <c r="G183" s="34">
        <f>IFERROR(__xludf.DUMMYFUNCTION("""COMPUTED_VALUE"""),3.0)</f>
        <v>3</v>
      </c>
      <c r="H183" s="47">
        <f>IFERROR(__xludf.DUMMYFUNCTION("""COMPUTED_VALUE"""),45383.0)</f>
        <v>45383</v>
      </c>
      <c r="I183" s="47">
        <f>IFERROR(__xludf.DUMMYFUNCTION("""COMPUTED_VALUE"""),45436.0)</f>
        <v>45436</v>
      </c>
      <c r="J183" s="103" t="s">
        <v>39</v>
      </c>
      <c r="K183" s="26"/>
      <c r="L183" s="86"/>
      <c r="M183" s="54">
        <v>45477.0</v>
      </c>
      <c r="N183" s="47"/>
      <c r="O183" s="20" t="s">
        <v>40</v>
      </c>
      <c r="P183" s="102" t="b">
        <v>0</v>
      </c>
      <c r="Q183" s="102" t="b">
        <v>0</v>
      </c>
      <c r="R183" s="102" t="b">
        <v>0</v>
      </c>
      <c r="S183" s="34"/>
      <c r="T183" s="43"/>
      <c r="U183" s="33" t="b">
        <f t="shared" si="11"/>
        <v>0</v>
      </c>
      <c r="V183" s="20" t="s">
        <v>136</v>
      </c>
      <c r="W183" s="20" t="s">
        <v>339</v>
      </c>
      <c r="X183" s="20" t="s">
        <v>132</v>
      </c>
      <c r="Y183" s="43"/>
      <c r="Z183" s="43"/>
      <c r="AA183" s="34">
        <f t="shared" si="25"/>
        <v>0</v>
      </c>
      <c r="AB183" s="35">
        <f t="shared" si="26"/>
        <v>0</v>
      </c>
      <c r="AC183" s="29" t="str">
        <f t="shared" si="5"/>
        <v>NÃO</v>
      </c>
      <c r="AD183" s="37" t="str">
        <f t="shared" si="1"/>
        <v>Não</v>
      </c>
      <c r="AE183" s="38">
        <f t="shared" si="6"/>
        <v>0</v>
      </c>
      <c r="AF183" s="29" t="str">
        <f>IF(N183,N183+((VLOOKUP(C183,'NPS de resultado'!$C$7:$D$36,2)*30)),"")</f>
        <v/>
      </c>
      <c r="AG183" s="39"/>
    </row>
    <row r="184">
      <c r="A184" s="43" t="str">
        <f>IFERROR(__xludf.DUMMYFUNCTION("""COMPUTED_VALUE"""),"Shippify")</f>
        <v>Shippify</v>
      </c>
      <c r="B184" s="43" t="str">
        <f>IFERROR(__xludf.DUMMYFUNCTION("""COMPUTED_VALUE"""),"NDados")</f>
        <v>NDados</v>
      </c>
      <c r="C184" s="43" t="str">
        <f>IFERROR(__xludf.DUMMYFUNCTION("""COMPUTED_VALUE"""),"DSaaS ")</f>
        <v>DSaaS </v>
      </c>
      <c r="D184" s="43" t="str">
        <f>IFERROR(__xludf.DUMMYFUNCTION("""COMPUTED_VALUE"""),"Projeto")</f>
        <v>Projeto</v>
      </c>
      <c r="E184" s="46">
        <f>IFERROR(__xludf.DUMMYFUNCTION("""COMPUTED_VALUE"""),15000.0)</f>
        <v>15000</v>
      </c>
      <c r="F184" s="34">
        <f>IFERROR(__xludf.DUMMYFUNCTION("""COMPUTED_VALUE"""),12.0)</f>
        <v>12</v>
      </c>
      <c r="G184" s="34">
        <f>IFERROR(__xludf.DUMMYFUNCTION("""COMPUTED_VALUE"""),0.5)</f>
        <v>0.5</v>
      </c>
      <c r="H184" s="47">
        <f>IFERROR(__xludf.DUMMYFUNCTION("""COMPUTED_VALUE"""),45383.0)</f>
        <v>45383</v>
      </c>
      <c r="I184" s="47">
        <f>IFERROR(__xludf.DUMMYFUNCTION("""COMPUTED_VALUE"""),45383.0)</f>
        <v>45383</v>
      </c>
      <c r="J184" s="103" t="s">
        <v>39</v>
      </c>
      <c r="K184" s="26">
        <v>45398.0</v>
      </c>
      <c r="L184" s="81">
        <v>0.0</v>
      </c>
      <c r="M184" s="29">
        <f t="shared" ref="M184:M190" si="28">IF(K184&lt;&gt;"",K184+(F184+L184)*7,"-")</f>
        <v>45482</v>
      </c>
      <c r="N184" s="47"/>
      <c r="O184" s="20" t="s">
        <v>40</v>
      </c>
      <c r="P184" s="102" t="b">
        <v>0</v>
      </c>
      <c r="Q184" s="102" t="b">
        <v>0</v>
      </c>
      <c r="R184" s="102" t="b">
        <v>0</v>
      </c>
      <c r="S184" s="34"/>
      <c r="T184" s="43"/>
      <c r="U184" s="31" t="b">
        <f t="shared" si="11"/>
        <v>0</v>
      </c>
      <c r="V184" s="20" t="s">
        <v>230</v>
      </c>
      <c r="W184" s="20" t="s">
        <v>340</v>
      </c>
      <c r="X184" s="43"/>
      <c r="Y184" s="43"/>
      <c r="Z184" s="43"/>
      <c r="AA184" s="34">
        <f t="shared" si="25"/>
        <v>0</v>
      </c>
      <c r="AB184" s="35">
        <f t="shared" si="26"/>
        <v>0</v>
      </c>
      <c r="AC184" s="29" t="str">
        <f t="shared" si="5"/>
        <v>NÃO</v>
      </c>
      <c r="AD184" s="37" t="str">
        <f t="shared" si="1"/>
        <v>Não</v>
      </c>
      <c r="AE184" s="38">
        <f t="shared" si="6"/>
        <v>15</v>
      </c>
      <c r="AF184" s="29" t="str">
        <f>IF(N184,N184+((VLOOKUP(C184,'NPS de resultado'!$C$7:$D$36,2)*30)),"")</f>
        <v/>
      </c>
      <c r="AG184" s="39"/>
    </row>
    <row r="185" hidden="1">
      <c r="A185" s="43" t="str">
        <f>IFERROR(__xludf.DUMMYFUNCTION("""COMPUTED_VALUE"""),"Lino Chow")</f>
        <v>Lino Chow</v>
      </c>
      <c r="B185" s="43" t="str">
        <f>IFERROR(__xludf.DUMMYFUNCTION("""COMPUTED_VALUE"""),"NTec")</f>
        <v>NTec</v>
      </c>
      <c r="C185" s="43" t="str">
        <f>IFERROR(__xludf.DUMMYFUNCTION("""COMPUTED_VALUE"""),"Desenvolvimento")</f>
        <v>Desenvolvimento</v>
      </c>
      <c r="D185" s="43" t="str">
        <f>IFERROR(__xludf.DUMMYFUNCTION("""COMPUTED_VALUE"""),"Projeto")</f>
        <v>Projeto</v>
      </c>
      <c r="E185" s="46">
        <f>IFERROR(__xludf.DUMMYFUNCTION("""COMPUTED_VALUE"""),85000.0)</f>
        <v>85000</v>
      </c>
      <c r="F185" s="34">
        <f>IFERROR(__xludf.DUMMYFUNCTION("""COMPUTED_VALUE"""),22.0)</f>
        <v>22</v>
      </c>
      <c r="G185" s="34">
        <f>IFERROR(__xludf.DUMMYFUNCTION("""COMPUTED_VALUE"""),3.0)</f>
        <v>3</v>
      </c>
      <c r="H185" s="47">
        <f>IFERROR(__xludf.DUMMYFUNCTION("""COMPUTED_VALUE"""),45418.0)</f>
        <v>45418</v>
      </c>
      <c r="I185" s="47">
        <f>IFERROR(__xludf.DUMMYFUNCTION("""COMPUTED_VALUE"""),45565.0)</f>
        <v>45565</v>
      </c>
      <c r="J185" s="103" t="s">
        <v>50</v>
      </c>
      <c r="K185" s="26">
        <v>45425.0</v>
      </c>
      <c r="L185" s="86">
        <v>1.0</v>
      </c>
      <c r="M185" s="29">
        <f t="shared" si="28"/>
        <v>45586</v>
      </c>
      <c r="N185" s="47"/>
      <c r="O185" s="20" t="s">
        <v>40</v>
      </c>
      <c r="P185" s="102" t="b">
        <v>0</v>
      </c>
      <c r="Q185" s="102" t="b">
        <v>0</v>
      </c>
      <c r="R185" s="102" t="b">
        <v>0</v>
      </c>
      <c r="S185" s="34"/>
      <c r="T185" s="43"/>
      <c r="U185" s="33" t="b">
        <f t="shared" si="11"/>
        <v>0</v>
      </c>
      <c r="V185" s="20" t="s">
        <v>41</v>
      </c>
      <c r="W185" s="20" t="s">
        <v>288</v>
      </c>
      <c r="X185" s="20" t="s">
        <v>305</v>
      </c>
      <c r="Y185" s="20" t="s">
        <v>276</v>
      </c>
      <c r="Z185" s="20" t="s">
        <v>304</v>
      </c>
      <c r="AA185" s="34">
        <f t="shared" si="25"/>
        <v>0</v>
      </c>
      <c r="AB185" s="35">
        <f t="shared" si="26"/>
        <v>0</v>
      </c>
      <c r="AC185" s="29" t="str">
        <f t="shared" si="5"/>
        <v>NÃO</v>
      </c>
      <c r="AD185" s="37" t="str">
        <f t="shared" si="1"/>
        <v>Não</v>
      </c>
      <c r="AE185" s="38">
        <f t="shared" si="6"/>
        <v>7</v>
      </c>
      <c r="AF185" s="29" t="str">
        <f>IF(N185,N185+((VLOOKUP(C185,'NPS de resultado'!$C$7:$D$36,2)*30)),"")</f>
        <v/>
      </c>
      <c r="AG185" s="25"/>
    </row>
    <row r="186">
      <c r="A186" s="43" t="str">
        <f>IFERROR(__xludf.DUMMYFUNCTION("""COMPUTED_VALUE"""),"Clealco")</f>
        <v>Clealco</v>
      </c>
      <c r="B186" s="43" t="str">
        <f>IFERROR(__xludf.DUMMYFUNCTION("""COMPUTED_VALUE"""),"NDados")</f>
        <v>NDados</v>
      </c>
      <c r="C186" s="43" t="str">
        <f>IFERROR(__xludf.DUMMYFUNCTION("""COMPUTED_VALUE"""),"Mapeamento")</f>
        <v>Mapeamento</v>
      </c>
      <c r="D186" s="43" t="str">
        <f>IFERROR(__xludf.DUMMYFUNCTION("""COMPUTED_VALUE"""),"Projeto")</f>
        <v>Projeto</v>
      </c>
      <c r="E186" s="46">
        <f>IFERROR(__xludf.DUMMYFUNCTION("""COMPUTED_VALUE"""),79300.0)</f>
        <v>79300</v>
      </c>
      <c r="F186" s="34">
        <f>IFERROR(__xludf.DUMMYFUNCTION("""COMPUTED_VALUE"""),23.0)</f>
        <v>23</v>
      </c>
      <c r="G186" s="34">
        <f>IFERROR(__xludf.DUMMYFUNCTION("""COMPUTED_VALUE"""),2.0)</f>
        <v>2</v>
      </c>
      <c r="H186" s="47">
        <f>IFERROR(__xludf.DUMMYFUNCTION("""COMPUTED_VALUE"""),45383.0)</f>
        <v>45383</v>
      </c>
      <c r="I186" s="47">
        <f>IFERROR(__xludf.DUMMYFUNCTION("""COMPUTED_VALUE"""),45481.0)</f>
        <v>45481</v>
      </c>
      <c r="J186" s="103" t="s">
        <v>39</v>
      </c>
      <c r="K186" s="26">
        <v>45397.0</v>
      </c>
      <c r="L186" s="81">
        <v>1.8571428571428572</v>
      </c>
      <c r="M186" s="29">
        <f t="shared" si="28"/>
        <v>45571</v>
      </c>
      <c r="N186" s="47"/>
      <c r="O186" s="20" t="s">
        <v>40</v>
      </c>
      <c r="P186" s="102" t="b">
        <v>0</v>
      </c>
      <c r="Q186" s="102" t="b">
        <v>0</v>
      </c>
      <c r="R186" s="102" t="b">
        <v>0</v>
      </c>
      <c r="S186" s="34"/>
      <c r="T186" s="43"/>
      <c r="U186" s="31" t="b">
        <f t="shared" si="11"/>
        <v>0</v>
      </c>
      <c r="V186" s="20" t="s">
        <v>238</v>
      </c>
      <c r="W186" s="20" t="s">
        <v>341</v>
      </c>
      <c r="X186" s="20" t="s">
        <v>342</v>
      </c>
      <c r="Y186" s="20" t="s">
        <v>343</v>
      </c>
      <c r="Z186" s="20" t="s">
        <v>235</v>
      </c>
      <c r="AA186" s="34">
        <f t="shared" si="25"/>
        <v>0</v>
      </c>
      <c r="AB186" s="35">
        <f t="shared" si="26"/>
        <v>0</v>
      </c>
      <c r="AC186" s="29" t="str">
        <f t="shared" si="5"/>
        <v>NÃO</v>
      </c>
      <c r="AD186" s="37" t="str">
        <f t="shared" si="1"/>
        <v>Não</v>
      </c>
      <c r="AE186" s="38">
        <f t="shared" si="6"/>
        <v>14</v>
      </c>
      <c r="AF186" s="29" t="str">
        <f>IF(N186,N186+((VLOOKUP(C186,'NPS de resultado'!$C$7:$D$36,2)*30)),"")</f>
        <v/>
      </c>
      <c r="AG186" s="39"/>
    </row>
    <row r="187" hidden="1">
      <c r="A187" s="43" t="str">
        <f>IFERROR(__xludf.DUMMYFUNCTION("""COMPUTED_VALUE"""),"Itu")</f>
        <v>Itu</v>
      </c>
      <c r="B187" s="43" t="str">
        <f>IFERROR(__xludf.DUMMYFUNCTION("""COMPUTED_VALUE"""),"NCiv")</f>
        <v>NCiv</v>
      </c>
      <c r="C187" s="43" t="str">
        <f>IFERROR(__xludf.DUMMYFUNCTION("""COMPUTED_VALUE"""),"Completo")</f>
        <v>Completo</v>
      </c>
      <c r="D187" s="43" t="str">
        <f>IFERROR(__xludf.DUMMYFUNCTION("""COMPUTED_VALUE"""),"Projeto")</f>
        <v>Projeto</v>
      </c>
      <c r="E187" s="46">
        <f>IFERROR(__xludf.DUMMYFUNCTION("""COMPUTED_VALUE"""),8300.0)</f>
        <v>8300</v>
      </c>
      <c r="F187" s="34">
        <f>IFERROR(__xludf.DUMMYFUNCTION("""COMPUTED_VALUE"""),10.0)</f>
        <v>10</v>
      </c>
      <c r="G187" s="34">
        <f>IFERROR(__xludf.DUMMYFUNCTION("""COMPUTED_VALUE"""),1.0)</f>
        <v>1</v>
      </c>
      <c r="H187" s="47">
        <f>IFERROR(__xludf.DUMMYFUNCTION("""COMPUTED_VALUE"""),45411.0)</f>
        <v>45411</v>
      </c>
      <c r="I187" s="47">
        <f>IFERROR(__xludf.DUMMYFUNCTION("""COMPUTED_VALUE"""),45481.0)</f>
        <v>45481</v>
      </c>
      <c r="J187" s="103" t="s">
        <v>50</v>
      </c>
      <c r="K187" s="26">
        <v>45413.0</v>
      </c>
      <c r="L187" s="86">
        <v>1.0</v>
      </c>
      <c r="M187" s="29">
        <f t="shared" si="28"/>
        <v>45490</v>
      </c>
      <c r="N187" s="47"/>
      <c r="O187" s="20" t="s">
        <v>40</v>
      </c>
      <c r="P187" s="102" t="b">
        <v>0</v>
      </c>
      <c r="Q187" s="102" t="b">
        <v>0</v>
      </c>
      <c r="R187" s="31" t="b">
        <v>1</v>
      </c>
      <c r="S187" s="34"/>
      <c r="T187" s="43"/>
      <c r="U187" s="33" t="b">
        <f t="shared" si="11"/>
        <v>0</v>
      </c>
      <c r="V187" s="20" t="s">
        <v>47</v>
      </c>
      <c r="W187" s="20" t="s">
        <v>344</v>
      </c>
      <c r="X187" s="43"/>
      <c r="Y187" s="43"/>
      <c r="Z187" s="43"/>
      <c r="AA187" s="34">
        <f t="shared" si="25"/>
        <v>0</v>
      </c>
      <c r="AB187" s="35">
        <f t="shared" si="26"/>
        <v>0</v>
      </c>
      <c r="AC187" s="29" t="str">
        <f t="shared" si="5"/>
        <v>NÃO</v>
      </c>
      <c r="AD187" s="37" t="str">
        <f t="shared" si="1"/>
        <v>Não</v>
      </c>
      <c r="AE187" s="38">
        <f t="shared" si="6"/>
        <v>2</v>
      </c>
      <c r="AF187" s="29" t="str">
        <f>IF(N187,N187+((VLOOKUP(C187,'NPS de resultado'!$C$7:$D$36,2)*30)),"")</f>
        <v/>
      </c>
      <c r="AG187" s="39"/>
    </row>
    <row r="188">
      <c r="A188" s="43" t="str">
        <f>IFERROR(__xludf.DUMMYFUNCTION("""COMPUTED_VALUE"""),"Daiichi 2.0")</f>
        <v>Daiichi 2.0</v>
      </c>
      <c r="B188" s="43" t="str">
        <f>IFERROR(__xludf.DUMMYFUNCTION("""COMPUTED_VALUE"""),"NDados")</f>
        <v>NDados</v>
      </c>
      <c r="C188" s="43" t="str">
        <f>IFERROR(__xludf.DUMMYFUNCTION("""COMPUTED_VALUE"""),"Extração")</f>
        <v>Extração</v>
      </c>
      <c r="D188" s="43" t="str">
        <f>IFERROR(__xludf.DUMMYFUNCTION("""COMPUTED_VALUE"""),"Projeto")</f>
        <v>Projeto</v>
      </c>
      <c r="E188" s="46">
        <f>IFERROR(__xludf.DUMMYFUNCTION("""COMPUTED_VALUE"""),17500.0)</f>
        <v>17500</v>
      </c>
      <c r="F188" s="34">
        <f>IFERROR(__xludf.DUMMYFUNCTION("""COMPUTED_VALUE"""),9.0)</f>
        <v>9</v>
      </c>
      <c r="G188" s="34">
        <f>IFERROR(__xludf.DUMMYFUNCTION("""COMPUTED_VALUE"""),1.0)</f>
        <v>1</v>
      </c>
      <c r="H188" s="47">
        <f>IFERROR(__xludf.DUMMYFUNCTION("""COMPUTED_VALUE"""),45397.0)</f>
        <v>45397</v>
      </c>
      <c r="I188" s="47">
        <f>IFERROR(__xludf.DUMMYFUNCTION("""COMPUTED_VALUE"""),45460.0)</f>
        <v>45460</v>
      </c>
      <c r="J188" s="103" t="s">
        <v>39</v>
      </c>
      <c r="K188" s="26">
        <v>45400.0</v>
      </c>
      <c r="L188" s="86">
        <v>4.0</v>
      </c>
      <c r="M188" s="29">
        <f t="shared" si="28"/>
        <v>45491</v>
      </c>
      <c r="N188" s="47"/>
      <c r="O188" s="20" t="s">
        <v>40</v>
      </c>
      <c r="P188" s="102" t="b">
        <v>0</v>
      </c>
      <c r="Q188" s="102" t="b">
        <v>0</v>
      </c>
      <c r="R188" s="102" t="b">
        <v>0</v>
      </c>
      <c r="S188" s="34"/>
      <c r="T188" s="43"/>
      <c r="U188" s="31" t="b">
        <f t="shared" si="11"/>
        <v>0</v>
      </c>
      <c r="V188" s="20" t="s">
        <v>253</v>
      </c>
      <c r="W188" s="20" t="s">
        <v>345</v>
      </c>
      <c r="X188" s="43"/>
      <c r="Y188" s="43"/>
      <c r="Z188" s="43"/>
      <c r="AA188" s="34">
        <f t="shared" si="25"/>
        <v>0</v>
      </c>
      <c r="AB188" s="35">
        <f t="shared" si="26"/>
        <v>0</v>
      </c>
      <c r="AC188" s="29" t="str">
        <f t="shared" si="5"/>
        <v>NÃO</v>
      </c>
      <c r="AD188" s="37" t="str">
        <f t="shared" si="1"/>
        <v>Não</v>
      </c>
      <c r="AE188" s="38">
        <f t="shared" si="6"/>
        <v>3</v>
      </c>
      <c r="AF188" s="29" t="str">
        <f>IF(N188,N188+((VLOOKUP(C188,'NPS de resultado'!$C$7:$D$36,2)*30)),"")</f>
        <v/>
      </c>
      <c r="AG188" s="39"/>
    </row>
    <row r="189" hidden="1">
      <c r="A189" s="43" t="str">
        <f>IFERROR(__xludf.DUMMYFUNCTION("""COMPUTED_VALUE"""),"ALE Combustíveis")</f>
        <v>ALE Combustíveis</v>
      </c>
      <c r="B189" s="43" t="str">
        <f>IFERROR(__xludf.DUMMYFUNCTION("""COMPUTED_VALUE"""),"NCon")</f>
        <v>NCon</v>
      </c>
      <c r="C189" s="43" t="str">
        <f>IFERROR(__xludf.DUMMYFUNCTION("""COMPUTED_VALUE"""),"Gestão de Processos")</f>
        <v>Gestão de Processos</v>
      </c>
      <c r="D189" s="43" t="str">
        <f>IFERROR(__xludf.DUMMYFUNCTION("""COMPUTED_VALUE"""),"Projeto")</f>
        <v>Projeto</v>
      </c>
      <c r="E189" s="46">
        <f>IFERROR(__xludf.DUMMYFUNCTION("""COMPUTED_VALUE"""),54000.0)</f>
        <v>54000</v>
      </c>
      <c r="F189" s="34">
        <f>IFERROR(__xludf.DUMMYFUNCTION("""COMPUTED_VALUE"""),12.0)</f>
        <v>12</v>
      </c>
      <c r="G189" s="34">
        <f>IFERROR(__xludf.DUMMYFUNCTION("""COMPUTED_VALUE"""),3.0)</f>
        <v>3</v>
      </c>
      <c r="H189" s="47">
        <f>IFERROR(__xludf.DUMMYFUNCTION("""COMPUTED_VALUE"""),45383.0)</f>
        <v>45383</v>
      </c>
      <c r="I189" s="47">
        <f>IFERROR(__xludf.DUMMYFUNCTION("""COMPUTED_VALUE"""),45464.0)</f>
        <v>45464</v>
      </c>
      <c r="J189" s="103" t="s">
        <v>50</v>
      </c>
      <c r="K189" s="47"/>
      <c r="L189" s="81"/>
      <c r="M189" s="29" t="str">
        <f t="shared" si="28"/>
        <v>-</v>
      </c>
      <c r="N189" s="47"/>
      <c r="O189" s="20" t="s">
        <v>40</v>
      </c>
      <c r="P189" s="102" t="b">
        <v>0</v>
      </c>
      <c r="Q189" s="102" t="b">
        <v>0</v>
      </c>
      <c r="R189" s="102" t="b">
        <v>0</v>
      </c>
      <c r="S189" s="34"/>
      <c r="T189" s="43"/>
      <c r="U189" s="33" t="b">
        <f t="shared" si="11"/>
        <v>0</v>
      </c>
      <c r="V189" s="20" t="s">
        <v>125</v>
      </c>
      <c r="W189" s="20" t="s">
        <v>346</v>
      </c>
      <c r="X189" s="20" t="s">
        <v>347</v>
      </c>
      <c r="Y189" s="43"/>
      <c r="Z189" s="43"/>
      <c r="AA189" s="34">
        <f t="shared" si="25"/>
        <v>0</v>
      </c>
      <c r="AB189" s="35">
        <f t="shared" si="26"/>
        <v>0</v>
      </c>
      <c r="AC189" s="29" t="str">
        <f t="shared" si="5"/>
        <v>NÃO</v>
      </c>
      <c r="AD189" s="37" t="str">
        <f t="shared" si="1"/>
        <v>Não</v>
      </c>
      <c r="AE189" s="38">
        <f t="shared" si="6"/>
        <v>0</v>
      </c>
      <c r="AF189" s="29" t="str">
        <f>IF(N189,N189+((VLOOKUP(C189,'NPS de resultado'!$C$7:$D$36,2)*30)),"")</f>
        <v/>
      </c>
      <c r="AG189" s="39"/>
    </row>
    <row r="190">
      <c r="A190" s="43" t="str">
        <f>IFERROR(__xludf.DUMMYFUNCTION("""COMPUTED_VALUE"""),"Accor")</f>
        <v>Accor</v>
      </c>
      <c r="B190" s="43" t="str">
        <f>IFERROR(__xludf.DUMMYFUNCTION("""COMPUTED_VALUE"""),"NDados")</f>
        <v>NDados</v>
      </c>
      <c r="C190" s="43" t="str">
        <f>IFERROR(__xludf.DUMMYFUNCTION("""COMPUTED_VALUE"""),"Análise exploratória")</f>
        <v>Análise exploratória</v>
      </c>
      <c r="D190" s="43" t="str">
        <f>IFERROR(__xludf.DUMMYFUNCTION("""COMPUTED_VALUE"""),"Projeto")</f>
        <v>Projeto</v>
      </c>
      <c r="E190" s="46">
        <f>IFERROR(__xludf.DUMMYFUNCTION("""COMPUTED_VALUE"""),14000.0)</f>
        <v>14000</v>
      </c>
      <c r="F190" s="34">
        <f>IFERROR(__xludf.DUMMYFUNCTION("""COMPUTED_VALUE"""),8.0)</f>
        <v>8</v>
      </c>
      <c r="G190" s="34">
        <f>IFERROR(__xludf.DUMMYFUNCTION("""COMPUTED_VALUE"""),1.0)</f>
        <v>1</v>
      </c>
      <c r="H190" s="47">
        <f>IFERROR(__xludf.DUMMYFUNCTION("""COMPUTED_VALUE"""),45383.0)</f>
        <v>45383</v>
      </c>
      <c r="I190" s="47">
        <f>IFERROR(__xludf.DUMMYFUNCTION("""COMPUTED_VALUE"""),45446.0)</f>
        <v>45446</v>
      </c>
      <c r="J190" s="103" t="s">
        <v>39</v>
      </c>
      <c r="K190" s="26">
        <v>45416.0</v>
      </c>
      <c r="L190" s="86">
        <v>1.1</v>
      </c>
      <c r="M190" s="29">
        <f t="shared" si="28"/>
        <v>45479.7</v>
      </c>
      <c r="N190" s="47"/>
      <c r="O190" s="20" t="s">
        <v>40</v>
      </c>
      <c r="P190" s="102" t="b">
        <v>0</v>
      </c>
      <c r="Q190" s="102" t="b">
        <v>0</v>
      </c>
      <c r="R190" s="102" t="b">
        <v>0</v>
      </c>
      <c r="S190" s="34"/>
      <c r="T190" s="43"/>
      <c r="U190" s="31" t="b">
        <f t="shared" si="11"/>
        <v>0</v>
      </c>
      <c r="V190" s="20" t="s">
        <v>238</v>
      </c>
      <c r="W190" s="20" t="s">
        <v>348</v>
      </c>
      <c r="X190" s="43"/>
      <c r="Y190" s="43"/>
      <c r="Z190" s="43"/>
      <c r="AA190" s="34">
        <f t="shared" si="25"/>
        <v>0</v>
      </c>
      <c r="AB190" s="35">
        <f t="shared" si="26"/>
        <v>0</v>
      </c>
      <c r="AC190" s="29" t="str">
        <f t="shared" si="5"/>
        <v>NÃO</v>
      </c>
      <c r="AD190" s="37" t="str">
        <f t="shared" si="1"/>
        <v>Não</v>
      </c>
      <c r="AE190" s="38">
        <f t="shared" si="6"/>
        <v>33</v>
      </c>
      <c r="AF190" s="29" t="str">
        <f>IF(N190,N190+((VLOOKUP(C190,'NPS de resultado'!$C$7:$D$36,2)*30)),"")</f>
        <v/>
      </c>
      <c r="AG190" s="39"/>
    </row>
    <row r="191" hidden="1">
      <c r="A191" s="43" t="str">
        <f>IFERROR(__xludf.DUMMYFUNCTION("""COMPUTED_VALUE"""),"Voticare 2.0")</f>
        <v>Voticare 2.0</v>
      </c>
      <c r="B191" s="43" t="str">
        <f>IFERROR(__xludf.DUMMYFUNCTION("""COMPUTED_VALUE"""),"NCon")</f>
        <v>NCon</v>
      </c>
      <c r="C191" s="43" t="str">
        <f>IFERROR(__xludf.DUMMYFUNCTION("""COMPUTED_VALUE"""),"Gestão de Processos")</f>
        <v>Gestão de Processos</v>
      </c>
      <c r="D191" s="43" t="str">
        <f>IFERROR(__xludf.DUMMYFUNCTION("""COMPUTED_VALUE"""),"Projeto")</f>
        <v>Projeto</v>
      </c>
      <c r="E191" s="46">
        <f>IFERROR(__xludf.DUMMYFUNCTION("""COMPUTED_VALUE"""),55000.0)</f>
        <v>55000</v>
      </c>
      <c r="F191" s="34">
        <f>IFERROR(__xludf.DUMMYFUNCTION("""COMPUTED_VALUE"""),15.0)</f>
        <v>15</v>
      </c>
      <c r="G191" s="34">
        <f>IFERROR(__xludf.DUMMYFUNCTION("""COMPUTED_VALUE"""),3.0)</f>
        <v>3</v>
      </c>
      <c r="H191" s="47">
        <f>IFERROR(__xludf.DUMMYFUNCTION("""COMPUTED_VALUE"""),45383.0)</f>
        <v>45383</v>
      </c>
      <c r="I191" s="47">
        <f>IFERROR(__xludf.DUMMYFUNCTION("""COMPUTED_VALUE"""),45485.0)</f>
        <v>45485</v>
      </c>
      <c r="J191" s="103" t="s">
        <v>50</v>
      </c>
      <c r="K191" s="26">
        <v>45398.0</v>
      </c>
      <c r="L191" s="86">
        <v>0.0</v>
      </c>
      <c r="M191" s="54">
        <v>45510.0</v>
      </c>
      <c r="N191" s="47"/>
      <c r="O191" s="51" t="s">
        <v>40</v>
      </c>
      <c r="P191" s="102" t="b">
        <v>0</v>
      </c>
      <c r="Q191" s="102" t="b">
        <v>0</v>
      </c>
      <c r="R191" s="102" t="b">
        <v>0</v>
      </c>
      <c r="S191" s="34"/>
      <c r="T191" s="43"/>
      <c r="U191" s="33" t="b">
        <f t="shared" si="11"/>
        <v>0</v>
      </c>
      <c r="V191" s="20" t="s">
        <v>136</v>
      </c>
      <c r="W191" s="20" t="s">
        <v>178</v>
      </c>
      <c r="X191" s="20" t="s">
        <v>143</v>
      </c>
      <c r="Y191" s="43"/>
      <c r="Z191" s="43"/>
      <c r="AA191" s="34">
        <f t="shared" si="25"/>
        <v>0</v>
      </c>
      <c r="AB191" s="35">
        <f t="shared" si="26"/>
        <v>0</v>
      </c>
      <c r="AC191" s="29" t="str">
        <f t="shared" si="5"/>
        <v>NÃO</v>
      </c>
      <c r="AD191" s="37" t="str">
        <f t="shared" si="1"/>
        <v>Não</v>
      </c>
      <c r="AE191" s="38">
        <f t="shared" si="6"/>
        <v>15</v>
      </c>
      <c r="AF191" s="29" t="str">
        <f>IF(N191,N191+((VLOOKUP(C191,'NPS de resultado'!$C$7:$D$36,2)*30)),"")</f>
        <v/>
      </c>
      <c r="AG191" s="39"/>
    </row>
    <row r="192" hidden="1">
      <c r="A192" s="43" t="str">
        <f>IFERROR(__xludf.DUMMYFUNCTION("""COMPUTED_VALUE"""),"App Business")</f>
        <v>App Business</v>
      </c>
      <c r="B192" s="43" t="str">
        <f>IFERROR(__xludf.DUMMYFUNCTION("""COMPUTED_VALUE"""),"NTec")</f>
        <v>NTec</v>
      </c>
      <c r="C192" s="43" t="str">
        <f>IFERROR(__xludf.DUMMYFUNCTION("""COMPUTED_VALUE"""),"Escopo Aberto")</f>
        <v>Escopo Aberto</v>
      </c>
      <c r="D192" s="43" t="str">
        <f>IFERROR(__xludf.DUMMYFUNCTION("""COMPUTED_VALUE"""),"Projeto")</f>
        <v>Projeto</v>
      </c>
      <c r="E192" s="46">
        <f>IFERROR(__xludf.DUMMYFUNCTION("""COMPUTED_VALUE"""),63000.0)</f>
        <v>63000</v>
      </c>
      <c r="F192" s="34">
        <f>IFERROR(__xludf.DUMMYFUNCTION("""COMPUTED_VALUE"""),20.0)</f>
        <v>20</v>
      </c>
      <c r="G192" s="34">
        <f>IFERROR(__xludf.DUMMYFUNCTION("""COMPUTED_VALUE"""),3.0)</f>
        <v>3</v>
      </c>
      <c r="H192" s="47">
        <f>IFERROR(__xludf.DUMMYFUNCTION("""COMPUTED_VALUE"""),45425.0)</f>
        <v>45425</v>
      </c>
      <c r="I192" s="47">
        <f>IFERROR(__xludf.DUMMYFUNCTION("""COMPUTED_VALUE"""),45579.0)</f>
        <v>45579</v>
      </c>
      <c r="J192" s="103" t="s">
        <v>50</v>
      </c>
      <c r="K192" s="26"/>
      <c r="L192" s="86"/>
      <c r="M192" s="29" t="str">
        <f>IF(K192&lt;&gt;"",K192+(F192+L192)*7,"-")</f>
        <v>-</v>
      </c>
      <c r="N192" s="47"/>
      <c r="O192" s="20" t="s">
        <v>103</v>
      </c>
      <c r="P192" s="102" t="b">
        <v>0</v>
      </c>
      <c r="Q192" s="102" t="b">
        <v>0</v>
      </c>
      <c r="R192" s="102" t="b">
        <v>0</v>
      </c>
      <c r="S192" s="34"/>
      <c r="T192" s="43"/>
      <c r="U192" s="33" t="b">
        <f t="shared" si="11"/>
        <v>0</v>
      </c>
      <c r="V192" s="43"/>
      <c r="W192" s="43"/>
      <c r="X192" s="43"/>
      <c r="Y192" s="43"/>
      <c r="Z192" s="43"/>
      <c r="AA192" s="34">
        <f t="shared" si="25"/>
        <v>0</v>
      </c>
      <c r="AB192" s="35">
        <f t="shared" si="26"/>
        <v>0</v>
      </c>
      <c r="AC192" s="29" t="str">
        <f t="shared" si="5"/>
        <v>NÃO</v>
      </c>
      <c r="AD192" s="37" t="str">
        <f t="shared" si="1"/>
        <v>Não</v>
      </c>
      <c r="AE192" s="38">
        <f t="shared" si="6"/>
        <v>0</v>
      </c>
      <c r="AF192" s="29" t="str">
        <f>IF(N192,N192+((VLOOKUP(C192,'NPS de resultado'!$C$7:$D$36,2)*30)),"")</f>
        <v/>
      </c>
      <c r="AG192" s="25"/>
    </row>
    <row r="193" hidden="1">
      <c r="A193" s="43" t="str">
        <f>IFERROR(__xludf.DUMMYFUNCTION("""COMPUTED_VALUE"""),"ADM")</f>
        <v>ADM</v>
      </c>
      <c r="B193" s="43" t="str">
        <f>IFERROR(__xludf.DUMMYFUNCTION("""COMPUTED_VALUE"""),"NCon")</f>
        <v>NCon</v>
      </c>
      <c r="C193" s="43" t="str">
        <f>IFERROR(__xludf.DUMMYFUNCTION("""COMPUTED_VALUE"""),"Gestão de Processos")</f>
        <v>Gestão de Processos</v>
      </c>
      <c r="D193" s="43" t="str">
        <f>IFERROR(__xludf.DUMMYFUNCTION("""COMPUTED_VALUE"""),"Projeto")</f>
        <v>Projeto</v>
      </c>
      <c r="E193" s="46">
        <f>IFERROR(__xludf.DUMMYFUNCTION("""COMPUTED_VALUE"""),28500.0)</f>
        <v>28500</v>
      </c>
      <c r="F193" s="34">
        <f>IFERROR(__xludf.DUMMYFUNCTION("""COMPUTED_VALUE"""),8.0)</f>
        <v>8</v>
      </c>
      <c r="G193" s="34">
        <f>IFERROR(__xludf.DUMMYFUNCTION("""COMPUTED_VALUE"""),2.0)</f>
        <v>2</v>
      </c>
      <c r="H193" s="47">
        <f>IFERROR(__xludf.DUMMYFUNCTION("""COMPUTED_VALUE"""),45383.0)</f>
        <v>45383</v>
      </c>
      <c r="I193" s="47">
        <f>IFERROR(__xludf.DUMMYFUNCTION("""COMPUTED_VALUE"""),45436.0)</f>
        <v>45436</v>
      </c>
      <c r="J193" s="103" t="s">
        <v>39</v>
      </c>
      <c r="K193" s="26">
        <v>45383.0</v>
      </c>
      <c r="L193" s="86">
        <v>0.0</v>
      </c>
      <c r="M193" s="26">
        <v>45450.0</v>
      </c>
      <c r="N193" s="26">
        <v>45450.0</v>
      </c>
      <c r="O193" s="20" t="s">
        <v>46</v>
      </c>
      <c r="P193" s="102" t="b">
        <v>0</v>
      </c>
      <c r="Q193" s="102" t="b">
        <v>0</v>
      </c>
      <c r="R193" s="31" t="b">
        <v>1</v>
      </c>
      <c r="S193" s="34"/>
      <c r="T193" s="20"/>
      <c r="U193" s="33" t="b">
        <f t="shared" si="11"/>
        <v>0</v>
      </c>
      <c r="V193" s="20" t="s">
        <v>120</v>
      </c>
      <c r="W193" s="20" t="s">
        <v>349</v>
      </c>
      <c r="X193" s="20" t="s">
        <v>347</v>
      </c>
      <c r="Y193" s="43"/>
      <c r="Z193" s="43"/>
      <c r="AA193" s="34">
        <f t="shared" si="25"/>
        <v>19.14285714</v>
      </c>
      <c r="AB193" s="35"/>
      <c r="AC193" s="29" t="str">
        <f t="shared" si="5"/>
        <v>Sim</v>
      </c>
      <c r="AD193" s="37" t="str">
        <f t="shared" si="1"/>
        <v>Não</v>
      </c>
      <c r="AE193" s="38">
        <f t="shared" si="6"/>
        <v>0</v>
      </c>
      <c r="AF193" s="29">
        <f>IF(N193,N193+((VLOOKUP(C193,'NPS de resultado'!$C$7:$D$36,2)*30)),"")</f>
        <v>45630</v>
      </c>
      <c r="AG193" s="39"/>
    </row>
    <row r="194" hidden="1">
      <c r="A194" s="43" t="str">
        <f>IFERROR(__xludf.DUMMYFUNCTION("""COMPUTED_VALUE"""),"William")</f>
        <v>William</v>
      </c>
      <c r="B194" s="43" t="str">
        <f>IFERROR(__xludf.DUMMYFUNCTION("""COMPUTED_VALUE"""),"NTec")</f>
        <v>NTec</v>
      </c>
      <c r="C194" s="43" t="str">
        <f>IFERROR(__xludf.DUMMYFUNCTION("""COMPUTED_VALUE"""),"Escopo Aberto")</f>
        <v>Escopo Aberto</v>
      </c>
      <c r="D194" s="43" t="str">
        <f>IFERROR(__xludf.DUMMYFUNCTION("""COMPUTED_VALUE"""),"Projeto")</f>
        <v>Projeto</v>
      </c>
      <c r="E194" s="46">
        <f>IFERROR(__xludf.DUMMYFUNCTION("""COMPUTED_VALUE"""),60000.0)</f>
        <v>60000</v>
      </c>
      <c r="F194" s="34">
        <f>IFERROR(__xludf.DUMMYFUNCTION("""COMPUTED_VALUE"""),20.0)</f>
        <v>20</v>
      </c>
      <c r="G194" s="34">
        <f>IFERROR(__xludf.DUMMYFUNCTION("""COMPUTED_VALUE"""),3.0)</f>
        <v>3</v>
      </c>
      <c r="H194" s="47">
        <f>IFERROR(__xludf.DUMMYFUNCTION("""COMPUTED_VALUE"""),45397.0)</f>
        <v>45397</v>
      </c>
      <c r="I194" s="47">
        <f>IFERROR(__xludf.DUMMYFUNCTION("""COMPUTED_VALUE"""),45551.0)</f>
        <v>45551</v>
      </c>
      <c r="J194" s="103" t="s">
        <v>50</v>
      </c>
      <c r="K194" s="26">
        <v>45399.0</v>
      </c>
      <c r="L194" s="86">
        <v>1.0</v>
      </c>
      <c r="M194" s="29">
        <f>IF(K194&lt;&gt;"",K194+(F194+L194)*7,"-")</f>
        <v>45546</v>
      </c>
      <c r="N194" s="47"/>
      <c r="O194" s="20" t="s">
        <v>40</v>
      </c>
      <c r="P194" s="102" t="b">
        <v>0</v>
      </c>
      <c r="Q194" s="102" t="b">
        <v>0</v>
      </c>
      <c r="R194" s="102" t="b">
        <v>0</v>
      </c>
      <c r="S194" s="34"/>
      <c r="T194" s="43"/>
      <c r="U194" s="33" t="b">
        <f t="shared" si="11"/>
        <v>0</v>
      </c>
      <c r="V194" s="20" t="s">
        <v>316</v>
      </c>
      <c r="W194" s="20" t="s">
        <v>338</v>
      </c>
      <c r="X194" s="20" t="s">
        <v>350</v>
      </c>
      <c r="Y194" s="43"/>
      <c r="Z194" s="43"/>
      <c r="AA194" s="34">
        <f t="shared" si="25"/>
        <v>0</v>
      </c>
      <c r="AB194" s="35"/>
      <c r="AC194" s="29" t="str">
        <f t="shared" si="5"/>
        <v>NÃO</v>
      </c>
      <c r="AD194" s="37" t="str">
        <f t="shared" si="1"/>
        <v>Não</v>
      </c>
      <c r="AE194" s="38">
        <f t="shared" si="6"/>
        <v>2</v>
      </c>
      <c r="AF194" s="29" t="str">
        <f>IF(N194,N194+((VLOOKUP(C194,'NPS de resultado'!$C$7:$D$36,2)*30)),"")</f>
        <v/>
      </c>
      <c r="AG194" s="25"/>
    </row>
    <row r="195" hidden="1">
      <c r="A195" s="43" t="str">
        <f>IFERROR(__xludf.DUMMYFUNCTION("""COMPUTED_VALUE"""),"Rodobens")</f>
        <v>Rodobens</v>
      </c>
      <c r="B195" s="43" t="str">
        <f>IFERROR(__xludf.DUMMYFUNCTION("""COMPUTED_VALUE"""),"NCon")</f>
        <v>NCon</v>
      </c>
      <c r="C195" s="43" t="str">
        <f>IFERROR(__xludf.DUMMYFUNCTION("""COMPUTED_VALUE"""),"Pesquisa de Mercado")</f>
        <v>Pesquisa de Mercado</v>
      </c>
      <c r="D195" s="43" t="str">
        <f>IFERROR(__xludf.DUMMYFUNCTION("""COMPUTED_VALUE"""),"Projeto")</f>
        <v>Projeto</v>
      </c>
      <c r="E195" s="46">
        <f>IFERROR(__xludf.DUMMYFUNCTION("""COMPUTED_VALUE"""),10800.0)</f>
        <v>10800</v>
      </c>
      <c r="F195" s="34">
        <f>IFERROR(__xludf.DUMMYFUNCTION("""COMPUTED_VALUE"""),6.0)</f>
        <v>6</v>
      </c>
      <c r="G195" s="34">
        <f>IFERROR(__xludf.DUMMYFUNCTION("""COMPUTED_VALUE"""),1.0)</f>
        <v>1</v>
      </c>
      <c r="H195" s="47">
        <f>IFERROR(__xludf.DUMMYFUNCTION("""COMPUTED_VALUE"""),45390.0)</f>
        <v>45390</v>
      </c>
      <c r="I195" s="47">
        <f>IFERROR(__xludf.DUMMYFUNCTION("""COMPUTED_VALUE"""),45429.0)</f>
        <v>45429</v>
      </c>
      <c r="J195" s="103" t="s">
        <v>39</v>
      </c>
      <c r="K195" s="26">
        <v>45397.0</v>
      </c>
      <c r="L195" s="86">
        <v>0.0</v>
      </c>
      <c r="M195" s="26">
        <v>45436.0</v>
      </c>
      <c r="N195" s="26">
        <v>45444.0</v>
      </c>
      <c r="O195" s="20" t="s">
        <v>46</v>
      </c>
      <c r="P195" s="102" t="b">
        <v>0</v>
      </c>
      <c r="Q195" s="102" t="b">
        <v>0</v>
      </c>
      <c r="R195" s="102" t="b">
        <v>0</v>
      </c>
      <c r="S195" s="110"/>
      <c r="T195" s="20"/>
      <c r="U195" s="102" t="b">
        <v>0</v>
      </c>
      <c r="V195" s="20" t="s">
        <v>120</v>
      </c>
      <c r="W195" s="20" t="s">
        <v>161</v>
      </c>
      <c r="X195" s="43"/>
      <c r="Y195" s="43"/>
      <c r="Z195" s="43"/>
      <c r="AA195" s="34">
        <f t="shared" si="25"/>
        <v>6.714285714</v>
      </c>
      <c r="AB195" s="35"/>
      <c r="AC195" s="29" t="str">
        <f t="shared" si="5"/>
        <v>Sim</v>
      </c>
      <c r="AD195" s="37" t="str">
        <f t="shared" si="1"/>
        <v>Não</v>
      </c>
      <c r="AE195" s="38">
        <f t="shared" si="6"/>
        <v>7</v>
      </c>
      <c r="AF195" s="29">
        <f>IF(N195,N195+((VLOOKUP(C195,'NPS de resultado'!$C$7:$D$36,2)*30)),"")</f>
        <v>45624</v>
      </c>
      <c r="AG195" s="39"/>
    </row>
    <row r="196" hidden="1">
      <c r="A196" s="43" t="str">
        <f>IFERROR(__xludf.DUMMYFUNCTION("""COMPUTED_VALUE"""),"Aristóteles")</f>
        <v>Aristóteles</v>
      </c>
      <c r="B196" s="43" t="str">
        <f>IFERROR(__xludf.DUMMYFUNCTION("""COMPUTED_VALUE"""),"NCiv")</f>
        <v>NCiv</v>
      </c>
      <c r="C196" s="43" t="str">
        <f>IFERROR(__xludf.DUMMYFUNCTION("""COMPUTED_VALUE"""),"Hidráulico")</f>
        <v>Hidráulico</v>
      </c>
      <c r="D196" s="43" t="str">
        <f>IFERROR(__xludf.DUMMYFUNCTION("""COMPUTED_VALUE"""),"Projeto")</f>
        <v>Projeto</v>
      </c>
      <c r="E196" s="46">
        <f>IFERROR(__xludf.DUMMYFUNCTION("""COMPUTED_VALUE"""),1800.0)</f>
        <v>1800</v>
      </c>
      <c r="F196" s="34">
        <f>IFERROR(__xludf.DUMMYFUNCTION("""COMPUTED_VALUE"""),2.0)</f>
        <v>2</v>
      </c>
      <c r="G196" s="34">
        <f>IFERROR(__xludf.DUMMYFUNCTION("""COMPUTED_VALUE"""),1.0)</f>
        <v>1</v>
      </c>
      <c r="H196" s="47">
        <f>IFERROR(__xludf.DUMMYFUNCTION("""COMPUTED_VALUE"""),45390.0)</f>
        <v>45390</v>
      </c>
      <c r="I196" s="47">
        <f>IFERROR(__xludf.DUMMYFUNCTION("""COMPUTED_VALUE"""),45404.0)</f>
        <v>45404</v>
      </c>
      <c r="J196" s="103" t="s">
        <v>50</v>
      </c>
      <c r="K196" s="26">
        <v>45404.0</v>
      </c>
      <c r="L196" s="86">
        <v>6.0</v>
      </c>
      <c r="M196" s="29">
        <f t="shared" ref="M196:M202" si="29">IF(K196&lt;&gt;"",K196+(F196+L196)*7,"-")</f>
        <v>45460</v>
      </c>
      <c r="N196" s="47"/>
      <c r="O196" s="20" t="s">
        <v>40</v>
      </c>
      <c r="P196" s="102" t="b">
        <v>0</v>
      </c>
      <c r="Q196" s="102" t="b">
        <v>0</v>
      </c>
      <c r="R196" s="31" t="b">
        <v>1</v>
      </c>
      <c r="S196" s="34"/>
      <c r="T196" s="43"/>
      <c r="U196" s="102" t="b">
        <v>0</v>
      </c>
      <c r="V196" s="20" t="s">
        <v>81</v>
      </c>
      <c r="W196" s="20" t="s">
        <v>61</v>
      </c>
      <c r="X196" s="43"/>
      <c r="Y196" s="43"/>
      <c r="Z196" s="43"/>
      <c r="AA196" s="34">
        <f t="shared" si="25"/>
        <v>0</v>
      </c>
      <c r="AB196" s="35"/>
      <c r="AC196" s="29" t="str">
        <f t="shared" si="5"/>
        <v>Sim</v>
      </c>
      <c r="AD196" s="37" t="str">
        <f t="shared" si="1"/>
        <v>Sim</v>
      </c>
      <c r="AE196" s="38">
        <f t="shared" si="6"/>
        <v>14</v>
      </c>
      <c r="AF196" s="29" t="str">
        <f>IF(N196,N196+((VLOOKUP(C196,'NPS de resultado'!$C$7:$D$36,2)*30)),"")</f>
        <v/>
      </c>
      <c r="AG196" s="39"/>
    </row>
    <row r="197">
      <c r="A197" s="43" t="str">
        <f>IFERROR(__xludf.DUMMYFUNCTION("""COMPUTED_VALUE"""),"Chlorum Solutions")</f>
        <v>Chlorum Solutions</v>
      </c>
      <c r="B197" s="43" t="str">
        <f>IFERROR(__xludf.DUMMYFUNCTION("""COMPUTED_VALUE"""),"NDados")</f>
        <v>NDados</v>
      </c>
      <c r="C197" s="43" t="str">
        <f>IFERROR(__xludf.DUMMYFUNCTION("""COMPUTED_VALUE"""),"Visualização")</f>
        <v>Visualização</v>
      </c>
      <c r="D197" s="43" t="str">
        <f>IFERROR(__xludf.DUMMYFUNCTION("""COMPUTED_VALUE"""),"Projeto")</f>
        <v>Projeto</v>
      </c>
      <c r="E197" s="46">
        <f>IFERROR(__xludf.DUMMYFUNCTION("""COMPUTED_VALUE"""),7500.0)</f>
        <v>7500</v>
      </c>
      <c r="F197" s="34">
        <f>IFERROR(__xludf.DUMMYFUNCTION("""COMPUTED_VALUE"""),5.0)</f>
        <v>5</v>
      </c>
      <c r="G197" s="34">
        <f>IFERROR(__xludf.DUMMYFUNCTION("""COMPUTED_VALUE"""),1.0)</f>
        <v>1</v>
      </c>
      <c r="H197" s="47">
        <f>IFERROR(__xludf.DUMMYFUNCTION("""COMPUTED_VALUE"""),45385.0)</f>
        <v>45385</v>
      </c>
      <c r="I197" s="47">
        <f>IFERROR(__xludf.DUMMYFUNCTION("""COMPUTED_VALUE"""),45415.0)</f>
        <v>45415</v>
      </c>
      <c r="J197" s="103" t="s">
        <v>39</v>
      </c>
      <c r="K197" s="26">
        <v>45398.0</v>
      </c>
      <c r="L197" s="81">
        <v>0.8571428571428571</v>
      </c>
      <c r="M197" s="29">
        <f t="shared" si="29"/>
        <v>45439</v>
      </c>
      <c r="N197" s="26">
        <v>45432.0</v>
      </c>
      <c r="O197" s="20" t="s">
        <v>46</v>
      </c>
      <c r="P197" s="102" t="b">
        <v>0</v>
      </c>
      <c r="Q197" s="102" t="b">
        <v>0</v>
      </c>
      <c r="R197" s="31" t="b">
        <v>1</v>
      </c>
      <c r="S197" s="25">
        <v>9.0</v>
      </c>
      <c r="T197" s="43"/>
      <c r="U197" s="102" t="b">
        <v>0</v>
      </c>
      <c r="V197" s="20" t="s">
        <v>191</v>
      </c>
      <c r="W197" s="20" t="s">
        <v>351</v>
      </c>
      <c r="X197" s="43"/>
      <c r="Y197" s="43"/>
      <c r="Z197" s="43"/>
      <c r="AA197" s="34">
        <f t="shared" si="25"/>
        <v>4</v>
      </c>
      <c r="AB197" s="35"/>
      <c r="AC197" s="29" t="str">
        <f t="shared" si="5"/>
        <v>Sim</v>
      </c>
      <c r="AD197" s="37" t="str">
        <f t="shared" si="1"/>
        <v>Não</v>
      </c>
      <c r="AE197" s="38">
        <f t="shared" si="6"/>
        <v>13</v>
      </c>
      <c r="AF197" s="29">
        <f>IF(N197,N197+((VLOOKUP(C197,'NPS de resultado'!$C$7:$D$36,2)*30)),"")</f>
        <v>45522</v>
      </c>
      <c r="AG197" s="39"/>
    </row>
    <row r="198">
      <c r="A198" s="43" t="str">
        <f>IFERROR(__xludf.DUMMYFUNCTION("""COMPUTED_VALUE"""),"FS Fueling Sustainability")</f>
        <v>FS Fueling Sustainability</v>
      </c>
      <c r="B198" s="43" t="str">
        <f>IFERROR(__xludf.DUMMYFUNCTION("""COMPUTED_VALUE"""),"NDados")</f>
        <v>NDados</v>
      </c>
      <c r="C198" s="43" t="str">
        <f>IFERROR(__xludf.DUMMYFUNCTION("""COMPUTED_VALUE"""),"Extração")</f>
        <v>Extração</v>
      </c>
      <c r="D198" s="43" t="str">
        <f>IFERROR(__xludf.DUMMYFUNCTION("""COMPUTED_VALUE"""),"Projeto")</f>
        <v>Projeto</v>
      </c>
      <c r="E198" s="46">
        <f>IFERROR(__xludf.DUMMYFUNCTION("""COMPUTED_VALUE"""),7000.0)</f>
        <v>7000</v>
      </c>
      <c r="F198" s="34">
        <f>IFERROR(__xludf.DUMMYFUNCTION("""COMPUTED_VALUE"""),5.0)</f>
        <v>5</v>
      </c>
      <c r="G198" s="34">
        <f>IFERROR(__xludf.DUMMYFUNCTION("""COMPUTED_VALUE"""),1.0)</f>
        <v>1</v>
      </c>
      <c r="H198" s="47">
        <f>IFERROR(__xludf.DUMMYFUNCTION("""COMPUTED_VALUE"""),45386.0)</f>
        <v>45386</v>
      </c>
      <c r="I198" s="47">
        <f>IFERROR(__xludf.DUMMYFUNCTION("""COMPUTED_VALUE"""),45432.0)</f>
        <v>45432</v>
      </c>
      <c r="J198" s="103" t="s">
        <v>39</v>
      </c>
      <c r="K198" s="26">
        <v>45399.0</v>
      </c>
      <c r="L198" s="81">
        <v>0.8571428571428571</v>
      </c>
      <c r="M198" s="29">
        <f t="shared" si="29"/>
        <v>45440</v>
      </c>
      <c r="N198" s="26">
        <v>45453.0</v>
      </c>
      <c r="O198" s="20" t="s">
        <v>40</v>
      </c>
      <c r="P198" s="102" t="b">
        <v>0</v>
      </c>
      <c r="Q198" s="102" t="b">
        <v>0</v>
      </c>
      <c r="R198" s="31" t="b">
        <v>1</v>
      </c>
      <c r="S198" s="34"/>
      <c r="T198" s="43"/>
      <c r="U198" s="31" t="b">
        <f t="shared" ref="U198:U199" si="30">IF(AND(S198&gt;=9,R198=TRUE,N198&lt;=M198,N198&lt;&gt;0),TRUE,FALSE)</f>
        <v>0</v>
      </c>
      <c r="V198" s="20" t="s">
        <v>238</v>
      </c>
      <c r="W198" s="20" t="s">
        <v>204</v>
      </c>
      <c r="X198" s="43"/>
      <c r="Y198" s="43"/>
      <c r="Z198" s="43"/>
      <c r="AA198" s="34">
        <f t="shared" si="25"/>
        <v>6.857142857</v>
      </c>
      <c r="AB198" s="35"/>
      <c r="AC198" s="29" t="str">
        <f t="shared" si="5"/>
        <v>Sim</v>
      </c>
      <c r="AD198" s="37" t="str">
        <f t="shared" si="1"/>
        <v>Não</v>
      </c>
      <c r="AE198" s="38">
        <f t="shared" si="6"/>
        <v>13</v>
      </c>
      <c r="AF198" s="29">
        <f>IF(N198,N198+((VLOOKUP(C198,'NPS de resultado'!$C$7:$D$36,2)*30)),"")</f>
        <v>45633</v>
      </c>
      <c r="AG198" s="39"/>
    </row>
    <row r="199">
      <c r="A199" s="43" t="str">
        <f>IFERROR(__xludf.DUMMYFUNCTION("""COMPUTED_VALUE"""),"Anglo Gold")</f>
        <v>Anglo Gold</v>
      </c>
      <c r="B199" s="43" t="str">
        <f>IFERROR(__xludf.DUMMYFUNCTION("""COMPUTED_VALUE"""),"NDados")</f>
        <v>NDados</v>
      </c>
      <c r="C199" s="43" t="str">
        <f>IFERROR(__xludf.DUMMYFUNCTION("""COMPUTED_VALUE"""),"Visualização")</f>
        <v>Visualização</v>
      </c>
      <c r="D199" s="43" t="str">
        <f>IFERROR(__xludf.DUMMYFUNCTION("""COMPUTED_VALUE"""),"Projeto")</f>
        <v>Projeto</v>
      </c>
      <c r="E199" s="46">
        <f>IFERROR(__xludf.DUMMYFUNCTION("""COMPUTED_VALUE"""),76500.0)</f>
        <v>76500</v>
      </c>
      <c r="F199" s="34">
        <f>IFERROR(__xludf.DUMMYFUNCTION("""COMPUTED_VALUE"""),24.0)</f>
        <v>24</v>
      </c>
      <c r="G199" s="34">
        <f>IFERROR(__xludf.DUMMYFUNCTION("""COMPUTED_VALUE"""),2.0)</f>
        <v>2</v>
      </c>
      <c r="H199" s="47">
        <f>IFERROR(__xludf.DUMMYFUNCTION("""COMPUTED_VALUE"""),45397.0)</f>
        <v>45397</v>
      </c>
      <c r="I199" s="47">
        <f>IFERROR(__xludf.DUMMYFUNCTION("""COMPUTED_VALUE"""),45579.0)</f>
        <v>45579</v>
      </c>
      <c r="J199" s="103" t="s">
        <v>39</v>
      </c>
      <c r="K199" s="112">
        <v>45448.0</v>
      </c>
      <c r="L199" s="86">
        <v>11.4</v>
      </c>
      <c r="M199" s="29">
        <f t="shared" si="29"/>
        <v>45695.8</v>
      </c>
      <c r="N199" s="47"/>
      <c r="O199" s="20" t="s">
        <v>40</v>
      </c>
      <c r="P199" s="102" t="b">
        <v>0</v>
      </c>
      <c r="Q199" s="102" t="b">
        <v>0</v>
      </c>
      <c r="R199" s="102" t="b">
        <v>0</v>
      </c>
      <c r="S199" s="34"/>
      <c r="T199" s="43"/>
      <c r="U199" s="31" t="b">
        <f t="shared" si="30"/>
        <v>0</v>
      </c>
      <c r="V199" s="20" t="s">
        <v>238</v>
      </c>
      <c r="W199" s="20" t="s">
        <v>352</v>
      </c>
      <c r="X199" s="20" t="s">
        <v>353</v>
      </c>
      <c r="Y199" s="43"/>
      <c r="Z199" s="43"/>
      <c r="AA199" s="34">
        <f t="shared" si="25"/>
        <v>0</v>
      </c>
      <c r="AB199" s="35"/>
      <c r="AC199" s="29" t="str">
        <f t="shared" si="5"/>
        <v>NÃO</v>
      </c>
      <c r="AD199" s="37" t="str">
        <f t="shared" si="1"/>
        <v>Não</v>
      </c>
      <c r="AE199" s="38">
        <f t="shared" si="6"/>
        <v>51</v>
      </c>
      <c r="AF199" s="29" t="str">
        <f>IF(N199,N199+((VLOOKUP(C199,'NPS de resultado'!$C$7:$D$36,2)*30)),"")</f>
        <v/>
      </c>
      <c r="AG199" s="39"/>
    </row>
    <row r="200" hidden="1">
      <c r="A200" s="43" t="str">
        <f>IFERROR(__xludf.DUMMYFUNCTION("""COMPUTED_VALUE"""),"Willian")</f>
        <v>Willian</v>
      </c>
      <c r="B200" s="43" t="str">
        <f>IFERROR(__xludf.DUMMYFUNCTION("""COMPUTED_VALUE"""),"NCiv")</f>
        <v>NCiv</v>
      </c>
      <c r="C200" s="43" t="str">
        <f>IFERROR(__xludf.DUMMYFUNCTION("""COMPUTED_VALUE"""),"Design de Interiores")</f>
        <v>Design de Interiores</v>
      </c>
      <c r="D200" s="43" t="str">
        <f>IFERROR(__xludf.DUMMYFUNCTION("""COMPUTED_VALUE"""),"Projeto")</f>
        <v>Projeto</v>
      </c>
      <c r="E200" s="46">
        <f>IFERROR(__xludf.DUMMYFUNCTION("""COMPUTED_VALUE"""),6020.0)</f>
        <v>6020</v>
      </c>
      <c r="F200" s="34">
        <f>IFERROR(__xludf.DUMMYFUNCTION("""COMPUTED_VALUE"""),7.0)</f>
        <v>7</v>
      </c>
      <c r="G200" s="34">
        <f>IFERROR(__xludf.DUMMYFUNCTION("""COMPUTED_VALUE"""),1.0)</f>
        <v>1</v>
      </c>
      <c r="H200" s="47">
        <f>IFERROR(__xludf.DUMMYFUNCTION("""COMPUTED_VALUE"""),45418.0)</f>
        <v>45418</v>
      </c>
      <c r="I200" s="47">
        <f>IFERROR(__xludf.DUMMYFUNCTION("""COMPUTED_VALUE"""),45456.0)</f>
        <v>45456</v>
      </c>
      <c r="J200" s="103" t="s">
        <v>50</v>
      </c>
      <c r="K200" s="26">
        <v>45439.0</v>
      </c>
      <c r="L200" s="81"/>
      <c r="M200" s="29">
        <f t="shared" si="29"/>
        <v>45488</v>
      </c>
      <c r="N200" s="47"/>
      <c r="O200" s="20" t="s">
        <v>40</v>
      </c>
      <c r="P200" s="102" t="b">
        <v>0</v>
      </c>
      <c r="Q200" s="102" t="b">
        <v>0</v>
      </c>
      <c r="R200" s="102" t="b">
        <v>0</v>
      </c>
      <c r="S200" s="34"/>
      <c r="T200" s="43"/>
      <c r="U200" s="102" t="b">
        <v>0</v>
      </c>
      <c r="V200" s="20" t="s">
        <v>47</v>
      </c>
      <c r="W200" s="20" t="s">
        <v>91</v>
      </c>
      <c r="X200" s="43"/>
      <c r="Y200" s="43"/>
      <c r="Z200" s="43"/>
      <c r="AA200" s="34">
        <f t="shared" si="25"/>
        <v>0</v>
      </c>
      <c r="AB200" s="35"/>
      <c r="AC200" s="29" t="str">
        <f t="shared" si="5"/>
        <v>NÃO</v>
      </c>
      <c r="AD200" s="37" t="str">
        <f t="shared" si="1"/>
        <v>Não</v>
      </c>
      <c r="AE200" s="38">
        <f t="shared" si="6"/>
        <v>21</v>
      </c>
      <c r="AF200" s="29" t="str">
        <f>IF(N200,N200+((VLOOKUP(C200,'NPS de resultado'!$C$7:$D$36,2)*30)),"")</f>
        <v/>
      </c>
      <c r="AG200" s="39"/>
    </row>
    <row r="201" hidden="1">
      <c r="A201" s="43" t="str">
        <f>IFERROR(__xludf.DUMMYFUNCTION("""COMPUTED_VALUE"""),"Dev Umberto")</f>
        <v>Dev Umberto</v>
      </c>
      <c r="B201" s="43" t="str">
        <f>IFERROR(__xludf.DUMMYFUNCTION("""COMPUTED_VALUE"""),"NTec")</f>
        <v>NTec</v>
      </c>
      <c r="C201" s="43" t="str">
        <f>IFERROR(__xludf.DUMMYFUNCTION("""COMPUTED_VALUE"""),"Desenvolvimento")</f>
        <v>Desenvolvimento</v>
      </c>
      <c r="D201" s="43" t="str">
        <f>IFERROR(__xludf.DUMMYFUNCTION("""COMPUTED_VALUE"""),"Projeto")</f>
        <v>Projeto</v>
      </c>
      <c r="E201" s="46">
        <f>IFERROR(__xludf.DUMMYFUNCTION("""COMPUTED_VALUE"""),42000.0)</f>
        <v>42000</v>
      </c>
      <c r="F201" s="34">
        <f>IFERROR(__xludf.DUMMYFUNCTION("""COMPUTED_VALUE"""),14.0)</f>
        <v>14</v>
      </c>
      <c r="G201" s="34">
        <f>IFERROR(__xludf.DUMMYFUNCTION("""COMPUTED_VALUE"""),3.0)</f>
        <v>3</v>
      </c>
      <c r="H201" s="47">
        <f>IFERROR(__xludf.DUMMYFUNCTION("""COMPUTED_VALUE"""),45425.0)</f>
        <v>45425</v>
      </c>
      <c r="I201" s="47">
        <f>IFERROR(__xludf.DUMMYFUNCTION("""COMPUTED_VALUE"""),45537.0)</f>
        <v>45537</v>
      </c>
      <c r="J201" s="103" t="s">
        <v>50</v>
      </c>
      <c r="K201" s="26">
        <v>45415.0</v>
      </c>
      <c r="L201" s="81"/>
      <c r="M201" s="29">
        <f t="shared" si="29"/>
        <v>45513</v>
      </c>
      <c r="N201" s="47"/>
      <c r="O201" s="20" t="s">
        <v>40</v>
      </c>
      <c r="P201" s="102" t="b">
        <v>0</v>
      </c>
      <c r="Q201" s="102" t="b">
        <v>0</v>
      </c>
      <c r="R201" s="102" t="b">
        <v>0</v>
      </c>
      <c r="S201" s="34"/>
      <c r="T201" s="43"/>
      <c r="U201" s="102" t="b">
        <v>0</v>
      </c>
      <c r="V201" s="20" t="s">
        <v>290</v>
      </c>
      <c r="W201" s="20" t="s">
        <v>272</v>
      </c>
      <c r="X201" s="20" t="s">
        <v>281</v>
      </c>
      <c r="Y201" s="43"/>
      <c r="Z201" s="43"/>
      <c r="AA201" s="34">
        <f t="shared" si="25"/>
        <v>0</v>
      </c>
      <c r="AB201" s="35"/>
      <c r="AC201" s="29" t="str">
        <f t="shared" si="5"/>
        <v>NÃO</v>
      </c>
      <c r="AD201" s="37" t="str">
        <f t="shared" si="1"/>
        <v>Não</v>
      </c>
      <c r="AE201" s="38">
        <f t="shared" si="6"/>
        <v>-10</v>
      </c>
      <c r="AF201" s="29" t="str">
        <f>IF(N201,N201+((VLOOKUP(C201,'NPS de resultado'!$C$7:$D$36,2)*30)),"")</f>
        <v/>
      </c>
      <c r="AG201" s="39"/>
    </row>
    <row r="202">
      <c r="A202" s="43" t="str">
        <f>IFERROR(__xludf.DUMMYFUNCTION("""COMPUTED_VALUE"""),"LocalFrio 2.0")</f>
        <v>LocalFrio 2.0</v>
      </c>
      <c r="B202" s="43" t="str">
        <f>IFERROR(__xludf.DUMMYFUNCTION("""COMPUTED_VALUE"""),"NDados")</f>
        <v>NDados</v>
      </c>
      <c r="C202" s="43" t="str">
        <f>IFERROR(__xludf.DUMMYFUNCTION("""COMPUTED_VALUE"""),"Visualização")</f>
        <v>Visualização</v>
      </c>
      <c r="D202" s="43" t="str">
        <f>IFERROR(__xludf.DUMMYFUNCTION("""COMPUTED_VALUE"""),"Projeto")</f>
        <v>Projeto</v>
      </c>
      <c r="E202" s="46">
        <f>IFERROR(__xludf.DUMMYFUNCTION("""COMPUTED_VALUE"""),12600.0)</f>
        <v>12600</v>
      </c>
      <c r="F202" s="34">
        <f>IFERROR(__xludf.DUMMYFUNCTION("""COMPUTED_VALUE"""),5.0)</f>
        <v>5</v>
      </c>
      <c r="G202" s="34">
        <f>IFERROR(__xludf.DUMMYFUNCTION("""COMPUTED_VALUE"""),1.0)</f>
        <v>1</v>
      </c>
      <c r="H202" s="47">
        <f>IFERROR(__xludf.DUMMYFUNCTION("""COMPUTED_VALUE"""),45397.0)</f>
        <v>45397</v>
      </c>
      <c r="I202" s="47">
        <f>IFERROR(__xludf.DUMMYFUNCTION("""COMPUTED_VALUE"""),45439.0)</f>
        <v>45439</v>
      </c>
      <c r="J202" s="103" t="s">
        <v>39</v>
      </c>
      <c r="K202" s="26">
        <v>45404.0</v>
      </c>
      <c r="L202" s="86">
        <v>1.0</v>
      </c>
      <c r="M202" s="29">
        <f t="shared" si="29"/>
        <v>45446</v>
      </c>
      <c r="N202" s="26">
        <v>45446.0</v>
      </c>
      <c r="O202" s="20" t="s">
        <v>46</v>
      </c>
      <c r="P202" s="102" t="b">
        <v>0</v>
      </c>
      <c r="Q202" s="102" t="b">
        <v>0</v>
      </c>
      <c r="R202" s="31" t="b">
        <v>1</v>
      </c>
      <c r="S202" s="25">
        <v>9.0</v>
      </c>
      <c r="T202" s="43"/>
      <c r="U202" s="31" t="b">
        <f>IF(AND(S202&gt;=9,R202=TRUE,N202&lt;=M202,N202&lt;&gt;0),TRUE,FALSE)</f>
        <v>1</v>
      </c>
      <c r="V202" s="20" t="s">
        <v>219</v>
      </c>
      <c r="W202" s="20" t="s">
        <v>354</v>
      </c>
      <c r="X202" s="43"/>
      <c r="Y202" s="43"/>
      <c r="Z202" s="43"/>
      <c r="AA202" s="34">
        <f t="shared" si="25"/>
        <v>5</v>
      </c>
      <c r="AB202" s="35"/>
      <c r="AC202" s="29" t="str">
        <f t="shared" si="5"/>
        <v>Sim</v>
      </c>
      <c r="AD202" s="37" t="str">
        <f t="shared" si="1"/>
        <v>Não</v>
      </c>
      <c r="AE202" s="38">
        <f t="shared" si="6"/>
        <v>7</v>
      </c>
      <c r="AF202" s="29">
        <f>IF(N202,N202+((VLOOKUP(C202,'NPS de resultado'!$C$7:$D$36,2)*30)),"")</f>
        <v>45536</v>
      </c>
      <c r="AG202" s="39"/>
    </row>
    <row r="203" hidden="1">
      <c r="A203" s="43" t="str">
        <f>IFERROR(__xludf.DUMMYFUNCTION("""COMPUTED_VALUE"""),"Grupo Trigo 2.0")</f>
        <v>Grupo Trigo 2.0</v>
      </c>
      <c r="B203" s="43" t="str">
        <f>IFERROR(__xludf.DUMMYFUNCTION("""COMPUTED_VALUE"""),"NCon")</f>
        <v>NCon</v>
      </c>
      <c r="C203" s="43" t="str">
        <f>IFERROR(__xludf.DUMMYFUNCTION("""COMPUTED_VALUE"""),"Pesquisa de Mercado")</f>
        <v>Pesquisa de Mercado</v>
      </c>
      <c r="D203" s="43" t="str">
        <f>IFERROR(__xludf.DUMMYFUNCTION("""COMPUTED_VALUE"""),"Projeto")</f>
        <v>Projeto</v>
      </c>
      <c r="E203" s="46">
        <f>IFERROR(__xludf.DUMMYFUNCTION("""COMPUTED_VALUE"""),11700.0)</f>
        <v>11700</v>
      </c>
      <c r="F203" s="34">
        <f>IFERROR(__xludf.DUMMYFUNCTION("""COMPUTED_VALUE"""),7.0)</f>
        <v>7</v>
      </c>
      <c r="G203" s="34">
        <f>IFERROR(__xludf.DUMMYFUNCTION("""COMPUTED_VALUE"""),1.0)</f>
        <v>1</v>
      </c>
      <c r="H203" s="47">
        <f>IFERROR(__xludf.DUMMYFUNCTION("""COMPUTED_VALUE"""),45404.0)</f>
        <v>45404</v>
      </c>
      <c r="I203" s="47">
        <f>IFERROR(__xludf.DUMMYFUNCTION("""COMPUTED_VALUE"""),45450.0)</f>
        <v>45450</v>
      </c>
      <c r="J203" s="103" t="s">
        <v>39</v>
      </c>
      <c r="K203" s="26">
        <v>45394.0</v>
      </c>
      <c r="L203" s="86">
        <v>0.0</v>
      </c>
      <c r="M203" s="26">
        <v>45429.0</v>
      </c>
      <c r="N203" s="26">
        <v>45422.0</v>
      </c>
      <c r="O203" s="20" t="s">
        <v>46</v>
      </c>
      <c r="P203" s="102" t="b">
        <v>0</v>
      </c>
      <c r="Q203" s="102" t="b">
        <v>0</v>
      </c>
      <c r="R203" s="31" t="b">
        <v>1</v>
      </c>
      <c r="S203" s="25">
        <v>10.0</v>
      </c>
      <c r="T203" s="20"/>
      <c r="U203" s="31" t="b">
        <v>1</v>
      </c>
      <c r="V203" s="20" t="s">
        <v>120</v>
      </c>
      <c r="W203" s="20" t="s">
        <v>151</v>
      </c>
      <c r="X203" s="43"/>
      <c r="Y203" s="43"/>
      <c r="Z203" s="43"/>
      <c r="AA203" s="34">
        <f t="shared" si="25"/>
        <v>4</v>
      </c>
      <c r="AB203" s="35"/>
      <c r="AC203" s="29" t="str">
        <f t="shared" si="5"/>
        <v>Sim</v>
      </c>
      <c r="AD203" s="37" t="str">
        <f t="shared" si="1"/>
        <v>Não</v>
      </c>
      <c r="AE203" s="38">
        <f t="shared" si="6"/>
        <v>-10</v>
      </c>
      <c r="AF203" s="29">
        <f>IF(N203,N203+((VLOOKUP(C203,'NPS de resultado'!$C$7:$D$36,2)*30)),"")</f>
        <v>45602</v>
      </c>
      <c r="AG203" s="39"/>
    </row>
    <row r="204" hidden="1">
      <c r="A204" s="43" t="str">
        <f>IFERROR(__xludf.DUMMYFUNCTION("""COMPUTED_VALUE"""),"Grupo Trigo 2.1")</f>
        <v>Grupo Trigo 2.1</v>
      </c>
      <c r="B204" s="43" t="str">
        <f>IFERROR(__xludf.DUMMYFUNCTION("""COMPUTED_VALUE"""),"NCon")</f>
        <v>NCon</v>
      </c>
      <c r="C204" s="43" t="str">
        <f>IFERROR(__xludf.DUMMYFUNCTION("""COMPUTED_VALUE"""),"Pesquisa de Mercado")</f>
        <v>Pesquisa de Mercado</v>
      </c>
      <c r="D204" s="43" t="str">
        <f>IFERROR(__xludf.DUMMYFUNCTION("""COMPUTED_VALUE"""),"Projeto")</f>
        <v>Projeto</v>
      </c>
      <c r="E204" s="46">
        <f>IFERROR(__xludf.DUMMYFUNCTION("""COMPUTED_VALUE"""),30000.0)</f>
        <v>30000</v>
      </c>
      <c r="F204" s="34">
        <f>IFERROR(__xludf.DUMMYFUNCTION("""COMPUTED_VALUE"""),24.0)</f>
        <v>24</v>
      </c>
      <c r="G204" s="34">
        <f>IFERROR(__xludf.DUMMYFUNCTION("""COMPUTED_VALUE"""),1.0)</f>
        <v>1</v>
      </c>
      <c r="H204" s="47">
        <f>IFERROR(__xludf.DUMMYFUNCTION("""COMPUTED_VALUE"""),45404.0)</f>
        <v>45404</v>
      </c>
      <c r="I204" s="47">
        <f>IFERROR(__xludf.DUMMYFUNCTION("""COMPUTED_VALUE"""),45541.0)</f>
        <v>45541</v>
      </c>
      <c r="J204" s="103" t="s">
        <v>39</v>
      </c>
      <c r="K204" s="47"/>
      <c r="L204" s="81"/>
      <c r="M204" s="47"/>
      <c r="N204" s="47"/>
      <c r="O204" s="20" t="s">
        <v>40</v>
      </c>
      <c r="P204" s="102" t="b">
        <v>0</v>
      </c>
      <c r="Q204" s="102" t="b">
        <v>0</v>
      </c>
      <c r="R204" s="102" t="b">
        <v>0</v>
      </c>
      <c r="S204" s="34"/>
      <c r="T204" s="43"/>
      <c r="U204" s="102" t="b">
        <v>0</v>
      </c>
      <c r="V204" s="20" t="s">
        <v>120</v>
      </c>
      <c r="W204" s="20" t="s">
        <v>151</v>
      </c>
      <c r="X204" s="43"/>
      <c r="Y204" s="43"/>
      <c r="Z204" s="43"/>
      <c r="AA204" s="34">
        <f t="shared" si="25"/>
        <v>0</v>
      </c>
      <c r="AB204" s="35"/>
      <c r="AC204" s="29" t="str">
        <f t="shared" si="5"/>
        <v>Sim</v>
      </c>
      <c r="AD204" s="37" t="str">
        <f t="shared" si="1"/>
        <v>Não</v>
      </c>
      <c r="AE204" s="38">
        <f t="shared" si="6"/>
        <v>0</v>
      </c>
      <c r="AF204" s="29" t="str">
        <f>IF(N204,N204+((VLOOKUP(C204,'NPS de resultado'!$C$7:$D$36,2)*30)),"")</f>
        <v/>
      </c>
      <c r="AG204" s="39"/>
    </row>
    <row r="205" hidden="1">
      <c r="A205" s="43" t="str">
        <f>IFERROR(__xludf.DUMMYFUNCTION("""COMPUTED_VALUE"""),"Oliv-e")</f>
        <v>Oliv-e</v>
      </c>
      <c r="B205" s="43" t="str">
        <f>IFERROR(__xludf.DUMMYFUNCTION("""COMPUTED_VALUE"""),"NCon")</f>
        <v>NCon</v>
      </c>
      <c r="C205" s="43" t="str">
        <f>IFERROR(__xludf.DUMMYFUNCTION("""COMPUTED_VALUE"""),"Pesquisa de Mercado")</f>
        <v>Pesquisa de Mercado</v>
      </c>
      <c r="D205" s="43" t="str">
        <f>IFERROR(__xludf.DUMMYFUNCTION("""COMPUTED_VALUE"""),"Projeto")</f>
        <v>Projeto</v>
      </c>
      <c r="E205" s="46">
        <f>IFERROR(__xludf.DUMMYFUNCTION("""COMPUTED_VALUE"""),12000.0)</f>
        <v>12000</v>
      </c>
      <c r="F205" s="34">
        <f>IFERROR(__xludf.DUMMYFUNCTION("""COMPUTED_VALUE"""),7.0)</f>
        <v>7</v>
      </c>
      <c r="G205" s="34">
        <f>IFERROR(__xludf.DUMMYFUNCTION("""COMPUTED_VALUE"""),1.0)</f>
        <v>1</v>
      </c>
      <c r="H205" s="47">
        <f>IFERROR(__xludf.DUMMYFUNCTION("""COMPUTED_VALUE"""),45404.0)</f>
        <v>45404</v>
      </c>
      <c r="I205" s="47">
        <f>IFERROR(__xludf.DUMMYFUNCTION("""COMPUTED_VALUE"""),45450.0)</f>
        <v>45450</v>
      </c>
      <c r="J205" s="103" t="s">
        <v>39</v>
      </c>
      <c r="K205" s="26">
        <v>45408.0</v>
      </c>
      <c r="L205" s="86">
        <v>0.0</v>
      </c>
      <c r="M205" s="26">
        <v>45471.0</v>
      </c>
      <c r="N205" s="47"/>
      <c r="O205" s="20" t="s">
        <v>40</v>
      </c>
      <c r="P205" s="102" t="b">
        <v>0</v>
      </c>
      <c r="Q205" s="102" t="b">
        <v>0</v>
      </c>
      <c r="R205" s="102" t="b">
        <v>0</v>
      </c>
      <c r="S205" s="34"/>
      <c r="T205" s="43"/>
      <c r="U205" s="102" t="b">
        <v>0</v>
      </c>
      <c r="V205" s="20" t="s">
        <v>136</v>
      </c>
      <c r="W205" s="20" t="s">
        <v>339</v>
      </c>
      <c r="X205" s="43"/>
      <c r="Y205" s="43"/>
      <c r="Z205" s="43"/>
      <c r="AA205" s="34">
        <f t="shared" si="25"/>
        <v>0</v>
      </c>
      <c r="AB205" s="35"/>
      <c r="AC205" s="29" t="str">
        <f t="shared" si="5"/>
        <v>NÃO</v>
      </c>
      <c r="AD205" s="37" t="str">
        <f t="shared" si="1"/>
        <v>Não</v>
      </c>
      <c r="AE205" s="38">
        <f t="shared" si="6"/>
        <v>4</v>
      </c>
      <c r="AF205" s="29"/>
      <c r="AG205" s="39"/>
    </row>
    <row r="206" hidden="1">
      <c r="A206" s="43" t="str">
        <f>IFERROR(__xludf.DUMMYFUNCTION("""COMPUTED_VALUE"""),"Aditivo ELE")</f>
        <v>Aditivo ELE</v>
      </c>
      <c r="B206" s="43" t="str">
        <f>IFERROR(__xludf.DUMMYFUNCTION("""COMPUTED_VALUE"""),"NCon")</f>
        <v>NCon</v>
      </c>
      <c r="C206" s="43" t="str">
        <f>IFERROR(__xludf.DUMMYFUNCTION("""COMPUTED_VALUE"""),"Pesquisa de Mercado")</f>
        <v>Pesquisa de Mercado</v>
      </c>
      <c r="D206" s="43" t="str">
        <f>IFERROR(__xludf.DUMMYFUNCTION("""COMPUTED_VALUE"""),"Projeto")</f>
        <v>Projeto</v>
      </c>
      <c r="E206" s="46">
        <f>IFERROR(__xludf.DUMMYFUNCTION("""COMPUTED_VALUE"""),12150.0)</f>
        <v>12150</v>
      </c>
      <c r="F206" s="34">
        <f>IFERROR(__xludf.DUMMYFUNCTION("""COMPUTED_VALUE"""),5.0)</f>
        <v>5</v>
      </c>
      <c r="G206" s="34">
        <f>IFERROR(__xludf.DUMMYFUNCTION("""COMPUTED_VALUE"""),1.0)</f>
        <v>1</v>
      </c>
      <c r="H206" s="47">
        <f>IFERROR(__xludf.DUMMYFUNCTION("""COMPUTED_VALUE"""),45404.0)</f>
        <v>45404</v>
      </c>
      <c r="I206" s="47">
        <f>IFERROR(__xludf.DUMMYFUNCTION("""COMPUTED_VALUE"""),45436.0)</f>
        <v>45436</v>
      </c>
      <c r="J206" s="103" t="s">
        <v>39</v>
      </c>
      <c r="K206" s="47"/>
      <c r="L206" s="81"/>
      <c r="M206" s="47"/>
      <c r="N206" s="47"/>
      <c r="O206" s="20" t="s">
        <v>103</v>
      </c>
      <c r="P206" s="102" t="b">
        <v>0</v>
      </c>
      <c r="Q206" s="31" t="b">
        <v>1</v>
      </c>
      <c r="R206" s="102" t="b">
        <v>0</v>
      </c>
      <c r="S206" s="34"/>
      <c r="T206" s="43"/>
      <c r="U206" s="102" t="b">
        <v>0</v>
      </c>
      <c r="V206" s="20" t="s">
        <v>136</v>
      </c>
      <c r="W206" s="20" t="s">
        <v>179</v>
      </c>
      <c r="X206" s="43"/>
      <c r="Y206" s="43"/>
      <c r="Z206" s="43"/>
      <c r="AA206" s="34">
        <f t="shared" si="25"/>
        <v>0</v>
      </c>
      <c r="AB206" s="35"/>
      <c r="AC206" s="29" t="str">
        <f t="shared" si="5"/>
        <v>Sim</v>
      </c>
      <c r="AD206" s="37" t="str">
        <f t="shared" si="1"/>
        <v>Não</v>
      </c>
      <c r="AE206" s="38">
        <f t="shared" si="6"/>
        <v>0</v>
      </c>
      <c r="AF206" s="29"/>
      <c r="AG206" s="39"/>
    </row>
    <row r="207" hidden="1">
      <c r="A207" s="43" t="str">
        <f>IFERROR(__xludf.DUMMYFUNCTION("""COMPUTED_VALUE"""),"Banco Rendimento 3.0")</f>
        <v>Banco Rendimento 3.0</v>
      </c>
      <c r="B207" s="43" t="str">
        <f>IFERROR(__xludf.DUMMYFUNCTION("""COMPUTED_VALUE"""),"NCon")</f>
        <v>NCon</v>
      </c>
      <c r="C207" s="43" t="str">
        <f>IFERROR(__xludf.DUMMYFUNCTION("""COMPUTED_VALUE"""),"Gestão de Processos")</f>
        <v>Gestão de Processos</v>
      </c>
      <c r="D207" s="43" t="str">
        <f>IFERROR(__xludf.DUMMYFUNCTION("""COMPUTED_VALUE"""),"Projeto")</f>
        <v>Projeto</v>
      </c>
      <c r="E207" s="46">
        <f>IFERROR(__xludf.DUMMYFUNCTION("""COMPUTED_VALUE"""),29500.0)</f>
        <v>29500</v>
      </c>
      <c r="F207" s="34">
        <f>IFERROR(__xludf.DUMMYFUNCTION("""COMPUTED_VALUE"""),6.0)</f>
        <v>6</v>
      </c>
      <c r="G207" s="34">
        <f>IFERROR(__xludf.DUMMYFUNCTION("""COMPUTED_VALUE"""),4.0)</f>
        <v>4</v>
      </c>
      <c r="H207" s="47">
        <f>IFERROR(__xludf.DUMMYFUNCTION("""COMPUTED_VALUE"""),45404.0)</f>
        <v>45404</v>
      </c>
      <c r="I207" s="47">
        <f>IFERROR(__xludf.DUMMYFUNCTION("""COMPUTED_VALUE"""),45443.0)</f>
        <v>45443</v>
      </c>
      <c r="J207" s="103" t="s">
        <v>50</v>
      </c>
      <c r="K207" s="26">
        <v>45435.0</v>
      </c>
      <c r="L207" s="86">
        <v>0.0</v>
      </c>
      <c r="M207" s="26">
        <v>45488.0</v>
      </c>
      <c r="N207" s="47"/>
      <c r="O207" s="20" t="s">
        <v>40</v>
      </c>
      <c r="P207" s="102" t="b">
        <v>0</v>
      </c>
      <c r="Q207" s="102" t="b">
        <v>0</v>
      </c>
      <c r="R207" s="102" t="b">
        <v>0</v>
      </c>
      <c r="S207" s="34"/>
      <c r="T207" s="43"/>
      <c r="U207" s="102" t="b">
        <v>0</v>
      </c>
      <c r="V207" s="20" t="s">
        <v>125</v>
      </c>
      <c r="W207" s="20" t="s">
        <v>347</v>
      </c>
      <c r="X207" s="20" t="s">
        <v>153</v>
      </c>
      <c r="Y207" s="20" t="s">
        <v>151</v>
      </c>
      <c r="Z207" s="43"/>
      <c r="AA207" s="34">
        <f t="shared" si="25"/>
        <v>0</v>
      </c>
      <c r="AB207" s="35"/>
      <c r="AC207" s="29" t="str">
        <f t="shared" si="5"/>
        <v>NÃO</v>
      </c>
      <c r="AD207" s="37" t="str">
        <f t="shared" si="1"/>
        <v>Não</v>
      </c>
      <c r="AE207" s="38">
        <f t="shared" si="6"/>
        <v>31</v>
      </c>
      <c r="AF207" s="29"/>
      <c r="AG207" s="39"/>
    </row>
    <row r="208" hidden="1">
      <c r="A208" s="43" t="str">
        <f>IFERROR(__xludf.DUMMYFUNCTION("""COMPUTED_VALUE"""),"PM Luis Faria")</f>
        <v>PM Luis Faria</v>
      </c>
      <c r="B208" s="43" t="str">
        <f>IFERROR(__xludf.DUMMYFUNCTION("""COMPUTED_VALUE"""),"NCon")</f>
        <v>NCon</v>
      </c>
      <c r="C208" s="43" t="str">
        <f>IFERROR(__xludf.DUMMYFUNCTION("""COMPUTED_VALUE"""),"Pesquisa de Mercado")</f>
        <v>Pesquisa de Mercado</v>
      </c>
      <c r="D208" s="43" t="str">
        <f>IFERROR(__xludf.DUMMYFUNCTION("""COMPUTED_VALUE"""),"Projeto")</f>
        <v>Projeto</v>
      </c>
      <c r="E208" s="46">
        <f>IFERROR(__xludf.DUMMYFUNCTION("""COMPUTED_VALUE"""),7500.0)</f>
        <v>7500</v>
      </c>
      <c r="F208" s="34">
        <f>IFERROR(__xludf.DUMMYFUNCTION("""COMPUTED_VALUE"""),5.0)</f>
        <v>5</v>
      </c>
      <c r="G208" s="34">
        <f>IFERROR(__xludf.DUMMYFUNCTION("""COMPUTED_VALUE"""),1.0)</f>
        <v>1</v>
      </c>
      <c r="H208" s="47">
        <f>IFERROR(__xludf.DUMMYFUNCTION("""COMPUTED_VALUE"""),45404.0)</f>
        <v>45404</v>
      </c>
      <c r="I208" s="47">
        <f>IFERROR(__xludf.DUMMYFUNCTION("""COMPUTED_VALUE"""),45436.0)</f>
        <v>45436</v>
      </c>
      <c r="J208" s="103" t="s">
        <v>39</v>
      </c>
      <c r="K208" s="26">
        <v>45419.0</v>
      </c>
      <c r="L208" s="86">
        <v>0.0</v>
      </c>
      <c r="M208" s="26">
        <v>45468.0</v>
      </c>
      <c r="N208" s="47"/>
      <c r="O208" s="20" t="s">
        <v>40</v>
      </c>
      <c r="P208" s="102" t="b">
        <v>0</v>
      </c>
      <c r="Q208" s="102" t="b">
        <v>0</v>
      </c>
      <c r="R208" s="102" t="b">
        <v>0</v>
      </c>
      <c r="S208" s="34"/>
      <c r="T208" s="43"/>
      <c r="U208" s="102" t="b">
        <v>0</v>
      </c>
      <c r="V208" s="20" t="s">
        <v>120</v>
      </c>
      <c r="W208" s="20" t="s">
        <v>153</v>
      </c>
      <c r="X208" s="43"/>
      <c r="Y208" s="43"/>
      <c r="Z208" s="43"/>
      <c r="AA208" s="34">
        <f t="shared" si="25"/>
        <v>0</v>
      </c>
      <c r="AB208" s="35"/>
      <c r="AC208" s="29" t="str">
        <f t="shared" si="5"/>
        <v>Sim</v>
      </c>
      <c r="AD208" s="37" t="str">
        <f t="shared" si="1"/>
        <v>Sim</v>
      </c>
      <c r="AE208" s="38">
        <f t="shared" si="6"/>
        <v>15</v>
      </c>
      <c r="AF208" s="29"/>
      <c r="AG208" s="39"/>
    </row>
    <row r="209">
      <c r="A209" s="43" t="str">
        <f>IFERROR(__xludf.DUMMYFUNCTION("""COMPUTED_VALUE"""),"Riachuelo")</f>
        <v>Riachuelo</v>
      </c>
      <c r="B209" s="43" t="str">
        <f>IFERROR(__xludf.DUMMYFUNCTION("""COMPUTED_VALUE"""),"NDados")</f>
        <v>NDados</v>
      </c>
      <c r="C209" s="43" t="str">
        <f>IFERROR(__xludf.DUMMYFUNCTION("""COMPUTED_VALUE"""),"Mapeamento")</f>
        <v>Mapeamento</v>
      </c>
      <c r="D209" s="43" t="str">
        <f>IFERROR(__xludf.DUMMYFUNCTION("""COMPUTED_VALUE"""),"Projeto")</f>
        <v>Projeto</v>
      </c>
      <c r="E209" s="46">
        <f>IFERROR(__xludf.DUMMYFUNCTION("""COMPUTED_VALUE"""),15000.0)</f>
        <v>15000</v>
      </c>
      <c r="F209" s="34">
        <f>IFERROR(__xludf.DUMMYFUNCTION("""COMPUTED_VALUE"""),6.0)</f>
        <v>6</v>
      </c>
      <c r="G209" s="34">
        <f>IFERROR(__xludf.DUMMYFUNCTION("""COMPUTED_VALUE"""),2.0)</f>
        <v>2</v>
      </c>
      <c r="H209" s="47">
        <f>IFERROR(__xludf.DUMMYFUNCTION("""COMPUTED_VALUE"""),45404.0)</f>
        <v>45404</v>
      </c>
      <c r="I209" s="47">
        <f>IFERROR(__xludf.DUMMYFUNCTION("""COMPUTED_VALUE"""),45444.0)</f>
        <v>45444</v>
      </c>
      <c r="J209" s="103" t="s">
        <v>39</v>
      </c>
      <c r="K209" s="47"/>
      <c r="L209" s="81">
        <v>0.0</v>
      </c>
      <c r="M209" s="29" t="str">
        <f t="shared" ref="M209:M210" si="31">IF(K209&lt;&gt;"",K209+(F209+L209)*7,"-")</f>
        <v>-</v>
      </c>
      <c r="N209" s="47"/>
      <c r="O209" s="20" t="s">
        <v>103</v>
      </c>
      <c r="P209" s="102" t="b">
        <v>0</v>
      </c>
      <c r="Q209" s="102" t="b">
        <v>0</v>
      </c>
      <c r="R209" s="102" t="b">
        <v>0</v>
      </c>
      <c r="S209" s="34"/>
      <c r="T209" s="43"/>
      <c r="U209" s="31" t="b">
        <f>IF(AND(S209&gt;=9,R209=TRUE,N209&lt;=M209,N209&lt;&gt;0),TRUE,FALSE)</f>
        <v>0</v>
      </c>
      <c r="V209" s="20" t="s">
        <v>238</v>
      </c>
      <c r="W209" s="20" t="s">
        <v>355</v>
      </c>
      <c r="X209" s="20" t="s">
        <v>253</v>
      </c>
      <c r="Y209" s="43"/>
      <c r="Z209" s="43"/>
      <c r="AA209" s="34">
        <f t="shared" si="25"/>
        <v>0</v>
      </c>
      <c r="AB209" s="35"/>
      <c r="AC209" s="29" t="str">
        <f t="shared" si="5"/>
        <v>NÃO</v>
      </c>
      <c r="AD209" s="37" t="str">
        <f t="shared" si="1"/>
        <v>Não</v>
      </c>
      <c r="AE209" s="38">
        <f t="shared" si="6"/>
        <v>0</v>
      </c>
      <c r="AF209" s="29"/>
      <c r="AG209" s="39"/>
    </row>
    <row r="210" hidden="1">
      <c r="A210" s="43" t="str">
        <f>IFERROR(__xludf.DUMMYFUNCTION("""COMPUTED_VALUE"""),"Tudo Engenharia ")</f>
        <v>Tudo Engenharia </v>
      </c>
      <c r="B210" s="43" t="str">
        <f>IFERROR(__xludf.DUMMYFUNCTION("""COMPUTED_VALUE"""),"NCiv")</f>
        <v>NCiv</v>
      </c>
      <c r="C210" s="43" t="str">
        <f>IFERROR(__xludf.DUMMYFUNCTION("""COMPUTED_VALUE"""),"Completo")</f>
        <v>Completo</v>
      </c>
      <c r="D210" s="43" t="str">
        <f>IFERROR(__xludf.DUMMYFUNCTION("""COMPUTED_VALUE"""),"Projeto")</f>
        <v>Projeto</v>
      </c>
      <c r="E210" s="46">
        <f>IFERROR(__xludf.DUMMYFUNCTION("""COMPUTED_VALUE"""),140000.0)</f>
        <v>140000</v>
      </c>
      <c r="F210" s="34"/>
      <c r="G210" s="34"/>
      <c r="H210" s="47">
        <f>IFERROR(__xludf.DUMMYFUNCTION("""COMPUTED_VALUE"""),45432.0)</f>
        <v>45432</v>
      </c>
      <c r="I210" s="47"/>
      <c r="J210" s="111"/>
      <c r="K210" s="47"/>
      <c r="L210" s="81"/>
      <c r="M210" s="29" t="str">
        <f t="shared" si="31"/>
        <v>-</v>
      </c>
      <c r="N210" s="47"/>
      <c r="O210" s="20" t="s">
        <v>103</v>
      </c>
      <c r="P210" s="102" t="b">
        <v>0</v>
      </c>
      <c r="Q210" s="102" t="b">
        <v>0</v>
      </c>
      <c r="R210" s="102" t="b">
        <v>0</v>
      </c>
      <c r="S210" s="34"/>
      <c r="T210" s="43"/>
      <c r="U210" s="102" t="b">
        <v>0</v>
      </c>
      <c r="V210" s="43"/>
      <c r="W210" s="43"/>
      <c r="X210" s="43"/>
      <c r="Y210" s="43"/>
      <c r="Z210" s="43"/>
      <c r="AA210" s="34">
        <f t="shared" si="25"/>
        <v>0</v>
      </c>
      <c r="AB210" s="35"/>
      <c r="AC210" s="29" t="str">
        <f t="shared" si="5"/>
        <v>NÃO</v>
      </c>
      <c r="AD210" s="37" t="str">
        <f t="shared" si="1"/>
        <v>Não</v>
      </c>
      <c r="AE210" s="38">
        <f t="shared" si="6"/>
        <v>0</v>
      </c>
      <c r="AF210" s="29"/>
      <c r="AG210" s="39"/>
    </row>
    <row r="211" hidden="1">
      <c r="A211" s="43" t="str">
        <f>IFERROR(__xludf.DUMMYFUNCTION("""COMPUTED_VALUE"""),"Nexa")</f>
        <v>Nexa</v>
      </c>
      <c r="B211" s="43" t="str">
        <f>IFERROR(__xludf.DUMMYFUNCTION("""COMPUTED_VALUE"""),"NCon")</f>
        <v>NCon</v>
      </c>
      <c r="C211" s="43" t="str">
        <f>IFERROR(__xludf.DUMMYFUNCTION("""COMPUTED_VALUE"""),"Gestão de Processos")</f>
        <v>Gestão de Processos</v>
      </c>
      <c r="D211" s="43" t="str">
        <f>IFERROR(__xludf.DUMMYFUNCTION("""COMPUTED_VALUE"""),"Projeto")</f>
        <v>Projeto</v>
      </c>
      <c r="E211" s="46">
        <f>IFERROR(__xludf.DUMMYFUNCTION("""COMPUTED_VALUE"""),14265.0)</f>
        <v>14265</v>
      </c>
      <c r="F211" s="34">
        <f>IFERROR(__xludf.DUMMYFUNCTION("""COMPUTED_VALUE"""),6.0)</f>
        <v>6</v>
      </c>
      <c r="G211" s="34">
        <f>IFERROR(__xludf.DUMMYFUNCTION("""COMPUTED_VALUE"""),2.0)</f>
        <v>2</v>
      </c>
      <c r="H211" s="47">
        <f>IFERROR(__xludf.DUMMYFUNCTION("""COMPUTED_VALUE"""),45406.0)</f>
        <v>45406</v>
      </c>
      <c r="I211" s="47">
        <f>IFERROR(__xludf.DUMMYFUNCTION("""COMPUTED_VALUE"""),45443.0)</f>
        <v>45443</v>
      </c>
      <c r="J211" s="103" t="s">
        <v>50</v>
      </c>
      <c r="K211" s="26">
        <v>45384.0</v>
      </c>
      <c r="L211" s="86">
        <v>0.0</v>
      </c>
      <c r="M211" s="26">
        <v>45470.0</v>
      </c>
      <c r="N211" s="47"/>
      <c r="O211" s="20" t="s">
        <v>40</v>
      </c>
      <c r="P211" s="102" t="b">
        <v>0</v>
      </c>
      <c r="Q211" s="102" t="b">
        <v>0</v>
      </c>
      <c r="R211" s="102" t="b">
        <v>0</v>
      </c>
      <c r="S211" s="34"/>
      <c r="T211" s="43"/>
      <c r="U211" s="102" t="b">
        <v>0</v>
      </c>
      <c r="V211" s="20" t="s">
        <v>120</v>
      </c>
      <c r="W211" s="20" t="s">
        <v>132</v>
      </c>
      <c r="X211" s="20" t="s">
        <v>159</v>
      </c>
      <c r="Y211" s="43"/>
      <c r="Z211" s="43"/>
      <c r="AA211" s="34">
        <f t="shared" si="25"/>
        <v>0</v>
      </c>
      <c r="AB211" s="35"/>
      <c r="AC211" s="29" t="str">
        <f t="shared" si="5"/>
        <v>NÃO</v>
      </c>
      <c r="AD211" s="37" t="str">
        <f t="shared" si="1"/>
        <v>Não</v>
      </c>
      <c r="AE211" s="38">
        <f t="shared" si="6"/>
        <v>-22</v>
      </c>
      <c r="AF211" s="29"/>
      <c r="AG211" s="39"/>
    </row>
    <row r="212">
      <c r="A212" s="43" t="str">
        <f>IFERROR(__xludf.DUMMYFUNCTION("""COMPUTED_VALUE"""),"Nexa")</f>
        <v>Nexa</v>
      </c>
      <c r="B212" s="43" t="str">
        <f>IFERROR(__xludf.DUMMYFUNCTION("""COMPUTED_VALUE"""),"NDados")</f>
        <v>NDados</v>
      </c>
      <c r="C212" s="43" t="str">
        <f>IFERROR(__xludf.DUMMYFUNCTION("""COMPUTED_VALUE"""),"Mapeamento")</f>
        <v>Mapeamento</v>
      </c>
      <c r="D212" s="43" t="str">
        <f>IFERROR(__xludf.DUMMYFUNCTION("""COMPUTED_VALUE"""),"Projeto")</f>
        <v>Projeto</v>
      </c>
      <c r="E212" s="46">
        <f>IFERROR(__xludf.DUMMYFUNCTION("""COMPUTED_VALUE"""),14265.0)</f>
        <v>14265</v>
      </c>
      <c r="F212" s="34">
        <f>IFERROR(__xludf.DUMMYFUNCTION("""COMPUTED_VALUE"""),6.0)</f>
        <v>6</v>
      </c>
      <c r="G212" s="34">
        <f>IFERROR(__xludf.DUMMYFUNCTION("""COMPUTED_VALUE"""),2.0)</f>
        <v>2</v>
      </c>
      <c r="H212" s="47">
        <f>IFERROR(__xludf.DUMMYFUNCTION("""COMPUTED_VALUE"""),45406.0)</f>
        <v>45406</v>
      </c>
      <c r="I212" s="47">
        <f>IFERROR(__xludf.DUMMYFUNCTION("""COMPUTED_VALUE"""),45443.0)</f>
        <v>45443</v>
      </c>
      <c r="J212" s="103" t="s">
        <v>39</v>
      </c>
      <c r="K212" s="47"/>
      <c r="L212" s="81"/>
      <c r="M212" s="29" t="str">
        <f>IF(K212&lt;&gt;"",K212+(F212+L212)*7,"-")</f>
        <v>-</v>
      </c>
      <c r="N212" s="47"/>
      <c r="O212" s="20" t="s">
        <v>40</v>
      </c>
      <c r="P212" s="102" t="b">
        <v>0</v>
      </c>
      <c r="Q212" s="102" t="b">
        <v>0</v>
      </c>
      <c r="R212" s="102" t="b">
        <v>0</v>
      </c>
      <c r="S212" s="34"/>
      <c r="T212" s="43"/>
      <c r="U212" s="31" t="b">
        <f>IF(AND(S212&gt;=9,R212=TRUE,N212&lt;=M212,N212&lt;&gt;0),TRUE,FALSE)</f>
        <v>0</v>
      </c>
      <c r="V212" s="20" t="s">
        <v>224</v>
      </c>
      <c r="W212" s="20" t="s">
        <v>219</v>
      </c>
      <c r="X212" s="43"/>
      <c r="Y212" s="43"/>
      <c r="Z212" s="43"/>
      <c r="AA212" s="34">
        <f t="shared" si="25"/>
        <v>0</v>
      </c>
      <c r="AB212" s="35"/>
      <c r="AC212" s="29" t="str">
        <f t="shared" si="5"/>
        <v>NÃO</v>
      </c>
      <c r="AD212" s="37" t="str">
        <f t="shared" si="1"/>
        <v>Não</v>
      </c>
      <c r="AE212" s="38">
        <f t="shared" si="6"/>
        <v>0</v>
      </c>
      <c r="AF212" s="29"/>
      <c r="AG212" s="39"/>
    </row>
    <row r="213" hidden="1">
      <c r="A213" s="43" t="str">
        <f>IFERROR(__xludf.DUMMYFUNCTION("""COMPUTED_VALUE"""),"São Carlos")</f>
        <v>São Carlos</v>
      </c>
      <c r="B213" s="43" t="str">
        <f>IFERROR(__xludf.DUMMYFUNCTION("""COMPUTED_VALUE"""),"NCiv")</f>
        <v>NCiv</v>
      </c>
      <c r="C213" s="43" t="str">
        <f>IFERROR(__xludf.DUMMYFUNCTION("""COMPUTED_VALUE"""),"Completo")</f>
        <v>Completo</v>
      </c>
      <c r="D213" s="43" t="str">
        <f>IFERROR(__xludf.DUMMYFUNCTION("""COMPUTED_VALUE"""),"Projeto")</f>
        <v>Projeto</v>
      </c>
      <c r="E213" s="46">
        <f>IFERROR(__xludf.DUMMYFUNCTION("""COMPUTED_VALUE"""),18350.0)</f>
        <v>18350</v>
      </c>
      <c r="F213" s="34">
        <f>IFERROR(__xludf.DUMMYFUNCTION("""COMPUTED_VALUE"""),9.0)</f>
        <v>9</v>
      </c>
      <c r="G213" s="34">
        <f>IFERROR(__xludf.DUMMYFUNCTION("""COMPUTED_VALUE"""),4.0)</f>
        <v>4</v>
      </c>
      <c r="H213" s="47">
        <f>IFERROR(__xludf.DUMMYFUNCTION("""COMPUTED_VALUE"""),45453.0)</f>
        <v>45453</v>
      </c>
      <c r="I213" s="47">
        <f>IFERROR(__xludf.DUMMYFUNCTION("""COMPUTED_VALUE"""),45521.0)</f>
        <v>45521</v>
      </c>
      <c r="J213" s="111"/>
      <c r="K213" s="47"/>
      <c r="L213" s="81"/>
      <c r="M213" s="47"/>
      <c r="N213" s="47"/>
      <c r="O213" s="20" t="s">
        <v>103</v>
      </c>
      <c r="P213" s="102" t="b">
        <v>0</v>
      </c>
      <c r="Q213" s="102" t="b">
        <v>0</v>
      </c>
      <c r="R213" s="31" t="b">
        <v>0</v>
      </c>
      <c r="S213" s="34"/>
      <c r="T213" s="43"/>
      <c r="U213" s="102" t="b">
        <v>0</v>
      </c>
      <c r="V213" s="43"/>
      <c r="W213" s="43"/>
      <c r="X213" s="43"/>
      <c r="Y213" s="43"/>
      <c r="Z213" s="43"/>
      <c r="AA213" s="34">
        <f t="shared" si="25"/>
        <v>0</v>
      </c>
      <c r="AB213" s="35"/>
      <c r="AC213" s="29" t="str">
        <f t="shared" si="5"/>
        <v>Sim</v>
      </c>
      <c r="AD213" s="37" t="str">
        <f t="shared" si="1"/>
        <v>Não</v>
      </c>
      <c r="AE213" s="38">
        <f t="shared" si="6"/>
        <v>0</v>
      </c>
      <c r="AF213" s="29"/>
      <c r="AG213" s="39"/>
    </row>
    <row r="214">
      <c r="A214" s="113" t="str">
        <f>IFERROR(__xludf.DUMMYFUNCTION("""COMPUTED_VALUE"""),"V.Tal")</f>
        <v>V.Tal</v>
      </c>
      <c r="B214" s="43" t="str">
        <f>IFERROR(__xludf.DUMMYFUNCTION("""COMPUTED_VALUE"""),"NDados")</f>
        <v>NDados</v>
      </c>
      <c r="C214" s="43" t="str">
        <f>IFERROR(__xludf.DUMMYFUNCTION("""COMPUTED_VALUE"""),"DSaaS ")</f>
        <v>DSaaS </v>
      </c>
      <c r="D214" s="43" t="str">
        <f>IFERROR(__xludf.DUMMYFUNCTION("""COMPUTED_VALUE"""),"Projeto")</f>
        <v>Projeto</v>
      </c>
      <c r="E214" s="46">
        <f>IFERROR(__xludf.DUMMYFUNCTION("""COMPUTED_VALUE"""),61250.0)</f>
        <v>61250</v>
      </c>
      <c r="F214" s="34">
        <f>IFERROR(__xludf.DUMMYFUNCTION("""COMPUTED_VALUE"""),20.0)</f>
        <v>20</v>
      </c>
      <c r="G214" s="34">
        <f>IFERROR(__xludf.DUMMYFUNCTION("""COMPUTED_VALUE"""),1.5)</f>
        <v>1.5</v>
      </c>
      <c r="H214" s="47">
        <f>IFERROR(__xludf.DUMMYFUNCTION("""COMPUTED_VALUE"""),45530.0)</f>
        <v>45530</v>
      </c>
      <c r="I214" s="47">
        <f>IFERROR(__xludf.DUMMYFUNCTION("""COMPUTED_VALUE"""),45593.0)</f>
        <v>45593</v>
      </c>
      <c r="J214" s="103" t="s">
        <v>39</v>
      </c>
      <c r="K214" s="26">
        <v>45414.0</v>
      </c>
      <c r="L214" s="86">
        <v>0.0</v>
      </c>
      <c r="M214" s="29">
        <f t="shared" ref="M214:M215" si="32">IF(K214&lt;&gt;"",K214+(F214+L214)*7,"-")</f>
        <v>45554</v>
      </c>
      <c r="N214" s="47"/>
      <c r="O214" s="20" t="s">
        <v>40</v>
      </c>
      <c r="P214" s="102" t="b">
        <v>0</v>
      </c>
      <c r="Q214" s="102" t="b">
        <v>0</v>
      </c>
      <c r="R214" s="102" t="b">
        <v>0</v>
      </c>
      <c r="S214" s="34"/>
      <c r="T214" s="43"/>
      <c r="U214" s="31" t="b">
        <f t="shared" ref="U214:U215" si="33">IF(AND(S214&gt;=9,R214=TRUE,N214&lt;=M214,N214&lt;&gt;0),TRUE,FALSE)</f>
        <v>0</v>
      </c>
      <c r="V214" s="20" t="s">
        <v>227</v>
      </c>
      <c r="W214" s="20" t="s">
        <v>351</v>
      </c>
      <c r="X214" s="20" t="s">
        <v>341</v>
      </c>
      <c r="Y214" s="20" t="s">
        <v>352</v>
      </c>
      <c r="Z214" s="43"/>
      <c r="AA214" s="34">
        <f t="shared" si="25"/>
        <v>0</v>
      </c>
      <c r="AB214" s="35"/>
      <c r="AC214" s="29" t="str">
        <f t="shared" si="5"/>
        <v>NÃO</v>
      </c>
      <c r="AD214" s="37" t="str">
        <f t="shared" si="1"/>
        <v>Não</v>
      </c>
      <c r="AE214" s="38">
        <f t="shared" si="6"/>
        <v>-116</v>
      </c>
      <c r="AF214" s="29"/>
      <c r="AG214" s="39"/>
    </row>
    <row r="215">
      <c r="A215" s="43" t="str">
        <f>IFERROR(__xludf.DUMMYFUNCTION("""COMPUTED_VALUE"""),"SHS Farmacêutica")</f>
        <v>SHS Farmacêutica</v>
      </c>
      <c r="B215" s="43" t="str">
        <f>IFERROR(__xludf.DUMMYFUNCTION("""COMPUTED_VALUE"""),"NDados")</f>
        <v>NDados</v>
      </c>
      <c r="C215" s="43" t="str">
        <f>IFERROR(__xludf.DUMMYFUNCTION("""COMPUTED_VALUE"""),"Visualização")</f>
        <v>Visualização</v>
      </c>
      <c r="D215" s="43" t="str">
        <f>IFERROR(__xludf.DUMMYFUNCTION("""COMPUTED_VALUE"""),"Projeto")</f>
        <v>Projeto</v>
      </c>
      <c r="E215" s="46">
        <f>IFERROR(__xludf.DUMMYFUNCTION("""COMPUTED_VALUE"""),11000.0)</f>
        <v>11000</v>
      </c>
      <c r="F215" s="34">
        <f>IFERROR(__xludf.DUMMYFUNCTION("""COMPUTED_VALUE"""),4.0)</f>
        <v>4</v>
      </c>
      <c r="G215" s="34">
        <f>IFERROR(__xludf.DUMMYFUNCTION("""COMPUTED_VALUE"""),1.0)</f>
        <v>1</v>
      </c>
      <c r="H215" s="47">
        <f>IFERROR(__xludf.DUMMYFUNCTION("""COMPUTED_VALUE"""),45411.0)</f>
        <v>45411</v>
      </c>
      <c r="I215" s="47">
        <f>IFERROR(__xludf.DUMMYFUNCTION("""COMPUTED_VALUE"""),45439.0)</f>
        <v>45439</v>
      </c>
      <c r="J215" s="103" t="s">
        <v>39</v>
      </c>
      <c r="K215" s="26">
        <v>45453.0</v>
      </c>
      <c r="L215" s="86">
        <v>0.0</v>
      </c>
      <c r="M215" s="29">
        <f t="shared" si="32"/>
        <v>45481</v>
      </c>
      <c r="N215" s="47"/>
      <c r="O215" s="20" t="s">
        <v>40</v>
      </c>
      <c r="P215" s="102" t="b">
        <v>0</v>
      </c>
      <c r="Q215" s="102" t="b">
        <v>0</v>
      </c>
      <c r="R215" s="102" t="b">
        <v>0</v>
      </c>
      <c r="S215" s="34"/>
      <c r="T215" s="43"/>
      <c r="U215" s="31" t="b">
        <f t="shared" si="33"/>
        <v>0</v>
      </c>
      <c r="V215" s="20" t="s">
        <v>219</v>
      </c>
      <c r="W215" s="20" t="s">
        <v>348</v>
      </c>
      <c r="X215" s="43"/>
      <c r="Y215" s="43"/>
      <c r="Z215" s="43"/>
      <c r="AA215" s="34">
        <f t="shared" si="25"/>
        <v>0</v>
      </c>
      <c r="AB215" s="35"/>
      <c r="AC215" s="29" t="str">
        <f t="shared" si="5"/>
        <v>NÃO</v>
      </c>
      <c r="AD215" s="37" t="str">
        <f t="shared" si="1"/>
        <v>Não</v>
      </c>
      <c r="AE215" s="38">
        <f t="shared" si="6"/>
        <v>42</v>
      </c>
      <c r="AF215" s="29"/>
      <c r="AG215" s="39"/>
    </row>
    <row r="216" hidden="1">
      <c r="A216" s="43" t="str">
        <f>IFERROR(__xludf.DUMMYFUNCTION("""COMPUTED_VALUE"""),"PM Online SAC")</f>
        <v>PM Online SAC</v>
      </c>
      <c r="B216" s="43" t="str">
        <f>IFERROR(__xludf.DUMMYFUNCTION("""COMPUTED_VALUE"""),"NCon")</f>
        <v>NCon</v>
      </c>
      <c r="C216" s="43" t="str">
        <f>IFERROR(__xludf.DUMMYFUNCTION("""COMPUTED_VALUE"""),"Pesquisa de Mercado")</f>
        <v>Pesquisa de Mercado</v>
      </c>
      <c r="D216" s="43" t="str">
        <f>IFERROR(__xludf.DUMMYFUNCTION("""COMPUTED_VALUE"""),"Projeto")</f>
        <v>Projeto</v>
      </c>
      <c r="E216" s="46">
        <f>IFERROR(__xludf.DUMMYFUNCTION("""COMPUTED_VALUE"""),8000.0)</f>
        <v>8000</v>
      </c>
      <c r="F216" s="34">
        <f>IFERROR(__xludf.DUMMYFUNCTION("""COMPUTED_VALUE"""),5.0)</f>
        <v>5</v>
      </c>
      <c r="G216" s="34">
        <f>IFERROR(__xludf.DUMMYFUNCTION("""COMPUTED_VALUE"""),1.0)</f>
        <v>1</v>
      </c>
      <c r="H216" s="47">
        <f>IFERROR(__xludf.DUMMYFUNCTION("""COMPUTED_VALUE"""),45411.0)</f>
        <v>45411</v>
      </c>
      <c r="I216" s="47">
        <f>IFERROR(__xludf.DUMMYFUNCTION("""COMPUTED_VALUE"""),45443.0)</f>
        <v>45443</v>
      </c>
      <c r="J216" s="103" t="s">
        <v>39</v>
      </c>
      <c r="K216" s="26">
        <v>45420.0</v>
      </c>
      <c r="L216" s="86">
        <v>0.0</v>
      </c>
      <c r="M216" s="26">
        <v>45469.0</v>
      </c>
      <c r="N216" s="47"/>
      <c r="O216" s="20" t="s">
        <v>40</v>
      </c>
      <c r="P216" s="102" t="b">
        <v>0</v>
      </c>
      <c r="Q216" s="102" t="b">
        <v>0</v>
      </c>
      <c r="R216" s="102" t="b">
        <v>0</v>
      </c>
      <c r="S216" s="34"/>
      <c r="T216" s="43"/>
      <c r="U216" s="102" t="b">
        <v>0</v>
      </c>
      <c r="V216" s="20" t="s">
        <v>125</v>
      </c>
      <c r="W216" s="20" t="s">
        <v>176</v>
      </c>
      <c r="X216" s="43"/>
      <c r="Y216" s="43"/>
      <c r="Z216" s="43"/>
      <c r="AA216" s="34">
        <f t="shared" si="25"/>
        <v>0</v>
      </c>
      <c r="AB216" s="35"/>
      <c r="AC216" s="29" t="str">
        <f t="shared" si="5"/>
        <v>NÃO</v>
      </c>
      <c r="AD216" s="37" t="str">
        <f t="shared" si="1"/>
        <v>Não</v>
      </c>
      <c r="AE216" s="38">
        <f t="shared" si="6"/>
        <v>9</v>
      </c>
      <c r="AF216" s="29"/>
      <c r="AG216" s="39"/>
    </row>
    <row r="217" hidden="1">
      <c r="A217" s="43" t="str">
        <f>IFERROR(__xludf.DUMMYFUNCTION("""COMPUTED_VALUE"""),"App + Site Luciana 2")</f>
        <v>App + Site Luciana 2</v>
      </c>
      <c r="B217" s="43" t="str">
        <f>IFERROR(__xludf.DUMMYFUNCTION("""COMPUTED_VALUE"""),"NTec")</f>
        <v>NTec</v>
      </c>
      <c r="C217" s="43" t="str">
        <f>IFERROR(__xludf.DUMMYFUNCTION("""COMPUTED_VALUE"""),"Escopo Aberto")</f>
        <v>Escopo Aberto</v>
      </c>
      <c r="D217" s="43" t="str">
        <f>IFERROR(__xludf.DUMMYFUNCTION("""COMPUTED_VALUE"""),"Projeto")</f>
        <v>Projeto</v>
      </c>
      <c r="E217" s="46">
        <f>IFERROR(__xludf.DUMMYFUNCTION("""COMPUTED_VALUE"""),350000.0)</f>
        <v>350000</v>
      </c>
      <c r="F217" s="34">
        <f>IFERROR(__xludf.DUMMYFUNCTION("""COMPUTED_VALUE"""),70.0)</f>
        <v>70</v>
      </c>
      <c r="G217" s="34">
        <f>IFERROR(__xludf.DUMMYFUNCTION("""COMPUTED_VALUE"""),3.0)</f>
        <v>3</v>
      </c>
      <c r="H217" s="47">
        <f>IFERROR(__xludf.DUMMYFUNCTION("""COMPUTED_VALUE"""),45418.0)</f>
        <v>45418</v>
      </c>
      <c r="I217" s="47">
        <f>IFERROR(__xludf.DUMMYFUNCTION("""COMPUTED_VALUE"""),45978.0)</f>
        <v>45978</v>
      </c>
      <c r="J217" s="103" t="s">
        <v>50</v>
      </c>
      <c r="K217" s="26"/>
      <c r="L217" s="86"/>
      <c r="M217" s="29" t="str">
        <f>IF(K217&lt;&gt;"",K217+(F217+L217)*7,"-")</f>
        <v>-</v>
      </c>
      <c r="N217" s="47"/>
      <c r="O217" s="20" t="s">
        <v>103</v>
      </c>
      <c r="P217" s="102" t="b">
        <v>0</v>
      </c>
      <c r="Q217" s="102" t="b">
        <v>0</v>
      </c>
      <c r="R217" s="102" t="b">
        <v>0</v>
      </c>
      <c r="S217" s="34"/>
      <c r="T217" s="43"/>
      <c r="U217" s="102" t="b">
        <v>0</v>
      </c>
      <c r="V217" s="20" t="s">
        <v>301</v>
      </c>
      <c r="W217" s="20" t="s">
        <v>350</v>
      </c>
      <c r="X217" s="20" t="s">
        <v>337</v>
      </c>
      <c r="Y217" s="43"/>
      <c r="Z217" s="43"/>
      <c r="AA217" s="34">
        <f t="shared" si="25"/>
        <v>0</v>
      </c>
      <c r="AB217" s="35"/>
      <c r="AC217" s="29" t="str">
        <f t="shared" si="5"/>
        <v>NÃO</v>
      </c>
      <c r="AD217" s="37" t="str">
        <f t="shared" si="1"/>
        <v>Não</v>
      </c>
      <c r="AE217" s="38">
        <f t="shared" si="6"/>
        <v>0</v>
      </c>
      <c r="AF217" s="29"/>
      <c r="AG217" s="39"/>
    </row>
    <row r="218" hidden="1">
      <c r="A218" s="43" t="str">
        <f>IFERROR(__xludf.DUMMYFUNCTION("""COMPUTED_VALUE"""),"CBO")</f>
        <v>CBO</v>
      </c>
      <c r="B218" s="43" t="str">
        <f>IFERROR(__xludf.DUMMYFUNCTION("""COMPUTED_VALUE"""),"NCon")</f>
        <v>NCon</v>
      </c>
      <c r="C218" s="43" t="str">
        <f>IFERROR(__xludf.DUMMYFUNCTION("""COMPUTED_VALUE"""),"Gestão de Processos")</f>
        <v>Gestão de Processos</v>
      </c>
      <c r="D218" s="43" t="str">
        <f>IFERROR(__xludf.DUMMYFUNCTION("""COMPUTED_VALUE"""),"Projeto")</f>
        <v>Projeto</v>
      </c>
      <c r="E218" s="46">
        <f>IFERROR(__xludf.DUMMYFUNCTION("""COMPUTED_VALUE"""),38500.0)</f>
        <v>38500</v>
      </c>
      <c r="F218" s="34">
        <f>IFERROR(__xludf.DUMMYFUNCTION("""COMPUTED_VALUE"""),8.0)</f>
        <v>8</v>
      </c>
      <c r="G218" s="34">
        <f>IFERROR(__xludf.DUMMYFUNCTION("""COMPUTED_VALUE"""),3.0)</f>
        <v>3</v>
      </c>
      <c r="H218" s="47">
        <f>IFERROR(__xludf.DUMMYFUNCTION("""COMPUTED_VALUE"""),45388.0)</f>
        <v>45388</v>
      </c>
      <c r="I218" s="47">
        <f>IFERROR(__xludf.DUMMYFUNCTION("""COMPUTED_VALUE"""),45471.0)</f>
        <v>45471</v>
      </c>
      <c r="J218" s="103" t="s">
        <v>50</v>
      </c>
      <c r="K218" s="26">
        <v>45406.0</v>
      </c>
      <c r="L218" s="86">
        <v>0.0</v>
      </c>
      <c r="M218" s="26">
        <v>45484.0</v>
      </c>
      <c r="N218" s="47"/>
      <c r="O218" s="20" t="s">
        <v>40</v>
      </c>
      <c r="P218" s="102" t="b">
        <v>0</v>
      </c>
      <c r="Q218" s="102" t="b">
        <v>0</v>
      </c>
      <c r="R218" s="102" t="b">
        <v>0</v>
      </c>
      <c r="S218" s="34"/>
      <c r="T218" s="43"/>
      <c r="U218" s="102" t="b">
        <v>0</v>
      </c>
      <c r="V218" s="20" t="s">
        <v>125</v>
      </c>
      <c r="W218" s="20" t="s">
        <v>168</v>
      </c>
      <c r="X218" s="20" t="s">
        <v>335</v>
      </c>
      <c r="Y218" s="43"/>
      <c r="Z218" s="43"/>
      <c r="AA218" s="34">
        <f t="shared" si="25"/>
        <v>0</v>
      </c>
      <c r="AB218" s="35"/>
      <c r="AC218" s="29" t="str">
        <f t="shared" si="5"/>
        <v>NÃO</v>
      </c>
      <c r="AD218" s="37" t="str">
        <f t="shared" si="1"/>
        <v>Não</v>
      </c>
      <c r="AE218" s="38">
        <f t="shared" si="6"/>
        <v>18</v>
      </c>
      <c r="AF218" s="29"/>
      <c r="AG218" s="39"/>
    </row>
    <row r="219" hidden="1">
      <c r="A219" s="43" t="str">
        <f>IFERROR(__xludf.DUMMYFUNCTION("""COMPUTED_VALUE"""),"App Playtronic")</f>
        <v>App Playtronic</v>
      </c>
      <c r="B219" s="43" t="str">
        <f>IFERROR(__xludf.DUMMYFUNCTION("""COMPUTED_VALUE"""),"NTec")</f>
        <v>NTec</v>
      </c>
      <c r="C219" s="43" t="str">
        <f>IFERROR(__xludf.DUMMYFUNCTION("""COMPUTED_VALUE"""),"Escopo Aberto")</f>
        <v>Escopo Aberto</v>
      </c>
      <c r="D219" s="43" t="str">
        <f>IFERROR(__xludf.DUMMYFUNCTION("""COMPUTED_VALUE"""),"Projeto")</f>
        <v>Projeto</v>
      </c>
      <c r="E219" s="46">
        <f>IFERROR(__xludf.DUMMYFUNCTION("""COMPUTED_VALUE"""),43500.0)</f>
        <v>43500</v>
      </c>
      <c r="F219" s="34">
        <f>IFERROR(__xludf.DUMMYFUNCTION("""COMPUTED_VALUE"""),15.0)</f>
        <v>15</v>
      </c>
      <c r="G219" s="34">
        <f>IFERROR(__xludf.DUMMYFUNCTION("""COMPUTED_VALUE"""),3.0)</f>
        <v>3</v>
      </c>
      <c r="H219" s="47">
        <f>IFERROR(__xludf.DUMMYFUNCTION("""COMPUTED_VALUE"""),45432.0)</f>
        <v>45432</v>
      </c>
      <c r="I219" s="47">
        <f>IFERROR(__xludf.DUMMYFUNCTION("""COMPUTED_VALUE"""),45555.0)</f>
        <v>45555</v>
      </c>
      <c r="J219" s="103" t="s">
        <v>50</v>
      </c>
      <c r="K219" s="47"/>
      <c r="L219" s="81"/>
      <c r="M219" s="29" t="str">
        <f t="shared" ref="M219:M220" si="34">IF(K219&lt;&gt;"",K219+(F219+L219)*7,"-")</f>
        <v>-</v>
      </c>
      <c r="N219" s="47"/>
      <c r="O219" s="20" t="s">
        <v>100</v>
      </c>
      <c r="P219" s="102" t="b">
        <v>0</v>
      </c>
      <c r="Q219" s="102" t="b">
        <v>0</v>
      </c>
      <c r="R219" s="102" t="b">
        <v>0</v>
      </c>
      <c r="S219" s="34"/>
      <c r="T219" s="43"/>
      <c r="U219" s="102" t="b">
        <v>0</v>
      </c>
      <c r="V219" s="20" t="s">
        <v>274</v>
      </c>
      <c r="W219" s="20" t="s">
        <v>350</v>
      </c>
      <c r="X219" s="20" t="s">
        <v>338</v>
      </c>
      <c r="Y219" s="43"/>
      <c r="Z219" s="43"/>
      <c r="AA219" s="34">
        <f t="shared" si="25"/>
        <v>0</v>
      </c>
      <c r="AB219" s="35"/>
      <c r="AC219" s="29" t="str">
        <f t="shared" si="5"/>
        <v>NÃO</v>
      </c>
      <c r="AD219" s="37" t="str">
        <f t="shared" si="1"/>
        <v>Não</v>
      </c>
      <c r="AE219" s="38">
        <f t="shared" si="6"/>
        <v>0</v>
      </c>
      <c r="AF219" s="29"/>
      <c r="AG219" s="39"/>
    </row>
    <row r="220">
      <c r="A220" s="43" t="str">
        <f>IFERROR(__xludf.DUMMYFUNCTION("""COMPUTED_VALUE"""),"Unique Chic")</f>
        <v>Unique Chic</v>
      </c>
      <c r="B220" s="43" t="str">
        <f>IFERROR(__xludf.DUMMYFUNCTION("""COMPUTED_VALUE"""),"NDados")</f>
        <v>NDados</v>
      </c>
      <c r="C220" s="43" t="str">
        <f>IFERROR(__xludf.DUMMYFUNCTION("""COMPUTED_VALUE"""),"Visualização")</f>
        <v>Visualização</v>
      </c>
      <c r="D220" s="43" t="str">
        <f>IFERROR(__xludf.DUMMYFUNCTION("""COMPUTED_VALUE"""),"Projeto")</f>
        <v>Projeto</v>
      </c>
      <c r="E220" s="46">
        <f>IFERROR(__xludf.DUMMYFUNCTION("""COMPUTED_VALUE"""),10500.0)</f>
        <v>10500</v>
      </c>
      <c r="F220" s="34">
        <f>IFERROR(__xludf.DUMMYFUNCTION("""COMPUTED_VALUE"""),7.0)</f>
        <v>7</v>
      </c>
      <c r="G220" s="34">
        <f>IFERROR(__xludf.DUMMYFUNCTION("""COMPUTED_VALUE"""),1.0)</f>
        <v>1</v>
      </c>
      <c r="H220" s="47">
        <f>IFERROR(__xludf.DUMMYFUNCTION("""COMPUTED_VALUE"""),45418.0)</f>
        <v>45418</v>
      </c>
      <c r="I220" s="47">
        <f>IFERROR(__xludf.DUMMYFUNCTION("""COMPUTED_VALUE"""),45460.0)</f>
        <v>45460</v>
      </c>
      <c r="J220" s="103" t="s">
        <v>39</v>
      </c>
      <c r="K220" s="47"/>
      <c r="L220" s="81"/>
      <c r="M220" s="29" t="str">
        <f t="shared" si="34"/>
        <v>-</v>
      </c>
      <c r="N220" s="47"/>
      <c r="O220" s="20" t="s">
        <v>103</v>
      </c>
      <c r="P220" s="102" t="b">
        <v>0</v>
      </c>
      <c r="Q220" s="102" t="b">
        <v>0</v>
      </c>
      <c r="R220" s="102" t="b">
        <v>0</v>
      </c>
      <c r="S220" s="34"/>
      <c r="T220" s="43"/>
      <c r="U220" s="31" t="b">
        <f>IF(AND(S220&gt;=9,R220=TRUE,N220&lt;=M220,N220&lt;&gt;0),TRUE,FALSE)</f>
        <v>0</v>
      </c>
      <c r="V220" s="20" t="s">
        <v>253</v>
      </c>
      <c r="W220" s="20" t="s">
        <v>343</v>
      </c>
      <c r="X220" s="43"/>
      <c r="Y220" s="43"/>
      <c r="Z220" s="43"/>
      <c r="AA220" s="34">
        <f t="shared" si="25"/>
        <v>0</v>
      </c>
      <c r="AB220" s="35"/>
      <c r="AC220" s="29" t="str">
        <f t="shared" si="5"/>
        <v>NÃO</v>
      </c>
      <c r="AD220" s="37" t="str">
        <f t="shared" si="1"/>
        <v>Não</v>
      </c>
      <c r="AE220" s="38">
        <f t="shared" si="6"/>
        <v>0</v>
      </c>
      <c r="AF220" s="29"/>
      <c r="AG220" s="39"/>
    </row>
    <row r="221" hidden="1">
      <c r="A221" s="43" t="str">
        <f>IFERROR(__xludf.DUMMYFUNCTION("""COMPUTED_VALUE"""),"Café Orfeu")</f>
        <v>Café Orfeu</v>
      </c>
      <c r="B221" s="43" t="str">
        <f>IFERROR(__xludf.DUMMYFUNCTION("""COMPUTED_VALUE"""),"NCon")</f>
        <v>NCon</v>
      </c>
      <c r="C221" s="43" t="str">
        <f>IFERROR(__xludf.DUMMYFUNCTION("""COMPUTED_VALUE"""),"Pesquisa de Mercado")</f>
        <v>Pesquisa de Mercado</v>
      </c>
      <c r="D221" s="43" t="str">
        <f>IFERROR(__xludf.DUMMYFUNCTION("""COMPUTED_VALUE"""),"Projeto")</f>
        <v>Projeto</v>
      </c>
      <c r="E221" s="46">
        <f>IFERROR(__xludf.DUMMYFUNCTION("""COMPUTED_VALUE"""),10000.0)</f>
        <v>10000</v>
      </c>
      <c r="F221" s="34">
        <f>IFERROR(__xludf.DUMMYFUNCTION("""COMPUTED_VALUE"""),5.0)</f>
        <v>5</v>
      </c>
      <c r="G221" s="34">
        <f>IFERROR(__xludf.DUMMYFUNCTION("""COMPUTED_VALUE"""),1.0)</f>
        <v>1</v>
      </c>
      <c r="H221" s="47">
        <f>IFERROR(__xludf.DUMMYFUNCTION("""COMPUTED_VALUE"""),45418.0)</f>
        <v>45418</v>
      </c>
      <c r="I221" s="47">
        <f>IFERROR(__xludf.DUMMYFUNCTION("""COMPUTED_VALUE"""),45450.0)</f>
        <v>45450</v>
      </c>
      <c r="J221" s="103" t="s">
        <v>39</v>
      </c>
      <c r="K221" s="47"/>
      <c r="L221" s="81"/>
      <c r="M221" s="47"/>
      <c r="N221" s="47"/>
      <c r="O221" s="20" t="s">
        <v>40</v>
      </c>
      <c r="P221" s="102" t="b">
        <v>0</v>
      </c>
      <c r="Q221" s="102" t="b">
        <v>0</v>
      </c>
      <c r="R221" s="102" t="b">
        <v>0</v>
      </c>
      <c r="S221" s="34"/>
      <c r="T221" s="43"/>
      <c r="U221" s="102" t="b">
        <v>0</v>
      </c>
      <c r="V221" s="20" t="s">
        <v>120</v>
      </c>
      <c r="W221" s="20" t="s">
        <v>175</v>
      </c>
      <c r="X221" s="43"/>
      <c r="Y221" s="43"/>
      <c r="Z221" s="43"/>
      <c r="AA221" s="34">
        <f t="shared" si="25"/>
        <v>0</v>
      </c>
      <c r="AB221" s="35"/>
      <c r="AC221" s="29" t="str">
        <f t="shared" si="5"/>
        <v>Sim</v>
      </c>
      <c r="AD221" s="37" t="str">
        <f t="shared" si="1"/>
        <v>Não</v>
      </c>
      <c r="AE221" s="38">
        <f t="shared" si="6"/>
        <v>0</v>
      </c>
      <c r="AF221" s="29"/>
      <c r="AG221" s="39"/>
    </row>
    <row r="222" hidden="1">
      <c r="A222" s="43" t="str">
        <f>IFERROR(__xludf.DUMMYFUNCTION("""COMPUTED_VALUE"""),"Ana Maria")</f>
        <v>Ana Maria</v>
      </c>
      <c r="B222" s="43" t="str">
        <f>IFERROR(__xludf.DUMMYFUNCTION("""COMPUTED_VALUE"""),"NCiv")</f>
        <v>NCiv</v>
      </c>
      <c r="C222" s="43" t="str">
        <f>IFERROR(__xludf.DUMMYFUNCTION("""COMPUTED_VALUE"""),"Completo")</f>
        <v>Completo</v>
      </c>
      <c r="D222" s="43" t="str">
        <f>IFERROR(__xludf.DUMMYFUNCTION("""COMPUTED_VALUE"""),"Projeto")</f>
        <v>Projeto</v>
      </c>
      <c r="E222" s="46">
        <f>IFERROR(__xludf.DUMMYFUNCTION("""COMPUTED_VALUE"""),22360.0)</f>
        <v>22360</v>
      </c>
      <c r="F222" s="34">
        <f>IFERROR(__xludf.DUMMYFUNCTION("""COMPUTED_VALUE"""),11.0)</f>
        <v>11</v>
      </c>
      <c r="G222" s="34">
        <f>IFERROR(__xludf.DUMMYFUNCTION("""COMPUTED_VALUE"""),4.0)</f>
        <v>4</v>
      </c>
      <c r="H222" s="47">
        <f>IFERROR(__xludf.DUMMYFUNCTION("""COMPUTED_VALUE"""),45467.0)</f>
        <v>45467</v>
      </c>
      <c r="I222" s="47">
        <f>IFERROR(__xludf.DUMMYFUNCTION("""COMPUTED_VALUE"""),45552.0)</f>
        <v>45552</v>
      </c>
      <c r="J222" s="111"/>
      <c r="K222" s="47"/>
      <c r="L222" s="81"/>
      <c r="M222" s="29" t="str">
        <f t="shared" ref="M222:M226" si="35">IF(K222&lt;&gt;"",K222+(F222+L222)*7,"-")</f>
        <v>-</v>
      </c>
      <c r="N222" s="47"/>
      <c r="O222" s="20" t="s">
        <v>103</v>
      </c>
      <c r="P222" s="102" t="b">
        <v>0</v>
      </c>
      <c r="Q222" s="102" t="b">
        <v>0</v>
      </c>
      <c r="R222" s="102" t="b">
        <v>0</v>
      </c>
      <c r="S222" s="34"/>
      <c r="T222" s="43"/>
      <c r="U222" s="102" t="b">
        <v>0</v>
      </c>
      <c r="V222" s="43"/>
      <c r="W222" s="43"/>
      <c r="X222" s="43"/>
      <c r="Y222" s="43"/>
      <c r="Z222" s="43"/>
      <c r="AA222" s="34">
        <f t="shared" si="25"/>
        <v>0</v>
      </c>
      <c r="AB222" s="35"/>
      <c r="AC222" s="29" t="str">
        <f t="shared" si="5"/>
        <v>NÃO</v>
      </c>
      <c r="AD222" s="37" t="str">
        <f t="shared" si="1"/>
        <v>Não</v>
      </c>
      <c r="AE222" s="38">
        <f t="shared" si="6"/>
        <v>0</v>
      </c>
      <c r="AF222" s="29"/>
      <c r="AG222" s="39"/>
    </row>
    <row r="223" hidden="1">
      <c r="A223" s="43" t="str">
        <f>IFERROR(__xludf.DUMMYFUNCTION("""COMPUTED_VALUE"""),"Jorge")</f>
        <v>Jorge</v>
      </c>
      <c r="B223" s="43" t="str">
        <f>IFERROR(__xludf.DUMMYFUNCTION("""COMPUTED_VALUE"""),"NCiv")</f>
        <v>NCiv</v>
      </c>
      <c r="C223" s="43" t="str">
        <f>IFERROR(__xludf.DUMMYFUNCTION("""COMPUTED_VALUE"""),"Completo")</f>
        <v>Completo</v>
      </c>
      <c r="D223" s="43" t="str">
        <f>IFERROR(__xludf.DUMMYFUNCTION("""COMPUTED_VALUE"""),"Projeto")</f>
        <v>Projeto</v>
      </c>
      <c r="E223" s="46">
        <f>IFERROR(__xludf.DUMMYFUNCTION("""COMPUTED_VALUE"""),19460.0)</f>
        <v>19460</v>
      </c>
      <c r="F223" s="34">
        <f>IFERROR(__xludf.DUMMYFUNCTION("""COMPUTED_VALUE"""),10.0)</f>
        <v>10</v>
      </c>
      <c r="G223" s="34">
        <f>IFERROR(__xludf.DUMMYFUNCTION("""COMPUTED_VALUE"""),4.0)</f>
        <v>4</v>
      </c>
      <c r="H223" s="47">
        <f>IFERROR(__xludf.DUMMYFUNCTION("""COMPUTED_VALUE"""),45467.0)</f>
        <v>45467</v>
      </c>
      <c r="I223" s="47">
        <f>IFERROR(__xludf.DUMMYFUNCTION("""COMPUTED_VALUE"""),45545.0)</f>
        <v>45545</v>
      </c>
      <c r="J223" s="111"/>
      <c r="K223" s="47"/>
      <c r="L223" s="81"/>
      <c r="M223" s="29" t="str">
        <f t="shared" si="35"/>
        <v>-</v>
      </c>
      <c r="N223" s="47"/>
      <c r="O223" s="20" t="s">
        <v>103</v>
      </c>
      <c r="P223" s="102" t="b">
        <v>0</v>
      </c>
      <c r="Q223" s="102" t="b">
        <v>0</v>
      </c>
      <c r="R223" s="102" t="b">
        <v>0</v>
      </c>
      <c r="S223" s="34"/>
      <c r="T223" s="43"/>
      <c r="U223" s="102" t="b">
        <v>0</v>
      </c>
      <c r="V223" s="43"/>
      <c r="W223" s="43"/>
      <c r="X223" s="43"/>
      <c r="Y223" s="43"/>
      <c r="Z223" s="43"/>
      <c r="AA223" s="34">
        <f t="shared" si="25"/>
        <v>0</v>
      </c>
      <c r="AB223" s="35"/>
      <c r="AC223" s="29" t="str">
        <f t="shared" si="5"/>
        <v>NÃO</v>
      </c>
      <c r="AD223" s="37" t="str">
        <f t="shared" si="1"/>
        <v>Não</v>
      </c>
      <c r="AE223" s="38">
        <f t="shared" si="6"/>
        <v>0</v>
      </c>
      <c r="AF223" s="29"/>
      <c r="AG223" s="39"/>
    </row>
    <row r="224" hidden="1">
      <c r="A224" s="43" t="str">
        <f>IFERROR(__xludf.DUMMYFUNCTION("""COMPUTED_VALUE"""),"Manoel")</f>
        <v>Manoel</v>
      </c>
      <c r="B224" s="43" t="str">
        <f>IFERROR(__xludf.DUMMYFUNCTION("""COMPUTED_VALUE"""),"NCiv")</f>
        <v>NCiv</v>
      </c>
      <c r="C224" s="43" t="str">
        <f>IFERROR(__xludf.DUMMYFUNCTION("""COMPUTED_VALUE"""),"Design de Interiores")</f>
        <v>Design de Interiores</v>
      </c>
      <c r="D224" s="43" t="str">
        <f>IFERROR(__xludf.DUMMYFUNCTION("""COMPUTED_VALUE"""),"Projeto")</f>
        <v>Projeto</v>
      </c>
      <c r="E224" s="46">
        <f>IFERROR(__xludf.DUMMYFUNCTION("""COMPUTED_VALUE"""),4100.0)</f>
        <v>4100</v>
      </c>
      <c r="F224" s="34">
        <f>IFERROR(__xludf.DUMMYFUNCTION("""COMPUTED_VALUE"""),5.0)</f>
        <v>5</v>
      </c>
      <c r="G224" s="34">
        <f>IFERROR(__xludf.DUMMYFUNCTION("""COMPUTED_VALUE"""),1.0)</f>
        <v>1</v>
      </c>
      <c r="H224" s="47">
        <f>IFERROR(__xludf.DUMMYFUNCTION("""COMPUTED_VALUE"""),45467.0)</f>
        <v>45467</v>
      </c>
      <c r="I224" s="47">
        <f>IFERROR(__xludf.DUMMYFUNCTION("""COMPUTED_VALUE"""),45504.0)</f>
        <v>45504</v>
      </c>
      <c r="J224" s="111"/>
      <c r="K224" s="47"/>
      <c r="L224" s="81"/>
      <c r="M224" s="29" t="str">
        <f t="shared" si="35"/>
        <v>-</v>
      </c>
      <c r="N224" s="47"/>
      <c r="O224" s="20" t="s">
        <v>51</v>
      </c>
      <c r="P224" s="102" t="b">
        <v>0</v>
      </c>
      <c r="Q224" s="102" t="b">
        <v>0</v>
      </c>
      <c r="R224" s="102" t="b">
        <v>0</v>
      </c>
      <c r="S224" s="34"/>
      <c r="T224" s="43"/>
      <c r="U224" s="102" t="b">
        <v>0</v>
      </c>
      <c r="V224" s="43"/>
      <c r="W224" s="43"/>
      <c r="X224" s="43"/>
      <c r="Y224" s="43"/>
      <c r="Z224" s="43"/>
      <c r="AA224" s="34">
        <f t="shared" si="25"/>
        <v>0</v>
      </c>
      <c r="AB224" s="35"/>
      <c r="AC224" s="29" t="str">
        <f t="shared" si="5"/>
        <v>NÃO</v>
      </c>
      <c r="AD224" s="37" t="str">
        <f t="shared" si="1"/>
        <v>Não</v>
      </c>
      <c r="AE224" s="38">
        <f t="shared" si="6"/>
        <v>0</v>
      </c>
      <c r="AF224" s="29"/>
      <c r="AG224" s="39"/>
    </row>
    <row r="225">
      <c r="A225" s="43" t="str">
        <f>IFERROR(__xludf.DUMMYFUNCTION("""COMPUTED_VALUE"""),"Mecalor")</f>
        <v>Mecalor</v>
      </c>
      <c r="B225" s="43" t="str">
        <f>IFERROR(__xludf.DUMMYFUNCTION("""COMPUTED_VALUE"""),"NDados")</f>
        <v>NDados</v>
      </c>
      <c r="C225" s="43" t="str">
        <f>IFERROR(__xludf.DUMMYFUNCTION("""COMPUTED_VALUE"""),"Previsão")</f>
        <v>Previsão</v>
      </c>
      <c r="D225" s="43" t="str">
        <f>IFERROR(__xludf.DUMMYFUNCTION("""COMPUTED_VALUE"""),"Projeto")</f>
        <v>Projeto</v>
      </c>
      <c r="E225" s="46">
        <f>IFERROR(__xludf.DUMMYFUNCTION("""COMPUTED_VALUE"""),44000.0)</f>
        <v>44000</v>
      </c>
      <c r="F225" s="34">
        <f>IFERROR(__xludf.DUMMYFUNCTION("""COMPUTED_VALUE"""),12.0)</f>
        <v>12</v>
      </c>
      <c r="G225" s="34">
        <f>IFERROR(__xludf.DUMMYFUNCTION("""COMPUTED_VALUE"""),2.0)</f>
        <v>2</v>
      </c>
      <c r="H225" s="47">
        <f>IFERROR(__xludf.DUMMYFUNCTION("""COMPUTED_VALUE"""),45421.0)</f>
        <v>45421</v>
      </c>
      <c r="I225" s="47">
        <f>IFERROR(__xludf.DUMMYFUNCTION("""COMPUTED_VALUE"""),45512.0)</f>
        <v>45512</v>
      </c>
      <c r="J225" s="103" t="s">
        <v>39</v>
      </c>
      <c r="K225" s="26">
        <v>45454.0</v>
      </c>
      <c r="L225" s="86">
        <v>0.0</v>
      </c>
      <c r="M225" s="29">
        <f t="shared" si="35"/>
        <v>45538</v>
      </c>
      <c r="N225" s="47"/>
      <c r="O225" s="20" t="s">
        <v>40</v>
      </c>
      <c r="P225" s="102" t="b">
        <v>0</v>
      </c>
      <c r="Q225" s="102" t="b">
        <v>0</v>
      </c>
      <c r="R225" s="102" t="b">
        <v>0</v>
      </c>
      <c r="S225" s="34"/>
      <c r="T225" s="43"/>
      <c r="U225" s="31" t="b">
        <f>IF(AND(S225&gt;=9,R225=TRUE,N225&lt;=M225,N225&lt;&gt;0),TRUE,FALSE)</f>
        <v>0</v>
      </c>
      <c r="V225" s="20" t="s">
        <v>238</v>
      </c>
      <c r="W225" s="20" t="s">
        <v>356</v>
      </c>
      <c r="X225" s="20" t="s">
        <v>341</v>
      </c>
      <c r="Y225" s="43"/>
      <c r="Z225" s="43"/>
      <c r="AA225" s="34">
        <f t="shared" si="25"/>
        <v>0</v>
      </c>
      <c r="AB225" s="35"/>
      <c r="AC225" s="29" t="str">
        <f t="shared" si="5"/>
        <v>NÃO</v>
      </c>
      <c r="AD225" s="37" t="str">
        <f t="shared" si="1"/>
        <v>Não</v>
      </c>
      <c r="AE225" s="38">
        <f t="shared" si="6"/>
        <v>33</v>
      </c>
      <c r="AF225" s="29"/>
      <c r="AG225" s="39"/>
    </row>
    <row r="226" hidden="1">
      <c r="A226" s="43" t="str">
        <f>IFERROR(__xludf.DUMMYFUNCTION("""COMPUTED_VALUE"""),"Marcelo ")</f>
        <v>Marcelo </v>
      </c>
      <c r="B226" s="43" t="str">
        <f>IFERROR(__xludf.DUMMYFUNCTION("""COMPUTED_VALUE"""),"NCiv")</f>
        <v>NCiv</v>
      </c>
      <c r="C226" s="43" t="str">
        <f>IFERROR(__xludf.DUMMYFUNCTION("""COMPUTED_VALUE"""),"Arquitetônico")</f>
        <v>Arquitetônico</v>
      </c>
      <c r="D226" s="43" t="str">
        <f>IFERROR(__xludf.DUMMYFUNCTION("""COMPUTED_VALUE"""),"Projeto")</f>
        <v>Projeto</v>
      </c>
      <c r="E226" s="46">
        <f>IFERROR(__xludf.DUMMYFUNCTION("""COMPUTED_VALUE"""),3600.0)</f>
        <v>3600</v>
      </c>
      <c r="F226" s="34">
        <f>IFERROR(__xludf.DUMMYFUNCTION("""COMPUTED_VALUE"""),4.0)</f>
        <v>4</v>
      </c>
      <c r="G226" s="34">
        <f>IFERROR(__xludf.DUMMYFUNCTION("""COMPUTED_VALUE"""),1.0)</f>
        <v>1</v>
      </c>
      <c r="H226" s="47">
        <f>IFERROR(__xludf.DUMMYFUNCTION("""COMPUTED_VALUE"""),45425.0)</f>
        <v>45425</v>
      </c>
      <c r="I226" s="47">
        <f>IFERROR(__xludf.DUMMYFUNCTION("""COMPUTED_VALUE"""),45439.0)</f>
        <v>45439</v>
      </c>
      <c r="J226" s="103" t="s">
        <v>39</v>
      </c>
      <c r="K226" s="26">
        <v>45435.0</v>
      </c>
      <c r="L226" s="86">
        <f>1+5/7+2/7</f>
        <v>2</v>
      </c>
      <c r="M226" s="29">
        <f t="shared" si="35"/>
        <v>45477</v>
      </c>
      <c r="N226" s="47"/>
      <c r="O226" s="20" t="s">
        <v>40</v>
      </c>
      <c r="P226" s="102" t="b">
        <v>0</v>
      </c>
      <c r="Q226" s="102" t="b">
        <v>0</v>
      </c>
      <c r="R226" s="31" t="b">
        <v>0</v>
      </c>
      <c r="S226" s="34"/>
      <c r="T226" s="43"/>
      <c r="U226" s="102" t="b">
        <v>0</v>
      </c>
      <c r="V226" s="20" t="s">
        <v>52</v>
      </c>
      <c r="W226" s="20" t="s">
        <v>72</v>
      </c>
      <c r="X226" s="43"/>
      <c r="Y226" s="43"/>
      <c r="Z226" s="43"/>
      <c r="AA226" s="34">
        <f t="shared" si="25"/>
        <v>0</v>
      </c>
      <c r="AB226" s="35"/>
      <c r="AC226" s="29" t="str">
        <f t="shared" si="5"/>
        <v>NÃO</v>
      </c>
      <c r="AD226" s="37" t="str">
        <f t="shared" si="1"/>
        <v>Não</v>
      </c>
      <c r="AE226" s="38">
        <f t="shared" si="6"/>
        <v>10</v>
      </c>
      <c r="AF226" s="29"/>
      <c r="AG226" s="39"/>
    </row>
    <row r="227" hidden="1">
      <c r="A227" s="43" t="str">
        <f>IFERROR(__xludf.DUMMYFUNCTION("""COMPUTED_VALUE"""),"Coris")</f>
        <v>Coris</v>
      </c>
      <c r="B227" s="43" t="str">
        <f>IFERROR(__xludf.DUMMYFUNCTION("""COMPUTED_VALUE"""),"NCon")</f>
        <v>NCon</v>
      </c>
      <c r="C227" s="43" t="str">
        <f>IFERROR(__xludf.DUMMYFUNCTION("""COMPUTED_VALUE"""),"Gestão de Processos")</f>
        <v>Gestão de Processos</v>
      </c>
      <c r="D227" s="43" t="str">
        <f>IFERROR(__xludf.DUMMYFUNCTION("""COMPUTED_VALUE"""),"Projeto")</f>
        <v>Projeto</v>
      </c>
      <c r="E227" s="46">
        <f>IFERROR(__xludf.DUMMYFUNCTION("""COMPUTED_VALUE"""),39750.0)</f>
        <v>39750</v>
      </c>
      <c r="F227" s="34">
        <f>IFERROR(__xludf.DUMMYFUNCTION("""COMPUTED_VALUE"""),10.0)</f>
        <v>10</v>
      </c>
      <c r="G227" s="34">
        <f>IFERROR(__xludf.DUMMYFUNCTION("""COMPUTED_VALUE"""),3.0)</f>
        <v>3</v>
      </c>
      <c r="H227" s="47">
        <f>IFERROR(__xludf.DUMMYFUNCTION("""COMPUTED_VALUE"""),45425.0)</f>
        <v>45425</v>
      </c>
      <c r="I227" s="47">
        <f>IFERROR(__xludf.DUMMYFUNCTION("""COMPUTED_VALUE"""),45492.0)</f>
        <v>45492</v>
      </c>
      <c r="J227" s="103" t="s">
        <v>50</v>
      </c>
      <c r="K227" s="47"/>
      <c r="L227" s="81"/>
      <c r="M227" s="47"/>
      <c r="N227" s="47"/>
      <c r="O227" s="20" t="s">
        <v>40</v>
      </c>
      <c r="P227" s="102" t="b">
        <v>0</v>
      </c>
      <c r="Q227" s="102" t="b">
        <v>0</v>
      </c>
      <c r="R227" s="102" t="b">
        <v>0</v>
      </c>
      <c r="S227" s="34"/>
      <c r="T227" s="43"/>
      <c r="U227" s="102" t="b">
        <v>0</v>
      </c>
      <c r="V227" s="20" t="s">
        <v>136</v>
      </c>
      <c r="W227" s="20" t="s">
        <v>335</v>
      </c>
      <c r="X227" s="20" t="s">
        <v>349</v>
      </c>
      <c r="Y227" s="43"/>
      <c r="Z227" s="43"/>
      <c r="AA227" s="34">
        <f t="shared" si="25"/>
        <v>0</v>
      </c>
      <c r="AB227" s="35"/>
      <c r="AC227" s="29" t="str">
        <f t="shared" si="5"/>
        <v>Sim</v>
      </c>
      <c r="AD227" s="37" t="str">
        <f t="shared" si="1"/>
        <v>Não</v>
      </c>
      <c r="AE227" s="38">
        <f t="shared" si="6"/>
        <v>0</v>
      </c>
      <c r="AF227" s="29"/>
      <c r="AG227" s="39"/>
    </row>
    <row r="228">
      <c r="A228" s="43" t="str">
        <f>IFERROR(__xludf.DUMMYFUNCTION("""COMPUTED_VALUE"""),"Serena Energy")</f>
        <v>Serena Energy</v>
      </c>
      <c r="B228" s="43" t="str">
        <f>IFERROR(__xludf.DUMMYFUNCTION("""COMPUTED_VALUE"""),"NDados")</f>
        <v>NDados</v>
      </c>
      <c r="C228" s="43" t="str">
        <f>IFERROR(__xludf.DUMMYFUNCTION("""COMPUTED_VALUE"""),"Previsão")</f>
        <v>Previsão</v>
      </c>
      <c r="D228" s="43" t="str">
        <f>IFERROR(__xludf.DUMMYFUNCTION("""COMPUTED_VALUE"""),"Projeto")</f>
        <v>Projeto</v>
      </c>
      <c r="E228" s="46">
        <f>IFERROR(__xludf.DUMMYFUNCTION("""COMPUTED_VALUE"""),28000.0)</f>
        <v>28000</v>
      </c>
      <c r="F228" s="34">
        <f>IFERROR(__xludf.DUMMYFUNCTION("""COMPUTED_VALUE"""),6.0)</f>
        <v>6</v>
      </c>
      <c r="G228" s="34">
        <f>IFERROR(__xludf.DUMMYFUNCTION("""COMPUTED_VALUE"""),2.0)</f>
        <v>2</v>
      </c>
      <c r="H228" s="47">
        <f>IFERROR(__xludf.DUMMYFUNCTION("""COMPUTED_VALUE"""),45425.0)</f>
        <v>45425</v>
      </c>
      <c r="I228" s="47">
        <f>IFERROR(__xludf.DUMMYFUNCTION("""COMPUTED_VALUE"""),45474.0)</f>
        <v>45474</v>
      </c>
      <c r="J228" s="103" t="s">
        <v>39</v>
      </c>
      <c r="K228" s="26">
        <v>45435.0</v>
      </c>
      <c r="L228" s="86">
        <v>0.0</v>
      </c>
      <c r="M228" s="29">
        <f>IF(K228&lt;&gt;"",K228+(F228+L228)*7,"-")</f>
        <v>45477</v>
      </c>
      <c r="N228" s="47"/>
      <c r="O228" s="20" t="s">
        <v>40</v>
      </c>
      <c r="P228" s="102" t="b">
        <v>0</v>
      </c>
      <c r="Q228" s="102" t="b">
        <v>0</v>
      </c>
      <c r="R228" s="102" t="b">
        <v>0</v>
      </c>
      <c r="S228" s="34"/>
      <c r="T228" s="43"/>
      <c r="U228" s="31" t="b">
        <f>IF(AND(S228&gt;=9,R228=TRUE,N228&lt;=M228,N228&lt;&gt;0),TRUE,FALSE)</f>
        <v>0</v>
      </c>
      <c r="V228" s="20" t="s">
        <v>219</v>
      </c>
      <c r="W228" s="20" t="s">
        <v>351</v>
      </c>
      <c r="X228" s="20" t="s">
        <v>345</v>
      </c>
      <c r="Y228" s="43"/>
      <c r="Z228" s="43"/>
      <c r="AA228" s="34">
        <f t="shared" si="25"/>
        <v>0</v>
      </c>
      <c r="AB228" s="35"/>
      <c r="AC228" s="29" t="str">
        <f t="shared" si="5"/>
        <v>NÃO</v>
      </c>
      <c r="AD228" s="37" t="str">
        <f t="shared" si="1"/>
        <v>Não</v>
      </c>
      <c r="AE228" s="38">
        <f t="shared" si="6"/>
        <v>10</v>
      </c>
      <c r="AF228" s="29"/>
      <c r="AG228" s="39"/>
    </row>
    <row r="229" hidden="1">
      <c r="A229" s="43" t="str">
        <f>IFERROR(__xludf.DUMMYFUNCTION("""COMPUTED_VALUE"""),"PM Polyanna")</f>
        <v>PM Polyanna</v>
      </c>
      <c r="B229" s="43" t="str">
        <f>IFERROR(__xludf.DUMMYFUNCTION("""COMPUTED_VALUE"""),"NCon")</f>
        <v>NCon</v>
      </c>
      <c r="C229" s="43" t="str">
        <f>IFERROR(__xludf.DUMMYFUNCTION("""COMPUTED_VALUE"""),"Pesquisa de Mercado")</f>
        <v>Pesquisa de Mercado</v>
      </c>
      <c r="D229" s="43" t="str">
        <f>IFERROR(__xludf.DUMMYFUNCTION("""COMPUTED_VALUE"""),"Projeto")</f>
        <v>Projeto</v>
      </c>
      <c r="E229" s="46">
        <f>IFERROR(__xludf.DUMMYFUNCTION("""COMPUTED_VALUE"""),9000.0)</f>
        <v>9000</v>
      </c>
      <c r="F229" s="34">
        <f>IFERROR(__xludf.DUMMYFUNCTION("""COMPUTED_VALUE"""),6.0)</f>
        <v>6</v>
      </c>
      <c r="G229" s="34">
        <f>IFERROR(__xludf.DUMMYFUNCTION("""COMPUTED_VALUE"""),1.0)</f>
        <v>1</v>
      </c>
      <c r="H229" s="47">
        <f>IFERROR(__xludf.DUMMYFUNCTION("""COMPUTED_VALUE"""),45432.0)</f>
        <v>45432</v>
      </c>
      <c r="I229" s="47">
        <f>IFERROR(__xludf.DUMMYFUNCTION("""COMPUTED_VALUE"""),45440.0)</f>
        <v>45440</v>
      </c>
      <c r="J229" s="103" t="s">
        <v>39</v>
      </c>
      <c r="K229" s="47"/>
      <c r="L229" s="81"/>
      <c r="M229" s="47"/>
      <c r="N229" s="47"/>
      <c r="O229" s="20" t="s">
        <v>40</v>
      </c>
      <c r="P229" s="102" t="b">
        <v>0</v>
      </c>
      <c r="Q229" s="102" t="b">
        <v>0</v>
      </c>
      <c r="R229" s="102" t="b">
        <v>0</v>
      </c>
      <c r="S229" s="34"/>
      <c r="T229" s="43"/>
      <c r="U229" s="102" t="b">
        <v>0</v>
      </c>
      <c r="V229" s="20" t="s">
        <v>143</v>
      </c>
      <c r="W229" s="20" t="s">
        <v>170</v>
      </c>
      <c r="X229" s="43"/>
      <c r="Y229" s="43"/>
      <c r="Z229" s="43"/>
      <c r="AA229" s="34">
        <f t="shared" si="25"/>
        <v>0</v>
      </c>
      <c r="AB229" s="35"/>
      <c r="AC229" s="29" t="str">
        <f t="shared" si="5"/>
        <v>Sim</v>
      </c>
      <c r="AD229" s="37" t="str">
        <f t="shared" si="1"/>
        <v>Não</v>
      </c>
      <c r="AE229" s="38">
        <f t="shared" si="6"/>
        <v>0</v>
      </c>
      <c r="AF229" s="29"/>
      <c r="AG229" s="39"/>
    </row>
    <row r="230" hidden="1">
      <c r="A230" s="43" t="str">
        <f>IFERROR(__xludf.DUMMYFUNCTION("""COMPUTED_VALUE"""),"PM Rafaela")</f>
        <v>PM Rafaela</v>
      </c>
      <c r="B230" s="43" t="str">
        <f>IFERROR(__xludf.DUMMYFUNCTION("""COMPUTED_VALUE"""),"NCon")</f>
        <v>NCon</v>
      </c>
      <c r="C230" s="43" t="str">
        <f>IFERROR(__xludf.DUMMYFUNCTION("""COMPUTED_VALUE"""),"Pesquisa de Mercado")</f>
        <v>Pesquisa de Mercado</v>
      </c>
      <c r="D230" s="43" t="str">
        <f>IFERROR(__xludf.DUMMYFUNCTION("""COMPUTED_VALUE"""),"Projeto")</f>
        <v>Projeto</v>
      </c>
      <c r="E230" s="46">
        <f>IFERROR(__xludf.DUMMYFUNCTION("""COMPUTED_VALUE"""),9700.0)</f>
        <v>9700</v>
      </c>
      <c r="F230" s="34">
        <f>IFERROR(__xludf.DUMMYFUNCTION("""COMPUTED_VALUE"""),6.0)</f>
        <v>6</v>
      </c>
      <c r="G230" s="34">
        <f>IFERROR(__xludf.DUMMYFUNCTION("""COMPUTED_VALUE"""),1.0)</f>
        <v>1</v>
      </c>
      <c r="H230" s="47">
        <f>IFERROR(__xludf.DUMMYFUNCTION("""COMPUTED_VALUE"""),45439.0)</f>
        <v>45439</v>
      </c>
      <c r="I230" s="47">
        <f>IFERROR(__xludf.DUMMYFUNCTION("""COMPUTED_VALUE"""),45478.0)</f>
        <v>45478</v>
      </c>
      <c r="J230" s="103" t="s">
        <v>39</v>
      </c>
      <c r="K230" s="47"/>
      <c r="L230" s="81"/>
      <c r="M230" s="47"/>
      <c r="N230" s="47"/>
      <c r="O230" s="20" t="s">
        <v>103</v>
      </c>
      <c r="P230" s="102" t="b">
        <v>0</v>
      </c>
      <c r="Q230" s="102" t="b">
        <v>0</v>
      </c>
      <c r="R230" s="102" t="b">
        <v>0</v>
      </c>
      <c r="S230" s="34"/>
      <c r="T230" s="43"/>
      <c r="U230" s="102" t="b">
        <v>0</v>
      </c>
      <c r="V230" s="20" t="s">
        <v>120</v>
      </c>
      <c r="W230" s="20" t="s">
        <v>168</v>
      </c>
      <c r="X230" s="43"/>
      <c r="Y230" s="43"/>
      <c r="Z230" s="43"/>
      <c r="AA230" s="34">
        <f t="shared" si="25"/>
        <v>0</v>
      </c>
      <c r="AB230" s="35"/>
      <c r="AC230" s="29" t="str">
        <f t="shared" si="5"/>
        <v>Sim</v>
      </c>
      <c r="AD230" s="37" t="str">
        <f t="shared" si="1"/>
        <v>Não</v>
      </c>
      <c r="AE230" s="38">
        <f t="shared" si="6"/>
        <v>0</v>
      </c>
      <c r="AF230" s="29"/>
      <c r="AG230" s="39"/>
    </row>
    <row r="231">
      <c r="A231" s="43" t="str">
        <f>IFERROR(__xludf.DUMMYFUNCTION("""COMPUTED_VALUE"""),"Hypera")</f>
        <v>Hypera</v>
      </c>
      <c r="B231" s="43" t="str">
        <f>IFERROR(__xludf.DUMMYFUNCTION("""COMPUTED_VALUE"""),"NDados")</f>
        <v>NDados</v>
      </c>
      <c r="C231" s="43" t="str">
        <f>IFERROR(__xludf.DUMMYFUNCTION("""COMPUTED_VALUE"""),"Previsão")</f>
        <v>Previsão</v>
      </c>
      <c r="D231" s="43" t="str">
        <f>IFERROR(__xludf.DUMMYFUNCTION("""COMPUTED_VALUE"""),"Projeto")</f>
        <v>Projeto</v>
      </c>
      <c r="E231" s="46">
        <f>IFERROR(__xludf.DUMMYFUNCTION("""COMPUTED_VALUE"""),39600.0)</f>
        <v>39600</v>
      </c>
      <c r="F231" s="34">
        <f>IFERROR(__xludf.DUMMYFUNCTION("""COMPUTED_VALUE"""),11.0)</f>
        <v>11</v>
      </c>
      <c r="G231" s="34">
        <f>IFERROR(__xludf.DUMMYFUNCTION("""COMPUTED_VALUE"""),2.0)</f>
        <v>2</v>
      </c>
      <c r="H231" s="47">
        <f>IFERROR(__xludf.DUMMYFUNCTION("""COMPUTED_VALUE"""),45439.0)</f>
        <v>45439</v>
      </c>
      <c r="I231" s="47">
        <f>IFERROR(__xludf.DUMMYFUNCTION("""COMPUTED_VALUE"""),45502.0)</f>
        <v>45502</v>
      </c>
      <c r="J231" s="103" t="s">
        <v>39</v>
      </c>
      <c r="K231" s="26">
        <v>45448.0</v>
      </c>
      <c r="L231" s="86">
        <v>0.0</v>
      </c>
      <c r="M231" s="29">
        <f t="shared" ref="M231:M232" si="36">IF(K231&lt;&gt;"",K231+(F231+L231)*7,"-")</f>
        <v>45525</v>
      </c>
      <c r="N231" s="47"/>
      <c r="O231" s="20" t="s">
        <v>40</v>
      </c>
      <c r="P231" s="102" t="b">
        <v>0</v>
      </c>
      <c r="Q231" s="102" t="b">
        <v>0</v>
      </c>
      <c r="R231" s="102" t="b">
        <v>0</v>
      </c>
      <c r="S231" s="34"/>
      <c r="T231" s="43"/>
      <c r="U231" s="31" t="b">
        <f t="shared" ref="U231:U232" si="37">IF(AND(S231&gt;=9,R231=TRUE,N231&lt;=M231,N231&lt;&gt;0),TRUE,FALSE)</f>
        <v>0</v>
      </c>
      <c r="V231" s="20" t="s">
        <v>238</v>
      </c>
      <c r="W231" s="20" t="s">
        <v>334</v>
      </c>
      <c r="X231" s="20" t="s">
        <v>247</v>
      </c>
      <c r="Y231" s="43"/>
      <c r="Z231" s="43"/>
      <c r="AA231" s="34">
        <f t="shared" si="25"/>
        <v>0</v>
      </c>
      <c r="AB231" s="35"/>
      <c r="AC231" s="29" t="str">
        <f t="shared" si="5"/>
        <v>NÃO</v>
      </c>
      <c r="AD231" s="37" t="str">
        <f t="shared" si="1"/>
        <v>Não</v>
      </c>
      <c r="AE231" s="38">
        <f t="shared" si="6"/>
        <v>9</v>
      </c>
      <c r="AF231" s="29"/>
      <c r="AG231" s="39"/>
    </row>
    <row r="232">
      <c r="A232" s="43" t="str">
        <f>IFERROR(__xludf.DUMMYFUNCTION("""COMPUTED_VALUE"""),"Bacio Di Latte")</f>
        <v>Bacio Di Latte</v>
      </c>
      <c r="B232" s="43" t="str">
        <f>IFERROR(__xludf.DUMMYFUNCTION("""COMPUTED_VALUE"""),"NDados")</f>
        <v>NDados</v>
      </c>
      <c r="C232" s="43" t="str">
        <f>IFERROR(__xludf.DUMMYFUNCTION("""COMPUTED_VALUE"""),"Visualização")</f>
        <v>Visualização</v>
      </c>
      <c r="D232" s="43" t="str">
        <f>IFERROR(__xludf.DUMMYFUNCTION("""COMPUTED_VALUE"""),"Projeto")</f>
        <v>Projeto</v>
      </c>
      <c r="E232" s="46">
        <f>IFERROR(__xludf.DUMMYFUNCTION("""COMPUTED_VALUE"""),22050.0)</f>
        <v>22050</v>
      </c>
      <c r="F232" s="34">
        <f>IFERROR(__xludf.DUMMYFUNCTION("""COMPUTED_VALUE"""),8.0)</f>
        <v>8</v>
      </c>
      <c r="G232" s="34">
        <f>IFERROR(__xludf.DUMMYFUNCTION("""COMPUTED_VALUE"""),2.0)</f>
        <v>2</v>
      </c>
      <c r="H232" s="47">
        <f>IFERROR(__xludf.DUMMYFUNCTION("""COMPUTED_VALUE"""),45439.0)</f>
        <v>45439</v>
      </c>
      <c r="I232" s="47">
        <f>IFERROR(__xludf.DUMMYFUNCTION("""COMPUTED_VALUE"""),45502.0)</f>
        <v>45502</v>
      </c>
      <c r="J232" s="103" t="s">
        <v>39</v>
      </c>
      <c r="K232" s="26">
        <v>45454.0</v>
      </c>
      <c r="L232" s="86">
        <v>0.0</v>
      </c>
      <c r="M232" s="29">
        <f t="shared" si="36"/>
        <v>45510</v>
      </c>
      <c r="N232" s="47"/>
      <c r="O232" s="20" t="s">
        <v>40</v>
      </c>
      <c r="P232" s="102" t="b">
        <v>0</v>
      </c>
      <c r="Q232" s="102" t="b">
        <v>0</v>
      </c>
      <c r="R232" s="102" t="b">
        <v>0</v>
      </c>
      <c r="S232" s="34"/>
      <c r="T232" s="43"/>
      <c r="U232" s="31" t="b">
        <f t="shared" si="37"/>
        <v>0</v>
      </c>
      <c r="V232" s="20" t="s">
        <v>191</v>
      </c>
      <c r="W232" s="20" t="s">
        <v>253</v>
      </c>
      <c r="X232" s="20" t="s">
        <v>193</v>
      </c>
      <c r="Y232" s="43"/>
      <c r="Z232" s="43"/>
      <c r="AA232" s="34">
        <f t="shared" si="25"/>
        <v>0</v>
      </c>
      <c r="AB232" s="35"/>
      <c r="AC232" s="29" t="str">
        <f t="shared" si="5"/>
        <v>NÃO</v>
      </c>
      <c r="AD232" s="37" t="str">
        <f t="shared" si="1"/>
        <v>Não</v>
      </c>
      <c r="AE232" s="38">
        <f t="shared" si="6"/>
        <v>15</v>
      </c>
      <c r="AF232" s="29"/>
      <c r="AG232" s="39"/>
    </row>
    <row r="233" hidden="1">
      <c r="A233" s="43" t="str">
        <f>IFERROR(__xludf.DUMMYFUNCTION("""COMPUTED_VALUE"""),"Eduardo")</f>
        <v>Eduardo</v>
      </c>
      <c r="B233" s="43" t="str">
        <f>IFERROR(__xludf.DUMMYFUNCTION("""COMPUTED_VALUE"""),"NCiv")</f>
        <v>NCiv</v>
      </c>
      <c r="C233" s="43" t="str">
        <f>IFERROR(__xludf.DUMMYFUNCTION("""COMPUTED_VALUE"""),"Arquitetônico")</f>
        <v>Arquitetônico</v>
      </c>
      <c r="D233" s="43" t="str">
        <f>IFERROR(__xludf.DUMMYFUNCTION("""COMPUTED_VALUE"""),"Projeto")</f>
        <v>Projeto</v>
      </c>
      <c r="E233" s="46">
        <f>IFERROR(__xludf.DUMMYFUNCTION("""COMPUTED_VALUE"""),1800.0)</f>
        <v>1800</v>
      </c>
      <c r="F233" s="34">
        <f>IFERROR(__xludf.DUMMYFUNCTION("""COMPUTED_VALUE"""),2.0)</f>
        <v>2</v>
      </c>
      <c r="G233" s="34">
        <f>IFERROR(__xludf.DUMMYFUNCTION("""COMPUTED_VALUE"""),1.0)</f>
        <v>1</v>
      </c>
      <c r="H233" s="47">
        <f>IFERROR(__xludf.DUMMYFUNCTION("""COMPUTED_VALUE"""),45467.0)</f>
        <v>45467</v>
      </c>
      <c r="I233" s="47">
        <f>IFERROR(__xludf.DUMMYFUNCTION("""COMPUTED_VALUE"""),45481.0)</f>
        <v>45481</v>
      </c>
      <c r="J233" s="103" t="s">
        <v>50</v>
      </c>
      <c r="K233" s="47"/>
      <c r="L233" s="81"/>
      <c r="M233" s="47"/>
      <c r="N233" s="47"/>
      <c r="O233" s="20" t="s">
        <v>103</v>
      </c>
      <c r="P233" s="102" t="b">
        <v>0</v>
      </c>
      <c r="Q233" s="102" t="b">
        <v>0</v>
      </c>
      <c r="R233" s="102" t="b">
        <v>0</v>
      </c>
      <c r="S233" s="34"/>
      <c r="T233" s="43"/>
      <c r="U233" s="102" t="b">
        <v>0</v>
      </c>
      <c r="V233" s="43"/>
      <c r="W233" s="43"/>
      <c r="X233" s="43"/>
      <c r="Y233" s="43"/>
      <c r="Z233" s="43"/>
      <c r="AA233" s="34">
        <f t="shared" si="25"/>
        <v>0</v>
      </c>
      <c r="AB233" s="35"/>
      <c r="AC233" s="29" t="str">
        <f t="shared" si="5"/>
        <v>Sim</v>
      </c>
      <c r="AD233" s="37" t="str">
        <f t="shared" si="1"/>
        <v>Não</v>
      </c>
      <c r="AE233" s="38">
        <f t="shared" si="6"/>
        <v>0</v>
      </c>
      <c r="AF233" s="29"/>
      <c r="AG233" s="39"/>
    </row>
    <row r="234" hidden="1">
      <c r="A234" s="43" t="str">
        <f>IFERROR(__xludf.DUMMYFUNCTION("""COMPUTED_VALUE"""),"Kaleo")</f>
        <v>Kaleo</v>
      </c>
      <c r="B234" s="43" t="str">
        <f>IFERROR(__xludf.DUMMYFUNCTION("""COMPUTED_VALUE"""),"NCiv")</f>
        <v>NCiv</v>
      </c>
      <c r="C234" s="43" t="str">
        <f>IFERROR(__xludf.DUMMYFUNCTION("""COMPUTED_VALUE"""),"Arquitetônico")</f>
        <v>Arquitetônico</v>
      </c>
      <c r="D234" s="43" t="str">
        <f>IFERROR(__xludf.DUMMYFUNCTION("""COMPUTED_VALUE"""),"Projeto")</f>
        <v>Projeto</v>
      </c>
      <c r="E234" s="46">
        <f>IFERROR(__xludf.DUMMYFUNCTION("""COMPUTED_VALUE"""),3300.0)</f>
        <v>3300</v>
      </c>
      <c r="F234" s="34">
        <f>IFERROR(__xludf.DUMMYFUNCTION("""COMPUTED_VALUE"""),4.0)</f>
        <v>4</v>
      </c>
      <c r="G234" s="34">
        <f>IFERROR(__xludf.DUMMYFUNCTION("""COMPUTED_VALUE"""),1.0)</f>
        <v>1</v>
      </c>
      <c r="H234" s="47">
        <f>IFERROR(__xludf.DUMMYFUNCTION("""COMPUTED_VALUE"""),45467.0)</f>
        <v>45467</v>
      </c>
      <c r="I234" s="47">
        <f>IFERROR(__xludf.DUMMYFUNCTION("""COMPUTED_VALUE"""),45502.0)</f>
        <v>45502</v>
      </c>
      <c r="J234" s="111"/>
      <c r="K234" s="47"/>
      <c r="L234" s="81"/>
      <c r="M234" s="47"/>
      <c r="N234" s="47"/>
      <c r="O234" s="20" t="s">
        <v>103</v>
      </c>
      <c r="P234" s="102" t="b">
        <v>0</v>
      </c>
      <c r="Q234" s="102" t="b">
        <v>0</v>
      </c>
      <c r="R234" s="102" t="b">
        <v>0</v>
      </c>
      <c r="S234" s="34"/>
      <c r="T234" s="43"/>
      <c r="U234" s="102" t="b">
        <v>0</v>
      </c>
      <c r="V234" s="43"/>
      <c r="W234" s="43"/>
      <c r="X234" s="43"/>
      <c r="Y234" s="43"/>
      <c r="Z234" s="43"/>
      <c r="AA234" s="34">
        <f t="shared" si="25"/>
        <v>0</v>
      </c>
      <c r="AB234" s="35"/>
      <c r="AC234" s="29" t="str">
        <f t="shared" si="5"/>
        <v>Sim</v>
      </c>
      <c r="AD234" s="37" t="str">
        <f t="shared" si="1"/>
        <v>Não</v>
      </c>
      <c r="AE234" s="38">
        <f t="shared" si="6"/>
        <v>0</v>
      </c>
      <c r="AF234" s="29"/>
      <c r="AG234" s="39"/>
    </row>
    <row r="235">
      <c r="A235" s="43" t="str">
        <f>IFERROR(__xludf.DUMMYFUNCTION("""COMPUTED_VALUE"""),"Infotec")</f>
        <v>Infotec</v>
      </c>
      <c r="B235" s="43" t="str">
        <f>IFERROR(__xludf.DUMMYFUNCTION("""COMPUTED_VALUE"""),"NDados")</f>
        <v>NDados</v>
      </c>
      <c r="C235" s="43" t="str">
        <f>IFERROR(__xludf.DUMMYFUNCTION("""COMPUTED_VALUE"""),"Integração")</f>
        <v>Integração</v>
      </c>
      <c r="D235" s="43" t="str">
        <f>IFERROR(__xludf.DUMMYFUNCTION("""COMPUTED_VALUE"""),"Projeto")</f>
        <v>Projeto</v>
      </c>
      <c r="E235" s="46">
        <f>IFERROR(__xludf.DUMMYFUNCTION("""COMPUTED_VALUE"""),12000.0)</f>
        <v>12000</v>
      </c>
      <c r="F235" s="34">
        <f>IFERROR(__xludf.DUMMYFUNCTION("""COMPUTED_VALUE"""),4.0)</f>
        <v>4</v>
      </c>
      <c r="G235" s="34">
        <f>IFERROR(__xludf.DUMMYFUNCTION("""COMPUTED_VALUE"""),1.0)</f>
        <v>1</v>
      </c>
      <c r="H235" s="47">
        <f>IFERROR(__xludf.DUMMYFUNCTION("""COMPUTED_VALUE"""),45439.0)</f>
        <v>45439</v>
      </c>
      <c r="I235" s="47">
        <f>IFERROR(__xludf.DUMMYFUNCTION("""COMPUTED_VALUE"""),45467.0)</f>
        <v>45467</v>
      </c>
      <c r="J235" s="103" t="s">
        <v>39</v>
      </c>
      <c r="K235" s="26">
        <v>45448.0</v>
      </c>
      <c r="L235" s="86">
        <v>0.0</v>
      </c>
      <c r="M235" s="29">
        <f>IF(K235&lt;&gt;"",K235+(F235+L235)*7,"-")</f>
        <v>45476</v>
      </c>
      <c r="N235" s="47"/>
      <c r="O235" s="20" t="s">
        <v>40</v>
      </c>
      <c r="P235" s="102" t="b">
        <v>0</v>
      </c>
      <c r="Q235" s="102" t="b">
        <v>0</v>
      </c>
      <c r="R235" s="102" t="b">
        <v>0</v>
      </c>
      <c r="S235" s="34"/>
      <c r="T235" s="43"/>
      <c r="U235" s="31" t="b">
        <f>IF(AND(S235&gt;=9,R235=TRUE,N235&lt;=M235,N235&lt;&gt;0),TRUE,FALSE)</f>
        <v>0</v>
      </c>
      <c r="V235" s="20" t="s">
        <v>227</v>
      </c>
      <c r="W235" s="20" t="s">
        <v>195</v>
      </c>
      <c r="X235" s="20" t="s">
        <v>342</v>
      </c>
      <c r="Y235" s="43"/>
      <c r="Z235" s="43"/>
      <c r="AA235" s="34">
        <f t="shared" si="25"/>
        <v>0</v>
      </c>
      <c r="AB235" s="35"/>
      <c r="AC235" s="29" t="str">
        <f t="shared" si="5"/>
        <v>NÃO</v>
      </c>
      <c r="AD235" s="37" t="str">
        <f t="shared" si="1"/>
        <v>Não</v>
      </c>
      <c r="AE235" s="38">
        <f t="shared" si="6"/>
        <v>9</v>
      </c>
      <c r="AF235" s="29"/>
      <c r="AG235" s="39"/>
    </row>
    <row r="236" hidden="1">
      <c r="A236" s="43" t="str">
        <f>IFERROR(__xludf.DUMMYFUNCTION("""COMPUTED_VALUE"""),"Prototipação Iara Maria")</f>
        <v>Prototipação Iara Maria</v>
      </c>
      <c r="B236" s="43" t="str">
        <f>IFERROR(__xludf.DUMMYFUNCTION("""COMPUTED_VALUE"""),"NTec")</f>
        <v>NTec</v>
      </c>
      <c r="C236" s="43" t="str">
        <f>IFERROR(__xludf.DUMMYFUNCTION("""COMPUTED_VALUE"""),"Concepção")</f>
        <v>Concepção</v>
      </c>
      <c r="D236" s="43" t="str">
        <f>IFERROR(__xludf.DUMMYFUNCTION("""COMPUTED_VALUE"""),"Projeto")</f>
        <v>Projeto</v>
      </c>
      <c r="E236" s="46">
        <f>IFERROR(__xludf.DUMMYFUNCTION("""COMPUTED_VALUE"""),14000.0)</f>
        <v>14000</v>
      </c>
      <c r="F236" s="34">
        <f>IFERROR(__xludf.DUMMYFUNCTION("""COMPUTED_VALUE"""),4.0)</f>
        <v>4</v>
      </c>
      <c r="G236" s="34">
        <f>IFERROR(__xludf.DUMMYFUNCTION("""COMPUTED_VALUE"""),3.0)</f>
        <v>3</v>
      </c>
      <c r="H236" s="47">
        <f>IFERROR(__xludf.DUMMYFUNCTION("""COMPUTED_VALUE"""),45474.0)</f>
        <v>45474</v>
      </c>
      <c r="I236" s="47">
        <f>IFERROR(__xludf.DUMMYFUNCTION("""COMPUTED_VALUE"""),45499.0)</f>
        <v>45499</v>
      </c>
      <c r="J236" s="111"/>
      <c r="K236" s="47"/>
      <c r="L236" s="81"/>
      <c r="M236" s="47"/>
      <c r="N236" s="47"/>
      <c r="O236" s="43"/>
      <c r="P236" s="102" t="b">
        <v>0</v>
      </c>
      <c r="Q236" s="102" t="b">
        <v>0</v>
      </c>
      <c r="R236" s="102" t="b">
        <v>0</v>
      </c>
      <c r="S236" s="34"/>
      <c r="T236" s="43"/>
      <c r="U236" s="102" t="b">
        <v>0</v>
      </c>
      <c r="V236" s="43"/>
      <c r="W236" s="43"/>
      <c r="X236" s="43"/>
      <c r="Y236" s="43"/>
      <c r="Z236" s="43"/>
      <c r="AA236" s="34">
        <f t="shared" si="25"/>
        <v>0</v>
      </c>
      <c r="AB236" s="35"/>
      <c r="AC236" s="29" t="str">
        <f t="shared" si="5"/>
        <v>Sim</v>
      </c>
      <c r="AD236" s="37" t="str">
        <f t="shared" si="1"/>
        <v>Não</v>
      </c>
      <c r="AE236" s="38">
        <f t="shared" si="6"/>
        <v>0</v>
      </c>
      <c r="AF236" s="29"/>
      <c r="AG236" s="39"/>
    </row>
    <row r="237" hidden="1">
      <c r="A237" s="43" t="str">
        <f>IFERROR(__xludf.DUMMYFUNCTION("""COMPUTED_VALUE"""),"Grupo NC")</f>
        <v>Grupo NC</v>
      </c>
      <c r="B237" s="43" t="str">
        <f>IFERROR(__xludf.DUMMYFUNCTION("""COMPUTED_VALUE"""),"NCon")</f>
        <v>NCon</v>
      </c>
      <c r="C237" s="43" t="str">
        <f>IFERROR(__xludf.DUMMYFUNCTION("""COMPUTED_VALUE"""),"Gestão de Processos")</f>
        <v>Gestão de Processos</v>
      </c>
      <c r="D237" s="43" t="str">
        <f>IFERROR(__xludf.DUMMYFUNCTION("""COMPUTED_VALUE"""),"Projeto")</f>
        <v>Projeto</v>
      </c>
      <c r="E237" s="46">
        <f>IFERROR(__xludf.DUMMYFUNCTION("""COMPUTED_VALUE"""),15228.0)</f>
        <v>15228</v>
      </c>
      <c r="F237" s="34">
        <f>IFERROR(__xludf.DUMMYFUNCTION("""COMPUTED_VALUE"""),5.0)</f>
        <v>5</v>
      </c>
      <c r="G237" s="34">
        <f>IFERROR(__xludf.DUMMYFUNCTION("""COMPUTED_VALUE"""),2.0)</f>
        <v>2</v>
      </c>
      <c r="H237" s="47">
        <f>IFERROR(__xludf.DUMMYFUNCTION("""COMPUTED_VALUE"""),45446.0)</f>
        <v>45446</v>
      </c>
      <c r="I237" s="47">
        <f>IFERROR(__xludf.DUMMYFUNCTION("""COMPUTED_VALUE"""),45478.0)</f>
        <v>45478</v>
      </c>
      <c r="J237" s="111"/>
      <c r="K237" s="47"/>
      <c r="L237" s="81"/>
      <c r="M237" s="47"/>
      <c r="N237" s="47"/>
      <c r="O237" s="20" t="s">
        <v>103</v>
      </c>
      <c r="P237" s="102" t="b">
        <v>0</v>
      </c>
      <c r="Q237" s="102" t="b">
        <v>0</v>
      </c>
      <c r="R237" s="102" t="b">
        <v>0</v>
      </c>
      <c r="S237" s="34"/>
      <c r="T237" s="43"/>
      <c r="U237" s="102" t="b">
        <v>0</v>
      </c>
      <c r="V237" s="43"/>
      <c r="W237" s="43"/>
      <c r="X237" s="43"/>
      <c r="Y237" s="43"/>
      <c r="Z237" s="43"/>
      <c r="AA237" s="34">
        <f t="shared" si="25"/>
        <v>0</v>
      </c>
      <c r="AB237" s="35"/>
      <c r="AC237" s="29" t="str">
        <f t="shared" si="5"/>
        <v>Sim</v>
      </c>
      <c r="AD237" s="37" t="str">
        <f t="shared" si="1"/>
        <v>Não</v>
      </c>
      <c r="AE237" s="38">
        <f t="shared" si="6"/>
        <v>0</v>
      </c>
      <c r="AF237" s="29"/>
      <c r="AG237" s="39"/>
    </row>
    <row r="238" hidden="1">
      <c r="A238" s="43" t="str">
        <f>IFERROR(__xludf.DUMMYFUNCTION("""COMPUTED_VALUE"""),"PM Suall")</f>
        <v>PM Suall</v>
      </c>
      <c r="B238" s="43" t="str">
        <f>IFERROR(__xludf.DUMMYFUNCTION("""COMPUTED_VALUE"""),"NCon")</f>
        <v>NCon</v>
      </c>
      <c r="C238" s="43" t="str">
        <f>IFERROR(__xludf.DUMMYFUNCTION("""COMPUTED_VALUE"""),"Pesquisa de Mercado")</f>
        <v>Pesquisa de Mercado</v>
      </c>
      <c r="D238" s="43" t="str">
        <f>IFERROR(__xludf.DUMMYFUNCTION("""COMPUTED_VALUE"""),"Projeto")</f>
        <v>Projeto</v>
      </c>
      <c r="E238" s="46">
        <f>IFERROR(__xludf.DUMMYFUNCTION("""COMPUTED_VALUE"""),7225.0)</f>
        <v>7225</v>
      </c>
      <c r="F238" s="34">
        <f>IFERROR(__xludf.DUMMYFUNCTION("""COMPUTED_VALUE"""),5.0)</f>
        <v>5</v>
      </c>
      <c r="G238" s="34">
        <f>IFERROR(__xludf.DUMMYFUNCTION("""COMPUTED_VALUE"""),1.0)</f>
        <v>1</v>
      </c>
      <c r="H238" s="47">
        <f>IFERROR(__xludf.DUMMYFUNCTION("""COMPUTED_VALUE"""),45446.0)</f>
        <v>45446</v>
      </c>
      <c r="I238" s="47">
        <f>IFERROR(__xludf.DUMMYFUNCTION("""COMPUTED_VALUE"""),45478.0)</f>
        <v>45478</v>
      </c>
      <c r="J238" s="111"/>
      <c r="K238" s="47"/>
      <c r="L238" s="81"/>
      <c r="M238" s="47"/>
      <c r="N238" s="47"/>
      <c r="O238" s="20" t="s">
        <v>103</v>
      </c>
      <c r="P238" s="102" t="b">
        <v>0</v>
      </c>
      <c r="Q238" s="102" t="b">
        <v>0</v>
      </c>
      <c r="R238" s="102" t="b">
        <v>0</v>
      </c>
      <c r="S238" s="34"/>
      <c r="T238" s="43"/>
      <c r="U238" s="102" t="b">
        <v>0</v>
      </c>
      <c r="V238" s="20" t="s">
        <v>136</v>
      </c>
      <c r="W238" s="20" t="s">
        <v>357</v>
      </c>
      <c r="X238" s="43"/>
      <c r="Y238" s="43"/>
      <c r="Z238" s="43"/>
      <c r="AA238" s="34">
        <f t="shared" si="25"/>
        <v>0</v>
      </c>
      <c r="AB238" s="35"/>
      <c r="AC238" s="29" t="str">
        <f t="shared" si="5"/>
        <v>Sim</v>
      </c>
      <c r="AD238" s="37" t="str">
        <f t="shared" si="1"/>
        <v>Não</v>
      </c>
      <c r="AE238" s="38">
        <f t="shared" si="6"/>
        <v>0</v>
      </c>
      <c r="AF238" s="29"/>
      <c r="AG238" s="39"/>
    </row>
    <row r="239" hidden="1">
      <c r="A239" s="43" t="str">
        <f>IFERROR(__xludf.DUMMYFUNCTION("""COMPUTED_VALUE"""),"Débora")</f>
        <v>Débora</v>
      </c>
      <c r="B239" s="43" t="str">
        <f>IFERROR(__xludf.DUMMYFUNCTION("""COMPUTED_VALUE"""),"NCiv")</f>
        <v>NCiv</v>
      </c>
      <c r="C239" s="43" t="str">
        <f>IFERROR(__xludf.DUMMYFUNCTION("""COMPUTED_VALUE"""),"Arquitetônico")</f>
        <v>Arquitetônico</v>
      </c>
      <c r="D239" s="43" t="str">
        <f>IFERROR(__xludf.DUMMYFUNCTION("""COMPUTED_VALUE"""),"Projeto")</f>
        <v>Projeto</v>
      </c>
      <c r="E239" s="46">
        <f>IFERROR(__xludf.DUMMYFUNCTION("""COMPUTED_VALUE"""),4500.0)</f>
        <v>4500</v>
      </c>
      <c r="F239" s="34">
        <f>IFERROR(__xludf.DUMMYFUNCTION("""COMPUTED_VALUE"""),5.0)</f>
        <v>5</v>
      </c>
      <c r="G239" s="34">
        <f>IFERROR(__xludf.DUMMYFUNCTION("""COMPUTED_VALUE"""),1.0)</f>
        <v>1</v>
      </c>
      <c r="H239" s="47">
        <f>IFERROR(__xludf.DUMMYFUNCTION("""COMPUTED_VALUE"""),45467.0)</f>
        <v>45467</v>
      </c>
      <c r="I239" s="47">
        <f>IFERROR(__xludf.DUMMYFUNCTION("""COMPUTED_VALUE"""),45504.0)</f>
        <v>45504</v>
      </c>
      <c r="J239" s="111"/>
      <c r="K239" s="47"/>
      <c r="L239" s="81"/>
      <c r="M239" s="47"/>
      <c r="N239" s="47"/>
      <c r="O239" s="20" t="s">
        <v>103</v>
      </c>
      <c r="P239" s="102" t="b">
        <v>0</v>
      </c>
      <c r="Q239" s="102" t="b">
        <v>0</v>
      </c>
      <c r="R239" s="102" t="b">
        <v>0</v>
      </c>
      <c r="S239" s="34"/>
      <c r="T239" s="43"/>
      <c r="U239" s="102" t="b">
        <v>0</v>
      </c>
      <c r="V239" s="43"/>
      <c r="W239" s="43"/>
      <c r="X239" s="43"/>
      <c r="Y239" s="43"/>
      <c r="Z239" s="43"/>
      <c r="AA239" s="34">
        <f t="shared" si="25"/>
        <v>0</v>
      </c>
      <c r="AB239" s="35"/>
      <c r="AC239" s="29" t="str">
        <f t="shared" si="5"/>
        <v>Sim</v>
      </c>
      <c r="AD239" s="37" t="str">
        <f t="shared" si="1"/>
        <v>Não</v>
      </c>
      <c r="AE239" s="38">
        <f t="shared" si="6"/>
        <v>0</v>
      </c>
      <c r="AF239" s="29"/>
      <c r="AG239" s="39"/>
    </row>
    <row r="240">
      <c r="A240" s="43" t="str">
        <f>IFERROR(__xludf.DUMMYFUNCTION("""COMPUTED_VALUE"""),"Inpasa")</f>
        <v>Inpasa</v>
      </c>
      <c r="B240" s="43" t="str">
        <f>IFERROR(__xludf.DUMMYFUNCTION("""COMPUTED_VALUE"""),"NDados")</f>
        <v>NDados</v>
      </c>
      <c r="C240" s="43" t="str">
        <f>IFERROR(__xludf.DUMMYFUNCTION("""COMPUTED_VALUE"""),"Visualização")</f>
        <v>Visualização</v>
      </c>
      <c r="D240" s="43" t="str">
        <f>IFERROR(__xludf.DUMMYFUNCTION("""COMPUTED_VALUE"""),"Projeto")</f>
        <v>Projeto</v>
      </c>
      <c r="E240" s="46">
        <f>IFERROR(__xludf.DUMMYFUNCTION("""COMPUTED_VALUE"""),36900.0)</f>
        <v>36900</v>
      </c>
      <c r="F240" s="34">
        <f>IFERROR(__xludf.DUMMYFUNCTION("""COMPUTED_VALUE"""),12.0)</f>
        <v>12</v>
      </c>
      <c r="G240" s="34">
        <f>IFERROR(__xludf.DUMMYFUNCTION("""COMPUTED_VALUE"""),2.0)</f>
        <v>2</v>
      </c>
      <c r="H240" s="47">
        <f>IFERROR(__xludf.DUMMYFUNCTION("""COMPUTED_VALUE"""),45453.0)</f>
        <v>45453</v>
      </c>
      <c r="I240" s="47">
        <f>IFERROR(__xludf.DUMMYFUNCTION("""COMPUTED_VALUE"""),45544.0)</f>
        <v>45544</v>
      </c>
      <c r="J240" s="103" t="s">
        <v>39</v>
      </c>
      <c r="K240" s="26">
        <v>45463.0</v>
      </c>
      <c r="L240" s="86">
        <v>0.0</v>
      </c>
      <c r="M240" s="29">
        <f t="shared" ref="M240:M241" si="38">IF(K240&lt;&gt;"",K240+(F240+L240)*7,"-")</f>
        <v>45547</v>
      </c>
      <c r="N240" s="47"/>
      <c r="O240" s="20" t="s">
        <v>40</v>
      </c>
      <c r="P240" s="102" t="b">
        <v>0</v>
      </c>
      <c r="Q240" s="102" t="b">
        <v>0</v>
      </c>
      <c r="R240" s="102" t="b">
        <v>0</v>
      </c>
      <c r="S240" s="34"/>
      <c r="T240" s="43"/>
      <c r="U240" s="31" t="b">
        <f t="shared" ref="U240:U241" si="39">IF(AND(S240&gt;=9,R240=TRUE,N240&lt;=M240,N240&lt;&gt;0),TRUE,FALSE)</f>
        <v>0</v>
      </c>
      <c r="V240" s="20" t="s">
        <v>253</v>
      </c>
      <c r="W240" s="20" t="s">
        <v>358</v>
      </c>
      <c r="X240" s="20" t="s">
        <v>340</v>
      </c>
      <c r="Y240" s="43"/>
      <c r="Z240" s="43"/>
      <c r="AA240" s="34">
        <f t="shared" si="25"/>
        <v>0</v>
      </c>
      <c r="AB240" s="35"/>
      <c r="AC240" s="29" t="str">
        <f t="shared" si="5"/>
        <v>NÃO</v>
      </c>
      <c r="AD240" s="37" t="str">
        <f t="shared" si="1"/>
        <v>Não</v>
      </c>
      <c r="AE240" s="38">
        <f t="shared" si="6"/>
        <v>10</v>
      </c>
      <c r="AF240" s="29"/>
      <c r="AG240" s="39"/>
    </row>
    <row r="241">
      <c r="A241" s="43" t="str">
        <f>IFERROR(__xludf.DUMMYFUNCTION("""COMPUTED_VALUE"""),"Biolab")</f>
        <v>Biolab</v>
      </c>
      <c r="B241" s="43" t="str">
        <f>IFERROR(__xludf.DUMMYFUNCTION("""COMPUTED_VALUE"""),"NDados")</f>
        <v>NDados</v>
      </c>
      <c r="C241" s="43" t="str">
        <f>IFERROR(__xludf.DUMMYFUNCTION("""COMPUTED_VALUE"""),"Previsão")</f>
        <v>Previsão</v>
      </c>
      <c r="D241" s="43" t="str">
        <f>IFERROR(__xludf.DUMMYFUNCTION("""COMPUTED_VALUE"""),"Projeto")</f>
        <v>Projeto</v>
      </c>
      <c r="E241" s="46">
        <f>IFERROR(__xludf.DUMMYFUNCTION("""COMPUTED_VALUE"""),49000.0)</f>
        <v>49000</v>
      </c>
      <c r="F241" s="34">
        <f>IFERROR(__xludf.DUMMYFUNCTION("""COMPUTED_VALUE"""),10.0)</f>
        <v>10</v>
      </c>
      <c r="G241" s="34">
        <f>IFERROR(__xludf.DUMMYFUNCTION("""COMPUTED_VALUE"""),3.0)</f>
        <v>3</v>
      </c>
      <c r="H241" s="47">
        <f>IFERROR(__xludf.DUMMYFUNCTION("""COMPUTED_VALUE"""),45453.0)</f>
        <v>45453</v>
      </c>
      <c r="I241" s="47">
        <f>IFERROR(__xludf.DUMMYFUNCTION("""COMPUTED_VALUE"""),45537.0)</f>
        <v>45537</v>
      </c>
      <c r="J241" s="111"/>
      <c r="K241" s="47"/>
      <c r="L241" s="86"/>
      <c r="M241" s="29" t="str">
        <f t="shared" si="38"/>
        <v>-</v>
      </c>
      <c r="N241" s="47"/>
      <c r="O241" s="20" t="s">
        <v>103</v>
      </c>
      <c r="P241" s="102" t="b">
        <v>0</v>
      </c>
      <c r="Q241" s="102" t="b">
        <v>0</v>
      </c>
      <c r="R241" s="102" t="b">
        <v>0</v>
      </c>
      <c r="S241" s="34"/>
      <c r="T241" s="43"/>
      <c r="U241" s="31" t="b">
        <f t="shared" si="39"/>
        <v>0</v>
      </c>
      <c r="V241" s="20" t="s">
        <v>238</v>
      </c>
      <c r="W241" s="20" t="s">
        <v>355</v>
      </c>
      <c r="X241" s="20" t="s">
        <v>195</v>
      </c>
      <c r="Y241" s="43"/>
      <c r="Z241" s="43"/>
      <c r="AA241" s="34">
        <f t="shared" si="25"/>
        <v>0</v>
      </c>
      <c r="AB241" s="35">
        <f t="shared" ref="AB241:AB335" si="40">IF(N241&gt;M241,(E241/F241)*(N241-M241)/7,0)</f>
        <v>0</v>
      </c>
      <c r="AC241" s="29" t="str">
        <f t="shared" si="5"/>
        <v>NÃO</v>
      </c>
      <c r="AD241" s="37" t="str">
        <f t="shared" si="1"/>
        <v>Não</v>
      </c>
      <c r="AE241" s="38">
        <f t="shared" si="6"/>
        <v>0</v>
      </c>
      <c r="AF241" s="29"/>
      <c r="AG241" s="39"/>
    </row>
    <row r="242" hidden="1">
      <c r="A242" s="43" t="str">
        <f>IFERROR(__xludf.DUMMYFUNCTION("""COMPUTED_VALUE"""),"Bemobi")</f>
        <v>Bemobi</v>
      </c>
      <c r="B242" s="43" t="str">
        <f>IFERROR(__xludf.DUMMYFUNCTION("""COMPUTED_VALUE"""),"NCon")</f>
        <v>NCon</v>
      </c>
      <c r="C242" s="43" t="str">
        <f>IFERROR(__xludf.DUMMYFUNCTION("""COMPUTED_VALUE"""),"Gestão de Processos")</f>
        <v>Gestão de Processos</v>
      </c>
      <c r="D242" s="43" t="str">
        <f>IFERROR(__xludf.DUMMYFUNCTION("""COMPUTED_VALUE"""),"Projeto")</f>
        <v>Projeto</v>
      </c>
      <c r="E242" s="46">
        <f>IFERROR(__xludf.DUMMYFUNCTION("""COMPUTED_VALUE"""),12000.0)</f>
        <v>12000</v>
      </c>
      <c r="F242" s="34">
        <f>IFERROR(__xludf.DUMMYFUNCTION("""COMPUTED_VALUE"""),5.0)</f>
        <v>5</v>
      </c>
      <c r="G242" s="34">
        <f>IFERROR(__xludf.DUMMYFUNCTION("""COMPUTED_VALUE"""),2.0)</f>
        <v>2</v>
      </c>
      <c r="H242" s="47">
        <f>IFERROR(__xludf.DUMMYFUNCTION("""COMPUTED_VALUE"""),45446.0)</f>
        <v>45446</v>
      </c>
      <c r="I242" s="47">
        <f>IFERROR(__xludf.DUMMYFUNCTION("""COMPUTED_VALUE"""),45478.0)</f>
        <v>45478</v>
      </c>
      <c r="J242" s="111"/>
      <c r="K242" s="47"/>
      <c r="L242" s="81"/>
      <c r="M242" s="47"/>
      <c r="N242" s="47"/>
      <c r="O242" s="20" t="s">
        <v>103</v>
      </c>
      <c r="P242" s="102" t="b">
        <v>0</v>
      </c>
      <c r="Q242" s="102" t="b">
        <v>0</v>
      </c>
      <c r="R242" s="102" t="b">
        <v>0</v>
      </c>
      <c r="S242" s="34"/>
      <c r="T242" s="43"/>
      <c r="U242" s="102" t="b">
        <v>0</v>
      </c>
      <c r="V242" s="43"/>
      <c r="W242" s="43"/>
      <c r="X242" s="43"/>
      <c r="Y242" s="43"/>
      <c r="Z242" s="43"/>
      <c r="AA242" s="34">
        <f t="shared" si="25"/>
        <v>0</v>
      </c>
      <c r="AB242" s="35">
        <f t="shared" si="40"/>
        <v>0</v>
      </c>
      <c r="AC242" s="29" t="str">
        <f t="shared" si="5"/>
        <v>Sim</v>
      </c>
      <c r="AD242" s="37" t="str">
        <f t="shared" si="1"/>
        <v>Não</v>
      </c>
      <c r="AE242" s="38">
        <f t="shared" si="6"/>
        <v>0</v>
      </c>
      <c r="AF242" s="29"/>
      <c r="AG242" s="39"/>
    </row>
    <row r="243">
      <c r="A243" s="43" t="str">
        <f>IFERROR(__xludf.DUMMYFUNCTION("""COMPUTED_VALUE"""),"Cargill")</f>
        <v>Cargill</v>
      </c>
      <c r="B243" s="43" t="str">
        <f>IFERROR(__xludf.DUMMYFUNCTION("""COMPUTED_VALUE"""),"NDados")</f>
        <v>NDados</v>
      </c>
      <c r="C243" s="43" t="str">
        <f>IFERROR(__xludf.DUMMYFUNCTION("""COMPUTED_VALUE"""),"Análise exploratória")</f>
        <v>Análise exploratória</v>
      </c>
      <c r="D243" s="43" t="str">
        <f>IFERROR(__xludf.DUMMYFUNCTION("""COMPUTED_VALUE"""),"Projeto")</f>
        <v>Projeto</v>
      </c>
      <c r="E243" s="46">
        <f>IFERROR(__xludf.DUMMYFUNCTION("""COMPUTED_VALUE"""),12500.0)</f>
        <v>12500</v>
      </c>
      <c r="F243" s="34">
        <f>IFERROR(__xludf.DUMMYFUNCTION("""COMPUTED_VALUE"""),5.0)</f>
        <v>5</v>
      </c>
      <c r="G243" s="34">
        <f>IFERROR(__xludf.DUMMYFUNCTION("""COMPUTED_VALUE"""),2.0)</f>
        <v>2</v>
      </c>
      <c r="H243" s="47">
        <f>IFERROR(__xludf.DUMMYFUNCTION("""COMPUTED_VALUE"""),45467.0)</f>
        <v>45467</v>
      </c>
      <c r="I243" s="47">
        <f>IFERROR(__xludf.DUMMYFUNCTION("""COMPUTED_VALUE"""),45509.0)</f>
        <v>45509</v>
      </c>
      <c r="J243" s="111"/>
      <c r="K243" s="47"/>
      <c r="L243" s="81"/>
      <c r="M243" s="29" t="str">
        <f t="shared" ref="M243:M244" si="41">IF(K243&lt;&gt;"",K243+(F243+L243)*7,"-")</f>
        <v>-</v>
      </c>
      <c r="N243" s="47"/>
      <c r="O243" s="20" t="s">
        <v>103</v>
      </c>
      <c r="P243" s="102" t="b">
        <v>0</v>
      </c>
      <c r="Q243" s="102" t="b">
        <v>0</v>
      </c>
      <c r="R243" s="102" t="b">
        <v>0</v>
      </c>
      <c r="S243" s="34"/>
      <c r="T243" s="43"/>
      <c r="U243" s="31" t="b">
        <f t="shared" ref="U243:U244" si="42">IF(AND(S243&gt;=9,R243=TRUE,N243&lt;=M243,N243&lt;&gt;0),TRUE,FALSE)</f>
        <v>0</v>
      </c>
      <c r="V243" s="20" t="s">
        <v>345</v>
      </c>
      <c r="W243" s="20" t="s">
        <v>359</v>
      </c>
      <c r="X243" s="20" t="s">
        <v>360</v>
      </c>
      <c r="Y243" s="43"/>
      <c r="Z243" s="43"/>
      <c r="AA243" s="34">
        <f t="shared" si="25"/>
        <v>0</v>
      </c>
      <c r="AB243" s="35">
        <f t="shared" si="40"/>
        <v>0</v>
      </c>
      <c r="AC243" s="29" t="str">
        <f t="shared" si="5"/>
        <v>NÃO</v>
      </c>
      <c r="AD243" s="37" t="str">
        <f t="shared" si="1"/>
        <v>Não</v>
      </c>
      <c r="AE243" s="38">
        <f t="shared" si="6"/>
        <v>0</v>
      </c>
      <c r="AF243" s="29"/>
      <c r="AG243" s="39"/>
    </row>
    <row r="244">
      <c r="A244" s="43" t="str">
        <f>IFERROR(__xludf.DUMMYFUNCTION("""COMPUTED_VALUE"""),"Nutax")</f>
        <v>Nutax</v>
      </c>
      <c r="B244" s="43" t="str">
        <f>IFERROR(__xludf.DUMMYFUNCTION("""COMPUTED_VALUE"""),"NDados")</f>
        <v>NDados</v>
      </c>
      <c r="C244" s="43" t="str">
        <f>IFERROR(__xludf.DUMMYFUNCTION("""COMPUTED_VALUE"""),"Previsão")</f>
        <v>Previsão</v>
      </c>
      <c r="D244" s="43" t="str">
        <f>IFERROR(__xludf.DUMMYFUNCTION("""COMPUTED_VALUE"""),"Projeto")</f>
        <v>Projeto</v>
      </c>
      <c r="E244" s="46">
        <f>IFERROR(__xludf.DUMMYFUNCTION("""COMPUTED_VALUE"""),24000.0)</f>
        <v>24000</v>
      </c>
      <c r="F244" s="34">
        <f>IFERROR(__xludf.DUMMYFUNCTION("""COMPUTED_VALUE"""),8.0)</f>
        <v>8</v>
      </c>
      <c r="G244" s="34">
        <f>IFERROR(__xludf.DUMMYFUNCTION("""COMPUTED_VALUE"""),2.0)</f>
        <v>2</v>
      </c>
      <c r="H244" s="47">
        <f>IFERROR(__xludf.DUMMYFUNCTION("""COMPUTED_VALUE"""),45467.0)</f>
        <v>45467</v>
      </c>
      <c r="I244" s="47">
        <f>IFERROR(__xludf.DUMMYFUNCTION("""COMPUTED_VALUE"""),45530.0)</f>
        <v>45530</v>
      </c>
      <c r="J244" s="111"/>
      <c r="K244" s="47"/>
      <c r="L244" s="81"/>
      <c r="M244" s="29" t="str">
        <f t="shared" si="41"/>
        <v>-</v>
      </c>
      <c r="N244" s="47"/>
      <c r="O244" s="20" t="s">
        <v>103</v>
      </c>
      <c r="P244" s="102" t="b">
        <v>0</v>
      </c>
      <c r="Q244" s="102" t="b">
        <v>0</v>
      </c>
      <c r="R244" s="102" t="b">
        <v>0</v>
      </c>
      <c r="S244" s="34"/>
      <c r="T244" s="43"/>
      <c r="U244" s="31" t="b">
        <f t="shared" si="42"/>
        <v>0</v>
      </c>
      <c r="V244" s="20" t="s">
        <v>227</v>
      </c>
      <c r="W244" s="20" t="s">
        <v>334</v>
      </c>
      <c r="X244" s="20" t="s">
        <v>361</v>
      </c>
      <c r="Y244" s="43"/>
      <c r="Z244" s="43"/>
      <c r="AA244" s="34">
        <f t="shared" si="25"/>
        <v>0</v>
      </c>
      <c r="AB244" s="35">
        <f t="shared" si="40"/>
        <v>0</v>
      </c>
      <c r="AC244" s="29" t="str">
        <f t="shared" si="5"/>
        <v>NÃO</v>
      </c>
      <c r="AD244" s="37" t="str">
        <f t="shared" si="1"/>
        <v>Não</v>
      </c>
      <c r="AE244" s="38">
        <f t="shared" si="6"/>
        <v>0</v>
      </c>
      <c r="AF244" s="29"/>
      <c r="AG244" s="39"/>
    </row>
    <row r="245" hidden="1">
      <c r="A245" s="43" t="str">
        <f>IFERROR(__xludf.DUMMYFUNCTION("""COMPUTED_VALUE"""),"Site Pedro Solfa")</f>
        <v>Site Pedro Solfa</v>
      </c>
      <c r="B245" s="43" t="str">
        <f>IFERROR(__xludf.DUMMYFUNCTION("""COMPUTED_VALUE"""),"NTec")</f>
        <v>NTec</v>
      </c>
      <c r="C245" s="43" t="str">
        <f>IFERROR(__xludf.DUMMYFUNCTION("""COMPUTED_VALUE"""),"Escopo Aberto")</f>
        <v>Escopo Aberto</v>
      </c>
      <c r="D245" s="43" t="str">
        <f>IFERROR(__xludf.DUMMYFUNCTION("""COMPUTED_VALUE"""),"Projeto")</f>
        <v>Projeto</v>
      </c>
      <c r="E245" s="46">
        <f>IFERROR(__xludf.DUMMYFUNCTION("""COMPUTED_VALUE"""),35100.0)</f>
        <v>35100</v>
      </c>
      <c r="F245" s="34">
        <f>IFERROR(__xludf.DUMMYFUNCTION("""COMPUTED_VALUE"""),9.0)</f>
        <v>9</v>
      </c>
      <c r="G245" s="34">
        <f>IFERROR(__xludf.DUMMYFUNCTION("""COMPUTED_VALUE"""),3.0)</f>
        <v>3</v>
      </c>
      <c r="H245" s="47">
        <f>IFERROR(__xludf.DUMMYFUNCTION("""COMPUTED_VALUE"""),45446.0)</f>
        <v>45446</v>
      </c>
      <c r="I245" s="47">
        <f>IFERROR(__xludf.DUMMYFUNCTION("""COMPUTED_VALUE"""),45506.0)</f>
        <v>45506</v>
      </c>
      <c r="J245" s="111"/>
      <c r="K245" s="47"/>
      <c r="L245" s="81"/>
      <c r="M245" s="47"/>
      <c r="N245" s="47"/>
      <c r="O245" s="43"/>
      <c r="P245" s="102" t="b">
        <v>0</v>
      </c>
      <c r="Q245" s="102" t="b">
        <v>0</v>
      </c>
      <c r="R245" s="102" t="b">
        <v>0</v>
      </c>
      <c r="S245" s="34"/>
      <c r="T245" s="43"/>
      <c r="U245" s="102" t="b">
        <v>0</v>
      </c>
      <c r="V245" s="43"/>
      <c r="W245" s="43"/>
      <c r="X245" s="43"/>
      <c r="Y245" s="43"/>
      <c r="Z245" s="43"/>
      <c r="AA245" s="34">
        <f t="shared" si="25"/>
        <v>0</v>
      </c>
      <c r="AB245" s="35">
        <f t="shared" si="40"/>
        <v>0</v>
      </c>
      <c r="AC245" s="29" t="str">
        <f t="shared" si="5"/>
        <v>Sim</v>
      </c>
      <c r="AD245" s="37" t="str">
        <f t="shared" si="1"/>
        <v>Não</v>
      </c>
      <c r="AE245" s="38">
        <f t="shared" si="6"/>
        <v>0</v>
      </c>
      <c r="AF245" s="29"/>
      <c r="AG245" s="39"/>
    </row>
    <row r="246" hidden="1">
      <c r="A246" s="43" t="str">
        <f>IFERROR(__xludf.DUMMYFUNCTION("""COMPUTED_VALUE"""),"Site Eliane")</f>
        <v>Site Eliane</v>
      </c>
      <c r="B246" s="43" t="str">
        <f>IFERROR(__xludf.DUMMYFUNCTION("""COMPUTED_VALUE"""),"NTec")</f>
        <v>NTec</v>
      </c>
      <c r="C246" s="43" t="str">
        <f>IFERROR(__xludf.DUMMYFUNCTION("""COMPUTED_VALUE"""),"Escopo Aberto")</f>
        <v>Escopo Aberto</v>
      </c>
      <c r="D246" s="43" t="str">
        <f>IFERROR(__xludf.DUMMYFUNCTION("""COMPUTED_VALUE"""),"Projeto")</f>
        <v>Projeto</v>
      </c>
      <c r="E246" s="46">
        <f>IFERROR(__xludf.DUMMYFUNCTION("""COMPUTED_VALUE"""),120000.0)</f>
        <v>120000</v>
      </c>
      <c r="F246" s="34">
        <f>IFERROR(__xludf.DUMMYFUNCTION("""COMPUTED_VALUE"""),32.0)</f>
        <v>32</v>
      </c>
      <c r="G246" s="34">
        <f>IFERROR(__xludf.DUMMYFUNCTION("""COMPUTED_VALUE"""),3.0)</f>
        <v>3</v>
      </c>
      <c r="H246" s="47">
        <f>IFERROR(__xludf.DUMMYFUNCTION("""COMPUTED_VALUE"""),45488.0)</f>
        <v>45488</v>
      </c>
      <c r="I246" s="47">
        <f>IFERROR(__xludf.DUMMYFUNCTION("""COMPUTED_VALUE"""),45716.0)</f>
        <v>45716</v>
      </c>
      <c r="J246" s="111"/>
      <c r="K246" s="47"/>
      <c r="L246" s="81"/>
      <c r="M246" s="47"/>
      <c r="N246" s="47"/>
      <c r="O246" s="43"/>
      <c r="P246" s="102" t="b">
        <v>0</v>
      </c>
      <c r="Q246" s="102" t="b">
        <v>0</v>
      </c>
      <c r="R246" s="102" t="b">
        <v>0</v>
      </c>
      <c r="S246" s="34"/>
      <c r="T246" s="43"/>
      <c r="U246" s="102" t="b">
        <v>0</v>
      </c>
      <c r="V246" s="43"/>
      <c r="W246" s="43"/>
      <c r="X246" s="43"/>
      <c r="Y246" s="43"/>
      <c r="Z246" s="43"/>
      <c r="AA246" s="34">
        <f t="shared" si="25"/>
        <v>0</v>
      </c>
      <c r="AB246" s="35">
        <f t="shared" si="40"/>
        <v>0</v>
      </c>
      <c r="AC246" s="29" t="str">
        <f t="shared" si="5"/>
        <v>Sim</v>
      </c>
      <c r="AD246" s="37" t="str">
        <f t="shared" si="1"/>
        <v>Não</v>
      </c>
      <c r="AE246" s="38">
        <f t="shared" si="6"/>
        <v>0</v>
      </c>
      <c r="AF246" s="29"/>
      <c r="AG246" s="39"/>
    </row>
    <row r="247" hidden="1">
      <c r="A247" s="43" t="str">
        <f>IFERROR(__xludf.DUMMYFUNCTION("""COMPUTED_VALUE"""),"Site Rômulo")</f>
        <v>Site Rômulo</v>
      </c>
      <c r="B247" s="43" t="str">
        <f>IFERROR(__xludf.DUMMYFUNCTION("""COMPUTED_VALUE"""),"NTec")</f>
        <v>NTec</v>
      </c>
      <c r="C247" s="43" t="str">
        <f>IFERROR(__xludf.DUMMYFUNCTION("""COMPUTED_VALUE"""),"Escopo Aberto")</f>
        <v>Escopo Aberto</v>
      </c>
      <c r="D247" s="43" t="str">
        <f>IFERROR(__xludf.DUMMYFUNCTION("""COMPUTED_VALUE"""),"Projeto")</f>
        <v>Projeto</v>
      </c>
      <c r="E247" s="46">
        <f>IFERROR(__xludf.DUMMYFUNCTION("""COMPUTED_VALUE"""),90000.0)</f>
        <v>90000</v>
      </c>
      <c r="F247" s="34">
        <f>IFERROR(__xludf.DUMMYFUNCTION("""COMPUTED_VALUE"""),26.0)</f>
        <v>26</v>
      </c>
      <c r="G247" s="34">
        <f>IFERROR(__xludf.DUMMYFUNCTION("""COMPUTED_VALUE"""),3.0)</f>
        <v>3</v>
      </c>
      <c r="H247" s="47"/>
      <c r="I247" s="47"/>
      <c r="J247" s="111"/>
      <c r="K247" s="47"/>
      <c r="L247" s="81"/>
      <c r="M247" s="47"/>
      <c r="N247" s="47"/>
      <c r="O247" s="43"/>
      <c r="P247" s="102" t="b">
        <v>0</v>
      </c>
      <c r="Q247" s="102" t="b">
        <v>0</v>
      </c>
      <c r="R247" s="102" t="b">
        <v>0</v>
      </c>
      <c r="S247" s="34"/>
      <c r="T247" s="43"/>
      <c r="U247" s="102" t="b">
        <v>0</v>
      </c>
      <c r="V247" s="43"/>
      <c r="W247" s="43"/>
      <c r="X247" s="43"/>
      <c r="Y247" s="43"/>
      <c r="Z247" s="43"/>
      <c r="AA247" s="34">
        <f t="shared" si="25"/>
        <v>0</v>
      </c>
      <c r="AB247" s="35">
        <f t="shared" si="40"/>
        <v>0</v>
      </c>
      <c r="AC247" s="29" t="str">
        <f t="shared" si="5"/>
        <v>Sim</v>
      </c>
      <c r="AD247" s="37" t="str">
        <f t="shared" si="1"/>
        <v>Não</v>
      </c>
      <c r="AE247" s="38">
        <f t="shared" si="6"/>
        <v>0</v>
      </c>
      <c r="AF247" s="29"/>
      <c r="AG247" s="39"/>
    </row>
    <row r="248" hidden="1">
      <c r="A248" s="43" t="str">
        <f>IFERROR(__xludf.DUMMYFUNCTION("""COMPUTED_VALUE"""),"Maria ")</f>
        <v>Maria </v>
      </c>
      <c r="B248" s="43" t="str">
        <f>IFERROR(__xludf.DUMMYFUNCTION("""COMPUTED_VALUE"""),"NCiv")</f>
        <v>NCiv</v>
      </c>
      <c r="C248" s="43" t="str">
        <f>IFERROR(__xludf.DUMMYFUNCTION("""COMPUTED_VALUE"""),"Arquitetônico")</f>
        <v>Arquitetônico</v>
      </c>
      <c r="D248" s="43" t="str">
        <f>IFERROR(__xludf.DUMMYFUNCTION("""COMPUTED_VALUE"""),"Projeto")</f>
        <v>Projeto</v>
      </c>
      <c r="E248" s="46">
        <f>IFERROR(__xludf.DUMMYFUNCTION("""COMPUTED_VALUE"""),5000.0)</f>
        <v>5000</v>
      </c>
      <c r="F248" s="34">
        <f>IFERROR(__xludf.DUMMYFUNCTION("""COMPUTED_VALUE"""),4.0)</f>
        <v>4</v>
      </c>
      <c r="G248" s="34">
        <f>IFERROR(__xludf.DUMMYFUNCTION("""COMPUTED_VALUE"""),1.0)</f>
        <v>1</v>
      </c>
      <c r="H248" s="47">
        <f>IFERROR(__xludf.DUMMYFUNCTION("""COMPUTED_VALUE"""),45467.0)</f>
        <v>45467</v>
      </c>
      <c r="I248" s="47">
        <f>IFERROR(__xludf.DUMMYFUNCTION("""COMPUTED_VALUE"""),45497.0)</f>
        <v>45497</v>
      </c>
      <c r="J248" s="111"/>
      <c r="K248" s="47"/>
      <c r="L248" s="81"/>
      <c r="M248" s="47"/>
      <c r="N248" s="47"/>
      <c r="O248" s="20" t="s">
        <v>103</v>
      </c>
      <c r="P248" s="102" t="b">
        <v>0</v>
      </c>
      <c r="Q248" s="102" t="b">
        <v>0</v>
      </c>
      <c r="R248" s="102" t="b">
        <v>0</v>
      </c>
      <c r="S248" s="34"/>
      <c r="T248" s="43"/>
      <c r="U248" s="102" t="b">
        <v>0</v>
      </c>
      <c r="V248" s="43"/>
      <c r="W248" s="43"/>
      <c r="X248" s="43"/>
      <c r="Y248" s="43"/>
      <c r="Z248" s="43"/>
      <c r="AA248" s="34">
        <f t="shared" si="25"/>
        <v>0</v>
      </c>
      <c r="AB248" s="35">
        <f t="shared" si="40"/>
        <v>0</v>
      </c>
      <c r="AC248" s="29" t="str">
        <f t="shared" si="5"/>
        <v>Sim</v>
      </c>
      <c r="AD248" s="37" t="str">
        <f t="shared" si="1"/>
        <v>Não</v>
      </c>
      <c r="AE248" s="38">
        <f t="shared" si="6"/>
        <v>0</v>
      </c>
      <c r="AF248" s="29"/>
      <c r="AG248" s="39"/>
    </row>
    <row r="249">
      <c r="A249" s="43" t="str">
        <f>IFERROR(__xludf.DUMMYFUNCTION("""COMPUTED_VALUE"""),"Furukawa")</f>
        <v>Furukawa</v>
      </c>
      <c r="B249" s="43" t="str">
        <f>IFERROR(__xludf.DUMMYFUNCTION("""COMPUTED_VALUE"""),"NDados")</f>
        <v>NDados</v>
      </c>
      <c r="C249" s="43" t="str">
        <f>IFERROR(__xludf.DUMMYFUNCTION("""COMPUTED_VALUE"""),"Automação")</f>
        <v>Automação</v>
      </c>
      <c r="D249" s="43" t="str">
        <f>IFERROR(__xludf.DUMMYFUNCTION("""COMPUTED_VALUE"""),"Projeto")</f>
        <v>Projeto</v>
      </c>
      <c r="E249" s="46">
        <f>IFERROR(__xludf.DUMMYFUNCTION("""COMPUTED_VALUE"""),14337.5)</f>
        <v>14337.5</v>
      </c>
      <c r="F249" s="34">
        <f>IFERROR(__xludf.DUMMYFUNCTION("""COMPUTED_VALUE"""),8.0)</f>
        <v>8</v>
      </c>
      <c r="G249" s="34">
        <f>IFERROR(__xludf.DUMMYFUNCTION("""COMPUTED_VALUE"""),1.0)</f>
        <v>1</v>
      </c>
      <c r="H249" s="47">
        <f>IFERROR(__xludf.DUMMYFUNCTION("""COMPUTED_VALUE"""),45467.0)</f>
        <v>45467</v>
      </c>
      <c r="I249" s="47">
        <f>IFERROR(__xludf.DUMMYFUNCTION("""COMPUTED_VALUE"""),45530.0)</f>
        <v>45530</v>
      </c>
      <c r="J249" s="111"/>
      <c r="K249" s="26">
        <v>45470.0</v>
      </c>
      <c r="L249" s="86">
        <v>0.0</v>
      </c>
      <c r="M249" s="29">
        <f t="shared" ref="M249:M250" si="43">IF(K249&lt;&gt;"",K249+(F249+L249)*7,"-")</f>
        <v>45526</v>
      </c>
      <c r="N249" s="47"/>
      <c r="O249" s="20" t="s">
        <v>103</v>
      </c>
      <c r="P249" s="102" t="b">
        <v>0</v>
      </c>
      <c r="Q249" s="102" t="b">
        <v>0</v>
      </c>
      <c r="R249" s="102" t="b">
        <v>0</v>
      </c>
      <c r="S249" s="34"/>
      <c r="T249" s="43"/>
      <c r="U249" s="31" t="b">
        <f t="shared" ref="U249:U250" si="44">IF(AND(S249&gt;=9,R249=TRUE,N249&lt;=M249,N249&lt;&gt;0),TRUE,FALSE)</f>
        <v>0</v>
      </c>
      <c r="V249" s="20" t="s">
        <v>253</v>
      </c>
      <c r="W249" s="20" t="s">
        <v>362</v>
      </c>
      <c r="X249" s="43"/>
      <c r="Y249" s="43"/>
      <c r="Z249" s="43"/>
      <c r="AA249" s="34">
        <f t="shared" si="25"/>
        <v>0</v>
      </c>
      <c r="AB249" s="35">
        <f t="shared" si="40"/>
        <v>0</v>
      </c>
      <c r="AC249" s="29" t="str">
        <f t="shared" si="5"/>
        <v>NÃO</v>
      </c>
      <c r="AD249" s="37" t="str">
        <f t="shared" si="1"/>
        <v>Não</v>
      </c>
      <c r="AE249" s="38">
        <f t="shared" si="6"/>
        <v>3</v>
      </c>
      <c r="AF249" s="29"/>
      <c r="AG249" s="60"/>
    </row>
    <row r="250">
      <c r="A250" s="43" t="str">
        <f>IFERROR(__xludf.DUMMYFUNCTION("""COMPUTED_VALUE"""),"Portus Digital")</f>
        <v>Portus Digital</v>
      </c>
      <c r="B250" s="43" t="str">
        <f>IFERROR(__xludf.DUMMYFUNCTION("""COMPUTED_VALUE"""),"NDados")</f>
        <v>NDados</v>
      </c>
      <c r="C250" s="43" t="str">
        <f>IFERROR(__xludf.DUMMYFUNCTION("""COMPUTED_VALUE"""),"Visualização")</f>
        <v>Visualização</v>
      </c>
      <c r="D250" s="43" t="str">
        <f>IFERROR(__xludf.DUMMYFUNCTION("""COMPUTED_VALUE"""),"Projeto")</f>
        <v>Projeto</v>
      </c>
      <c r="E250" s="46">
        <f>IFERROR(__xludf.DUMMYFUNCTION("""COMPUTED_VALUE"""),8000.0)</f>
        <v>8000</v>
      </c>
      <c r="F250" s="34">
        <f>IFERROR(__xludf.DUMMYFUNCTION("""COMPUTED_VALUE"""),5.0)</f>
        <v>5</v>
      </c>
      <c r="G250" s="34">
        <f>IFERROR(__xludf.DUMMYFUNCTION("""COMPUTED_VALUE"""),1.0)</f>
        <v>1</v>
      </c>
      <c r="H250" s="47">
        <f>IFERROR(__xludf.DUMMYFUNCTION("""COMPUTED_VALUE"""),45467.0)</f>
        <v>45467</v>
      </c>
      <c r="I250" s="47">
        <f>IFERROR(__xludf.DUMMYFUNCTION("""COMPUTED_VALUE"""),45502.0)</f>
        <v>45502</v>
      </c>
      <c r="J250" s="103" t="s">
        <v>39</v>
      </c>
      <c r="K250" s="26">
        <v>45470.0</v>
      </c>
      <c r="L250" s="86">
        <v>0.0</v>
      </c>
      <c r="M250" s="29">
        <f t="shared" si="43"/>
        <v>45505</v>
      </c>
      <c r="N250" s="47"/>
      <c r="O250" s="20" t="s">
        <v>103</v>
      </c>
      <c r="P250" s="102" t="b">
        <v>0</v>
      </c>
      <c r="Q250" s="102" t="b">
        <v>0</v>
      </c>
      <c r="R250" s="102" t="b">
        <v>0</v>
      </c>
      <c r="S250" s="34"/>
      <c r="T250" s="43"/>
      <c r="U250" s="31" t="b">
        <f t="shared" si="44"/>
        <v>0</v>
      </c>
      <c r="V250" s="20" t="s">
        <v>334</v>
      </c>
      <c r="W250" s="20" t="s">
        <v>363</v>
      </c>
      <c r="X250" s="43"/>
      <c r="Y250" s="43"/>
      <c r="Z250" s="43"/>
      <c r="AA250" s="34">
        <f t="shared" si="25"/>
        <v>0</v>
      </c>
      <c r="AB250" s="35">
        <f t="shared" si="40"/>
        <v>0</v>
      </c>
      <c r="AC250" s="29" t="str">
        <f t="shared" si="5"/>
        <v>NÃO</v>
      </c>
      <c r="AD250" s="37" t="str">
        <f t="shared" si="1"/>
        <v>Não</v>
      </c>
      <c r="AE250" s="38">
        <f t="shared" si="6"/>
        <v>3</v>
      </c>
      <c r="AF250" s="29"/>
      <c r="AG250" s="60"/>
    </row>
    <row r="251" hidden="1">
      <c r="A251" s="43" t="str">
        <f>IFERROR(__xludf.DUMMYFUNCTION("""COMPUTED_VALUE"""),"MP Beatriz")</f>
        <v>MP Beatriz</v>
      </c>
      <c r="B251" s="43" t="str">
        <f>IFERROR(__xludf.DUMMYFUNCTION("""COMPUTED_VALUE"""),"NCon")</f>
        <v>NCon</v>
      </c>
      <c r="C251" s="43" t="str">
        <f>IFERROR(__xludf.DUMMYFUNCTION("""COMPUTED_VALUE"""),"Modelagem e Projeção")</f>
        <v>Modelagem e Projeção</v>
      </c>
      <c r="D251" s="43" t="str">
        <f>IFERROR(__xludf.DUMMYFUNCTION("""COMPUTED_VALUE"""),"Projeto")</f>
        <v>Projeto</v>
      </c>
      <c r="E251" s="46">
        <f>IFERROR(__xludf.DUMMYFUNCTION("""COMPUTED_VALUE"""),16500.0)</f>
        <v>16500</v>
      </c>
      <c r="F251" s="34">
        <f>IFERROR(__xludf.DUMMYFUNCTION("""COMPUTED_VALUE"""),11.0)</f>
        <v>11</v>
      </c>
      <c r="G251" s="34">
        <f>IFERROR(__xludf.DUMMYFUNCTION("""COMPUTED_VALUE"""),1.0)</f>
        <v>1</v>
      </c>
      <c r="H251" s="47">
        <f>IFERROR(__xludf.DUMMYFUNCTION("""COMPUTED_VALUE"""),45460.0)</f>
        <v>45460</v>
      </c>
      <c r="I251" s="47">
        <f>IFERROR(__xludf.DUMMYFUNCTION("""COMPUTED_VALUE"""),45527.0)</f>
        <v>45527</v>
      </c>
      <c r="J251" s="111"/>
      <c r="K251" s="47"/>
      <c r="L251" s="81"/>
      <c r="M251" s="47"/>
      <c r="N251" s="47"/>
      <c r="O251" s="43"/>
      <c r="P251" s="102" t="b">
        <v>0</v>
      </c>
      <c r="Q251" s="102" t="b">
        <v>0</v>
      </c>
      <c r="R251" s="102" t="b">
        <v>0</v>
      </c>
      <c r="S251" s="34"/>
      <c r="T251" s="43"/>
      <c r="U251" s="102" t="b">
        <v>0</v>
      </c>
      <c r="V251" s="43"/>
      <c r="W251" s="43"/>
      <c r="X251" s="43"/>
      <c r="Y251" s="43"/>
      <c r="Z251" s="43"/>
      <c r="AA251" s="34">
        <f t="shared" si="25"/>
        <v>0</v>
      </c>
      <c r="AB251" s="35">
        <f t="shared" si="40"/>
        <v>0</v>
      </c>
      <c r="AC251" s="29" t="str">
        <f t="shared" si="5"/>
        <v>Sim</v>
      </c>
      <c r="AD251" s="37" t="str">
        <f t="shared" si="1"/>
        <v>Não</v>
      </c>
      <c r="AE251" s="38">
        <f t="shared" si="6"/>
        <v>0</v>
      </c>
      <c r="AF251" s="29"/>
      <c r="AG251" s="60"/>
    </row>
    <row r="252" hidden="1">
      <c r="A252" s="43" t="str">
        <f>IFERROR(__xludf.DUMMYFUNCTION("""COMPUTED_VALUE"""),"PM Paulo Sérgio")</f>
        <v>PM Paulo Sérgio</v>
      </c>
      <c r="B252" s="43" t="str">
        <f>IFERROR(__xludf.DUMMYFUNCTION("""COMPUTED_VALUE"""),"NCon")</f>
        <v>NCon</v>
      </c>
      <c r="C252" s="43" t="str">
        <f>IFERROR(__xludf.DUMMYFUNCTION("""COMPUTED_VALUE"""),"Pesquisa de Mercado")</f>
        <v>Pesquisa de Mercado</v>
      </c>
      <c r="D252" s="43" t="str">
        <f>IFERROR(__xludf.DUMMYFUNCTION("""COMPUTED_VALUE"""),"Projeto")</f>
        <v>Projeto</v>
      </c>
      <c r="E252" s="46">
        <f>IFERROR(__xludf.DUMMYFUNCTION("""COMPUTED_VALUE"""),11000.0)</f>
        <v>11000</v>
      </c>
      <c r="F252" s="34">
        <f>IFERROR(__xludf.DUMMYFUNCTION("""COMPUTED_VALUE"""),7.0)</f>
        <v>7</v>
      </c>
      <c r="G252" s="34">
        <f>IFERROR(__xludf.DUMMYFUNCTION("""COMPUTED_VALUE"""),1.0)</f>
        <v>1</v>
      </c>
      <c r="H252" s="47">
        <f>IFERROR(__xludf.DUMMYFUNCTION("""COMPUTED_VALUE"""),45460.0)</f>
        <v>45460</v>
      </c>
      <c r="I252" s="47">
        <f>IFERROR(__xludf.DUMMYFUNCTION("""COMPUTED_VALUE"""),45506.0)</f>
        <v>45506</v>
      </c>
      <c r="J252" s="111"/>
      <c r="K252" s="47"/>
      <c r="L252" s="81"/>
      <c r="M252" s="47"/>
      <c r="N252" s="47"/>
      <c r="O252" s="43"/>
      <c r="P252" s="102" t="b">
        <v>0</v>
      </c>
      <c r="Q252" s="102" t="b">
        <v>0</v>
      </c>
      <c r="R252" s="102" t="b">
        <v>0</v>
      </c>
      <c r="S252" s="34"/>
      <c r="T252" s="43"/>
      <c r="U252" s="102" t="b">
        <v>0</v>
      </c>
      <c r="V252" s="43"/>
      <c r="W252" s="43"/>
      <c r="X252" s="43"/>
      <c r="Y252" s="43"/>
      <c r="Z252" s="43"/>
      <c r="AA252" s="34">
        <f t="shared" si="25"/>
        <v>0</v>
      </c>
      <c r="AB252" s="35">
        <f t="shared" si="40"/>
        <v>0</v>
      </c>
      <c r="AC252" s="29" t="str">
        <f t="shared" si="5"/>
        <v>Sim</v>
      </c>
      <c r="AD252" s="37" t="str">
        <f t="shared" si="1"/>
        <v>Não</v>
      </c>
      <c r="AE252" s="38">
        <f t="shared" si="6"/>
        <v>0</v>
      </c>
      <c r="AF252" s="29"/>
      <c r="AG252" s="60"/>
    </row>
    <row r="253">
      <c r="A253" s="43" t="str">
        <f>IFERROR(__xludf.DUMMYFUNCTION("""COMPUTED_VALUE"""),"Syngenta")</f>
        <v>Syngenta</v>
      </c>
      <c r="B253" s="43" t="str">
        <f>IFERROR(__xludf.DUMMYFUNCTION("""COMPUTED_VALUE"""),"NDados")</f>
        <v>NDados</v>
      </c>
      <c r="C253" s="43" t="str">
        <f>IFERROR(__xludf.DUMMYFUNCTION("""COMPUTED_VALUE"""),"Visualização")</f>
        <v>Visualização</v>
      </c>
      <c r="D253" s="43" t="str">
        <f>IFERROR(__xludf.DUMMYFUNCTION("""COMPUTED_VALUE"""),"Projeto")</f>
        <v>Projeto</v>
      </c>
      <c r="E253" s="46">
        <f>IFERROR(__xludf.DUMMYFUNCTION("""COMPUTED_VALUE"""),12000.0)</f>
        <v>12000</v>
      </c>
      <c r="F253" s="34">
        <f>IFERROR(__xludf.DUMMYFUNCTION("""COMPUTED_VALUE"""),5.0)</f>
        <v>5</v>
      </c>
      <c r="G253" s="34">
        <f>IFERROR(__xludf.DUMMYFUNCTION("""COMPUTED_VALUE"""),1.0)</f>
        <v>1</v>
      </c>
      <c r="H253" s="47">
        <f>IFERROR(__xludf.DUMMYFUNCTION("""COMPUTED_VALUE"""),45467.0)</f>
        <v>45467</v>
      </c>
      <c r="I253" s="47">
        <f>IFERROR(__xludf.DUMMYFUNCTION("""COMPUTED_VALUE"""),45509.0)</f>
        <v>45509</v>
      </c>
      <c r="J253" s="103"/>
      <c r="K253" s="26">
        <v>45468.0</v>
      </c>
      <c r="L253" s="86">
        <v>0.0</v>
      </c>
      <c r="M253" s="29">
        <f t="shared" ref="M253:M254" si="45">IF(K253&lt;&gt;"",K253+(F253+L253)*7,"-")</f>
        <v>45503</v>
      </c>
      <c r="N253" s="47"/>
      <c r="O253" s="20" t="s">
        <v>40</v>
      </c>
      <c r="P253" s="102" t="b">
        <v>0</v>
      </c>
      <c r="Q253" s="102" t="b">
        <v>0</v>
      </c>
      <c r="R253" s="102" t="b">
        <v>0</v>
      </c>
      <c r="S253" s="34"/>
      <c r="T253" s="43"/>
      <c r="U253" s="31" t="b">
        <f t="shared" ref="U253:U254" si="46">IF(AND(S253&gt;=9,R253=TRUE,N253&lt;=M253,N253&lt;&gt;0),TRUE,FALSE)</f>
        <v>0</v>
      </c>
      <c r="V253" s="20" t="s">
        <v>351</v>
      </c>
      <c r="W253" s="20" t="s">
        <v>364</v>
      </c>
      <c r="X253" s="43"/>
      <c r="Y253" s="43"/>
      <c r="Z253" s="43"/>
      <c r="AA253" s="34">
        <f t="shared" si="25"/>
        <v>0</v>
      </c>
      <c r="AB253" s="35">
        <f t="shared" si="40"/>
        <v>0</v>
      </c>
      <c r="AC253" s="29" t="str">
        <f t="shared" si="5"/>
        <v>NÃO</v>
      </c>
      <c r="AD253" s="37" t="str">
        <f t="shared" si="1"/>
        <v>Não</v>
      </c>
      <c r="AE253" s="38">
        <f t="shared" si="6"/>
        <v>1</v>
      </c>
      <c r="AF253" s="29"/>
      <c r="AG253" s="60"/>
    </row>
    <row r="254">
      <c r="A254" s="43" t="str">
        <f>IFERROR(__xludf.DUMMYFUNCTION("""COMPUTED_VALUE"""),"Siemens Gamesa")</f>
        <v>Siemens Gamesa</v>
      </c>
      <c r="B254" s="43" t="str">
        <f>IFERROR(__xludf.DUMMYFUNCTION("""COMPUTED_VALUE"""),"NDados")</f>
        <v>NDados</v>
      </c>
      <c r="C254" s="43" t="str">
        <f>IFERROR(__xludf.DUMMYFUNCTION("""COMPUTED_VALUE"""),"Visualização")</f>
        <v>Visualização</v>
      </c>
      <c r="D254" s="43" t="str">
        <f>IFERROR(__xludf.DUMMYFUNCTION("""COMPUTED_VALUE"""),"Projeto")</f>
        <v>Projeto</v>
      </c>
      <c r="E254" s="46">
        <f>IFERROR(__xludf.DUMMYFUNCTION("""COMPUTED_VALUE"""),29355.0)</f>
        <v>29355</v>
      </c>
      <c r="F254" s="34">
        <f>IFERROR(__xludf.DUMMYFUNCTION("""COMPUTED_VALUE"""),9.0)</f>
        <v>9</v>
      </c>
      <c r="G254" s="34">
        <f>IFERROR(__xludf.DUMMYFUNCTION("""COMPUTED_VALUE"""),2.0)</f>
        <v>2</v>
      </c>
      <c r="H254" s="47">
        <f>IFERROR(__xludf.DUMMYFUNCTION("""COMPUTED_VALUE"""),45467.0)</f>
        <v>45467</v>
      </c>
      <c r="I254" s="47">
        <f>IFERROR(__xludf.DUMMYFUNCTION("""COMPUTED_VALUE"""),45537.0)</f>
        <v>45537</v>
      </c>
      <c r="J254" s="111"/>
      <c r="K254" s="47"/>
      <c r="L254" s="81"/>
      <c r="M254" s="29" t="str">
        <f t="shared" si="45"/>
        <v>-</v>
      </c>
      <c r="N254" s="47"/>
      <c r="O254" s="20" t="s">
        <v>103</v>
      </c>
      <c r="P254" s="102" t="b">
        <v>0</v>
      </c>
      <c r="Q254" s="102" t="b">
        <v>0</v>
      </c>
      <c r="R254" s="102" t="b">
        <v>0</v>
      </c>
      <c r="S254" s="34"/>
      <c r="T254" s="43"/>
      <c r="U254" s="31" t="b">
        <f t="shared" si="46"/>
        <v>0</v>
      </c>
      <c r="V254" s="20" t="s">
        <v>341</v>
      </c>
      <c r="W254" s="20" t="s">
        <v>365</v>
      </c>
      <c r="X254" s="20" t="s">
        <v>366</v>
      </c>
      <c r="Y254" s="43"/>
      <c r="Z254" s="43"/>
      <c r="AA254" s="34">
        <f t="shared" si="25"/>
        <v>0</v>
      </c>
      <c r="AB254" s="35">
        <f t="shared" si="40"/>
        <v>0</v>
      </c>
      <c r="AC254" s="29" t="str">
        <f t="shared" si="5"/>
        <v>NÃO</v>
      </c>
      <c r="AD254" s="37" t="str">
        <f t="shared" si="1"/>
        <v>Não</v>
      </c>
      <c r="AE254" s="38">
        <f t="shared" si="6"/>
        <v>0</v>
      </c>
      <c r="AF254" s="29"/>
      <c r="AG254" s="60"/>
    </row>
    <row r="255" hidden="1">
      <c r="A255" s="43" t="str">
        <f>IFERROR(__xludf.DUMMYFUNCTION("""COMPUTED_VALUE"""),"Valid")</f>
        <v>Valid</v>
      </c>
      <c r="B255" s="43" t="str">
        <f>IFERROR(__xludf.DUMMYFUNCTION("""COMPUTED_VALUE"""),"NCon")</f>
        <v>NCon</v>
      </c>
      <c r="C255" s="43" t="str">
        <f>IFERROR(__xludf.DUMMYFUNCTION("""COMPUTED_VALUE"""),"Gestão de Processos")</f>
        <v>Gestão de Processos</v>
      </c>
      <c r="D255" s="43" t="str">
        <f>IFERROR(__xludf.DUMMYFUNCTION("""COMPUTED_VALUE"""),"Projeto")</f>
        <v>Projeto</v>
      </c>
      <c r="E255" s="46">
        <f>IFERROR(__xludf.DUMMYFUNCTION("""COMPUTED_VALUE"""),18000.0)</f>
        <v>18000</v>
      </c>
      <c r="F255" s="34">
        <f>IFERROR(__xludf.DUMMYFUNCTION("""COMPUTED_VALUE"""),7.0)</f>
        <v>7</v>
      </c>
      <c r="G255" s="34">
        <f>IFERROR(__xludf.DUMMYFUNCTION("""COMPUTED_VALUE"""),2.0)</f>
        <v>2</v>
      </c>
      <c r="H255" s="47">
        <f>IFERROR(__xludf.DUMMYFUNCTION("""COMPUTED_VALUE"""),45467.0)</f>
        <v>45467</v>
      </c>
      <c r="I255" s="47">
        <f>IFERROR(__xludf.DUMMYFUNCTION("""COMPUTED_VALUE"""),45513.0)</f>
        <v>45513</v>
      </c>
      <c r="J255" s="111"/>
      <c r="K255" s="47"/>
      <c r="L255" s="81"/>
      <c r="M255" s="47"/>
      <c r="N255" s="47"/>
      <c r="O255" s="43"/>
      <c r="P255" s="102" t="b">
        <v>0</v>
      </c>
      <c r="Q255" s="102" t="b">
        <v>0</v>
      </c>
      <c r="R255" s="102" t="b">
        <v>0</v>
      </c>
      <c r="S255" s="34"/>
      <c r="T255" s="43"/>
      <c r="U255" s="102" t="b">
        <v>0</v>
      </c>
      <c r="V255" s="43"/>
      <c r="W255" s="43"/>
      <c r="X255" s="43"/>
      <c r="Y255" s="43"/>
      <c r="Z255" s="43"/>
      <c r="AA255" s="34">
        <f t="shared" si="25"/>
        <v>0</v>
      </c>
      <c r="AB255" s="35">
        <f t="shared" si="40"/>
        <v>0</v>
      </c>
      <c r="AC255" s="29" t="str">
        <f t="shared" si="5"/>
        <v>Sim</v>
      </c>
      <c r="AD255" s="37" t="str">
        <f t="shared" si="1"/>
        <v>Não</v>
      </c>
      <c r="AE255" s="38">
        <f t="shared" si="6"/>
        <v>0</v>
      </c>
      <c r="AF255" s="29"/>
      <c r="AG255" s="60"/>
    </row>
    <row r="256" hidden="1">
      <c r="A256" s="43" t="str">
        <f>IFERROR(__xludf.DUMMYFUNCTION("""COMPUTED_VALUE"""),"Tecnimex 2.0")</f>
        <v>Tecnimex 2.0</v>
      </c>
      <c r="B256" s="43" t="str">
        <f>IFERROR(__xludf.DUMMYFUNCTION("""COMPUTED_VALUE"""),"NCon")</f>
        <v>NCon</v>
      </c>
      <c r="C256" s="43" t="str">
        <f>IFERROR(__xludf.DUMMYFUNCTION("""COMPUTED_VALUE"""),"Pesquisa de Mercado")</f>
        <v>Pesquisa de Mercado</v>
      </c>
      <c r="D256" s="43" t="str">
        <f>IFERROR(__xludf.DUMMYFUNCTION("""COMPUTED_VALUE"""),"Projeto")</f>
        <v>Projeto</v>
      </c>
      <c r="E256" s="46">
        <f>IFERROR(__xludf.DUMMYFUNCTION("""COMPUTED_VALUE"""),10000.0)</f>
        <v>10000</v>
      </c>
      <c r="F256" s="34">
        <f>IFERROR(__xludf.DUMMYFUNCTION("""COMPUTED_VALUE"""),7.0)</f>
        <v>7</v>
      </c>
      <c r="G256" s="34">
        <f>IFERROR(__xludf.DUMMYFUNCTION("""COMPUTED_VALUE"""),1.0)</f>
        <v>1</v>
      </c>
      <c r="H256" s="47">
        <f>IFERROR(__xludf.DUMMYFUNCTION("""COMPUTED_VALUE"""),45467.0)</f>
        <v>45467</v>
      </c>
      <c r="I256" s="47">
        <f>IFERROR(__xludf.DUMMYFUNCTION("""COMPUTED_VALUE"""),45513.0)</f>
        <v>45513</v>
      </c>
      <c r="J256" s="111"/>
      <c r="K256" s="47"/>
      <c r="L256" s="81"/>
      <c r="M256" s="47"/>
      <c r="N256" s="47"/>
      <c r="O256" s="43"/>
      <c r="P256" s="102" t="b">
        <v>0</v>
      </c>
      <c r="Q256" s="102" t="b">
        <v>0</v>
      </c>
      <c r="R256" s="102" t="b">
        <v>0</v>
      </c>
      <c r="S256" s="34"/>
      <c r="T256" s="43"/>
      <c r="U256" s="102" t="b">
        <v>0</v>
      </c>
      <c r="V256" s="43"/>
      <c r="W256" s="43"/>
      <c r="X256" s="43"/>
      <c r="Y256" s="43"/>
      <c r="Z256" s="43"/>
      <c r="AA256" s="34">
        <f t="shared" si="25"/>
        <v>0</v>
      </c>
      <c r="AB256" s="35">
        <f t="shared" si="40"/>
        <v>0</v>
      </c>
      <c r="AC256" s="29" t="str">
        <f t="shared" si="5"/>
        <v>Sim</v>
      </c>
      <c r="AD256" s="37" t="str">
        <f t="shared" si="1"/>
        <v>Não</v>
      </c>
      <c r="AE256" s="38">
        <f t="shared" si="6"/>
        <v>0</v>
      </c>
      <c r="AF256" s="29"/>
      <c r="AG256" s="60"/>
    </row>
    <row r="257" hidden="1">
      <c r="A257" s="43" t="str">
        <f>IFERROR(__xludf.DUMMYFUNCTION("""COMPUTED_VALUE"""),"Jadlog 2.0")</f>
        <v>Jadlog 2.0</v>
      </c>
      <c r="B257" s="43" t="str">
        <f>IFERROR(__xludf.DUMMYFUNCTION("""COMPUTED_VALUE"""),"NCon")</f>
        <v>NCon</v>
      </c>
      <c r="C257" s="43" t="str">
        <f>IFERROR(__xludf.DUMMYFUNCTION("""COMPUTED_VALUE"""),"Pesquisa de Mercado")</f>
        <v>Pesquisa de Mercado</v>
      </c>
      <c r="D257" s="43" t="str">
        <f>IFERROR(__xludf.DUMMYFUNCTION("""COMPUTED_VALUE"""),"Projeto")</f>
        <v>Projeto</v>
      </c>
      <c r="E257" s="46">
        <f>IFERROR(__xludf.DUMMYFUNCTION("""COMPUTED_VALUE"""),62000.0)</f>
        <v>62000</v>
      </c>
      <c r="F257" s="34">
        <f>IFERROR(__xludf.DUMMYFUNCTION("""COMPUTED_VALUE"""),11.0)</f>
        <v>11</v>
      </c>
      <c r="G257" s="34">
        <f>IFERROR(__xludf.DUMMYFUNCTION("""COMPUTED_VALUE"""),3.0)</f>
        <v>3</v>
      </c>
      <c r="H257" s="47">
        <f>IFERROR(__xludf.DUMMYFUNCTION("""COMPUTED_VALUE"""),45467.0)</f>
        <v>45467</v>
      </c>
      <c r="I257" s="47">
        <f>IFERROR(__xludf.DUMMYFUNCTION("""COMPUTED_VALUE"""),45541.0)</f>
        <v>45541</v>
      </c>
      <c r="J257" s="111"/>
      <c r="K257" s="47"/>
      <c r="L257" s="81"/>
      <c r="M257" s="47"/>
      <c r="N257" s="47"/>
      <c r="O257" s="43"/>
      <c r="P257" s="102" t="b">
        <v>0</v>
      </c>
      <c r="Q257" s="102" t="b">
        <v>0</v>
      </c>
      <c r="R257" s="102" t="b">
        <v>0</v>
      </c>
      <c r="S257" s="34"/>
      <c r="T257" s="43"/>
      <c r="U257" s="102" t="b">
        <v>0</v>
      </c>
      <c r="V257" s="43"/>
      <c r="W257" s="43"/>
      <c r="X257" s="43"/>
      <c r="Y257" s="43"/>
      <c r="Z257" s="43"/>
      <c r="AA257" s="34">
        <f t="shared" si="25"/>
        <v>0</v>
      </c>
      <c r="AB257" s="35">
        <f t="shared" si="40"/>
        <v>0</v>
      </c>
      <c r="AC257" s="29" t="str">
        <f t="shared" si="5"/>
        <v>Sim</v>
      </c>
      <c r="AD257" s="37" t="str">
        <f t="shared" si="1"/>
        <v>Não</v>
      </c>
      <c r="AE257" s="38">
        <f t="shared" si="6"/>
        <v>0</v>
      </c>
      <c r="AF257" s="29"/>
      <c r="AG257" s="60"/>
    </row>
    <row r="258" hidden="1">
      <c r="A258" s="43" t="str">
        <f>IFERROR(__xludf.DUMMYFUNCTION("""COMPUTED_VALUE"""),"Mauricio ")</f>
        <v>Mauricio </v>
      </c>
      <c r="B258" s="43" t="str">
        <f>IFERROR(__xludf.DUMMYFUNCTION("""COMPUTED_VALUE"""),"NCiv")</f>
        <v>NCiv</v>
      </c>
      <c r="C258" s="43" t="str">
        <f>IFERROR(__xludf.DUMMYFUNCTION("""COMPUTED_VALUE"""),"Completo")</f>
        <v>Completo</v>
      </c>
      <c r="D258" s="43" t="str">
        <f>IFERROR(__xludf.DUMMYFUNCTION("""COMPUTED_VALUE"""),"Projeto")</f>
        <v>Projeto</v>
      </c>
      <c r="E258" s="46">
        <f>IFERROR(__xludf.DUMMYFUNCTION("""COMPUTED_VALUE"""),19000.0)</f>
        <v>19000</v>
      </c>
      <c r="F258" s="34">
        <f>IFERROR(__xludf.DUMMYFUNCTION("""COMPUTED_VALUE"""),9.0)</f>
        <v>9</v>
      </c>
      <c r="G258" s="34">
        <f>IFERROR(__xludf.DUMMYFUNCTION("""COMPUTED_VALUE"""),4.0)</f>
        <v>4</v>
      </c>
      <c r="H258" s="47">
        <f>IFERROR(__xludf.DUMMYFUNCTION("""COMPUTED_VALUE"""),45488.0)</f>
        <v>45488</v>
      </c>
      <c r="I258" s="47">
        <f>IFERROR(__xludf.DUMMYFUNCTION("""COMPUTED_VALUE"""),45557.0)</f>
        <v>45557</v>
      </c>
      <c r="J258" s="111"/>
      <c r="K258" s="47"/>
      <c r="L258" s="81"/>
      <c r="M258" s="47"/>
      <c r="N258" s="47"/>
      <c r="O258" s="20" t="s">
        <v>103</v>
      </c>
      <c r="P258" s="102" t="b">
        <v>0</v>
      </c>
      <c r="Q258" s="102" t="b">
        <v>0</v>
      </c>
      <c r="R258" s="102" t="b">
        <v>0</v>
      </c>
      <c r="S258" s="34"/>
      <c r="T258" s="43"/>
      <c r="U258" s="102" t="b">
        <v>0</v>
      </c>
      <c r="V258" s="43"/>
      <c r="W258" s="43"/>
      <c r="X258" s="43"/>
      <c r="Y258" s="43"/>
      <c r="Z258" s="43"/>
      <c r="AA258" s="34">
        <f t="shared" si="25"/>
        <v>0</v>
      </c>
      <c r="AB258" s="35">
        <f t="shared" si="40"/>
        <v>0</v>
      </c>
      <c r="AC258" s="29" t="str">
        <f t="shared" si="5"/>
        <v>Sim</v>
      </c>
      <c r="AD258" s="37" t="str">
        <f t="shared" si="1"/>
        <v>Não</v>
      </c>
      <c r="AE258" s="38">
        <f t="shared" si="6"/>
        <v>0</v>
      </c>
      <c r="AF258" s="29"/>
      <c r="AG258" s="60"/>
    </row>
    <row r="259">
      <c r="A259" s="43" t="str">
        <f>IFERROR(__xludf.DUMMYFUNCTION("""COMPUTED_VALUE"""),"Instale - Mosaic")</f>
        <v>Instale - Mosaic</v>
      </c>
      <c r="B259" s="43" t="str">
        <f>IFERROR(__xludf.DUMMYFUNCTION("""COMPUTED_VALUE"""),"NDados")</f>
        <v>NDados</v>
      </c>
      <c r="C259" s="43" t="str">
        <f>IFERROR(__xludf.DUMMYFUNCTION("""COMPUTED_VALUE"""),"Análise exploratória")</f>
        <v>Análise exploratória</v>
      </c>
      <c r="D259" s="43" t="str">
        <f>IFERROR(__xludf.DUMMYFUNCTION("""COMPUTED_VALUE"""),"Projeto")</f>
        <v>Projeto</v>
      </c>
      <c r="E259" s="46">
        <f>IFERROR(__xludf.DUMMYFUNCTION("""COMPUTED_VALUE"""),25000.0)</f>
        <v>25000</v>
      </c>
      <c r="F259" s="34">
        <f>IFERROR(__xludf.DUMMYFUNCTION("""COMPUTED_VALUE"""),8.0)</f>
        <v>8</v>
      </c>
      <c r="G259" s="34">
        <f>IFERROR(__xludf.DUMMYFUNCTION("""COMPUTED_VALUE"""),1.0)</f>
        <v>1</v>
      </c>
      <c r="H259" s="47">
        <f>IFERROR(__xludf.DUMMYFUNCTION("""COMPUTED_VALUE"""),45474.0)</f>
        <v>45474</v>
      </c>
      <c r="I259" s="47">
        <f>IFERROR(__xludf.DUMMYFUNCTION("""COMPUTED_VALUE"""),45537.0)</f>
        <v>45537</v>
      </c>
      <c r="J259" s="111"/>
      <c r="K259" s="47"/>
      <c r="L259" s="81"/>
      <c r="M259" s="29" t="str">
        <f>IF(K259&lt;&gt;"",K259+(F259+L259)*7,"-")</f>
        <v>-</v>
      </c>
      <c r="N259" s="47"/>
      <c r="O259" s="20" t="s">
        <v>103</v>
      </c>
      <c r="P259" s="102" t="b">
        <v>0</v>
      </c>
      <c r="Q259" s="102" t="b">
        <v>0</v>
      </c>
      <c r="R259" s="102" t="b">
        <v>0</v>
      </c>
      <c r="S259" s="34"/>
      <c r="T259" s="43"/>
      <c r="U259" s="31" t="b">
        <f>IF(AND(S259&gt;=9,R259=TRUE,N259&lt;=M259,N259&lt;&gt;0),TRUE,FALSE)</f>
        <v>0</v>
      </c>
      <c r="V259" s="43"/>
      <c r="W259" s="43"/>
      <c r="X259" s="43"/>
      <c r="Y259" s="43"/>
      <c r="Z259" s="43"/>
      <c r="AA259" s="34">
        <f t="shared" si="25"/>
        <v>0</v>
      </c>
      <c r="AB259" s="35">
        <f t="shared" si="40"/>
        <v>0</v>
      </c>
      <c r="AC259" s="29" t="str">
        <f t="shared" si="5"/>
        <v>NÃO</v>
      </c>
      <c r="AD259" s="37" t="str">
        <f t="shared" si="1"/>
        <v>Não</v>
      </c>
      <c r="AE259" s="38">
        <f t="shared" si="6"/>
        <v>0</v>
      </c>
      <c r="AF259" s="29"/>
      <c r="AG259" s="60"/>
    </row>
    <row r="260" hidden="1">
      <c r="A260" s="43" t="str">
        <f>IFERROR(__xludf.DUMMYFUNCTION("""COMPUTED_VALUE"""),"App Jorge Henrique")</f>
        <v>App Jorge Henrique</v>
      </c>
      <c r="B260" s="43" t="str">
        <f>IFERROR(__xludf.DUMMYFUNCTION("""COMPUTED_VALUE"""),"NTec")</f>
        <v>NTec</v>
      </c>
      <c r="C260" s="43" t="str">
        <f>IFERROR(__xludf.DUMMYFUNCTION("""COMPUTED_VALUE"""),"Escopo Aberto")</f>
        <v>Escopo Aberto</v>
      </c>
      <c r="D260" s="43" t="str">
        <f>IFERROR(__xludf.DUMMYFUNCTION("""COMPUTED_VALUE"""),"Projeto")</f>
        <v>Projeto</v>
      </c>
      <c r="E260" s="46">
        <f>IFERROR(__xludf.DUMMYFUNCTION("""COMPUTED_VALUE"""),47000.0)</f>
        <v>47000</v>
      </c>
      <c r="F260" s="34">
        <f>IFERROR(__xludf.DUMMYFUNCTION("""COMPUTED_VALUE"""),14.0)</f>
        <v>14</v>
      </c>
      <c r="G260" s="34">
        <f>IFERROR(__xludf.DUMMYFUNCTION("""COMPUTED_VALUE"""),3.0)</f>
        <v>3</v>
      </c>
      <c r="H260" s="47"/>
      <c r="I260" s="47"/>
      <c r="J260" s="111"/>
      <c r="K260" s="47"/>
      <c r="L260" s="81"/>
      <c r="M260" s="47"/>
      <c r="N260" s="47"/>
      <c r="O260" s="43"/>
      <c r="P260" s="102" t="b">
        <v>0</v>
      </c>
      <c r="Q260" s="102" t="b">
        <v>0</v>
      </c>
      <c r="R260" s="102" t="b">
        <v>0</v>
      </c>
      <c r="S260" s="34"/>
      <c r="T260" s="43"/>
      <c r="U260" s="102" t="b">
        <v>0</v>
      </c>
      <c r="V260" s="43"/>
      <c r="W260" s="43"/>
      <c r="X260" s="43"/>
      <c r="Y260" s="43"/>
      <c r="Z260" s="43"/>
      <c r="AA260" s="34">
        <f t="shared" si="25"/>
        <v>0</v>
      </c>
      <c r="AB260" s="35">
        <f t="shared" si="40"/>
        <v>0</v>
      </c>
      <c r="AC260" s="29" t="str">
        <f t="shared" si="5"/>
        <v>Sim</v>
      </c>
      <c r="AD260" s="37" t="str">
        <f t="shared" si="1"/>
        <v>Não</v>
      </c>
      <c r="AE260" s="38">
        <f t="shared" si="6"/>
        <v>0</v>
      </c>
      <c r="AF260" s="29"/>
      <c r="AG260" s="60"/>
    </row>
    <row r="261" hidden="1">
      <c r="A261" s="43" t="str">
        <f>IFERROR(__xludf.DUMMYFUNCTION("""COMPUTED_VALUE"""),"IntegralMind")</f>
        <v>IntegralMind</v>
      </c>
      <c r="B261" s="43" t="str">
        <f>IFERROR(__xludf.DUMMYFUNCTION("""COMPUTED_VALUE"""),"NCon")</f>
        <v>NCon</v>
      </c>
      <c r="C261" s="43" t="str">
        <f>IFERROR(__xludf.DUMMYFUNCTION("""COMPUTED_VALUE"""),"Pesquisa de Mercado")</f>
        <v>Pesquisa de Mercado</v>
      </c>
      <c r="D261" s="43" t="str">
        <f>IFERROR(__xludf.DUMMYFUNCTION("""COMPUTED_VALUE"""),"Projeto")</f>
        <v>Projeto</v>
      </c>
      <c r="E261" s="46">
        <f>IFERROR(__xludf.DUMMYFUNCTION("""COMPUTED_VALUE"""),4000.0)</f>
        <v>4000</v>
      </c>
      <c r="F261" s="34">
        <f>IFERROR(__xludf.DUMMYFUNCTION("""COMPUTED_VALUE"""),3.0)</f>
        <v>3</v>
      </c>
      <c r="G261" s="34">
        <f>IFERROR(__xludf.DUMMYFUNCTION("""COMPUTED_VALUE"""),1.0)</f>
        <v>1</v>
      </c>
      <c r="H261" s="47">
        <f>IFERROR(__xludf.DUMMYFUNCTION("""COMPUTED_VALUE"""),45474.0)</f>
        <v>45474</v>
      </c>
      <c r="I261" s="47">
        <f>IFERROR(__xludf.DUMMYFUNCTION("""COMPUTED_VALUE"""),45492.0)</f>
        <v>45492</v>
      </c>
      <c r="J261" s="111"/>
      <c r="K261" s="47"/>
      <c r="L261" s="81"/>
      <c r="M261" s="47"/>
      <c r="N261" s="47"/>
      <c r="O261" s="43"/>
      <c r="P261" s="102" t="b">
        <v>0</v>
      </c>
      <c r="Q261" s="102" t="b">
        <v>0</v>
      </c>
      <c r="R261" s="102" t="b">
        <v>0</v>
      </c>
      <c r="S261" s="34"/>
      <c r="T261" s="43"/>
      <c r="U261" s="102" t="b">
        <v>0</v>
      </c>
      <c r="V261" s="43"/>
      <c r="W261" s="43"/>
      <c r="X261" s="43"/>
      <c r="Y261" s="43"/>
      <c r="Z261" s="43"/>
      <c r="AA261" s="34">
        <f t="shared" si="25"/>
        <v>0</v>
      </c>
      <c r="AB261" s="35">
        <f t="shared" si="40"/>
        <v>0</v>
      </c>
      <c r="AC261" s="29" t="str">
        <f t="shared" si="5"/>
        <v>Sim</v>
      </c>
      <c r="AD261" s="37" t="str">
        <f t="shared" si="1"/>
        <v>Não</v>
      </c>
      <c r="AE261" s="38">
        <f t="shared" si="6"/>
        <v>0</v>
      </c>
      <c r="AF261" s="29"/>
      <c r="AG261" s="60"/>
    </row>
    <row r="262" hidden="1">
      <c r="A262" s="43" t="str">
        <f>IFERROR(__xludf.DUMMYFUNCTION("""COMPUTED_VALUE"""),"Tanta Arquitetura")</f>
        <v>Tanta Arquitetura</v>
      </c>
      <c r="B262" s="43" t="str">
        <f>IFERROR(__xludf.DUMMYFUNCTION("""COMPUTED_VALUE"""),"NCiv")</f>
        <v>NCiv</v>
      </c>
      <c r="C262" s="43" t="str">
        <f>IFERROR(__xludf.DUMMYFUNCTION("""COMPUTED_VALUE"""),"HEE")</f>
        <v>HEE</v>
      </c>
      <c r="D262" s="43" t="str">
        <f>IFERROR(__xludf.DUMMYFUNCTION("""COMPUTED_VALUE"""),"Projeto")</f>
        <v>Projeto</v>
      </c>
      <c r="E262" s="46">
        <f>IFERROR(__xludf.DUMMYFUNCTION("""COMPUTED_VALUE"""),12000.0)</f>
        <v>12000</v>
      </c>
      <c r="F262" s="34">
        <f>IFERROR(__xludf.DUMMYFUNCTION("""COMPUTED_VALUE"""),8.0)</f>
        <v>8</v>
      </c>
      <c r="G262" s="34">
        <f>IFERROR(__xludf.DUMMYFUNCTION("""COMPUTED_VALUE"""),3.0)</f>
        <v>3</v>
      </c>
      <c r="H262" s="47">
        <f>IFERROR(__xludf.DUMMYFUNCTION("""COMPUTED_VALUE"""),45467.0)</f>
        <v>45467</v>
      </c>
      <c r="I262" s="47">
        <f>IFERROR(__xludf.DUMMYFUNCTION("""COMPUTED_VALUE"""),45528.0)</f>
        <v>45528</v>
      </c>
      <c r="J262" s="111"/>
      <c r="K262" s="47"/>
      <c r="L262" s="81"/>
      <c r="M262" s="47"/>
      <c r="N262" s="47"/>
      <c r="O262" s="20" t="s">
        <v>103</v>
      </c>
      <c r="P262" s="102" t="b">
        <v>0</v>
      </c>
      <c r="Q262" s="102" t="b">
        <v>0</v>
      </c>
      <c r="R262" s="102" t="b">
        <v>0</v>
      </c>
      <c r="S262" s="34"/>
      <c r="T262" s="43"/>
      <c r="U262" s="102" t="b">
        <v>0</v>
      </c>
      <c r="V262" s="43"/>
      <c r="W262" s="43"/>
      <c r="X262" s="43"/>
      <c r="Y262" s="43"/>
      <c r="Z262" s="43"/>
      <c r="AA262" s="34">
        <f t="shared" si="25"/>
        <v>0</v>
      </c>
      <c r="AB262" s="35">
        <f t="shared" si="40"/>
        <v>0</v>
      </c>
      <c r="AC262" s="29" t="str">
        <f t="shared" si="5"/>
        <v>Sim</v>
      </c>
      <c r="AD262" s="37" t="str">
        <f t="shared" si="1"/>
        <v>Não</v>
      </c>
      <c r="AE262" s="38">
        <f t="shared" si="6"/>
        <v>0</v>
      </c>
      <c r="AF262" s="29"/>
      <c r="AG262" s="60"/>
    </row>
    <row r="263" hidden="1">
      <c r="A263" s="43" t="str">
        <f>IFERROR(__xludf.DUMMYFUNCTION("""COMPUTED_VALUE"""),"Larissa")</f>
        <v>Larissa</v>
      </c>
      <c r="B263" s="43" t="str">
        <f>IFERROR(__xludf.DUMMYFUNCTION("""COMPUTED_VALUE"""),"NCiv")</f>
        <v>NCiv</v>
      </c>
      <c r="C263" s="43" t="str">
        <f>IFERROR(__xludf.DUMMYFUNCTION("""COMPUTED_VALUE"""),"HEE")</f>
        <v>HEE</v>
      </c>
      <c r="D263" s="43" t="str">
        <f>IFERROR(__xludf.DUMMYFUNCTION("""COMPUTED_VALUE"""),"Projeto")</f>
        <v>Projeto</v>
      </c>
      <c r="E263" s="46">
        <f>IFERROR(__xludf.DUMMYFUNCTION("""COMPUTED_VALUE"""),8500.0)</f>
        <v>8500</v>
      </c>
      <c r="F263" s="34">
        <f>IFERROR(__xludf.DUMMYFUNCTION("""COMPUTED_VALUE"""),9.0)</f>
        <v>9</v>
      </c>
      <c r="G263" s="34">
        <f>IFERROR(__xludf.DUMMYFUNCTION("""COMPUTED_VALUE"""),1.0)</f>
        <v>1</v>
      </c>
      <c r="H263" s="47">
        <f>IFERROR(__xludf.DUMMYFUNCTION("""COMPUTED_VALUE"""),45488.0)</f>
        <v>45488</v>
      </c>
      <c r="I263" s="47">
        <f>IFERROR(__xludf.DUMMYFUNCTION("""COMPUTED_VALUE"""),45557.0)</f>
        <v>45557</v>
      </c>
      <c r="J263" s="111"/>
      <c r="K263" s="47"/>
      <c r="L263" s="81"/>
      <c r="M263" s="47"/>
      <c r="N263" s="47"/>
      <c r="O263" s="43"/>
      <c r="P263" s="102" t="b">
        <v>0</v>
      </c>
      <c r="Q263" s="102" t="b">
        <v>0</v>
      </c>
      <c r="R263" s="102" t="b">
        <v>0</v>
      </c>
      <c r="S263" s="34"/>
      <c r="T263" s="43"/>
      <c r="U263" s="102" t="b">
        <v>0</v>
      </c>
      <c r="V263" s="43"/>
      <c r="W263" s="43"/>
      <c r="X263" s="43"/>
      <c r="Y263" s="43"/>
      <c r="Z263" s="43"/>
      <c r="AA263" s="34">
        <f t="shared" si="25"/>
        <v>0</v>
      </c>
      <c r="AB263" s="35">
        <f t="shared" si="40"/>
        <v>0</v>
      </c>
      <c r="AC263" s="29" t="str">
        <f t="shared" si="5"/>
        <v>Sim</v>
      </c>
      <c r="AD263" s="37" t="str">
        <f t="shared" si="1"/>
        <v>Não</v>
      </c>
      <c r="AE263" s="38">
        <f t="shared" si="6"/>
        <v>0</v>
      </c>
      <c r="AF263" s="29"/>
      <c r="AG263" s="60"/>
    </row>
    <row r="264" hidden="1">
      <c r="A264" s="43"/>
      <c r="B264" s="43"/>
      <c r="C264" s="43"/>
      <c r="D264" s="43"/>
      <c r="E264" s="46"/>
      <c r="F264" s="34"/>
      <c r="G264" s="34"/>
      <c r="H264" s="47"/>
      <c r="I264" s="47"/>
      <c r="J264" s="111"/>
      <c r="K264" s="47"/>
      <c r="L264" s="81"/>
      <c r="M264" s="47"/>
      <c r="N264" s="47"/>
      <c r="O264" s="43"/>
      <c r="P264" s="102" t="b">
        <v>0</v>
      </c>
      <c r="Q264" s="102" t="b">
        <v>0</v>
      </c>
      <c r="R264" s="102" t="b">
        <v>0</v>
      </c>
      <c r="S264" s="34"/>
      <c r="T264" s="43"/>
      <c r="U264" s="102" t="b">
        <v>0</v>
      </c>
      <c r="V264" s="43"/>
      <c r="W264" s="43"/>
      <c r="X264" s="43"/>
      <c r="Y264" s="43"/>
      <c r="Z264" s="43"/>
      <c r="AA264" s="34">
        <f t="shared" si="25"/>
        <v>0</v>
      </c>
      <c r="AB264" s="35">
        <f t="shared" si="40"/>
        <v>0</v>
      </c>
      <c r="AC264" s="29" t="str">
        <f t="shared" si="5"/>
        <v>Sim</v>
      </c>
      <c r="AD264" s="37" t="str">
        <f t="shared" si="1"/>
        <v>Não</v>
      </c>
      <c r="AE264" s="38">
        <f t="shared" si="6"/>
        <v>0</v>
      </c>
      <c r="AF264" s="29"/>
      <c r="AG264" s="60"/>
    </row>
    <row r="265" hidden="1">
      <c r="A265" s="43"/>
      <c r="B265" s="43"/>
      <c r="C265" s="43"/>
      <c r="D265" s="43"/>
      <c r="E265" s="46"/>
      <c r="F265" s="34"/>
      <c r="G265" s="34"/>
      <c r="H265" s="47"/>
      <c r="I265" s="47"/>
      <c r="J265" s="111"/>
      <c r="K265" s="47"/>
      <c r="L265" s="81"/>
      <c r="M265" s="47"/>
      <c r="N265" s="47"/>
      <c r="O265" s="43"/>
      <c r="P265" s="102" t="b">
        <v>0</v>
      </c>
      <c r="Q265" s="102" t="b">
        <v>0</v>
      </c>
      <c r="R265" s="102" t="b">
        <v>0</v>
      </c>
      <c r="S265" s="34"/>
      <c r="T265" s="43"/>
      <c r="U265" s="102" t="b">
        <v>0</v>
      </c>
      <c r="V265" s="43"/>
      <c r="W265" s="43"/>
      <c r="X265" s="43"/>
      <c r="Y265" s="43"/>
      <c r="Z265" s="43"/>
      <c r="AA265" s="34">
        <f t="shared" si="25"/>
        <v>0</v>
      </c>
      <c r="AB265" s="35">
        <f t="shared" si="40"/>
        <v>0</v>
      </c>
      <c r="AC265" s="29" t="str">
        <f t="shared" si="5"/>
        <v>Sim</v>
      </c>
      <c r="AD265" s="37" t="str">
        <f t="shared" si="1"/>
        <v>Não</v>
      </c>
      <c r="AE265" s="38">
        <f t="shared" si="6"/>
        <v>0</v>
      </c>
      <c r="AF265" s="29"/>
      <c r="AG265" s="60"/>
    </row>
    <row r="266" hidden="1">
      <c r="A266" s="43"/>
      <c r="B266" s="43"/>
      <c r="C266" s="43"/>
      <c r="D266" s="43"/>
      <c r="E266" s="46"/>
      <c r="F266" s="34"/>
      <c r="G266" s="34"/>
      <c r="H266" s="47"/>
      <c r="I266" s="47"/>
      <c r="J266" s="111"/>
      <c r="K266" s="47"/>
      <c r="L266" s="81"/>
      <c r="M266" s="47"/>
      <c r="N266" s="47"/>
      <c r="O266" s="43"/>
      <c r="P266" s="102" t="b">
        <v>0</v>
      </c>
      <c r="Q266" s="102" t="b">
        <v>0</v>
      </c>
      <c r="R266" s="102" t="b">
        <v>0</v>
      </c>
      <c r="S266" s="34"/>
      <c r="T266" s="43"/>
      <c r="U266" s="102" t="b">
        <v>0</v>
      </c>
      <c r="V266" s="43"/>
      <c r="W266" s="43"/>
      <c r="X266" s="43"/>
      <c r="Y266" s="43"/>
      <c r="Z266" s="43"/>
      <c r="AA266" s="34">
        <f t="shared" si="25"/>
        <v>0</v>
      </c>
      <c r="AB266" s="35">
        <f t="shared" si="40"/>
        <v>0</v>
      </c>
      <c r="AC266" s="29" t="str">
        <f t="shared" si="5"/>
        <v>Sim</v>
      </c>
      <c r="AD266" s="37" t="str">
        <f t="shared" si="1"/>
        <v>Não</v>
      </c>
      <c r="AE266" s="38">
        <f t="shared" si="6"/>
        <v>0</v>
      </c>
      <c r="AF266" s="29"/>
      <c r="AG266" s="60"/>
    </row>
    <row r="267" hidden="1">
      <c r="A267" s="43"/>
      <c r="B267" s="43"/>
      <c r="C267" s="43"/>
      <c r="D267" s="43"/>
      <c r="E267" s="46"/>
      <c r="F267" s="34"/>
      <c r="G267" s="34"/>
      <c r="H267" s="47"/>
      <c r="I267" s="47"/>
      <c r="J267" s="111"/>
      <c r="K267" s="47"/>
      <c r="L267" s="81"/>
      <c r="M267" s="47"/>
      <c r="N267" s="47"/>
      <c r="O267" s="43"/>
      <c r="P267" s="102" t="b">
        <v>0</v>
      </c>
      <c r="Q267" s="102" t="b">
        <v>0</v>
      </c>
      <c r="R267" s="102" t="b">
        <v>0</v>
      </c>
      <c r="S267" s="34"/>
      <c r="T267" s="43"/>
      <c r="U267" s="102" t="b">
        <v>0</v>
      </c>
      <c r="V267" s="43"/>
      <c r="W267" s="43"/>
      <c r="X267" s="43"/>
      <c r="Y267" s="43"/>
      <c r="Z267" s="43"/>
      <c r="AA267" s="34">
        <f t="shared" si="25"/>
        <v>0</v>
      </c>
      <c r="AB267" s="35">
        <f t="shared" si="40"/>
        <v>0</v>
      </c>
      <c r="AC267" s="29" t="str">
        <f t="shared" si="5"/>
        <v>Sim</v>
      </c>
      <c r="AD267" s="37" t="str">
        <f t="shared" si="1"/>
        <v>Não</v>
      </c>
      <c r="AE267" s="38">
        <f t="shared" si="6"/>
        <v>0</v>
      </c>
      <c r="AF267" s="29"/>
      <c r="AG267" s="60"/>
    </row>
    <row r="268" hidden="1">
      <c r="A268" s="43"/>
      <c r="B268" s="43"/>
      <c r="C268" s="43"/>
      <c r="D268" s="43"/>
      <c r="E268" s="46"/>
      <c r="F268" s="34"/>
      <c r="G268" s="34"/>
      <c r="H268" s="47"/>
      <c r="I268" s="47"/>
      <c r="J268" s="111"/>
      <c r="K268" s="47"/>
      <c r="L268" s="102"/>
      <c r="M268" s="47"/>
      <c r="N268" s="47"/>
      <c r="O268" s="43"/>
      <c r="P268" s="102" t="b">
        <v>0</v>
      </c>
      <c r="Q268" s="102" t="b">
        <v>0</v>
      </c>
      <c r="R268" s="102" t="b">
        <v>0</v>
      </c>
      <c r="S268" s="34"/>
      <c r="T268" s="43"/>
      <c r="U268" s="102" t="b">
        <v>0</v>
      </c>
      <c r="V268" s="43"/>
      <c r="W268" s="43"/>
      <c r="X268" s="43"/>
      <c r="Y268" s="43"/>
      <c r="Z268" s="43"/>
      <c r="AA268" s="34">
        <f t="shared" si="25"/>
        <v>0</v>
      </c>
      <c r="AB268" s="35">
        <f t="shared" si="40"/>
        <v>0</v>
      </c>
      <c r="AC268" s="29" t="str">
        <f t="shared" si="5"/>
        <v>Sim</v>
      </c>
      <c r="AD268" s="37" t="str">
        <f t="shared" si="1"/>
        <v>Não</v>
      </c>
      <c r="AE268" s="38">
        <f t="shared" si="6"/>
        <v>0</v>
      </c>
      <c r="AF268" s="29"/>
      <c r="AG268" s="60"/>
    </row>
    <row r="269" hidden="1">
      <c r="A269" s="43"/>
      <c r="B269" s="43"/>
      <c r="C269" s="43"/>
      <c r="D269" s="43"/>
      <c r="E269" s="46"/>
      <c r="F269" s="34"/>
      <c r="G269" s="34"/>
      <c r="H269" s="47"/>
      <c r="I269" s="47"/>
      <c r="J269" s="111"/>
      <c r="K269" s="47"/>
      <c r="L269" s="102"/>
      <c r="M269" s="47"/>
      <c r="N269" s="47"/>
      <c r="O269" s="43"/>
      <c r="P269" s="102" t="b">
        <v>0</v>
      </c>
      <c r="Q269" s="102" t="b">
        <v>0</v>
      </c>
      <c r="R269" s="102" t="b">
        <v>0</v>
      </c>
      <c r="S269" s="34"/>
      <c r="T269" s="43"/>
      <c r="U269" s="102" t="b">
        <v>0</v>
      </c>
      <c r="V269" s="43"/>
      <c r="W269" s="43"/>
      <c r="X269" s="43"/>
      <c r="Y269" s="43"/>
      <c r="Z269" s="43"/>
      <c r="AA269" s="34">
        <f t="shared" si="25"/>
        <v>0</v>
      </c>
      <c r="AB269" s="35">
        <f t="shared" si="40"/>
        <v>0</v>
      </c>
      <c r="AC269" s="29" t="str">
        <f t="shared" si="5"/>
        <v>Sim</v>
      </c>
      <c r="AD269" s="37" t="str">
        <f t="shared" si="1"/>
        <v>Não</v>
      </c>
      <c r="AE269" s="38">
        <f t="shared" si="6"/>
        <v>0</v>
      </c>
      <c r="AF269" s="29"/>
      <c r="AG269" s="60"/>
    </row>
    <row r="270" hidden="1">
      <c r="A270" s="43"/>
      <c r="B270" s="43"/>
      <c r="C270" s="43"/>
      <c r="D270" s="43"/>
      <c r="E270" s="46"/>
      <c r="F270" s="34"/>
      <c r="G270" s="34"/>
      <c r="H270" s="47"/>
      <c r="I270" s="47"/>
      <c r="J270" s="111"/>
      <c r="K270" s="47"/>
      <c r="L270" s="102"/>
      <c r="M270" s="47"/>
      <c r="N270" s="47"/>
      <c r="O270" s="43"/>
      <c r="P270" s="102" t="b">
        <v>0</v>
      </c>
      <c r="Q270" s="102" t="b">
        <v>0</v>
      </c>
      <c r="R270" s="102" t="b">
        <v>0</v>
      </c>
      <c r="S270" s="34"/>
      <c r="T270" s="43"/>
      <c r="U270" s="102" t="b">
        <v>0</v>
      </c>
      <c r="V270" s="43"/>
      <c r="W270" s="43"/>
      <c r="X270" s="43"/>
      <c r="Y270" s="43"/>
      <c r="Z270" s="43"/>
      <c r="AA270" s="34">
        <f t="shared" si="25"/>
        <v>0</v>
      </c>
      <c r="AB270" s="35">
        <f t="shared" si="40"/>
        <v>0</v>
      </c>
      <c r="AC270" s="29" t="str">
        <f t="shared" si="5"/>
        <v>Sim</v>
      </c>
      <c r="AD270" s="37" t="str">
        <f t="shared" si="1"/>
        <v>Não</v>
      </c>
      <c r="AE270" s="38">
        <f t="shared" si="6"/>
        <v>0</v>
      </c>
      <c r="AF270" s="29"/>
      <c r="AG270" s="60"/>
    </row>
    <row r="271" hidden="1">
      <c r="A271" s="43"/>
      <c r="B271" s="43"/>
      <c r="C271" s="43"/>
      <c r="D271" s="43"/>
      <c r="E271" s="46"/>
      <c r="F271" s="34"/>
      <c r="G271" s="34"/>
      <c r="H271" s="47"/>
      <c r="I271" s="47"/>
      <c r="J271" s="111"/>
      <c r="K271" s="47"/>
      <c r="L271" s="102"/>
      <c r="M271" s="47"/>
      <c r="N271" s="47"/>
      <c r="O271" s="43"/>
      <c r="P271" s="102" t="b">
        <v>0</v>
      </c>
      <c r="Q271" s="102" t="b">
        <v>0</v>
      </c>
      <c r="R271" s="102" t="b">
        <v>0</v>
      </c>
      <c r="S271" s="34"/>
      <c r="T271" s="43"/>
      <c r="U271" s="102" t="b">
        <v>0</v>
      </c>
      <c r="V271" s="43"/>
      <c r="W271" s="43"/>
      <c r="X271" s="43"/>
      <c r="Y271" s="43"/>
      <c r="Z271" s="43"/>
      <c r="AA271" s="34">
        <f t="shared" si="25"/>
        <v>0</v>
      </c>
      <c r="AB271" s="35">
        <f t="shared" si="40"/>
        <v>0</v>
      </c>
      <c r="AC271" s="29" t="str">
        <f t="shared" si="5"/>
        <v>Sim</v>
      </c>
      <c r="AD271" s="37" t="str">
        <f t="shared" si="1"/>
        <v>Não</v>
      </c>
      <c r="AE271" s="38">
        <f t="shared" si="6"/>
        <v>0</v>
      </c>
      <c r="AF271" s="29"/>
      <c r="AG271" s="60"/>
    </row>
    <row r="272" hidden="1">
      <c r="A272" s="43"/>
      <c r="B272" s="43"/>
      <c r="C272" s="43"/>
      <c r="D272" s="43"/>
      <c r="E272" s="46"/>
      <c r="F272" s="34"/>
      <c r="G272" s="34"/>
      <c r="H272" s="47"/>
      <c r="I272" s="47"/>
      <c r="J272" s="111"/>
      <c r="K272" s="47"/>
      <c r="L272" s="102"/>
      <c r="M272" s="47"/>
      <c r="N272" s="47"/>
      <c r="O272" s="43"/>
      <c r="P272" s="102" t="b">
        <v>0</v>
      </c>
      <c r="Q272" s="102" t="b">
        <v>0</v>
      </c>
      <c r="R272" s="102" t="b">
        <v>0</v>
      </c>
      <c r="S272" s="34"/>
      <c r="T272" s="43"/>
      <c r="U272" s="102" t="b">
        <v>0</v>
      </c>
      <c r="V272" s="43"/>
      <c r="W272" s="43"/>
      <c r="X272" s="43"/>
      <c r="Y272" s="43"/>
      <c r="Z272" s="43"/>
      <c r="AA272" s="34">
        <f t="shared" si="25"/>
        <v>0</v>
      </c>
      <c r="AB272" s="35">
        <f t="shared" si="40"/>
        <v>0</v>
      </c>
      <c r="AC272" s="29" t="str">
        <f t="shared" si="5"/>
        <v>Sim</v>
      </c>
      <c r="AD272" s="37" t="str">
        <f t="shared" si="1"/>
        <v>Não</v>
      </c>
      <c r="AE272" s="38">
        <f t="shared" si="6"/>
        <v>0</v>
      </c>
      <c r="AF272" s="29"/>
      <c r="AG272" s="60"/>
    </row>
    <row r="273" hidden="1">
      <c r="A273" s="43"/>
      <c r="B273" s="43"/>
      <c r="C273" s="43"/>
      <c r="D273" s="43"/>
      <c r="E273" s="46"/>
      <c r="F273" s="34"/>
      <c r="G273" s="34"/>
      <c r="H273" s="47"/>
      <c r="I273" s="47"/>
      <c r="J273" s="111"/>
      <c r="K273" s="47"/>
      <c r="L273" s="102"/>
      <c r="M273" s="47"/>
      <c r="N273" s="47"/>
      <c r="O273" s="43"/>
      <c r="P273" s="102" t="b">
        <v>0</v>
      </c>
      <c r="Q273" s="102" t="b">
        <v>0</v>
      </c>
      <c r="R273" s="102" t="b">
        <v>0</v>
      </c>
      <c r="S273" s="34"/>
      <c r="T273" s="43"/>
      <c r="U273" s="102" t="b">
        <v>0</v>
      </c>
      <c r="V273" s="43"/>
      <c r="W273" s="43"/>
      <c r="X273" s="43"/>
      <c r="Y273" s="43"/>
      <c r="Z273" s="43"/>
      <c r="AA273" s="34">
        <f t="shared" si="25"/>
        <v>0</v>
      </c>
      <c r="AB273" s="35">
        <f t="shared" si="40"/>
        <v>0</v>
      </c>
      <c r="AC273" s="29" t="str">
        <f t="shared" si="5"/>
        <v>Sim</v>
      </c>
      <c r="AD273" s="37" t="str">
        <f t="shared" si="1"/>
        <v>Não</v>
      </c>
      <c r="AE273" s="38">
        <f t="shared" si="6"/>
        <v>0</v>
      </c>
      <c r="AF273" s="29"/>
      <c r="AG273" s="60"/>
    </row>
    <row r="274" hidden="1">
      <c r="A274" s="43"/>
      <c r="B274" s="43"/>
      <c r="C274" s="43"/>
      <c r="D274" s="43"/>
      <c r="E274" s="46"/>
      <c r="F274" s="34"/>
      <c r="G274" s="34"/>
      <c r="H274" s="47"/>
      <c r="I274" s="47"/>
      <c r="J274" s="111"/>
      <c r="K274" s="47"/>
      <c r="L274" s="102"/>
      <c r="M274" s="47"/>
      <c r="N274" s="47"/>
      <c r="O274" s="43"/>
      <c r="P274" s="102" t="b">
        <v>0</v>
      </c>
      <c r="Q274" s="102" t="b">
        <v>0</v>
      </c>
      <c r="R274" s="102" t="b">
        <v>0</v>
      </c>
      <c r="S274" s="34"/>
      <c r="T274" s="43"/>
      <c r="U274" s="102" t="b">
        <v>0</v>
      </c>
      <c r="V274" s="43"/>
      <c r="W274" s="43"/>
      <c r="X274" s="43"/>
      <c r="Y274" s="43"/>
      <c r="Z274" s="43"/>
      <c r="AA274" s="34">
        <f t="shared" si="25"/>
        <v>0</v>
      </c>
      <c r="AB274" s="35">
        <f t="shared" si="40"/>
        <v>0</v>
      </c>
      <c r="AC274" s="29" t="str">
        <f t="shared" si="5"/>
        <v>Sim</v>
      </c>
      <c r="AD274" s="37" t="str">
        <f t="shared" si="1"/>
        <v>Não</v>
      </c>
      <c r="AE274" s="38">
        <f t="shared" si="6"/>
        <v>0</v>
      </c>
      <c r="AF274" s="29"/>
      <c r="AG274" s="60"/>
    </row>
    <row r="275" hidden="1">
      <c r="A275" s="43"/>
      <c r="B275" s="43"/>
      <c r="C275" s="43"/>
      <c r="D275" s="43"/>
      <c r="E275" s="46"/>
      <c r="F275" s="34"/>
      <c r="G275" s="34"/>
      <c r="H275" s="47"/>
      <c r="I275" s="47"/>
      <c r="J275" s="111"/>
      <c r="K275" s="47"/>
      <c r="L275" s="102"/>
      <c r="M275" s="47"/>
      <c r="N275" s="47"/>
      <c r="O275" s="43"/>
      <c r="P275" s="102" t="b">
        <v>0</v>
      </c>
      <c r="Q275" s="102" t="b">
        <v>0</v>
      </c>
      <c r="R275" s="102" t="b">
        <v>0</v>
      </c>
      <c r="S275" s="34"/>
      <c r="T275" s="43"/>
      <c r="U275" s="102" t="b">
        <v>0</v>
      </c>
      <c r="V275" s="43"/>
      <c r="W275" s="43"/>
      <c r="X275" s="43"/>
      <c r="Y275" s="43"/>
      <c r="Z275" s="43"/>
      <c r="AA275" s="34">
        <f t="shared" si="25"/>
        <v>0</v>
      </c>
      <c r="AB275" s="35">
        <f t="shared" si="40"/>
        <v>0</v>
      </c>
      <c r="AC275" s="29" t="str">
        <f t="shared" si="5"/>
        <v>Sim</v>
      </c>
      <c r="AD275" s="37" t="str">
        <f t="shared" si="1"/>
        <v>Não</v>
      </c>
      <c r="AE275" s="38">
        <f t="shared" si="6"/>
        <v>0</v>
      </c>
      <c r="AF275" s="29"/>
      <c r="AG275" s="60"/>
    </row>
    <row r="276" hidden="1">
      <c r="A276" s="43"/>
      <c r="B276" s="43"/>
      <c r="C276" s="43"/>
      <c r="D276" s="43"/>
      <c r="E276" s="46"/>
      <c r="F276" s="34"/>
      <c r="G276" s="34"/>
      <c r="H276" s="47"/>
      <c r="I276" s="47"/>
      <c r="J276" s="111"/>
      <c r="K276" s="47"/>
      <c r="L276" s="102"/>
      <c r="M276" s="47"/>
      <c r="N276" s="47"/>
      <c r="O276" s="43"/>
      <c r="P276" s="102" t="b">
        <v>0</v>
      </c>
      <c r="Q276" s="102" t="b">
        <v>0</v>
      </c>
      <c r="R276" s="102" t="b">
        <v>0</v>
      </c>
      <c r="S276" s="34"/>
      <c r="T276" s="43"/>
      <c r="U276" s="102" t="b">
        <v>0</v>
      </c>
      <c r="V276" s="43"/>
      <c r="W276" s="43"/>
      <c r="X276" s="43"/>
      <c r="Y276" s="43"/>
      <c r="Z276" s="43"/>
      <c r="AA276" s="34">
        <f t="shared" si="25"/>
        <v>0</v>
      </c>
      <c r="AB276" s="35">
        <f t="shared" si="40"/>
        <v>0</v>
      </c>
      <c r="AC276" s="29" t="str">
        <f t="shared" si="5"/>
        <v>Sim</v>
      </c>
      <c r="AD276" s="37" t="str">
        <f t="shared" si="1"/>
        <v>Não</v>
      </c>
      <c r="AE276" s="38">
        <f t="shared" si="6"/>
        <v>0</v>
      </c>
      <c r="AF276" s="29"/>
      <c r="AG276" s="60"/>
    </row>
    <row r="277" hidden="1">
      <c r="A277" s="43"/>
      <c r="B277" s="43"/>
      <c r="C277" s="43"/>
      <c r="D277" s="43"/>
      <c r="E277" s="46"/>
      <c r="F277" s="34"/>
      <c r="G277" s="34"/>
      <c r="H277" s="47"/>
      <c r="I277" s="47"/>
      <c r="J277" s="111"/>
      <c r="K277" s="47"/>
      <c r="L277" s="102"/>
      <c r="M277" s="47"/>
      <c r="N277" s="47"/>
      <c r="O277" s="43"/>
      <c r="P277" s="102" t="b">
        <v>0</v>
      </c>
      <c r="Q277" s="102" t="b">
        <v>0</v>
      </c>
      <c r="R277" s="102" t="b">
        <v>0</v>
      </c>
      <c r="S277" s="34"/>
      <c r="T277" s="43"/>
      <c r="U277" s="102" t="b">
        <v>0</v>
      </c>
      <c r="V277" s="43"/>
      <c r="W277" s="43"/>
      <c r="X277" s="43"/>
      <c r="Y277" s="43"/>
      <c r="Z277" s="43"/>
      <c r="AA277" s="34">
        <f t="shared" si="25"/>
        <v>0</v>
      </c>
      <c r="AB277" s="35">
        <f t="shared" si="40"/>
        <v>0</v>
      </c>
      <c r="AC277" s="29" t="str">
        <f t="shared" si="5"/>
        <v>Sim</v>
      </c>
      <c r="AD277" s="37" t="str">
        <f t="shared" si="1"/>
        <v>Não</v>
      </c>
      <c r="AE277" s="38">
        <f t="shared" si="6"/>
        <v>0</v>
      </c>
      <c r="AF277" s="29"/>
      <c r="AG277" s="60"/>
    </row>
    <row r="278" hidden="1">
      <c r="A278" s="43"/>
      <c r="B278" s="43"/>
      <c r="C278" s="43"/>
      <c r="D278" s="43"/>
      <c r="E278" s="46"/>
      <c r="F278" s="34"/>
      <c r="G278" s="34"/>
      <c r="H278" s="47"/>
      <c r="I278" s="47"/>
      <c r="J278" s="111"/>
      <c r="K278" s="47"/>
      <c r="L278" s="102"/>
      <c r="M278" s="47"/>
      <c r="N278" s="47"/>
      <c r="O278" s="43"/>
      <c r="P278" s="102" t="b">
        <v>0</v>
      </c>
      <c r="Q278" s="102" t="b">
        <v>0</v>
      </c>
      <c r="R278" s="102" t="b">
        <v>0</v>
      </c>
      <c r="S278" s="34"/>
      <c r="T278" s="43"/>
      <c r="U278" s="102" t="b">
        <v>0</v>
      </c>
      <c r="V278" s="43"/>
      <c r="W278" s="43"/>
      <c r="X278" s="43"/>
      <c r="Y278" s="43"/>
      <c r="Z278" s="43"/>
      <c r="AA278" s="34">
        <f t="shared" si="25"/>
        <v>0</v>
      </c>
      <c r="AB278" s="35">
        <f t="shared" si="40"/>
        <v>0</v>
      </c>
      <c r="AC278" s="29" t="str">
        <f t="shared" si="5"/>
        <v>Sim</v>
      </c>
      <c r="AD278" s="37" t="str">
        <f t="shared" si="1"/>
        <v>Não</v>
      </c>
      <c r="AE278" s="38">
        <f t="shared" si="6"/>
        <v>0</v>
      </c>
      <c r="AF278" s="29"/>
      <c r="AG278" s="60"/>
    </row>
    <row r="279" hidden="1">
      <c r="A279" s="43"/>
      <c r="B279" s="43"/>
      <c r="C279" s="43"/>
      <c r="D279" s="43"/>
      <c r="E279" s="46"/>
      <c r="F279" s="34"/>
      <c r="G279" s="34"/>
      <c r="H279" s="47"/>
      <c r="I279" s="47"/>
      <c r="J279" s="111"/>
      <c r="K279" s="47"/>
      <c r="L279" s="102"/>
      <c r="M279" s="47"/>
      <c r="N279" s="47"/>
      <c r="O279" s="43"/>
      <c r="P279" s="102" t="b">
        <v>0</v>
      </c>
      <c r="Q279" s="102" t="b">
        <v>0</v>
      </c>
      <c r="R279" s="102" t="b">
        <v>0</v>
      </c>
      <c r="S279" s="34"/>
      <c r="T279" s="43"/>
      <c r="U279" s="102" t="b">
        <v>0</v>
      </c>
      <c r="V279" s="43"/>
      <c r="W279" s="43"/>
      <c r="X279" s="43"/>
      <c r="Y279" s="43"/>
      <c r="Z279" s="43"/>
      <c r="AA279" s="34">
        <f t="shared" si="25"/>
        <v>0</v>
      </c>
      <c r="AB279" s="35">
        <f t="shared" si="40"/>
        <v>0</v>
      </c>
      <c r="AC279" s="29" t="str">
        <f t="shared" si="5"/>
        <v>Sim</v>
      </c>
      <c r="AD279" s="37" t="str">
        <f t="shared" si="1"/>
        <v>Não</v>
      </c>
      <c r="AE279" s="38">
        <f t="shared" si="6"/>
        <v>0</v>
      </c>
      <c r="AF279" s="29"/>
      <c r="AG279" s="60"/>
    </row>
    <row r="280" hidden="1">
      <c r="A280" s="43"/>
      <c r="B280" s="43"/>
      <c r="C280" s="43"/>
      <c r="D280" s="43"/>
      <c r="E280" s="46"/>
      <c r="F280" s="34"/>
      <c r="G280" s="34"/>
      <c r="H280" s="47"/>
      <c r="I280" s="47"/>
      <c r="J280" s="111"/>
      <c r="K280" s="47"/>
      <c r="L280" s="102"/>
      <c r="M280" s="47"/>
      <c r="N280" s="47"/>
      <c r="O280" s="43"/>
      <c r="P280" s="102" t="b">
        <v>0</v>
      </c>
      <c r="Q280" s="102" t="b">
        <v>0</v>
      </c>
      <c r="R280" s="102" t="b">
        <v>0</v>
      </c>
      <c r="S280" s="34"/>
      <c r="T280" s="43"/>
      <c r="U280" s="102" t="b">
        <v>0</v>
      </c>
      <c r="V280" s="43"/>
      <c r="W280" s="43"/>
      <c r="X280" s="43"/>
      <c r="Y280" s="43"/>
      <c r="Z280" s="43"/>
      <c r="AA280" s="34">
        <f t="shared" si="25"/>
        <v>0</v>
      </c>
      <c r="AB280" s="35">
        <f t="shared" si="40"/>
        <v>0</v>
      </c>
      <c r="AC280" s="29" t="str">
        <f t="shared" si="5"/>
        <v>Sim</v>
      </c>
      <c r="AD280" s="37" t="str">
        <f t="shared" si="1"/>
        <v>Não</v>
      </c>
      <c r="AE280" s="38">
        <f t="shared" si="6"/>
        <v>0</v>
      </c>
      <c r="AF280" s="29"/>
      <c r="AG280" s="60"/>
    </row>
    <row r="281" hidden="1">
      <c r="A281" s="43"/>
      <c r="B281" s="43"/>
      <c r="C281" s="43"/>
      <c r="D281" s="43"/>
      <c r="E281" s="46"/>
      <c r="F281" s="34"/>
      <c r="G281" s="34"/>
      <c r="H281" s="47"/>
      <c r="I281" s="47"/>
      <c r="J281" s="111"/>
      <c r="K281" s="47"/>
      <c r="L281" s="102"/>
      <c r="M281" s="47"/>
      <c r="N281" s="47"/>
      <c r="O281" s="43"/>
      <c r="P281" s="102" t="b">
        <v>0</v>
      </c>
      <c r="Q281" s="102" t="b">
        <v>0</v>
      </c>
      <c r="R281" s="102" t="b">
        <v>0</v>
      </c>
      <c r="S281" s="34"/>
      <c r="T281" s="43"/>
      <c r="U281" s="102" t="b">
        <v>0</v>
      </c>
      <c r="V281" s="43"/>
      <c r="W281" s="43"/>
      <c r="X281" s="43"/>
      <c r="Y281" s="43"/>
      <c r="Z281" s="43"/>
      <c r="AA281" s="34">
        <f t="shared" si="25"/>
        <v>0</v>
      </c>
      <c r="AB281" s="35">
        <f t="shared" si="40"/>
        <v>0</v>
      </c>
      <c r="AC281" s="29" t="str">
        <f t="shared" si="5"/>
        <v>Sim</v>
      </c>
      <c r="AD281" s="37" t="str">
        <f t="shared" si="1"/>
        <v>Não</v>
      </c>
      <c r="AE281" s="38">
        <f t="shared" si="6"/>
        <v>0</v>
      </c>
      <c r="AF281" s="47"/>
      <c r="AG281" s="34"/>
    </row>
    <row r="282" hidden="1">
      <c r="A282" s="43"/>
      <c r="B282" s="43"/>
      <c r="C282" s="43"/>
      <c r="D282" s="43"/>
      <c r="E282" s="46"/>
      <c r="F282" s="34"/>
      <c r="G282" s="34"/>
      <c r="H282" s="47"/>
      <c r="I282" s="47"/>
      <c r="J282" s="111"/>
      <c r="K282" s="47"/>
      <c r="L282" s="102"/>
      <c r="M282" s="47"/>
      <c r="N282" s="47"/>
      <c r="O282" s="43"/>
      <c r="P282" s="102" t="b">
        <v>0</v>
      </c>
      <c r="Q282" s="102" t="b">
        <v>0</v>
      </c>
      <c r="R282" s="102" t="b">
        <v>0</v>
      </c>
      <c r="S282" s="34"/>
      <c r="T282" s="43"/>
      <c r="U282" s="102" t="b">
        <v>0</v>
      </c>
      <c r="V282" s="43"/>
      <c r="W282" s="43"/>
      <c r="X282" s="43"/>
      <c r="Y282" s="43"/>
      <c r="Z282" s="43"/>
      <c r="AA282" s="34">
        <f t="shared" si="25"/>
        <v>0</v>
      </c>
      <c r="AB282" s="35">
        <f t="shared" si="40"/>
        <v>0</v>
      </c>
      <c r="AC282" s="29" t="str">
        <f t="shared" si="5"/>
        <v>Sim</v>
      </c>
      <c r="AD282" s="37" t="str">
        <f t="shared" si="1"/>
        <v>Não</v>
      </c>
      <c r="AE282" s="38">
        <f t="shared" si="6"/>
        <v>0</v>
      </c>
      <c r="AF282" s="47"/>
      <c r="AG282" s="34"/>
    </row>
    <row r="283" hidden="1">
      <c r="A283" s="43"/>
      <c r="B283" s="43"/>
      <c r="C283" s="43"/>
      <c r="D283" s="43"/>
      <c r="E283" s="46"/>
      <c r="F283" s="34"/>
      <c r="G283" s="34"/>
      <c r="H283" s="47"/>
      <c r="I283" s="47"/>
      <c r="J283" s="111"/>
      <c r="K283" s="47"/>
      <c r="L283" s="102"/>
      <c r="M283" s="47"/>
      <c r="N283" s="47"/>
      <c r="O283" s="43"/>
      <c r="P283" s="102" t="b">
        <v>0</v>
      </c>
      <c r="Q283" s="102" t="b">
        <v>0</v>
      </c>
      <c r="R283" s="102" t="b">
        <v>0</v>
      </c>
      <c r="S283" s="34"/>
      <c r="T283" s="43"/>
      <c r="U283" s="102" t="b">
        <v>0</v>
      </c>
      <c r="V283" s="43"/>
      <c r="W283" s="43"/>
      <c r="X283" s="43"/>
      <c r="Y283" s="43"/>
      <c r="Z283" s="43"/>
      <c r="AA283" s="34">
        <f t="shared" si="25"/>
        <v>0</v>
      </c>
      <c r="AB283" s="35">
        <f t="shared" si="40"/>
        <v>0</v>
      </c>
      <c r="AC283" s="29" t="str">
        <f t="shared" si="5"/>
        <v>Sim</v>
      </c>
      <c r="AD283" s="37" t="str">
        <f t="shared" si="1"/>
        <v>Não</v>
      </c>
      <c r="AE283" s="38">
        <f t="shared" si="6"/>
        <v>0</v>
      </c>
      <c r="AF283" s="47"/>
      <c r="AG283" s="34"/>
    </row>
    <row r="284" hidden="1">
      <c r="A284" s="43"/>
      <c r="B284" s="43"/>
      <c r="C284" s="43"/>
      <c r="D284" s="43"/>
      <c r="E284" s="46"/>
      <c r="F284" s="34"/>
      <c r="G284" s="34"/>
      <c r="H284" s="47"/>
      <c r="I284" s="47"/>
      <c r="J284" s="111"/>
      <c r="K284" s="47"/>
      <c r="L284" s="102"/>
      <c r="M284" s="47"/>
      <c r="N284" s="47"/>
      <c r="O284" s="43"/>
      <c r="P284" s="102" t="b">
        <v>0</v>
      </c>
      <c r="Q284" s="102" t="b">
        <v>0</v>
      </c>
      <c r="R284" s="102" t="b">
        <v>0</v>
      </c>
      <c r="S284" s="34"/>
      <c r="T284" s="43"/>
      <c r="U284" s="102" t="b">
        <v>0</v>
      </c>
      <c r="V284" s="43"/>
      <c r="W284" s="43"/>
      <c r="X284" s="43"/>
      <c r="Y284" s="43"/>
      <c r="Z284" s="43"/>
      <c r="AA284" s="34">
        <f t="shared" si="25"/>
        <v>0</v>
      </c>
      <c r="AB284" s="35">
        <f t="shared" si="40"/>
        <v>0</v>
      </c>
      <c r="AC284" s="29" t="str">
        <f t="shared" si="5"/>
        <v>Sim</v>
      </c>
      <c r="AD284" s="37" t="str">
        <f t="shared" si="1"/>
        <v>Não</v>
      </c>
      <c r="AE284" s="38">
        <f t="shared" si="6"/>
        <v>0</v>
      </c>
      <c r="AF284" s="47"/>
      <c r="AG284" s="34"/>
    </row>
    <row r="285" hidden="1">
      <c r="A285" s="43"/>
      <c r="B285" s="43"/>
      <c r="C285" s="43"/>
      <c r="D285" s="43"/>
      <c r="E285" s="46"/>
      <c r="F285" s="34"/>
      <c r="G285" s="34"/>
      <c r="H285" s="47"/>
      <c r="I285" s="47"/>
      <c r="J285" s="111"/>
      <c r="K285" s="47"/>
      <c r="L285" s="102"/>
      <c r="M285" s="47"/>
      <c r="N285" s="47"/>
      <c r="O285" s="43"/>
      <c r="P285" s="102" t="b">
        <v>0</v>
      </c>
      <c r="Q285" s="102" t="b">
        <v>0</v>
      </c>
      <c r="R285" s="102" t="b">
        <v>0</v>
      </c>
      <c r="S285" s="34"/>
      <c r="T285" s="43"/>
      <c r="U285" s="102" t="b">
        <v>0</v>
      </c>
      <c r="V285" s="43"/>
      <c r="W285" s="43"/>
      <c r="X285" s="43"/>
      <c r="Y285" s="43"/>
      <c r="Z285" s="43"/>
      <c r="AA285" s="34">
        <f t="shared" si="25"/>
        <v>0</v>
      </c>
      <c r="AB285" s="35">
        <f t="shared" si="40"/>
        <v>0</v>
      </c>
      <c r="AC285" s="29" t="str">
        <f t="shared" si="5"/>
        <v>Sim</v>
      </c>
      <c r="AD285" s="37" t="str">
        <f t="shared" si="1"/>
        <v>Não</v>
      </c>
      <c r="AE285" s="38">
        <f t="shared" si="6"/>
        <v>0</v>
      </c>
      <c r="AF285" s="47"/>
      <c r="AG285" s="34"/>
    </row>
    <row r="286" hidden="1">
      <c r="A286" s="43"/>
      <c r="B286" s="43"/>
      <c r="C286" s="43"/>
      <c r="D286" s="43"/>
      <c r="E286" s="46"/>
      <c r="F286" s="34"/>
      <c r="G286" s="34"/>
      <c r="H286" s="47"/>
      <c r="I286" s="47"/>
      <c r="J286" s="111"/>
      <c r="K286" s="47"/>
      <c r="L286" s="102"/>
      <c r="M286" s="47"/>
      <c r="N286" s="47"/>
      <c r="O286" s="43"/>
      <c r="P286" s="102" t="b">
        <v>0</v>
      </c>
      <c r="Q286" s="102" t="b">
        <v>0</v>
      </c>
      <c r="R286" s="102" t="b">
        <v>0</v>
      </c>
      <c r="S286" s="34"/>
      <c r="T286" s="43"/>
      <c r="U286" s="102" t="b">
        <v>0</v>
      </c>
      <c r="V286" s="43"/>
      <c r="W286" s="43"/>
      <c r="X286" s="43"/>
      <c r="Y286" s="43"/>
      <c r="Z286" s="43"/>
      <c r="AA286" s="34">
        <f t="shared" si="25"/>
        <v>0</v>
      </c>
      <c r="AB286" s="35">
        <f t="shared" si="40"/>
        <v>0</v>
      </c>
      <c r="AC286" s="29" t="str">
        <f t="shared" si="5"/>
        <v>Sim</v>
      </c>
      <c r="AD286" s="37" t="str">
        <f t="shared" si="1"/>
        <v>Não</v>
      </c>
      <c r="AE286" s="38">
        <f t="shared" si="6"/>
        <v>0</v>
      </c>
      <c r="AF286" s="47"/>
      <c r="AG286" s="34"/>
    </row>
    <row r="287" hidden="1">
      <c r="A287" s="43"/>
      <c r="B287" s="43"/>
      <c r="C287" s="43"/>
      <c r="D287" s="43"/>
      <c r="E287" s="46"/>
      <c r="F287" s="34"/>
      <c r="G287" s="34"/>
      <c r="H287" s="47"/>
      <c r="I287" s="47"/>
      <c r="J287" s="111"/>
      <c r="K287" s="47"/>
      <c r="L287" s="102"/>
      <c r="M287" s="47"/>
      <c r="N287" s="47"/>
      <c r="O287" s="43"/>
      <c r="P287" s="102" t="b">
        <v>0</v>
      </c>
      <c r="Q287" s="102" t="b">
        <v>0</v>
      </c>
      <c r="R287" s="102" t="b">
        <v>0</v>
      </c>
      <c r="S287" s="34"/>
      <c r="T287" s="43"/>
      <c r="U287" s="102" t="b">
        <v>0</v>
      </c>
      <c r="V287" s="43"/>
      <c r="W287" s="43"/>
      <c r="X287" s="43"/>
      <c r="Y287" s="43"/>
      <c r="Z287" s="43"/>
      <c r="AA287" s="34">
        <f t="shared" si="25"/>
        <v>0</v>
      </c>
      <c r="AB287" s="35">
        <f t="shared" si="40"/>
        <v>0</v>
      </c>
      <c r="AC287" s="29" t="str">
        <f t="shared" si="5"/>
        <v>Sim</v>
      </c>
      <c r="AD287" s="37" t="str">
        <f t="shared" si="1"/>
        <v>Não</v>
      </c>
      <c r="AE287" s="38">
        <f t="shared" si="6"/>
        <v>0</v>
      </c>
      <c r="AF287" s="47"/>
      <c r="AG287" s="34"/>
    </row>
    <row r="288" hidden="1">
      <c r="A288" s="43"/>
      <c r="B288" s="43"/>
      <c r="C288" s="43"/>
      <c r="D288" s="43"/>
      <c r="E288" s="46"/>
      <c r="F288" s="34"/>
      <c r="G288" s="34"/>
      <c r="H288" s="47"/>
      <c r="I288" s="47"/>
      <c r="J288" s="111"/>
      <c r="K288" s="47"/>
      <c r="L288" s="102"/>
      <c r="M288" s="47"/>
      <c r="N288" s="47"/>
      <c r="O288" s="43"/>
      <c r="P288" s="102" t="b">
        <v>0</v>
      </c>
      <c r="Q288" s="102" t="b">
        <v>0</v>
      </c>
      <c r="R288" s="102" t="b">
        <v>0</v>
      </c>
      <c r="S288" s="34"/>
      <c r="T288" s="43"/>
      <c r="U288" s="102" t="b">
        <v>0</v>
      </c>
      <c r="V288" s="43"/>
      <c r="W288" s="43"/>
      <c r="X288" s="43"/>
      <c r="Y288" s="43"/>
      <c r="Z288" s="43"/>
      <c r="AA288" s="34">
        <f t="shared" si="25"/>
        <v>0</v>
      </c>
      <c r="AB288" s="35">
        <f t="shared" si="40"/>
        <v>0</v>
      </c>
      <c r="AC288" s="29" t="str">
        <f t="shared" si="5"/>
        <v>Sim</v>
      </c>
      <c r="AD288" s="37" t="str">
        <f t="shared" si="1"/>
        <v>Não</v>
      </c>
      <c r="AE288" s="38">
        <f t="shared" si="6"/>
        <v>0</v>
      </c>
      <c r="AF288" s="47"/>
      <c r="AG288" s="34"/>
    </row>
    <row r="289" hidden="1">
      <c r="A289" s="43"/>
      <c r="B289" s="43"/>
      <c r="C289" s="43"/>
      <c r="D289" s="43"/>
      <c r="E289" s="46"/>
      <c r="F289" s="34"/>
      <c r="G289" s="34"/>
      <c r="H289" s="47"/>
      <c r="I289" s="47"/>
      <c r="J289" s="111"/>
      <c r="K289" s="47"/>
      <c r="L289" s="102"/>
      <c r="M289" s="47"/>
      <c r="N289" s="47"/>
      <c r="O289" s="43"/>
      <c r="P289" s="102" t="b">
        <v>0</v>
      </c>
      <c r="Q289" s="102" t="b">
        <v>0</v>
      </c>
      <c r="R289" s="102" t="b">
        <v>0</v>
      </c>
      <c r="S289" s="34"/>
      <c r="T289" s="43"/>
      <c r="U289" s="102" t="b">
        <v>0</v>
      </c>
      <c r="V289" s="43"/>
      <c r="W289" s="43"/>
      <c r="X289" s="43"/>
      <c r="Y289" s="43"/>
      <c r="Z289" s="43"/>
      <c r="AA289" s="34">
        <f t="shared" si="25"/>
        <v>0</v>
      </c>
      <c r="AB289" s="35">
        <f t="shared" si="40"/>
        <v>0</v>
      </c>
      <c r="AC289" s="29" t="str">
        <f t="shared" si="5"/>
        <v>Sim</v>
      </c>
      <c r="AD289" s="37" t="str">
        <f t="shared" si="1"/>
        <v>Não</v>
      </c>
      <c r="AE289" s="38">
        <f t="shared" si="6"/>
        <v>0</v>
      </c>
      <c r="AF289" s="47"/>
      <c r="AG289" s="34"/>
    </row>
    <row r="290" hidden="1">
      <c r="A290" s="43"/>
      <c r="B290" s="43"/>
      <c r="C290" s="43"/>
      <c r="D290" s="43"/>
      <c r="E290" s="46"/>
      <c r="F290" s="34"/>
      <c r="G290" s="34"/>
      <c r="H290" s="47"/>
      <c r="I290" s="47"/>
      <c r="J290" s="111"/>
      <c r="K290" s="47"/>
      <c r="L290" s="102"/>
      <c r="M290" s="47"/>
      <c r="N290" s="47"/>
      <c r="O290" s="43"/>
      <c r="P290" s="102" t="b">
        <v>0</v>
      </c>
      <c r="Q290" s="102" t="b">
        <v>0</v>
      </c>
      <c r="R290" s="102" t="b">
        <v>0</v>
      </c>
      <c r="S290" s="34"/>
      <c r="T290" s="43"/>
      <c r="U290" s="102" t="b">
        <v>0</v>
      </c>
      <c r="V290" s="43"/>
      <c r="W290" s="43"/>
      <c r="X290" s="43"/>
      <c r="Y290" s="43"/>
      <c r="Z290" s="43"/>
      <c r="AA290" s="34">
        <f t="shared" si="25"/>
        <v>0</v>
      </c>
      <c r="AB290" s="35">
        <f t="shared" si="40"/>
        <v>0</v>
      </c>
      <c r="AC290" s="29" t="str">
        <f t="shared" si="5"/>
        <v>Sim</v>
      </c>
      <c r="AD290" s="37" t="str">
        <f t="shared" si="1"/>
        <v>Não</v>
      </c>
      <c r="AE290" s="38">
        <f t="shared" si="6"/>
        <v>0</v>
      </c>
      <c r="AF290" s="47"/>
      <c r="AG290" s="34"/>
    </row>
    <row r="291" hidden="1">
      <c r="A291" s="43"/>
      <c r="B291" s="43"/>
      <c r="C291" s="43"/>
      <c r="D291" s="43"/>
      <c r="E291" s="46"/>
      <c r="F291" s="34"/>
      <c r="G291" s="34"/>
      <c r="H291" s="47"/>
      <c r="I291" s="47"/>
      <c r="J291" s="111"/>
      <c r="K291" s="47"/>
      <c r="L291" s="102"/>
      <c r="M291" s="47"/>
      <c r="N291" s="47"/>
      <c r="O291" s="43"/>
      <c r="P291" s="102" t="b">
        <v>0</v>
      </c>
      <c r="Q291" s="102" t="b">
        <v>0</v>
      </c>
      <c r="R291" s="102" t="b">
        <v>0</v>
      </c>
      <c r="S291" s="34"/>
      <c r="T291" s="43"/>
      <c r="U291" s="102" t="b">
        <v>0</v>
      </c>
      <c r="V291" s="43"/>
      <c r="W291" s="43"/>
      <c r="X291" s="43"/>
      <c r="Y291" s="43"/>
      <c r="Z291" s="43"/>
      <c r="AA291" s="34"/>
      <c r="AB291" s="35">
        <f t="shared" si="40"/>
        <v>0</v>
      </c>
      <c r="AC291" s="29" t="str">
        <f t="shared" si="5"/>
        <v>Sim</v>
      </c>
      <c r="AD291" s="37" t="str">
        <f t="shared" si="1"/>
        <v>Não</v>
      </c>
      <c r="AE291" s="38">
        <f t="shared" si="6"/>
        <v>0</v>
      </c>
      <c r="AF291" s="47"/>
      <c r="AG291" s="34"/>
    </row>
    <row r="292" hidden="1">
      <c r="A292" s="43"/>
      <c r="B292" s="43"/>
      <c r="C292" s="43"/>
      <c r="D292" s="43"/>
      <c r="E292" s="46"/>
      <c r="F292" s="34"/>
      <c r="G292" s="34"/>
      <c r="H292" s="47"/>
      <c r="I292" s="47"/>
      <c r="J292" s="111"/>
      <c r="K292" s="47"/>
      <c r="L292" s="102"/>
      <c r="M292" s="47"/>
      <c r="N292" s="47"/>
      <c r="O292" s="43"/>
      <c r="P292" s="102" t="b">
        <v>0</v>
      </c>
      <c r="Q292" s="102" t="b">
        <v>0</v>
      </c>
      <c r="R292" s="102" t="b">
        <v>0</v>
      </c>
      <c r="S292" s="34"/>
      <c r="T292" s="43"/>
      <c r="U292" s="102" t="b">
        <v>0</v>
      </c>
      <c r="V292" s="43"/>
      <c r="W292" s="43"/>
      <c r="X292" s="43"/>
      <c r="Y292" s="43"/>
      <c r="Z292" s="43"/>
      <c r="AA292" s="34"/>
      <c r="AB292" s="35">
        <f t="shared" si="40"/>
        <v>0</v>
      </c>
      <c r="AC292" s="29" t="str">
        <f t="shared" si="5"/>
        <v>Sim</v>
      </c>
      <c r="AD292" s="37" t="str">
        <f t="shared" si="1"/>
        <v>Não</v>
      </c>
      <c r="AE292" s="38">
        <f t="shared" si="6"/>
        <v>0</v>
      </c>
      <c r="AF292" s="47"/>
      <c r="AG292" s="34"/>
    </row>
    <row r="293" hidden="1">
      <c r="A293" s="43"/>
      <c r="B293" s="43"/>
      <c r="C293" s="43"/>
      <c r="D293" s="43"/>
      <c r="E293" s="46"/>
      <c r="F293" s="34"/>
      <c r="G293" s="34"/>
      <c r="H293" s="47"/>
      <c r="I293" s="47"/>
      <c r="J293" s="111"/>
      <c r="K293" s="47"/>
      <c r="L293" s="102"/>
      <c r="M293" s="47"/>
      <c r="N293" s="47"/>
      <c r="O293" s="43"/>
      <c r="P293" s="102" t="b">
        <v>0</v>
      </c>
      <c r="Q293" s="102" t="b">
        <v>0</v>
      </c>
      <c r="R293" s="102" t="b">
        <v>0</v>
      </c>
      <c r="S293" s="34"/>
      <c r="T293" s="43"/>
      <c r="U293" s="102" t="b">
        <v>0</v>
      </c>
      <c r="V293" s="43"/>
      <c r="W293" s="43"/>
      <c r="X293" s="43"/>
      <c r="Y293" s="43"/>
      <c r="Z293" s="43"/>
      <c r="AA293" s="34"/>
      <c r="AB293" s="35">
        <f t="shared" si="40"/>
        <v>0</v>
      </c>
      <c r="AC293" s="29" t="str">
        <f t="shared" si="5"/>
        <v>Sim</v>
      </c>
      <c r="AD293" s="37" t="str">
        <f t="shared" si="1"/>
        <v>Não</v>
      </c>
      <c r="AE293" s="38">
        <f t="shared" si="6"/>
        <v>0</v>
      </c>
      <c r="AF293" s="47"/>
      <c r="AG293" s="34"/>
    </row>
    <row r="294" hidden="1">
      <c r="A294" s="43"/>
      <c r="B294" s="43"/>
      <c r="C294" s="43"/>
      <c r="D294" s="43"/>
      <c r="E294" s="46"/>
      <c r="F294" s="34"/>
      <c r="G294" s="34"/>
      <c r="H294" s="47"/>
      <c r="I294" s="47"/>
      <c r="J294" s="111"/>
      <c r="K294" s="47"/>
      <c r="L294" s="102"/>
      <c r="M294" s="47"/>
      <c r="N294" s="47"/>
      <c r="O294" s="43"/>
      <c r="P294" s="102" t="b">
        <v>0</v>
      </c>
      <c r="Q294" s="102" t="b">
        <v>0</v>
      </c>
      <c r="R294" s="102" t="b">
        <v>0</v>
      </c>
      <c r="S294" s="34"/>
      <c r="T294" s="43"/>
      <c r="U294" s="102" t="b">
        <v>0</v>
      </c>
      <c r="V294" s="43"/>
      <c r="W294" s="43"/>
      <c r="X294" s="43"/>
      <c r="Y294" s="43"/>
      <c r="Z294" s="43"/>
      <c r="AA294" s="34"/>
      <c r="AB294" s="35">
        <f t="shared" si="40"/>
        <v>0</v>
      </c>
      <c r="AC294" s="29" t="str">
        <f t="shared" si="5"/>
        <v>Sim</v>
      </c>
      <c r="AD294" s="37" t="str">
        <f t="shared" si="1"/>
        <v>Não</v>
      </c>
      <c r="AE294" s="38">
        <f t="shared" si="6"/>
        <v>0</v>
      </c>
      <c r="AF294" s="47"/>
      <c r="AG294" s="34"/>
    </row>
    <row r="295" hidden="1">
      <c r="A295" s="43"/>
      <c r="B295" s="43"/>
      <c r="C295" s="43"/>
      <c r="D295" s="43"/>
      <c r="E295" s="46"/>
      <c r="F295" s="34"/>
      <c r="G295" s="34"/>
      <c r="H295" s="47"/>
      <c r="I295" s="47"/>
      <c r="J295" s="111"/>
      <c r="K295" s="47"/>
      <c r="L295" s="102"/>
      <c r="M295" s="47"/>
      <c r="N295" s="47"/>
      <c r="O295" s="43"/>
      <c r="P295" s="102" t="b">
        <v>0</v>
      </c>
      <c r="Q295" s="102" t="b">
        <v>0</v>
      </c>
      <c r="R295" s="102" t="b">
        <v>0</v>
      </c>
      <c r="S295" s="34"/>
      <c r="T295" s="43"/>
      <c r="U295" s="102" t="b">
        <v>0</v>
      </c>
      <c r="V295" s="43"/>
      <c r="W295" s="43"/>
      <c r="X295" s="43"/>
      <c r="Y295" s="43"/>
      <c r="Z295" s="43"/>
      <c r="AA295" s="34"/>
      <c r="AB295" s="35">
        <f t="shared" si="40"/>
        <v>0</v>
      </c>
      <c r="AC295" s="29" t="str">
        <f t="shared" si="5"/>
        <v>Sim</v>
      </c>
      <c r="AD295" s="37" t="str">
        <f t="shared" si="1"/>
        <v>Não</v>
      </c>
      <c r="AE295" s="38">
        <f t="shared" si="6"/>
        <v>0</v>
      </c>
      <c r="AF295" s="47"/>
      <c r="AG295" s="34"/>
    </row>
    <row r="296" hidden="1">
      <c r="A296" s="43"/>
      <c r="B296" s="43"/>
      <c r="C296" s="43"/>
      <c r="D296" s="43"/>
      <c r="E296" s="46"/>
      <c r="F296" s="34"/>
      <c r="G296" s="34"/>
      <c r="H296" s="47"/>
      <c r="I296" s="47"/>
      <c r="J296" s="111"/>
      <c r="K296" s="47"/>
      <c r="L296" s="102"/>
      <c r="M296" s="47"/>
      <c r="N296" s="47"/>
      <c r="O296" s="43"/>
      <c r="P296" s="102" t="b">
        <v>0</v>
      </c>
      <c r="Q296" s="102" t="b">
        <v>0</v>
      </c>
      <c r="R296" s="102" t="b">
        <v>0</v>
      </c>
      <c r="S296" s="34"/>
      <c r="T296" s="43"/>
      <c r="U296" s="102" t="b">
        <v>0</v>
      </c>
      <c r="V296" s="43"/>
      <c r="W296" s="43"/>
      <c r="X296" s="43"/>
      <c r="Y296" s="43"/>
      <c r="Z296" s="43"/>
      <c r="AA296" s="34"/>
      <c r="AB296" s="35">
        <f t="shared" si="40"/>
        <v>0</v>
      </c>
      <c r="AC296" s="29" t="str">
        <f t="shared" si="5"/>
        <v>Sim</v>
      </c>
      <c r="AD296" s="37" t="str">
        <f t="shared" si="1"/>
        <v>Não</v>
      </c>
      <c r="AE296" s="38">
        <f t="shared" si="6"/>
        <v>0</v>
      </c>
      <c r="AF296" s="47"/>
      <c r="AG296" s="34"/>
    </row>
    <row r="297" hidden="1">
      <c r="A297" s="43"/>
      <c r="B297" s="43"/>
      <c r="C297" s="43"/>
      <c r="D297" s="43"/>
      <c r="E297" s="46"/>
      <c r="F297" s="34"/>
      <c r="G297" s="34"/>
      <c r="H297" s="47"/>
      <c r="I297" s="47"/>
      <c r="J297" s="111"/>
      <c r="K297" s="47"/>
      <c r="L297" s="102"/>
      <c r="M297" s="47"/>
      <c r="N297" s="47"/>
      <c r="O297" s="43"/>
      <c r="P297" s="102" t="b">
        <v>0</v>
      </c>
      <c r="Q297" s="102" t="b">
        <v>0</v>
      </c>
      <c r="R297" s="102" t="b">
        <v>0</v>
      </c>
      <c r="S297" s="34"/>
      <c r="T297" s="43"/>
      <c r="U297" s="102" t="b">
        <v>0</v>
      </c>
      <c r="V297" s="43"/>
      <c r="W297" s="43"/>
      <c r="X297" s="43"/>
      <c r="Y297" s="43"/>
      <c r="Z297" s="43"/>
      <c r="AA297" s="34"/>
      <c r="AB297" s="35">
        <f t="shared" si="40"/>
        <v>0</v>
      </c>
      <c r="AC297" s="29" t="str">
        <f t="shared" si="5"/>
        <v>Sim</v>
      </c>
      <c r="AD297" s="37" t="str">
        <f t="shared" si="1"/>
        <v>Não</v>
      </c>
      <c r="AE297" s="38">
        <f t="shared" si="6"/>
        <v>0</v>
      </c>
      <c r="AF297" s="47"/>
      <c r="AG297" s="34"/>
    </row>
    <row r="298" hidden="1">
      <c r="A298" s="43"/>
      <c r="B298" s="43"/>
      <c r="C298" s="43"/>
      <c r="D298" s="43"/>
      <c r="E298" s="46"/>
      <c r="F298" s="34"/>
      <c r="G298" s="34"/>
      <c r="H298" s="47"/>
      <c r="I298" s="47"/>
      <c r="J298" s="111"/>
      <c r="K298" s="47"/>
      <c r="L298" s="102"/>
      <c r="M298" s="47"/>
      <c r="N298" s="47"/>
      <c r="O298" s="43"/>
      <c r="P298" s="102" t="b">
        <v>0</v>
      </c>
      <c r="Q298" s="102" t="b">
        <v>0</v>
      </c>
      <c r="R298" s="102" t="b">
        <v>0</v>
      </c>
      <c r="S298" s="34"/>
      <c r="T298" s="43"/>
      <c r="U298" s="102" t="b">
        <v>0</v>
      </c>
      <c r="V298" s="43"/>
      <c r="W298" s="43"/>
      <c r="X298" s="43"/>
      <c r="Y298" s="43"/>
      <c r="Z298" s="43"/>
      <c r="AA298" s="34"/>
      <c r="AB298" s="35">
        <f t="shared" si="40"/>
        <v>0</v>
      </c>
      <c r="AC298" s="29" t="str">
        <f t="shared" si="5"/>
        <v>Sim</v>
      </c>
      <c r="AD298" s="37" t="str">
        <f t="shared" si="1"/>
        <v>Não</v>
      </c>
      <c r="AE298" s="102"/>
      <c r="AF298" s="47"/>
      <c r="AG298" s="34"/>
    </row>
    <row r="299" hidden="1">
      <c r="A299" s="43"/>
      <c r="B299" s="43"/>
      <c r="C299" s="43"/>
      <c r="D299" s="43"/>
      <c r="E299" s="46"/>
      <c r="F299" s="34"/>
      <c r="G299" s="34"/>
      <c r="H299" s="47"/>
      <c r="I299" s="47"/>
      <c r="J299" s="111"/>
      <c r="K299" s="47"/>
      <c r="L299" s="102"/>
      <c r="M299" s="47"/>
      <c r="N299" s="47"/>
      <c r="O299" s="43"/>
      <c r="P299" s="102" t="b">
        <v>0</v>
      </c>
      <c r="Q299" s="102" t="b">
        <v>0</v>
      </c>
      <c r="R299" s="102" t="b">
        <v>0</v>
      </c>
      <c r="S299" s="34"/>
      <c r="T299" s="43"/>
      <c r="U299" s="102" t="b">
        <v>0</v>
      </c>
      <c r="V299" s="43"/>
      <c r="W299" s="43"/>
      <c r="X299" s="43"/>
      <c r="Y299" s="43"/>
      <c r="Z299" s="43"/>
      <c r="AA299" s="34"/>
      <c r="AB299" s="35">
        <f t="shared" si="40"/>
        <v>0</v>
      </c>
      <c r="AC299" s="29" t="str">
        <f t="shared" si="5"/>
        <v>Sim</v>
      </c>
      <c r="AD299" s="37" t="str">
        <f t="shared" si="1"/>
        <v>Não</v>
      </c>
      <c r="AE299" s="102"/>
      <c r="AF299" s="47"/>
      <c r="AG299" s="34"/>
    </row>
    <row r="300" hidden="1">
      <c r="A300" s="43"/>
      <c r="B300" s="43"/>
      <c r="C300" s="43"/>
      <c r="D300" s="43"/>
      <c r="E300" s="46"/>
      <c r="F300" s="34"/>
      <c r="G300" s="34"/>
      <c r="H300" s="47"/>
      <c r="I300" s="47"/>
      <c r="J300" s="111"/>
      <c r="K300" s="47"/>
      <c r="L300" s="102"/>
      <c r="M300" s="47"/>
      <c r="N300" s="47"/>
      <c r="O300" s="43"/>
      <c r="P300" s="102" t="b">
        <v>0</v>
      </c>
      <c r="Q300" s="102" t="b">
        <v>0</v>
      </c>
      <c r="R300" s="102" t="b">
        <v>0</v>
      </c>
      <c r="S300" s="34"/>
      <c r="T300" s="43"/>
      <c r="U300" s="102" t="b">
        <v>0</v>
      </c>
      <c r="V300" s="43"/>
      <c r="W300" s="43"/>
      <c r="X300" s="43"/>
      <c r="Y300" s="43"/>
      <c r="Z300" s="43"/>
      <c r="AA300" s="34"/>
      <c r="AB300" s="35">
        <f t="shared" si="40"/>
        <v>0</v>
      </c>
      <c r="AC300" s="29" t="str">
        <f t="shared" si="5"/>
        <v>Sim</v>
      </c>
      <c r="AD300" s="37" t="str">
        <f t="shared" si="1"/>
        <v>Não</v>
      </c>
      <c r="AE300" s="102"/>
      <c r="AF300" s="47"/>
      <c r="AG300" s="34"/>
    </row>
    <row r="301" hidden="1">
      <c r="A301" s="43"/>
      <c r="B301" s="43"/>
      <c r="C301" s="43"/>
      <c r="D301" s="43"/>
      <c r="E301" s="46"/>
      <c r="F301" s="34"/>
      <c r="G301" s="34"/>
      <c r="H301" s="47"/>
      <c r="I301" s="47"/>
      <c r="J301" s="111"/>
      <c r="K301" s="47"/>
      <c r="L301" s="102"/>
      <c r="M301" s="47"/>
      <c r="N301" s="47"/>
      <c r="O301" s="43"/>
      <c r="P301" s="102" t="b">
        <v>0</v>
      </c>
      <c r="Q301" s="102" t="b">
        <v>0</v>
      </c>
      <c r="R301" s="102" t="b">
        <v>0</v>
      </c>
      <c r="S301" s="34"/>
      <c r="T301" s="43"/>
      <c r="U301" s="102" t="b">
        <v>0</v>
      </c>
      <c r="V301" s="43"/>
      <c r="W301" s="43"/>
      <c r="X301" s="43"/>
      <c r="Y301" s="43"/>
      <c r="Z301" s="43"/>
      <c r="AA301" s="34"/>
      <c r="AB301" s="35">
        <f t="shared" si="40"/>
        <v>0</v>
      </c>
      <c r="AC301" s="29" t="str">
        <f t="shared" si="5"/>
        <v>Sim</v>
      </c>
      <c r="AD301" s="37" t="str">
        <f t="shared" si="1"/>
        <v>Não</v>
      </c>
      <c r="AE301" s="102"/>
      <c r="AF301" s="47"/>
      <c r="AG301" s="34"/>
    </row>
    <row r="302" hidden="1">
      <c r="A302" s="43"/>
      <c r="B302" s="43"/>
      <c r="C302" s="43"/>
      <c r="D302" s="43"/>
      <c r="E302" s="46"/>
      <c r="F302" s="34"/>
      <c r="G302" s="34"/>
      <c r="H302" s="47"/>
      <c r="I302" s="47"/>
      <c r="J302" s="111"/>
      <c r="K302" s="47"/>
      <c r="L302" s="102"/>
      <c r="M302" s="47"/>
      <c r="N302" s="47"/>
      <c r="O302" s="43"/>
      <c r="P302" s="102" t="b">
        <v>0</v>
      </c>
      <c r="Q302" s="102" t="b">
        <v>0</v>
      </c>
      <c r="R302" s="102" t="b">
        <v>0</v>
      </c>
      <c r="S302" s="34"/>
      <c r="T302" s="43"/>
      <c r="U302" s="102" t="b">
        <v>0</v>
      </c>
      <c r="V302" s="43"/>
      <c r="W302" s="43"/>
      <c r="X302" s="43"/>
      <c r="Y302" s="43"/>
      <c r="Z302" s="43"/>
      <c r="AA302" s="34"/>
      <c r="AB302" s="35">
        <f t="shared" si="40"/>
        <v>0</v>
      </c>
      <c r="AC302" s="29" t="str">
        <f t="shared" si="5"/>
        <v>Sim</v>
      </c>
      <c r="AD302" s="37" t="str">
        <f t="shared" si="1"/>
        <v>Não</v>
      </c>
      <c r="AE302" s="102"/>
      <c r="AF302" s="47"/>
      <c r="AG302" s="34"/>
    </row>
    <row r="303" hidden="1">
      <c r="A303" s="43"/>
      <c r="B303" s="43"/>
      <c r="C303" s="43"/>
      <c r="D303" s="43"/>
      <c r="E303" s="46"/>
      <c r="F303" s="34"/>
      <c r="G303" s="34"/>
      <c r="H303" s="47"/>
      <c r="I303" s="47"/>
      <c r="J303" s="111"/>
      <c r="K303" s="47"/>
      <c r="L303" s="102"/>
      <c r="M303" s="47"/>
      <c r="N303" s="47"/>
      <c r="O303" s="43"/>
      <c r="P303" s="102" t="b">
        <v>0</v>
      </c>
      <c r="Q303" s="102" t="b">
        <v>0</v>
      </c>
      <c r="R303" s="102" t="b">
        <v>0</v>
      </c>
      <c r="S303" s="34"/>
      <c r="T303" s="43"/>
      <c r="U303" s="102" t="b">
        <v>0</v>
      </c>
      <c r="V303" s="43"/>
      <c r="W303" s="43"/>
      <c r="X303" s="43"/>
      <c r="Y303" s="43"/>
      <c r="Z303" s="43"/>
      <c r="AA303" s="34"/>
      <c r="AB303" s="35">
        <f t="shared" si="40"/>
        <v>0</v>
      </c>
      <c r="AC303" s="29" t="str">
        <f t="shared" si="5"/>
        <v>Sim</v>
      </c>
      <c r="AD303" s="37" t="str">
        <f t="shared" si="1"/>
        <v>Não</v>
      </c>
      <c r="AE303" s="102"/>
      <c r="AF303" s="47"/>
      <c r="AG303" s="34"/>
    </row>
    <row r="304" hidden="1">
      <c r="A304" s="43"/>
      <c r="B304" s="43"/>
      <c r="C304" s="43"/>
      <c r="D304" s="43"/>
      <c r="E304" s="46"/>
      <c r="F304" s="34"/>
      <c r="G304" s="34"/>
      <c r="H304" s="47"/>
      <c r="I304" s="47"/>
      <c r="J304" s="111"/>
      <c r="K304" s="47"/>
      <c r="L304" s="102"/>
      <c r="M304" s="47"/>
      <c r="N304" s="47"/>
      <c r="O304" s="43"/>
      <c r="P304" s="102" t="b">
        <v>0</v>
      </c>
      <c r="Q304" s="102" t="b">
        <v>0</v>
      </c>
      <c r="R304" s="102" t="b">
        <v>0</v>
      </c>
      <c r="S304" s="34"/>
      <c r="T304" s="43"/>
      <c r="U304" s="102" t="b">
        <v>0</v>
      </c>
      <c r="V304" s="43"/>
      <c r="W304" s="43"/>
      <c r="X304" s="43"/>
      <c r="Y304" s="43"/>
      <c r="Z304" s="43"/>
      <c r="AA304" s="34"/>
      <c r="AB304" s="35">
        <f t="shared" si="40"/>
        <v>0</v>
      </c>
      <c r="AC304" s="29" t="str">
        <f t="shared" si="5"/>
        <v>Sim</v>
      </c>
      <c r="AD304" s="37" t="str">
        <f t="shared" si="1"/>
        <v>Não</v>
      </c>
      <c r="AE304" s="102"/>
      <c r="AF304" s="47"/>
      <c r="AG304" s="34"/>
    </row>
    <row r="305" hidden="1">
      <c r="A305" s="43"/>
      <c r="B305" s="43"/>
      <c r="C305" s="43"/>
      <c r="D305" s="43"/>
      <c r="E305" s="46"/>
      <c r="F305" s="34"/>
      <c r="G305" s="34"/>
      <c r="H305" s="47"/>
      <c r="I305" s="47"/>
      <c r="J305" s="111"/>
      <c r="K305" s="47"/>
      <c r="L305" s="102"/>
      <c r="M305" s="47"/>
      <c r="N305" s="47"/>
      <c r="O305" s="43"/>
      <c r="P305" s="102" t="b">
        <v>0</v>
      </c>
      <c r="Q305" s="102" t="b">
        <v>0</v>
      </c>
      <c r="R305" s="102" t="b">
        <v>0</v>
      </c>
      <c r="S305" s="34"/>
      <c r="T305" s="43"/>
      <c r="U305" s="102" t="b">
        <v>0</v>
      </c>
      <c r="V305" s="43"/>
      <c r="W305" s="43"/>
      <c r="X305" s="43"/>
      <c r="Y305" s="43"/>
      <c r="Z305" s="43"/>
      <c r="AA305" s="34"/>
      <c r="AB305" s="35">
        <f t="shared" si="40"/>
        <v>0</v>
      </c>
      <c r="AC305" s="29" t="str">
        <f t="shared" si="5"/>
        <v>Sim</v>
      </c>
      <c r="AD305" s="37" t="str">
        <f t="shared" si="1"/>
        <v>Não</v>
      </c>
      <c r="AE305" s="102"/>
      <c r="AF305" s="47"/>
      <c r="AG305" s="34"/>
    </row>
    <row r="306" hidden="1">
      <c r="A306" s="43"/>
      <c r="B306" s="43"/>
      <c r="C306" s="43"/>
      <c r="D306" s="43"/>
      <c r="E306" s="46"/>
      <c r="F306" s="34"/>
      <c r="G306" s="34"/>
      <c r="H306" s="47"/>
      <c r="I306" s="47"/>
      <c r="J306" s="111"/>
      <c r="K306" s="47"/>
      <c r="L306" s="102"/>
      <c r="M306" s="47"/>
      <c r="N306" s="47"/>
      <c r="O306" s="43"/>
      <c r="P306" s="102" t="b">
        <v>0</v>
      </c>
      <c r="Q306" s="102" t="b">
        <v>0</v>
      </c>
      <c r="R306" s="102" t="b">
        <v>0</v>
      </c>
      <c r="S306" s="34"/>
      <c r="T306" s="43"/>
      <c r="U306" s="102" t="b">
        <v>0</v>
      </c>
      <c r="V306" s="43"/>
      <c r="W306" s="43"/>
      <c r="X306" s="43"/>
      <c r="Y306" s="43"/>
      <c r="Z306" s="43"/>
      <c r="AA306" s="34"/>
      <c r="AB306" s="35">
        <f t="shared" si="40"/>
        <v>0</v>
      </c>
      <c r="AC306" s="29" t="str">
        <f t="shared" si="5"/>
        <v>Sim</v>
      </c>
      <c r="AD306" s="37" t="str">
        <f t="shared" si="1"/>
        <v>Não</v>
      </c>
      <c r="AE306" s="102"/>
      <c r="AF306" s="47"/>
      <c r="AG306" s="34"/>
    </row>
    <row r="307" hidden="1">
      <c r="A307" s="43"/>
      <c r="B307" s="43"/>
      <c r="C307" s="43"/>
      <c r="D307" s="43"/>
      <c r="E307" s="46"/>
      <c r="F307" s="34"/>
      <c r="G307" s="34"/>
      <c r="H307" s="47"/>
      <c r="I307" s="47"/>
      <c r="J307" s="111"/>
      <c r="K307" s="47"/>
      <c r="L307" s="102"/>
      <c r="M307" s="47"/>
      <c r="N307" s="47"/>
      <c r="O307" s="43"/>
      <c r="P307" s="102" t="b">
        <v>0</v>
      </c>
      <c r="Q307" s="102" t="b">
        <v>0</v>
      </c>
      <c r="R307" s="102" t="b">
        <v>0</v>
      </c>
      <c r="S307" s="34"/>
      <c r="T307" s="43"/>
      <c r="U307" s="102" t="b">
        <v>0</v>
      </c>
      <c r="V307" s="43"/>
      <c r="W307" s="43"/>
      <c r="X307" s="43"/>
      <c r="Y307" s="43"/>
      <c r="Z307" s="43"/>
      <c r="AA307" s="34"/>
      <c r="AB307" s="35">
        <f t="shared" si="40"/>
        <v>0</v>
      </c>
      <c r="AC307" s="29" t="str">
        <f t="shared" si="5"/>
        <v>Sim</v>
      </c>
      <c r="AD307" s="37" t="str">
        <f t="shared" si="1"/>
        <v>Não</v>
      </c>
      <c r="AE307" s="102"/>
      <c r="AF307" s="47"/>
      <c r="AG307" s="34"/>
    </row>
    <row r="308" hidden="1">
      <c r="A308" s="43"/>
      <c r="B308" s="43"/>
      <c r="C308" s="43"/>
      <c r="D308" s="43"/>
      <c r="E308" s="46"/>
      <c r="F308" s="34"/>
      <c r="G308" s="34"/>
      <c r="H308" s="47"/>
      <c r="I308" s="47"/>
      <c r="J308" s="111"/>
      <c r="K308" s="47"/>
      <c r="L308" s="102"/>
      <c r="M308" s="47"/>
      <c r="N308" s="47"/>
      <c r="O308" s="43"/>
      <c r="P308" s="102" t="b">
        <v>0</v>
      </c>
      <c r="Q308" s="102" t="b">
        <v>0</v>
      </c>
      <c r="R308" s="102" t="b">
        <v>0</v>
      </c>
      <c r="S308" s="34"/>
      <c r="T308" s="43"/>
      <c r="U308" s="102" t="b">
        <v>0</v>
      </c>
      <c r="V308" s="43"/>
      <c r="W308" s="43"/>
      <c r="X308" s="43"/>
      <c r="Y308" s="43"/>
      <c r="Z308" s="43"/>
      <c r="AA308" s="34"/>
      <c r="AB308" s="35">
        <f t="shared" si="40"/>
        <v>0</v>
      </c>
      <c r="AC308" s="29" t="str">
        <f t="shared" si="5"/>
        <v>Sim</v>
      </c>
      <c r="AD308" s="37" t="str">
        <f t="shared" si="1"/>
        <v>Não</v>
      </c>
      <c r="AE308" s="102"/>
      <c r="AF308" s="47"/>
      <c r="AG308" s="34"/>
    </row>
    <row r="309" hidden="1">
      <c r="A309" s="43"/>
      <c r="B309" s="43"/>
      <c r="C309" s="43"/>
      <c r="D309" s="43"/>
      <c r="E309" s="46"/>
      <c r="F309" s="34"/>
      <c r="G309" s="34"/>
      <c r="H309" s="47"/>
      <c r="I309" s="47"/>
      <c r="J309" s="111"/>
      <c r="K309" s="47"/>
      <c r="L309" s="102"/>
      <c r="M309" s="47"/>
      <c r="N309" s="47"/>
      <c r="O309" s="43"/>
      <c r="P309" s="102" t="b">
        <v>0</v>
      </c>
      <c r="Q309" s="102" t="b">
        <v>0</v>
      </c>
      <c r="R309" s="102" t="b">
        <v>0</v>
      </c>
      <c r="S309" s="34"/>
      <c r="T309" s="43"/>
      <c r="U309" s="102" t="b">
        <v>0</v>
      </c>
      <c r="V309" s="43"/>
      <c r="W309" s="43"/>
      <c r="X309" s="43"/>
      <c r="Y309" s="43"/>
      <c r="Z309" s="43"/>
      <c r="AA309" s="34"/>
      <c r="AB309" s="35">
        <f t="shared" si="40"/>
        <v>0</v>
      </c>
      <c r="AC309" s="29" t="str">
        <f t="shared" si="5"/>
        <v>Sim</v>
      </c>
      <c r="AD309" s="37" t="str">
        <f t="shared" si="1"/>
        <v>Não</v>
      </c>
      <c r="AE309" s="102"/>
      <c r="AF309" s="47"/>
      <c r="AG309" s="34"/>
    </row>
    <row r="310" hidden="1">
      <c r="A310" s="43"/>
      <c r="B310" s="43"/>
      <c r="C310" s="43"/>
      <c r="D310" s="43"/>
      <c r="E310" s="46"/>
      <c r="F310" s="34"/>
      <c r="G310" s="34"/>
      <c r="H310" s="47"/>
      <c r="I310" s="47"/>
      <c r="J310" s="111"/>
      <c r="K310" s="47"/>
      <c r="L310" s="102"/>
      <c r="M310" s="47"/>
      <c r="N310" s="47"/>
      <c r="O310" s="43"/>
      <c r="P310" s="102" t="b">
        <v>0</v>
      </c>
      <c r="Q310" s="102" t="b">
        <v>0</v>
      </c>
      <c r="R310" s="102" t="b">
        <v>0</v>
      </c>
      <c r="S310" s="34"/>
      <c r="T310" s="43"/>
      <c r="U310" s="102" t="b">
        <v>0</v>
      </c>
      <c r="V310" s="43"/>
      <c r="W310" s="43"/>
      <c r="X310" s="43"/>
      <c r="Y310" s="43"/>
      <c r="Z310" s="43"/>
      <c r="AA310" s="34"/>
      <c r="AB310" s="35">
        <f t="shared" si="40"/>
        <v>0</v>
      </c>
      <c r="AC310" s="29" t="str">
        <f t="shared" si="5"/>
        <v>Sim</v>
      </c>
      <c r="AD310" s="37" t="str">
        <f t="shared" si="1"/>
        <v>Não</v>
      </c>
      <c r="AE310" s="102"/>
      <c r="AF310" s="47"/>
      <c r="AG310" s="34"/>
    </row>
    <row r="311" hidden="1">
      <c r="A311" s="43"/>
      <c r="B311" s="43"/>
      <c r="C311" s="43"/>
      <c r="D311" s="43"/>
      <c r="E311" s="46"/>
      <c r="F311" s="34"/>
      <c r="G311" s="34"/>
      <c r="H311" s="47"/>
      <c r="I311" s="47"/>
      <c r="J311" s="111"/>
      <c r="K311" s="47"/>
      <c r="L311" s="102"/>
      <c r="M311" s="47"/>
      <c r="N311" s="47"/>
      <c r="O311" s="43"/>
      <c r="P311" s="102" t="b">
        <v>0</v>
      </c>
      <c r="Q311" s="102" t="b">
        <v>0</v>
      </c>
      <c r="R311" s="102" t="b">
        <v>0</v>
      </c>
      <c r="S311" s="34"/>
      <c r="T311" s="43"/>
      <c r="U311" s="102" t="b">
        <v>0</v>
      </c>
      <c r="V311" s="43"/>
      <c r="W311" s="43"/>
      <c r="X311" s="43"/>
      <c r="Y311" s="43"/>
      <c r="Z311" s="43"/>
      <c r="AA311" s="34"/>
      <c r="AB311" s="35">
        <f t="shared" si="40"/>
        <v>0</v>
      </c>
      <c r="AC311" s="29" t="str">
        <f t="shared" si="5"/>
        <v>Sim</v>
      </c>
      <c r="AD311" s="37" t="str">
        <f t="shared" si="1"/>
        <v>Não</v>
      </c>
      <c r="AE311" s="102"/>
      <c r="AF311" s="47"/>
      <c r="AG311" s="34"/>
    </row>
    <row r="312" hidden="1">
      <c r="A312" s="43"/>
      <c r="B312" s="43"/>
      <c r="C312" s="43"/>
      <c r="D312" s="43"/>
      <c r="E312" s="46"/>
      <c r="F312" s="34"/>
      <c r="G312" s="34"/>
      <c r="H312" s="47"/>
      <c r="I312" s="47"/>
      <c r="J312" s="111"/>
      <c r="K312" s="47"/>
      <c r="L312" s="102"/>
      <c r="M312" s="47"/>
      <c r="N312" s="47"/>
      <c r="O312" s="43"/>
      <c r="P312" s="102" t="b">
        <v>0</v>
      </c>
      <c r="Q312" s="102" t="b">
        <v>0</v>
      </c>
      <c r="R312" s="102" t="b">
        <v>0</v>
      </c>
      <c r="S312" s="34"/>
      <c r="T312" s="43"/>
      <c r="U312" s="102" t="b">
        <v>0</v>
      </c>
      <c r="V312" s="43"/>
      <c r="W312" s="43"/>
      <c r="X312" s="43"/>
      <c r="Y312" s="43"/>
      <c r="Z312" s="43"/>
      <c r="AA312" s="34"/>
      <c r="AB312" s="35">
        <f t="shared" si="40"/>
        <v>0</v>
      </c>
      <c r="AC312" s="29" t="str">
        <f t="shared" si="5"/>
        <v>Sim</v>
      </c>
      <c r="AD312" s="37" t="str">
        <f t="shared" si="1"/>
        <v>Não</v>
      </c>
      <c r="AE312" s="102"/>
      <c r="AF312" s="47"/>
      <c r="AG312" s="34"/>
    </row>
    <row r="313" hidden="1">
      <c r="A313" s="43"/>
      <c r="B313" s="43"/>
      <c r="C313" s="43"/>
      <c r="D313" s="43"/>
      <c r="E313" s="46"/>
      <c r="F313" s="34"/>
      <c r="G313" s="34"/>
      <c r="H313" s="47"/>
      <c r="I313" s="47"/>
      <c r="J313" s="111"/>
      <c r="K313" s="47"/>
      <c r="L313" s="102"/>
      <c r="M313" s="47"/>
      <c r="N313" s="47"/>
      <c r="O313" s="43"/>
      <c r="P313" s="102" t="b">
        <v>0</v>
      </c>
      <c r="Q313" s="102" t="b">
        <v>0</v>
      </c>
      <c r="R313" s="102" t="b">
        <v>0</v>
      </c>
      <c r="S313" s="34"/>
      <c r="T313" s="43"/>
      <c r="U313" s="102" t="b">
        <v>0</v>
      </c>
      <c r="V313" s="43"/>
      <c r="W313" s="43"/>
      <c r="X313" s="43"/>
      <c r="Y313" s="43"/>
      <c r="Z313" s="43"/>
      <c r="AA313" s="34"/>
      <c r="AB313" s="35">
        <f t="shared" si="40"/>
        <v>0</v>
      </c>
      <c r="AC313" s="29" t="str">
        <f t="shared" si="5"/>
        <v>Sim</v>
      </c>
      <c r="AD313" s="37" t="str">
        <f t="shared" si="1"/>
        <v>Não</v>
      </c>
      <c r="AE313" s="102"/>
      <c r="AF313" s="47"/>
      <c r="AG313" s="34"/>
    </row>
    <row r="314" hidden="1">
      <c r="A314" s="43"/>
      <c r="B314" s="43"/>
      <c r="C314" s="43"/>
      <c r="D314" s="43"/>
      <c r="E314" s="46"/>
      <c r="F314" s="34"/>
      <c r="G314" s="34"/>
      <c r="H314" s="47"/>
      <c r="I314" s="47"/>
      <c r="J314" s="111"/>
      <c r="K314" s="47"/>
      <c r="L314" s="102"/>
      <c r="M314" s="47"/>
      <c r="N314" s="47"/>
      <c r="O314" s="43"/>
      <c r="P314" s="102" t="b">
        <v>0</v>
      </c>
      <c r="Q314" s="102" t="b">
        <v>0</v>
      </c>
      <c r="R314" s="102" t="b">
        <v>0</v>
      </c>
      <c r="S314" s="34"/>
      <c r="T314" s="43"/>
      <c r="U314" s="102" t="b">
        <v>0</v>
      </c>
      <c r="V314" s="43"/>
      <c r="W314" s="43"/>
      <c r="X314" s="43"/>
      <c r="Y314" s="43"/>
      <c r="Z314" s="43"/>
      <c r="AA314" s="34"/>
      <c r="AB314" s="35">
        <f t="shared" si="40"/>
        <v>0</v>
      </c>
      <c r="AC314" s="29" t="str">
        <f t="shared" si="5"/>
        <v>Sim</v>
      </c>
      <c r="AD314" s="37" t="str">
        <f t="shared" si="1"/>
        <v>Não</v>
      </c>
      <c r="AE314" s="102"/>
      <c r="AF314" s="47"/>
      <c r="AG314" s="34"/>
    </row>
    <row r="315" hidden="1">
      <c r="A315" s="43"/>
      <c r="B315" s="43"/>
      <c r="C315" s="43"/>
      <c r="D315" s="43"/>
      <c r="E315" s="46"/>
      <c r="F315" s="34"/>
      <c r="G315" s="34"/>
      <c r="H315" s="47"/>
      <c r="I315" s="47"/>
      <c r="J315" s="111"/>
      <c r="K315" s="47"/>
      <c r="L315" s="102"/>
      <c r="M315" s="47"/>
      <c r="N315" s="47"/>
      <c r="O315" s="43"/>
      <c r="P315" s="102" t="b">
        <v>0</v>
      </c>
      <c r="Q315" s="102" t="b">
        <v>0</v>
      </c>
      <c r="R315" s="102" t="b">
        <v>0</v>
      </c>
      <c r="S315" s="34"/>
      <c r="T315" s="43"/>
      <c r="U315" s="102" t="b">
        <v>0</v>
      </c>
      <c r="V315" s="43"/>
      <c r="W315" s="43"/>
      <c r="X315" s="43"/>
      <c r="Y315" s="43"/>
      <c r="Z315" s="43"/>
      <c r="AA315" s="34"/>
      <c r="AB315" s="35">
        <f t="shared" si="40"/>
        <v>0</v>
      </c>
      <c r="AC315" s="29" t="str">
        <f t="shared" si="5"/>
        <v>Sim</v>
      </c>
      <c r="AD315" s="37" t="str">
        <f t="shared" si="1"/>
        <v>Não</v>
      </c>
      <c r="AE315" s="102"/>
      <c r="AF315" s="47"/>
      <c r="AG315" s="34"/>
    </row>
    <row r="316" hidden="1">
      <c r="A316" s="43"/>
      <c r="B316" s="43"/>
      <c r="C316" s="43"/>
      <c r="D316" s="43"/>
      <c r="E316" s="46"/>
      <c r="F316" s="34"/>
      <c r="G316" s="34"/>
      <c r="H316" s="47"/>
      <c r="I316" s="47"/>
      <c r="J316" s="111"/>
      <c r="K316" s="47"/>
      <c r="L316" s="102"/>
      <c r="M316" s="47"/>
      <c r="N316" s="47"/>
      <c r="O316" s="43"/>
      <c r="P316" s="102" t="b">
        <v>0</v>
      </c>
      <c r="Q316" s="102" t="b">
        <v>0</v>
      </c>
      <c r="R316" s="102" t="b">
        <v>0</v>
      </c>
      <c r="S316" s="34"/>
      <c r="T316" s="43"/>
      <c r="U316" s="102" t="b">
        <v>0</v>
      </c>
      <c r="V316" s="43"/>
      <c r="W316" s="43"/>
      <c r="X316" s="43"/>
      <c r="Y316" s="43"/>
      <c r="Z316" s="43"/>
      <c r="AA316" s="34"/>
      <c r="AB316" s="35">
        <f t="shared" si="40"/>
        <v>0</v>
      </c>
      <c r="AC316" s="29" t="str">
        <f t="shared" si="5"/>
        <v>Sim</v>
      </c>
      <c r="AD316" s="37" t="str">
        <f t="shared" si="1"/>
        <v>Não</v>
      </c>
      <c r="AE316" s="102"/>
      <c r="AF316" s="47"/>
      <c r="AG316" s="34"/>
    </row>
    <row r="317" hidden="1">
      <c r="A317" s="43"/>
      <c r="B317" s="43"/>
      <c r="C317" s="43"/>
      <c r="D317" s="43"/>
      <c r="E317" s="46"/>
      <c r="F317" s="34"/>
      <c r="G317" s="34"/>
      <c r="H317" s="47"/>
      <c r="I317" s="47"/>
      <c r="J317" s="111"/>
      <c r="K317" s="47"/>
      <c r="L317" s="102"/>
      <c r="M317" s="47"/>
      <c r="N317" s="47"/>
      <c r="O317" s="43"/>
      <c r="P317" s="102" t="b">
        <v>0</v>
      </c>
      <c r="Q317" s="102" t="b">
        <v>0</v>
      </c>
      <c r="R317" s="102" t="b">
        <v>0</v>
      </c>
      <c r="S317" s="34"/>
      <c r="T317" s="43"/>
      <c r="U317" s="102" t="b">
        <v>0</v>
      </c>
      <c r="V317" s="43"/>
      <c r="W317" s="43"/>
      <c r="X317" s="43"/>
      <c r="Y317" s="43"/>
      <c r="Z317" s="43"/>
      <c r="AA317" s="34"/>
      <c r="AB317" s="35">
        <f t="shared" si="40"/>
        <v>0</v>
      </c>
      <c r="AC317" s="29" t="str">
        <f t="shared" si="5"/>
        <v>Sim</v>
      </c>
      <c r="AD317" s="37" t="str">
        <f t="shared" si="1"/>
        <v>Não</v>
      </c>
      <c r="AE317" s="102"/>
      <c r="AF317" s="47"/>
      <c r="AG317" s="34"/>
    </row>
    <row r="318" hidden="1">
      <c r="A318" s="43"/>
      <c r="B318" s="43"/>
      <c r="C318" s="43"/>
      <c r="D318" s="43"/>
      <c r="E318" s="46"/>
      <c r="F318" s="34"/>
      <c r="G318" s="34"/>
      <c r="H318" s="47"/>
      <c r="I318" s="47"/>
      <c r="J318" s="111"/>
      <c r="K318" s="47"/>
      <c r="L318" s="102"/>
      <c r="M318" s="47"/>
      <c r="N318" s="47"/>
      <c r="O318" s="43"/>
      <c r="P318" s="102" t="b">
        <v>0</v>
      </c>
      <c r="Q318" s="102" t="b">
        <v>0</v>
      </c>
      <c r="R318" s="102" t="b">
        <v>0</v>
      </c>
      <c r="S318" s="34"/>
      <c r="T318" s="43"/>
      <c r="U318" s="102" t="b">
        <v>0</v>
      </c>
      <c r="V318" s="43"/>
      <c r="W318" s="43"/>
      <c r="X318" s="43"/>
      <c r="Y318" s="43"/>
      <c r="Z318" s="43"/>
      <c r="AA318" s="34"/>
      <c r="AB318" s="35">
        <f t="shared" si="40"/>
        <v>0</v>
      </c>
      <c r="AC318" s="29" t="str">
        <f t="shared" si="5"/>
        <v>Sim</v>
      </c>
      <c r="AD318" s="37" t="str">
        <f t="shared" si="1"/>
        <v>Não</v>
      </c>
      <c r="AE318" s="102"/>
      <c r="AF318" s="47"/>
      <c r="AG318" s="34"/>
    </row>
    <row r="319" hidden="1">
      <c r="A319" s="43"/>
      <c r="B319" s="43"/>
      <c r="C319" s="43"/>
      <c r="D319" s="43"/>
      <c r="E319" s="46"/>
      <c r="F319" s="34"/>
      <c r="G319" s="34"/>
      <c r="H319" s="47"/>
      <c r="I319" s="47"/>
      <c r="J319" s="111"/>
      <c r="K319" s="47"/>
      <c r="L319" s="102"/>
      <c r="M319" s="47"/>
      <c r="N319" s="47"/>
      <c r="O319" s="43"/>
      <c r="P319" s="102" t="b">
        <v>0</v>
      </c>
      <c r="Q319" s="102" t="b">
        <v>0</v>
      </c>
      <c r="R319" s="102" t="b">
        <v>0</v>
      </c>
      <c r="S319" s="34"/>
      <c r="T319" s="43"/>
      <c r="U319" s="102" t="b">
        <v>0</v>
      </c>
      <c r="V319" s="43"/>
      <c r="W319" s="43"/>
      <c r="X319" s="43"/>
      <c r="Y319" s="43"/>
      <c r="Z319" s="43"/>
      <c r="AA319" s="34"/>
      <c r="AB319" s="35">
        <f t="shared" si="40"/>
        <v>0</v>
      </c>
      <c r="AC319" s="29" t="str">
        <f t="shared" si="5"/>
        <v>Sim</v>
      </c>
      <c r="AD319" s="37" t="str">
        <f t="shared" si="1"/>
        <v>Não</v>
      </c>
      <c r="AE319" s="102"/>
      <c r="AF319" s="47"/>
      <c r="AG319" s="34"/>
    </row>
    <row r="320" hidden="1">
      <c r="A320" s="43"/>
      <c r="B320" s="43"/>
      <c r="C320" s="43"/>
      <c r="D320" s="43"/>
      <c r="E320" s="46"/>
      <c r="F320" s="34"/>
      <c r="G320" s="34"/>
      <c r="H320" s="47"/>
      <c r="I320" s="47"/>
      <c r="J320" s="111"/>
      <c r="K320" s="47"/>
      <c r="L320" s="102"/>
      <c r="M320" s="47"/>
      <c r="N320" s="47"/>
      <c r="O320" s="43"/>
      <c r="P320" s="102" t="b">
        <v>0</v>
      </c>
      <c r="Q320" s="102" t="b">
        <v>0</v>
      </c>
      <c r="R320" s="102" t="b">
        <v>0</v>
      </c>
      <c r="S320" s="34"/>
      <c r="T320" s="43"/>
      <c r="U320" s="102" t="b">
        <v>0</v>
      </c>
      <c r="V320" s="43"/>
      <c r="W320" s="43"/>
      <c r="X320" s="43"/>
      <c r="Y320" s="43"/>
      <c r="Z320" s="43"/>
      <c r="AA320" s="34"/>
      <c r="AB320" s="35">
        <f t="shared" si="40"/>
        <v>0</v>
      </c>
      <c r="AC320" s="29" t="str">
        <f t="shared" si="5"/>
        <v>Sim</v>
      </c>
      <c r="AD320" s="37" t="str">
        <f t="shared" si="1"/>
        <v>Não</v>
      </c>
      <c r="AE320" s="102"/>
      <c r="AF320" s="47"/>
      <c r="AG320" s="34"/>
    </row>
    <row r="321" hidden="1">
      <c r="A321" s="43"/>
      <c r="B321" s="43"/>
      <c r="C321" s="43"/>
      <c r="D321" s="43"/>
      <c r="E321" s="46"/>
      <c r="F321" s="34"/>
      <c r="G321" s="34"/>
      <c r="H321" s="47"/>
      <c r="I321" s="47"/>
      <c r="J321" s="111"/>
      <c r="K321" s="47"/>
      <c r="L321" s="102"/>
      <c r="M321" s="47"/>
      <c r="N321" s="47"/>
      <c r="O321" s="43"/>
      <c r="P321" s="102" t="b">
        <v>0</v>
      </c>
      <c r="Q321" s="102" t="b">
        <v>0</v>
      </c>
      <c r="R321" s="102" t="b">
        <v>0</v>
      </c>
      <c r="S321" s="34"/>
      <c r="T321" s="43"/>
      <c r="U321" s="102" t="b">
        <v>0</v>
      </c>
      <c r="V321" s="43"/>
      <c r="W321" s="43"/>
      <c r="X321" s="43"/>
      <c r="Y321" s="43"/>
      <c r="Z321" s="43"/>
      <c r="AA321" s="34"/>
      <c r="AB321" s="35">
        <f t="shared" si="40"/>
        <v>0</v>
      </c>
      <c r="AC321" s="29" t="str">
        <f t="shared" si="5"/>
        <v>Sim</v>
      </c>
      <c r="AD321" s="37" t="str">
        <f t="shared" si="1"/>
        <v>Não</v>
      </c>
      <c r="AE321" s="102"/>
      <c r="AF321" s="47"/>
      <c r="AG321" s="34"/>
    </row>
    <row r="322" hidden="1">
      <c r="A322" s="43"/>
      <c r="B322" s="43"/>
      <c r="C322" s="43"/>
      <c r="D322" s="43"/>
      <c r="E322" s="46"/>
      <c r="F322" s="34"/>
      <c r="G322" s="34"/>
      <c r="H322" s="47"/>
      <c r="I322" s="47"/>
      <c r="J322" s="111"/>
      <c r="K322" s="47"/>
      <c r="L322" s="102"/>
      <c r="M322" s="47"/>
      <c r="N322" s="47"/>
      <c r="O322" s="43"/>
      <c r="P322" s="102" t="b">
        <v>0</v>
      </c>
      <c r="Q322" s="102" t="b">
        <v>0</v>
      </c>
      <c r="R322" s="102" t="b">
        <v>0</v>
      </c>
      <c r="S322" s="34"/>
      <c r="T322" s="43"/>
      <c r="U322" s="102" t="b">
        <v>0</v>
      </c>
      <c r="V322" s="43"/>
      <c r="W322" s="43"/>
      <c r="X322" s="43"/>
      <c r="Y322" s="43"/>
      <c r="Z322" s="43"/>
      <c r="AA322" s="34"/>
      <c r="AB322" s="35">
        <f t="shared" si="40"/>
        <v>0</v>
      </c>
      <c r="AC322" s="29" t="str">
        <f t="shared" si="5"/>
        <v>Sim</v>
      </c>
      <c r="AD322" s="37" t="str">
        <f t="shared" si="1"/>
        <v>Não</v>
      </c>
      <c r="AE322" s="102"/>
      <c r="AF322" s="47"/>
      <c r="AG322" s="34"/>
    </row>
    <row r="323" hidden="1">
      <c r="A323" s="43"/>
      <c r="B323" s="43"/>
      <c r="C323" s="43"/>
      <c r="D323" s="43"/>
      <c r="E323" s="46"/>
      <c r="F323" s="34"/>
      <c r="G323" s="34"/>
      <c r="H323" s="47"/>
      <c r="I323" s="47"/>
      <c r="J323" s="111"/>
      <c r="K323" s="47"/>
      <c r="L323" s="102"/>
      <c r="M323" s="47"/>
      <c r="N323" s="47"/>
      <c r="O323" s="43"/>
      <c r="P323" s="102" t="b">
        <v>0</v>
      </c>
      <c r="Q323" s="102" t="b">
        <v>0</v>
      </c>
      <c r="R323" s="102" t="b">
        <v>0</v>
      </c>
      <c r="S323" s="34"/>
      <c r="T323" s="43"/>
      <c r="U323" s="102" t="b">
        <v>0</v>
      </c>
      <c r="V323" s="43"/>
      <c r="W323" s="43"/>
      <c r="X323" s="43"/>
      <c r="Y323" s="43"/>
      <c r="Z323" s="43"/>
      <c r="AA323" s="34"/>
      <c r="AB323" s="35">
        <f t="shared" si="40"/>
        <v>0</v>
      </c>
      <c r="AC323" s="29" t="str">
        <f t="shared" si="5"/>
        <v>Sim</v>
      </c>
      <c r="AD323" s="37" t="str">
        <f t="shared" si="1"/>
        <v>Não</v>
      </c>
      <c r="AE323" s="102"/>
      <c r="AF323" s="47"/>
      <c r="AG323" s="34"/>
    </row>
    <row r="324" hidden="1">
      <c r="A324" s="43"/>
      <c r="B324" s="43"/>
      <c r="C324" s="43"/>
      <c r="D324" s="43"/>
      <c r="E324" s="46"/>
      <c r="F324" s="34"/>
      <c r="G324" s="34"/>
      <c r="H324" s="47"/>
      <c r="I324" s="47"/>
      <c r="J324" s="111"/>
      <c r="K324" s="47"/>
      <c r="L324" s="102"/>
      <c r="M324" s="47"/>
      <c r="N324" s="47"/>
      <c r="O324" s="43"/>
      <c r="P324" s="102" t="b">
        <v>0</v>
      </c>
      <c r="Q324" s="102" t="b">
        <v>0</v>
      </c>
      <c r="R324" s="102" t="b">
        <v>0</v>
      </c>
      <c r="S324" s="34"/>
      <c r="T324" s="43"/>
      <c r="U324" s="102" t="b">
        <v>0</v>
      </c>
      <c r="V324" s="43"/>
      <c r="W324" s="43"/>
      <c r="X324" s="43"/>
      <c r="Y324" s="43"/>
      <c r="Z324" s="43"/>
      <c r="AA324" s="34"/>
      <c r="AB324" s="35">
        <f t="shared" si="40"/>
        <v>0</v>
      </c>
      <c r="AC324" s="29" t="str">
        <f t="shared" si="5"/>
        <v>Sim</v>
      </c>
      <c r="AD324" s="37" t="str">
        <f t="shared" si="1"/>
        <v>Não</v>
      </c>
      <c r="AE324" s="102"/>
      <c r="AF324" s="47"/>
      <c r="AG324" s="34"/>
    </row>
    <row r="325" hidden="1">
      <c r="A325" s="43"/>
      <c r="B325" s="43"/>
      <c r="C325" s="43"/>
      <c r="D325" s="43"/>
      <c r="E325" s="46"/>
      <c r="F325" s="34"/>
      <c r="G325" s="34"/>
      <c r="H325" s="47"/>
      <c r="I325" s="47"/>
      <c r="J325" s="111"/>
      <c r="K325" s="47"/>
      <c r="L325" s="102"/>
      <c r="M325" s="47"/>
      <c r="N325" s="47"/>
      <c r="O325" s="43"/>
      <c r="P325" s="102" t="b">
        <v>0</v>
      </c>
      <c r="Q325" s="102" t="b">
        <v>0</v>
      </c>
      <c r="R325" s="102" t="b">
        <v>0</v>
      </c>
      <c r="S325" s="34"/>
      <c r="T325" s="43"/>
      <c r="U325" s="102" t="b">
        <v>0</v>
      </c>
      <c r="V325" s="43"/>
      <c r="W325" s="43"/>
      <c r="X325" s="43"/>
      <c r="Y325" s="43"/>
      <c r="Z325" s="43"/>
      <c r="AA325" s="34"/>
      <c r="AB325" s="35">
        <f t="shared" si="40"/>
        <v>0</v>
      </c>
      <c r="AC325" s="29" t="str">
        <f t="shared" si="5"/>
        <v>Sim</v>
      </c>
      <c r="AD325" s="37" t="str">
        <f t="shared" si="1"/>
        <v>Não</v>
      </c>
      <c r="AE325" s="102"/>
      <c r="AF325" s="47"/>
      <c r="AG325" s="34"/>
    </row>
    <row r="326" hidden="1">
      <c r="A326" s="43"/>
      <c r="B326" s="43"/>
      <c r="C326" s="43"/>
      <c r="D326" s="43"/>
      <c r="E326" s="46"/>
      <c r="F326" s="34"/>
      <c r="G326" s="34"/>
      <c r="H326" s="47"/>
      <c r="I326" s="47"/>
      <c r="J326" s="111"/>
      <c r="K326" s="47"/>
      <c r="L326" s="102"/>
      <c r="M326" s="47"/>
      <c r="N326" s="47"/>
      <c r="O326" s="43"/>
      <c r="P326" s="102" t="b">
        <v>0</v>
      </c>
      <c r="Q326" s="102" t="b">
        <v>0</v>
      </c>
      <c r="R326" s="102" t="b">
        <v>0</v>
      </c>
      <c r="S326" s="34"/>
      <c r="T326" s="43"/>
      <c r="U326" s="102" t="b">
        <v>0</v>
      </c>
      <c r="V326" s="43"/>
      <c r="W326" s="43"/>
      <c r="X326" s="43"/>
      <c r="Y326" s="43"/>
      <c r="Z326" s="43"/>
      <c r="AA326" s="34"/>
      <c r="AB326" s="35">
        <f t="shared" si="40"/>
        <v>0</v>
      </c>
      <c r="AC326" s="29" t="str">
        <f t="shared" si="5"/>
        <v>Sim</v>
      </c>
      <c r="AD326" s="37" t="str">
        <f t="shared" si="1"/>
        <v>Não</v>
      </c>
      <c r="AE326" s="102"/>
      <c r="AF326" s="47"/>
      <c r="AG326" s="34"/>
    </row>
    <row r="327" hidden="1">
      <c r="A327" s="43"/>
      <c r="B327" s="43"/>
      <c r="C327" s="43"/>
      <c r="D327" s="43"/>
      <c r="E327" s="46"/>
      <c r="F327" s="34"/>
      <c r="G327" s="34"/>
      <c r="H327" s="47"/>
      <c r="I327" s="47"/>
      <c r="J327" s="111"/>
      <c r="K327" s="47"/>
      <c r="L327" s="102"/>
      <c r="M327" s="47"/>
      <c r="N327" s="47"/>
      <c r="O327" s="43"/>
      <c r="P327" s="102" t="b">
        <v>0</v>
      </c>
      <c r="Q327" s="102" t="b">
        <v>0</v>
      </c>
      <c r="R327" s="102" t="b">
        <v>0</v>
      </c>
      <c r="S327" s="34"/>
      <c r="T327" s="43"/>
      <c r="U327" s="102" t="b">
        <v>0</v>
      </c>
      <c r="V327" s="43"/>
      <c r="W327" s="43"/>
      <c r="X327" s="43"/>
      <c r="Y327" s="43"/>
      <c r="Z327" s="43"/>
      <c r="AA327" s="34"/>
      <c r="AB327" s="35">
        <f t="shared" si="40"/>
        <v>0</v>
      </c>
      <c r="AC327" s="29" t="str">
        <f t="shared" si="5"/>
        <v>Sim</v>
      </c>
      <c r="AD327" s="37" t="str">
        <f t="shared" si="1"/>
        <v>Não</v>
      </c>
      <c r="AE327" s="102"/>
      <c r="AF327" s="47"/>
      <c r="AG327" s="34"/>
    </row>
    <row r="328" hidden="1">
      <c r="A328" s="43"/>
      <c r="B328" s="43"/>
      <c r="C328" s="43"/>
      <c r="D328" s="43"/>
      <c r="E328" s="46"/>
      <c r="F328" s="34"/>
      <c r="G328" s="34"/>
      <c r="H328" s="47"/>
      <c r="I328" s="47"/>
      <c r="J328" s="111"/>
      <c r="K328" s="47"/>
      <c r="L328" s="102"/>
      <c r="M328" s="47"/>
      <c r="N328" s="47"/>
      <c r="O328" s="43"/>
      <c r="P328" s="102" t="b">
        <v>0</v>
      </c>
      <c r="Q328" s="102" t="b">
        <v>0</v>
      </c>
      <c r="R328" s="102" t="b">
        <v>0</v>
      </c>
      <c r="S328" s="34"/>
      <c r="T328" s="43"/>
      <c r="U328" s="102" t="b">
        <v>0</v>
      </c>
      <c r="V328" s="43"/>
      <c r="W328" s="43"/>
      <c r="X328" s="43"/>
      <c r="Y328" s="43"/>
      <c r="Z328" s="43"/>
      <c r="AA328" s="34"/>
      <c r="AB328" s="35">
        <f t="shared" si="40"/>
        <v>0</v>
      </c>
      <c r="AC328" s="29" t="str">
        <f t="shared" si="5"/>
        <v>Sim</v>
      </c>
      <c r="AD328" s="37" t="str">
        <f t="shared" si="1"/>
        <v>Não</v>
      </c>
      <c r="AE328" s="102"/>
      <c r="AF328" s="47"/>
      <c r="AG328" s="34"/>
    </row>
    <row r="329" hidden="1">
      <c r="A329" s="43"/>
      <c r="B329" s="43"/>
      <c r="C329" s="43"/>
      <c r="D329" s="43"/>
      <c r="E329" s="46"/>
      <c r="F329" s="34"/>
      <c r="G329" s="34"/>
      <c r="H329" s="47"/>
      <c r="I329" s="47"/>
      <c r="J329" s="111"/>
      <c r="K329" s="47"/>
      <c r="L329" s="102"/>
      <c r="M329" s="47"/>
      <c r="N329" s="47"/>
      <c r="O329" s="43"/>
      <c r="P329" s="102" t="b">
        <v>0</v>
      </c>
      <c r="Q329" s="102" t="b">
        <v>0</v>
      </c>
      <c r="R329" s="102" t="b">
        <v>0</v>
      </c>
      <c r="S329" s="34"/>
      <c r="T329" s="43"/>
      <c r="U329" s="102" t="b">
        <v>0</v>
      </c>
      <c r="V329" s="43"/>
      <c r="W329" s="43"/>
      <c r="X329" s="43"/>
      <c r="Y329" s="43"/>
      <c r="Z329" s="43"/>
      <c r="AA329" s="34"/>
      <c r="AB329" s="35">
        <f t="shared" si="40"/>
        <v>0</v>
      </c>
      <c r="AC329" s="29" t="str">
        <f t="shared" si="5"/>
        <v>Sim</v>
      </c>
      <c r="AD329" s="37" t="str">
        <f t="shared" si="1"/>
        <v>Não</v>
      </c>
      <c r="AE329" s="102"/>
      <c r="AF329" s="47"/>
      <c r="AG329" s="34"/>
    </row>
    <row r="330" hidden="1">
      <c r="A330" s="43"/>
      <c r="B330" s="43"/>
      <c r="C330" s="43"/>
      <c r="D330" s="43"/>
      <c r="E330" s="46"/>
      <c r="F330" s="34"/>
      <c r="G330" s="34"/>
      <c r="H330" s="47"/>
      <c r="I330" s="47"/>
      <c r="J330" s="111"/>
      <c r="K330" s="47"/>
      <c r="L330" s="102"/>
      <c r="M330" s="47"/>
      <c r="N330" s="47"/>
      <c r="O330" s="43"/>
      <c r="P330" s="102" t="b">
        <v>0</v>
      </c>
      <c r="Q330" s="102" t="b">
        <v>0</v>
      </c>
      <c r="R330" s="102" t="b">
        <v>0</v>
      </c>
      <c r="S330" s="34"/>
      <c r="T330" s="43"/>
      <c r="U330" s="102" t="b">
        <v>0</v>
      </c>
      <c r="V330" s="43"/>
      <c r="W330" s="43"/>
      <c r="X330" s="43"/>
      <c r="Y330" s="43"/>
      <c r="Z330" s="43"/>
      <c r="AA330" s="34"/>
      <c r="AB330" s="35">
        <f t="shared" si="40"/>
        <v>0</v>
      </c>
      <c r="AC330" s="29" t="str">
        <f t="shared" si="5"/>
        <v>Sim</v>
      </c>
      <c r="AD330" s="37" t="str">
        <f t="shared" si="1"/>
        <v>Não</v>
      </c>
      <c r="AE330" s="102"/>
      <c r="AF330" s="47"/>
      <c r="AG330" s="34"/>
    </row>
    <row r="331" hidden="1">
      <c r="A331" s="43"/>
      <c r="B331" s="43"/>
      <c r="C331" s="43"/>
      <c r="D331" s="43"/>
      <c r="E331" s="46"/>
      <c r="F331" s="34"/>
      <c r="G331" s="34"/>
      <c r="H331" s="47"/>
      <c r="I331" s="47"/>
      <c r="J331" s="111"/>
      <c r="K331" s="47"/>
      <c r="L331" s="102"/>
      <c r="M331" s="47"/>
      <c r="N331" s="47"/>
      <c r="O331" s="43"/>
      <c r="P331" s="102" t="b">
        <v>0</v>
      </c>
      <c r="Q331" s="102" t="b">
        <v>0</v>
      </c>
      <c r="R331" s="102" t="b">
        <v>0</v>
      </c>
      <c r="S331" s="34"/>
      <c r="T331" s="43"/>
      <c r="U331" s="102" t="b">
        <v>0</v>
      </c>
      <c r="V331" s="43"/>
      <c r="W331" s="43"/>
      <c r="X331" s="43"/>
      <c r="Y331" s="43"/>
      <c r="Z331" s="43"/>
      <c r="AA331" s="34"/>
      <c r="AB331" s="35">
        <f t="shared" si="40"/>
        <v>0</v>
      </c>
      <c r="AC331" s="29" t="str">
        <f t="shared" si="5"/>
        <v>Sim</v>
      </c>
      <c r="AD331" s="37" t="str">
        <f t="shared" si="1"/>
        <v>Não</v>
      </c>
      <c r="AE331" s="102"/>
      <c r="AF331" s="47"/>
      <c r="AG331" s="34"/>
    </row>
    <row r="332" hidden="1">
      <c r="A332" s="43"/>
      <c r="B332" s="43"/>
      <c r="C332" s="43"/>
      <c r="D332" s="43"/>
      <c r="E332" s="46"/>
      <c r="F332" s="34"/>
      <c r="G332" s="34"/>
      <c r="H332" s="47"/>
      <c r="I332" s="47"/>
      <c r="J332" s="111"/>
      <c r="K332" s="47"/>
      <c r="L332" s="102"/>
      <c r="M332" s="47"/>
      <c r="N332" s="47"/>
      <c r="O332" s="43"/>
      <c r="P332" s="102" t="b">
        <v>0</v>
      </c>
      <c r="Q332" s="102" t="b">
        <v>0</v>
      </c>
      <c r="R332" s="102" t="b">
        <v>0</v>
      </c>
      <c r="S332" s="34"/>
      <c r="T332" s="43"/>
      <c r="U332" s="102" t="b">
        <v>0</v>
      </c>
      <c r="V332" s="43"/>
      <c r="W332" s="43"/>
      <c r="X332" s="43"/>
      <c r="Y332" s="43"/>
      <c r="Z332" s="43"/>
      <c r="AA332" s="34"/>
      <c r="AB332" s="35">
        <f t="shared" si="40"/>
        <v>0</v>
      </c>
      <c r="AC332" s="29" t="str">
        <f t="shared" si="5"/>
        <v>Sim</v>
      </c>
      <c r="AD332" s="37" t="str">
        <f t="shared" si="1"/>
        <v>Não</v>
      </c>
      <c r="AE332" s="102"/>
      <c r="AF332" s="47"/>
      <c r="AG332" s="34"/>
    </row>
    <row r="333" hidden="1">
      <c r="A333" s="43"/>
      <c r="B333" s="43"/>
      <c r="C333" s="43"/>
      <c r="D333" s="43"/>
      <c r="E333" s="46"/>
      <c r="F333" s="34"/>
      <c r="G333" s="34"/>
      <c r="H333" s="47"/>
      <c r="I333" s="47"/>
      <c r="J333" s="111"/>
      <c r="K333" s="47"/>
      <c r="L333" s="102"/>
      <c r="M333" s="47"/>
      <c r="N333" s="47"/>
      <c r="O333" s="43"/>
      <c r="P333" s="102" t="b">
        <v>0</v>
      </c>
      <c r="Q333" s="102" t="b">
        <v>0</v>
      </c>
      <c r="R333" s="102" t="b">
        <v>0</v>
      </c>
      <c r="S333" s="34"/>
      <c r="T333" s="43"/>
      <c r="U333" s="102" t="b">
        <v>0</v>
      </c>
      <c r="V333" s="43"/>
      <c r="W333" s="43"/>
      <c r="X333" s="43"/>
      <c r="Y333" s="43"/>
      <c r="Z333" s="43"/>
      <c r="AA333" s="34"/>
      <c r="AB333" s="35">
        <f t="shared" si="40"/>
        <v>0</v>
      </c>
      <c r="AC333" s="29" t="str">
        <f t="shared" si="5"/>
        <v>Sim</v>
      </c>
      <c r="AD333" s="37" t="str">
        <f t="shared" si="1"/>
        <v>Não</v>
      </c>
      <c r="AE333" s="102"/>
      <c r="AF333" s="47"/>
      <c r="AG333" s="34"/>
    </row>
    <row r="334" hidden="1">
      <c r="A334" s="43"/>
      <c r="B334" s="43"/>
      <c r="C334" s="43"/>
      <c r="D334" s="43"/>
      <c r="E334" s="46"/>
      <c r="F334" s="34"/>
      <c r="G334" s="34"/>
      <c r="H334" s="47"/>
      <c r="I334" s="47"/>
      <c r="J334" s="111"/>
      <c r="K334" s="47"/>
      <c r="L334" s="102"/>
      <c r="M334" s="47"/>
      <c r="N334" s="47"/>
      <c r="O334" s="43"/>
      <c r="P334" s="102" t="b">
        <v>0</v>
      </c>
      <c r="Q334" s="102" t="b">
        <v>0</v>
      </c>
      <c r="R334" s="102" t="b">
        <v>0</v>
      </c>
      <c r="S334" s="34"/>
      <c r="T334" s="43"/>
      <c r="U334" s="102" t="b">
        <v>0</v>
      </c>
      <c r="V334" s="43"/>
      <c r="W334" s="43"/>
      <c r="X334" s="43"/>
      <c r="Y334" s="43"/>
      <c r="Z334" s="43"/>
      <c r="AA334" s="34"/>
      <c r="AB334" s="35">
        <f t="shared" si="40"/>
        <v>0</v>
      </c>
      <c r="AC334" s="29" t="str">
        <f t="shared" si="5"/>
        <v>Sim</v>
      </c>
      <c r="AD334" s="37" t="str">
        <f t="shared" si="1"/>
        <v>Não</v>
      </c>
      <c r="AE334" s="102"/>
      <c r="AF334" s="47"/>
      <c r="AG334" s="34"/>
    </row>
    <row r="335" hidden="1">
      <c r="A335" s="43"/>
      <c r="B335" s="43"/>
      <c r="C335" s="43"/>
      <c r="D335" s="43"/>
      <c r="E335" s="46"/>
      <c r="F335" s="34"/>
      <c r="G335" s="34"/>
      <c r="H335" s="47"/>
      <c r="I335" s="47"/>
      <c r="J335" s="111"/>
      <c r="K335" s="47"/>
      <c r="L335" s="102"/>
      <c r="M335" s="47"/>
      <c r="N335" s="47"/>
      <c r="O335" s="43"/>
      <c r="P335" s="102" t="b">
        <v>0</v>
      </c>
      <c r="Q335" s="102" t="b">
        <v>0</v>
      </c>
      <c r="R335" s="102" t="b">
        <v>0</v>
      </c>
      <c r="S335" s="34"/>
      <c r="T335" s="43"/>
      <c r="U335" s="102" t="b">
        <v>0</v>
      </c>
      <c r="V335" s="43"/>
      <c r="W335" s="43"/>
      <c r="X335" s="43"/>
      <c r="Y335" s="43"/>
      <c r="Z335" s="43"/>
      <c r="AA335" s="34"/>
      <c r="AB335" s="35">
        <f t="shared" si="40"/>
        <v>0</v>
      </c>
      <c r="AC335" s="29" t="str">
        <f t="shared" si="5"/>
        <v>Sim</v>
      </c>
      <c r="AD335" s="37" t="str">
        <f t="shared" si="1"/>
        <v>Não</v>
      </c>
      <c r="AE335" s="102"/>
      <c r="AF335" s="47"/>
      <c r="AG335" s="34"/>
    </row>
    <row r="336" hidden="1">
      <c r="A336" s="43"/>
      <c r="B336" s="43"/>
      <c r="C336" s="43"/>
      <c r="D336" s="43"/>
      <c r="E336" s="46"/>
      <c r="F336" s="34"/>
      <c r="G336" s="34"/>
      <c r="H336" s="47"/>
      <c r="I336" s="47"/>
      <c r="J336" s="111"/>
      <c r="K336" s="47"/>
      <c r="L336" s="102"/>
      <c r="M336" s="47"/>
      <c r="N336" s="47"/>
      <c r="O336" s="43"/>
      <c r="P336" s="102" t="b">
        <v>0</v>
      </c>
      <c r="Q336" s="102" t="b">
        <v>0</v>
      </c>
      <c r="R336" s="102" t="b">
        <v>0</v>
      </c>
      <c r="S336" s="34"/>
      <c r="T336" s="43"/>
      <c r="U336" s="102" t="b">
        <v>0</v>
      </c>
      <c r="V336" s="43"/>
      <c r="W336" s="43"/>
      <c r="X336" s="43"/>
      <c r="Y336" s="43"/>
      <c r="Z336" s="43"/>
      <c r="AA336" s="34"/>
      <c r="AB336" s="114"/>
      <c r="AC336" s="29" t="str">
        <f t="shared" si="5"/>
        <v>Sim</v>
      </c>
      <c r="AD336" s="37" t="str">
        <f t="shared" si="1"/>
        <v>Não</v>
      </c>
      <c r="AE336" s="102"/>
      <c r="AF336" s="47"/>
      <c r="AG336" s="34"/>
    </row>
    <row r="337" hidden="1">
      <c r="A337" s="43"/>
      <c r="B337" s="43"/>
      <c r="C337" s="43"/>
      <c r="D337" s="43"/>
      <c r="E337" s="46"/>
      <c r="F337" s="34"/>
      <c r="G337" s="34"/>
      <c r="H337" s="47"/>
      <c r="I337" s="47"/>
      <c r="J337" s="111"/>
      <c r="K337" s="47"/>
      <c r="L337" s="102"/>
      <c r="M337" s="47"/>
      <c r="N337" s="47"/>
      <c r="O337" s="43"/>
      <c r="P337" s="102" t="b">
        <v>0</v>
      </c>
      <c r="Q337" s="102" t="b">
        <v>0</v>
      </c>
      <c r="R337" s="102" t="b">
        <v>0</v>
      </c>
      <c r="S337" s="34"/>
      <c r="T337" s="43"/>
      <c r="U337" s="102" t="b">
        <v>0</v>
      </c>
      <c r="V337" s="43"/>
      <c r="W337" s="43"/>
      <c r="X337" s="43"/>
      <c r="Y337" s="43"/>
      <c r="Z337" s="43"/>
      <c r="AA337" s="34"/>
      <c r="AB337" s="114"/>
      <c r="AC337" s="29" t="str">
        <f t="shared" si="5"/>
        <v>Sim</v>
      </c>
      <c r="AD337" s="37" t="str">
        <f t="shared" si="1"/>
        <v>Não</v>
      </c>
      <c r="AE337" s="102"/>
      <c r="AF337" s="47"/>
      <c r="AG337" s="34"/>
    </row>
    <row r="338" hidden="1">
      <c r="A338" s="43"/>
      <c r="B338" s="43"/>
      <c r="C338" s="43"/>
      <c r="D338" s="43"/>
      <c r="E338" s="46"/>
      <c r="F338" s="34"/>
      <c r="G338" s="34"/>
      <c r="H338" s="47"/>
      <c r="I338" s="47"/>
      <c r="J338" s="111"/>
      <c r="K338" s="47"/>
      <c r="L338" s="102"/>
      <c r="M338" s="47"/>
      <c r="N338" s="47"/>
      <c r="O338" s="43"/>
      <c r="P338" s="102" t="b">
        <v>0</v>
      </c>
      <c r="Q338" s="102" t="b">
        <v>0</v>
      </c>
      <c r="R338" s="102" t="b">
        <v>0</v>
      </c>
      <c r="S338" s="34"/>
      <c r="T338" s="43"/>
      <c r="U338" s="102" t="b">
        <v>0</v>
      </c>
      <c r="V338" s="43"/>
      <c r="W338" s="43"/>
      <c r="X338" s="43"/>
      <c r="Y338" s="43"/>
      <c r="Z338" s="43"/>
      <c r="AA338" s="34"/>
      <c r="AB338" s="114"/>
      <c r="AC338" s="29" t="str">
        <f t="shared" si="5"/>
        <v>Sim</v>
      </c>
      <c r="AD338" s="37" t="str">
        <f t="shared" si="1"/>
        <v>Não</v>
      </c>
      <c r="AE338" s="102"/>
      <c r="AF338" s="47"/>
      <c r="AG338" s="34"/>
    </row>
    <row r="339" hidden="1">
      <c r="A339" s="43"/>
      <c r="B339" s="43"/>
      <c r="C339" s="43"/>
      <c r="D339" s="43"/>
      <c r="E339" s="46"/>
      <c r="F339" s="34"/>
      <c r="G339" s="34"/>
      <c r="H339" s="47"/>
      <c r="I339" s="47"/>
      <c r="J339" s="111"/>
      <c r="K339" s="47"/>
      <c r="L339" s="102"/>
      <c r="M339" s="47"/>
      <c r="N339" s="47"/>
      <c r="O339" s="43"/>
      <c r="P339" s="102" t="b">
        <v>0</v>
      </c>
      <c r="Q339" s="102" t="b">
        <v>0</v>
      </c>
      <c r="R339" s="102" t="b">
        <v>0</v>
      </c>
      <c r="S339" s="34"/>
      <c r="T339" s="43"/>
      <c r="U339" s="102" t="b">
        <v>0</v>
      </c>
      <c r="V339" s="43"/>
      <c r="W339" s="43"/>
      <c r="X339" s="43"/>
      <c r="Y339" s="43"/>
      <c r="Z339" s="43"/>
      <c r="AA339" s="34"/>
      <c r="AB339" s="114"/>
      <c r="AC339" s="29" t="str">
        <f t="shared" si="5"/>
        <v>Sim</v>
      </c>
      <c r="AD339" s="37" t="str">
        <f t="shared" si="1"/>
        <v>Não</v>
      </c>
      <c r="AE339" s="102"/>
      <c r="AF339" s="47"/>
      <c r="AG339" s="34"/>
    </row>
    <row r="340" hidden="1">
      <c r="A340" s="43"/>
      <c r="B340" s="43"/>
      <c r="C340" s="43"/>
      <c r="D340" s="43"/>
      <c r="E340" s="46"/>
      <c r="F340" s="34"/>
      <c r="G340" s="34"/>
      <c r="H340" s="47"/>
      <c r="I340" s="47"/>
      <c r="J340" s="111"/>
      <c r="K340" s="47"/>
      <c r="L340" s="102"/>
      <c r="M340" s="47"/>
      <c r="N340" s="47"/>
      <c r="O340" s="43"/>
      <c r="P340" s="102" t="b">
        <v>0</v>
      </c>
      <c r="Q340" s="102" t="b">
        <v>0</v>
      </c>
      <c r="R340" s="102" t="b">
        <v>0</v>
      </c>
      <c r="S340" s="34"/>
      <c r="T340" s="43"/>
      <c r="U340" s="102" t="b">
        <v>0</v>
      </c>
      <c r="V340" s="43"/>
      <c r="W340" s="43"/>
      <c r="X340" s="43"/>
      <c r="Y340" s="43"/>
      <c r="Z340" s="43"/>
      <c r="AA340" s="34"/>
      <c r="AB340" s="114"/>
      <c r="AC340" s="29" t="str">
        <f t="shared" si="5"/>
        <v>Sim</v>
      </c>
      <c r="AD340" s="37" t="str">
        <f t="shared" si="1"/>
        <v>Não</v>
      </c>
      <c r="AE340" s="102"/>
      <c r="AF340" s="47"/>
      <c r="AG340" s="34"/>
    </row>
    <row r="341" hidden="1">
      <c r="A341" s="43"/>
      <c r="B341" s="43"/>
      <c r="C341" s="43"/>
      <c r="D341" s="43"/>
      <c r="E341" s="46"/>
      <c r="F341" s="34"/>
      <c r="G341" s="34"/>
      <c r="H341" s="47"/>
      <c r="I341" s="47"/>
      <c r="J341" s="111"/>
      <c r="K341" s="47"/>
      <c r="L341" s="102"/>
      <c r="M341" s="47"/>
      <c r="N341" s="47"/>
      <c r="O341" s="43"/>
      <c r="P341" s="102" t="b">
        <v>0</v>
      </c>
      <c r="Q341" s="102" t="b">
        <v>0</v>
      </c>
      <c r="R341" s="102" t="b">
        <v>0</v>
      </c>
      <c r="S341" s="34"/>
      <c r="T341" s="43"/>
      <c r="U341" s="102" t="b">
        <v>0</v>
      </c>
      <c r="V341" s="43"/>
      <c r="W341" s="43"/>
      <c r="X341" s="43"/>
      <c r="Y341" s="43"/>
      <c r="Z341" s="43"/>
      <c r="AA341" s="34"/>
      <c r="AB341" s="114"/>
      <c r="AC341" s="29" t="str">
        <f t="shared" si="5"/>
        <v>Sim</v>
      </c>
      <c r="AD341" s="37" t="str">
        <f t="shared" si="1"/>
        <v>Não</v>
      </c>
      <c r="AE341" s="102"/>
      <c r="AF341" s="47"/>
      <c r="AG341" s="34"/>
    </row>
    <row r="342" hidden="1">
      <c r="A342" s="43"/>
      <c r="B342" s="43"/>
      <c r="C342" s="43"/>
      <c r="D342" s="43"/>
      <c r="E342" s="46"/>
      <c r="F342" s="34"/>
      <c r="G342" s="34"/>
      <c r="H342" s="47"/>
      <c r="I342" s="47"/>
      <c r="J342" s="111"/>
      <c r="K342" s="47"/>
      <c r="L342" s="102"/>
      <c r="M342" s="47"/>
      <c r="N342" s="47"/>
      <c r="O342" s="43"/>
      <c r="P342" s="102" t="b">
        <v>0</v>
      </c>
      <c r="Q342" s="102" t="b">
        <v>0</v>
      </c>
      <c r="R342" s="102" t="b">
        <v>0</v>
      </c>
      <c r="S342" s="34"/>
      <c r="T342" s="43"/>
      <c r="U342" s="102" t="b">
        <v>0</v>
      </c>
      <c r="V342" s="43"/>
      <c r="W342" s="43"/>
      <c r="X342" s="43"/>
      <c r="Y342" s="43"/>
      <c r="Z342" s="43"/>
      <c r="AA342" s="34"/>
      <c r="AB342" s="114"/>
      <c r="AC342" s="29" t="str">
        <f t="shared" si="5"/>
        <v>Sim</v>
      </c>
      <c r="AD342" s="37" t="str">
        <f t="shared" si="1"/>
        <v>Não</v>
      </c>
      <c r="AE342" s="102"/>
      <c r="AF342" s="47"/>
      <c r="AG342" s="34"/>
    </row>
    <row r="343" hidden="1">
      <c r="A343" s="43"/>
      <c r="B343" s="43"/>
      <c r="C343" s="43"/>
      <c r="D343" s="43"/>
      <c r="E343" s="46"/>
      <c r="F343" s="34"/>
      <c r="G343" s="34"/>
      <c r="H343" s="47"/>
      <c r="I343" s="47"/>
      <c r="J343" s="111"/>
      <c r="K343" s="47"/>
      <c r="L343" s="102"/>
      <c r="M343" s="47"/>
      <c r="N343" s="47"/>
      <c r="O343" s="43"/>
      <c r="P343" s="102" t="b">
        <v>0</v>
      </c>
      <c r="Q343" s="102" t="b">
        <v>0</v>
      </c>
      <c r="R343" s="102" t="b">
        <v>0</v>
      </c>
      <c r="S343" s="34"/>
      <c r="T343" s="43"/>
      <c r="U343" s="102" t="b">
        <v>0</v>
      </c>
      <c r="V343" s="43"/>
      <c r="W343" s="43"/>
      <c r="X343" s="43"/>
      <c r="Y343" s="43"/>
      <c r="Z343" s="43"/>
      <c r="AA343" s="34"/>
      <c r="AB343" s="114"/>
      <c r="AC343" s="29" t="str">
        <f t="shared" si="5"/>
        <v>Sim</v>
      </c>
      <c r="AD343" s="37" t="str">
        <f t="shared" si="1"/>
        <v>Não</v>
      </c>
      <c r="AE343" s="102"/>
      <c r="AF343" s="47"/>
      <c r="AG343" s="34"/>
    </row>
    <row r="344" hidden="1">
      <c r="A344" s="43"/>
      <c r="B344" s="43"/>
      <c r="C344" s="43"/>
      <c r="D344" s="43"/>
      <c r="E344" s="46"/>
      <c r="F344" s="34"/>
      <c r="G344" s="34"/>
      <c r="H344" s="47"/>
      <c r="I344" s="47"/>
      <c r="J344" s="111"/>
      <c r="K344" s="47"/>
      <c r="L344" s="102"/>
      <c r="M344" s="47"/>
      <c r="N344" s="47"/>
      <c r="O344" s="43"/>
      <c r="P344" s="102" t="b">
        <v>0</v>
      </c>
      <c r="Q344" s="102" t="b">
        <v>0</v>
      </c>
      <c r="R344" s="102" t="b">
        <v>0</v>
      </c>
      <c r="S344" s="34"/>
      <c r="T344" s="43"/>
      <c r="U344" s="102" t="b">
        <v>0</v>
      </c>
      <c r="V344" s="43"/>
      <c r="W344" s="43"/>
      <c r="X344" s="43"/>
      <c r="Y344" s="43"/>
      <c r="Z344" s="43"/>
      <c r="AA344" s="34"/>
      <c r="AB344" s="114"/>
      <c r="AC344" s="29" t="str">
        <f t="shared" si="5"/>
        <v>Sim</v>
      </c>
      <c r="AD344" s="37" t="str">
        <f t="shared" si="1"/>
        <v>Não</v>
      </c>
      <c r="AE344" s="102"/>
      <c r="AF344" s="47"/>
      <c r="AG344" s="34"/>
    </row>
    <row r="345" hidden="1">
      <c r="A345" s="43"/>
      <c r="B345" s="43"/>
      <c r="C345" s="43"/>
      <c r="D345" s="43"/>
      <c r="E345" s="46"/>
      <c r="F345" s="34"/>
      <c r="G345" s="34"/>
      <c r="H345" s="47"/>
      <c r="I345" s="47"/>
      <c r="J345" s="111"/>
      <c r="K345" s="47"/>
      <c r="L345" s="102"/>
      <c r="M345" s="47"/>
      <c r="N345" s="47"/>
      <c r="O345" s="43"/>
      <c r="P345" s="102" t="b">
        <v>0</v>
      </c>
      <c r="Q345" s="102" t="b">
        <v>0</v>
      </c>
      <c r="R345" s="102" t="b">
        <v>0</v>
      </c>
      <c r="S345" s="34"/>
      <c r="T345" s="43"/>
      <c r="U345" s="102" t="b">
        <v>0</v>
      </c>
      <c r="V345" s="43"/>
      <c r="W345" s="43"/>
      <c r="X345" s="43"/>
      <c r="Y345" s="43"/>
      <c r="Z345" s="43"/>
      <c r="AA345" s="34"/>
      <c r="AB345" s="114"/>
      <c r="AC345" s="29" t="str">
        <f t="shared" si="5"/>
        <v>Sim</v>
      </c>
      <c r="AD345" s="37" t="str">
        <f t="shared" si="1"/>
        <v>Não</v>
      </c>
      <c r="AE345" s="102"/>
      <c r="AF345" s="47"/>
      <c r="AG345" s="34"/>
    </row>
    <row r="346" hidden="1">
      <c r="A346" s="43"/>
      <c r="B346" s="43"/>
      <c r="C346" s="43"/>
      <c r="D346" s="43"/>
      <c r="E346" s="46"/>
      <c r="F346" s="34"/>
      <c r="G346" s="34"/>
      <c r="H346" s="47"/>
      <c r="I346" s="47"/>
      <c r="J346" s="111"/>
      <c r="K346" s="47"/>
      <c r="L346" s="102"/>
      <c r="M346" s="47"/>
      <c r="N346" s="47"/>
      <c r="O346" s="43"/>
      <c r="P346" s="102" t="b">
        <v>0</v>
      </c>
      <c r="Q346" s="102" t="b">
        <v>0</v>
      </c>
      <c r="R346" s="102" t="b">
        <v>0</v>
      </c>
      <c r="S346" s="34"/>
      <c r="T346" s="43"/>
      <c r="U346" s="102" t="b">
        <v>0</v>
      </c>
      <c r="V346" s="43"/>
      <c r="W346" s="43"/>
      <c r="X346" s="43"/>
      <c r="Y346" s="43"/>
      <c r="Z346" s="43"/>
      <c r="AA346" s="34"/>
      <c r="AB346" s="114"/>
      <c r="AC346" s="29" t="str">
        <f t="shared" si="5"/>
        <v>Sim</v>
      </c>
      <c r="AD346" s="37" t="str">
        <f t="shared" si="1"/>
        <v>Não</v>
      </c>
      <c r="AE346" s="102"/>
      <c r="AF346" s="47"/>
      <c r="AG346" s="34"/>
    </row>
    <row r="347" hidden="1">
      <c r="A347" s="43"/>
      <c r="B347" s="43"/>
      <c r="C347" s="43"/>
      <c r="D347" s="43"/>
      <c r="E347" s="46"/>
      <c r="F347" s="34"/>
      <c r="G347" s="34"/>
      <c r="H347" s="47"/>
      <c r="I347" s="47"/>
      <c r="J347" s="111"/>
      <c r="K347" s="47"/>
      <c r="L347" s="102"/>
      <c r="M347" s="47"/>
      <c r="N347" s="47"/>
      <c r="O347" s="43"/>
      <c r="P347" s="102" t="b">
        <v>0</v>
      </c>
      <c r="Q347" s="102" t="b">
        <v>0</v>
      </c>
      <c r="R347" s="102" t="b">
        <v>0</v>
      </c>
      <c r="S347" s="34"/>
      <c r="T347" s="43"/>
      <c r="U347" s="102" t="b">
        <v>0</v>
      </c>
      <c r="V347" s="43"/>
      <c r="W347" s="43"/>
      <c r="X347" s="43"/>
      <c r="Y347" s="43"/>
      <c r="Z347" s="43"/>
      <c r="AA347" s="34"/>
      <c r="AB347" s="114"/>
      <c r="AC347" s="29" t="str">
        <f t="shared" si="5"/>
        <v>Sim</v>
      </c>
      <c r="AD347" s="37" t="str">
        <f t="shared" si="1"/>
        <v>Não</v>
      </c>
      <c r="AE347" s="102"/>
      <c r="AF347" s="47"/>
      <c r="AG347" s="34"/>
    </row>
    <row r="348" hidden="1">
      <c r="A348" s="43"/>
      <c r="B348" s="43"/>
      <c r="C348" s="43"/>
      <c r="D348" s="43"/>
      <c r="E348" s="46"/>
      <c r="F348" s="34"/>
      <c r="G348" s="34"/>
      <c r="H348" s="47"/>
      <c r="I348" s="47"/>
      <c r="J348" s="111"/>
      <c r="K348" s="47"/>
      <c r="L348" s="102"/>
      <c r="M348" s="47"/>
      <c r="N348" s="47"/>
      <c r="O348" s="43"/>
      <c r="P348" s="102" t="b">
        <v>0</v>
      </c>
      <c r="Q348" s="102" t="b">
        <v>0</v>
      </c>
      <c r="R348" s="102" t="b">
        <v>0</v>
      </c>
      <c r="S348" s="34"/>
      <c r="T348" s="43"/>
      <c r="U348" s="102" t="b">
        <v>0</v>
      </c>
      <c r="V348" s="43"/>
      <c r="W348" s="43"/>
      <c r="X348" s="43"/>
      <c r="Y348" s="43"/>
      <c r="Z348" s="43"/>
      <c r="AA348" s="34"/>
      <c r="AB348" s="114"/>
      <c r="AC348" s="29" t="str">
        <f t="shared" si="5"/>
        <v>Sim</v>
      </c>
      <c r="AD348" s="37" t="str">
        <f t="shared" si="1"/>
        <v>Não</v>
      </c>
      <c r="AE348" s="102"/>
      <c r="AF348" s="47"/>
      <c r="AG348" s="34"/>
    </row>
    <row r="349" hidden="1">
      <c r="A349" s="43"/>
      <c r="B349" s="43"/>
      <c r="C349" s="43"/>
      <c r="D349" s="43"/>
      <c r="E349" s="46"/>
      <c r="F349" s="34"/>
      <c r="G349" s="34"/>
      <c r="H349" s="47"/>
      <c r="I349" s="47"/>
      <c r="J349" s="111"/>
      <c r="K349" s="47"/>
      <c r="L349" s="102"/>
      <c r="M349" s="47"/>
      <c r="N349" s="47"/>
      <c r="O349" s="43"/>
      <c r="P349" s="102" t="b">
        <v>0</v>
      </c>
      <c r="Q349" s="102" t="b">
        <v>0</v>
      </c>
      <c r="R349" s="102" t="b">
        <v>0</v>
      </c>
      <c r="S349" s="34"/>
      <c r="T349" s="43"/>
      <c r="U349" s="102" t="b">
        <v>0</v>
      </c>
      <c r="V349" s="43"/>
      <c r="W349" s="43"/>
      <c r="X349" s="43"/>
      <c r="Y349" s="43"/>
      <c r="Z349" s="43"/>
      <c r="AA349" s="34"/>
      <c r="AB349" s="114"/>
      <c r="AC349" s="29" t="str">
        <f t="shared" si="5"/>
        <v>Sim</v>
      </c>
      <c r="AD349" s="37" t="str">
        <f t="shared" si="1"/>
        <v>Não</v>
      </c>
      <c r="AE349" s="102"/>
      <c r="AF349" s="47"/>
      <c r="AG349" s="34"/>
    </row>
    <row r="350" hidden="1">
      <c r="A350" s="43"/>
      <c r="B350" s="43"/>
      <c r="C350" s="43"/>
      <c r="D350" s="43"/>
      <c r="E350" s="46"/>
      <c r="F350" s="34"/>
      <c r="G350" s="34"/>
      <c r="H350" s="47"/>
      <c r="I350" s="47"/>
      <c r="J350" s="111"/>
      <c r="K350" s="47"/>
      <c r="L350" s="102"/>
      <c r="M350" s="47"/>
      <c r="N350" s="47"/>
      <c r="O350" s="43"/>
      <c r="P350" s="102" t="b">
        <v>0</v>
      </c>
      <c r="Q350" s="102" t="b">
        <v>0</v>
      </c>
      <c r="R350" s="102" t="b">
        <v>0</v>
      </c>
      <c r="S350" s="34"/>
      <c r="T350" s="43"/>
      <c r="U350" s="102" t="b">
        <v>0</v>
      </c>
      <c r="V350" s="43"/>
      <c r="W350" s="43"/>
      <c r="X350" s="43"/>
      <c r="Y350" s="43"/>
      <c r="Z350" s="43"/>
      <c r="AA350" s="34"/>
      <c r="AB350" s="114"/>
      <c r="AC350" s="29" t="str">
        <f t="shared" si="5"/>
        <v>Sim</v>
      </c>
      <c r="AD350" s="37" t="str">
        <f t="shared" si="1"/>
        <v>Não</v>
      </c>
      <c r="AE350" s="102"/>
      <c r="AF350" s="47"/>
      <c r="AG350" s="34"/>
    </row>
    <row r="351" hidden="1">
      <c r="A351" s="43"/>
      <c r="B351" s="43"/>
      <c r="C351" s="43"/>
      <c r="D351" s="43"/>
      <c r="E351" s="46"/>
      <c r="F351" s="34"/>
      <c r="G351" s="34"/>
      <c r="H351" s="47"/>
      <c r="I351" s="47"/>
      <c r="J351" s="111"/>
      <c r="K351" s="47"/>
      <c r="L351" s="102"/>
      <c r="M351" s="47"/>
      <c r="N351" s="47"/>
      <c r="O351" s="43"/>
      <c r="P351" s="102" t="b">
        <v>0</v>
      </c>
      <c r="Q351" s="102" t="b">
        <v>0</v>
      </c>
      <c r="R351" s="102" t="b">
        <v>0</v>
      </c>
      <c r="S351" s="34"/>
      <c r="T351" s="43"/>
      <c r="U351" s="102" t="b">
        <v>0</v>
      </c>
      <c r="V351" s="43"/>
      <c r="W351" s="43"/>
      <c r="X351" s="43"/>
      <c r="Y351" s="43"/>
      <c r="Z351" s="43"/>
      <c r="AA351" s="34"/>
      <c r="AB351" s="114"/>
      <c r="AC351" s="29" t="str">
        <f t="shared" si="5"/>
        <v>Sim</v>
      </c>
      <c r="AD351" s="37" t="str">
        <f t="shared" si="1"/>
        <v>Não</v>
      </c>
      <c r="AE351" s="102"/>
      <c r="AF351" s="47"/>
      <c r="AG351" s="34"/>
    </row>
    <row r="352" hidden="1">
      <c r="A352" s="43"/>
      <c r="B352" s="43"/>
      <c r="C352" s="43"/>
      <c r="D352" s="43"/>
      <c r="E352" s="46"/>
      <c r="F352" s="34"/>
      <c r="G352" s="34"/>
      <c r="H352" s="47"/>
      <c r="I352" s="47"/>
      <c r="J352" s="111"/>
      <c r="K352" s="47"/>
      <c r="L352" s="102"/>
      <c r="M352" s="47"/>
      <c r="N352" s="47"/>
      <c r="O352" s="43"/>
      <c r="P352" s="102" t="b">
        <v>0</v>
      </c>
      <c r="Q352" s="102" t="b">
        <v>0</v>
      </c>
      <c r="R352" s="102" t="b">
        <v>0</v>
      </c>
      <c r="S352" s="34"/>
      <c r="T352" s="43"/>
      <c r="U352" s="102" t="b">
        <v>0</v>
      </c>
      <c r="V352" s="43"/>
      <c r="W352" s="43"/>
      <c r="X352" s="43"/>
      <c r="Y352" s="43"/>
      <c r="Z352" s="43"/>
      <c r="AA352" s="34"/>
      <c r="AB352" s="114"/>
      <c r="AC352" s="29" t="str">
        <f t="shared" si="5"/>
        <v>Sim</v>
      </c>
      <c r="AD352" s="37" t="str">
        <f t="shared" si="1"/>
        <v>Não</v>
      </c>
      <c r="AE352" s="102"/>
      <c r="AF352" s="47"/>
      <c r="AG352" s="34"/>
    </row>
    <row r="353" hidden="1">
      <c r="A353" s="43"/>
      <c r="B353" s="43"/>
      <c r="C353" s="43"/>
      <c r="D353" s="43"/>
      <c r="E353" s="46"/>
      <c r="F353" s="34"/>
      <c r="G353" s="34"/>
      <c r="H353" s="47"/>
      <c r="I353" s="47"/>
      <c r="J353" s="111"/>
      <c r="K353" s="47"/>
      <c r="L353" s="102"/>
      <c r="M353" s="47"/>
      <c r="N353" s="47"/>
      <c r="O353" s="43"/>
      <c r="P353" s="102" t="b">
        <v>0</v>
      </c>
      <c r="Q353" s="102" t="b">
        <v>0</v>
      </c>
      <c r="R353" s="102" t="b">
        <v>0</v>
      </c>
      <c r="S353" s="34"/>
      <c r="T353" s="43"/>
      <c r="U353" s="102" t="b">
        <v>0</v>
      </c>
      <c r="V353" s="43"/>
      <c r="W353" s="43"/>
      <c r="X353" s="43"/>
      <c r="Y353" s="43"/>
      <c r="Z353" s="43"/>
      <c r="AA353" s="34"/>
      <c r="AB353" s="114"/>
      <c r="AC353" s="29" t="str">
        <f t="shared" si="5"/>
        <v>Sim</v>
      </c>
      <c r="AD353" s="37" t="str">
        <f t="shared" si="1"/>
        <v>Não</v>
      </c>
      <c r="AE353" s="102"/>
      <c r="AF353" s="47"/>
      <c r="AG353" s="34"/>
    </row>
    <row r="354" hidden="1">
      <c r="A354" s="43"/>
      <c r="B354" s="43"/>
      <c r="C354" s="43"/>
      <c r="D354" s="43"/>
      <c r="E354" s="46"/>
      <c r="F354" s="34"/>
      <c r="G354" s="34"/>
      <c r="H354" s="47"/>
      <c r="I354" s="47"/>
      <c r="J354" s="111"/>
      <c r="K354" s="47"/>
      <c r="L354" s="102"/>
      <c r="M354" s="47"/>
      <c r="N354" s="47"/>
      <c r="O354" s="43"/>
      <c r="P354" s="102" t="b">
        <v>0</v>
      </c>
      <c r="Q354" s="102" t="b">
        <v>0</v>
      </c>
      <c r="R354" s="102" t="b">
        <v>0</v>
      </c>
      <c r="S354" s="34"/>
      <c r="T354" s="43"/>
      <c r="U354" s="102" t="b">
        <v>0</v>
      </c>
      <c r="V354" s="43"/>
      <c r="W354" s="43"/>
      <c r="X354" s="43"/>
      <c r="Y354" s="43"/>
      <c r="Z354" s="43"/>
      <c r="AA354" s="34"/>
      <c r="AB354" s="114"/>
      <c r="AC354" s="29" t="str">
        <f t="shared" si="5"/>
        <v>Sim</v>
      </c>
      <c r="AD354" s="37" t="str">
        <f t="shared" si="1"/>
        <v>Não</v>
      </c>
      <c r="AE354" s="102"/>
      <c r="AF354" s="47"/>
      <c r="AG354" s="34"/>
    </row>
    <row r="355" hidden="1">
      <c r="A355" s="43"/>
      <c r="B355" s="43"/>
      <c r="C355" s="43"/>
      <c r="D355" s="43"/>
      <c r="E355" s="46"/>
      <c r="F355" s="34"/>
      <c r="G355" s="34"/>
      <c r="H355" s="47"/>
      <c r="I355" s="47"/>
      <c r="J355" s="111"/>
      <c r="K355" s="47"/>
      <c r="L355" s="102"/>
      <c r="M355" s="47"/>
      <c r="N355" s="47"/>
      <c r="O355" s="43"/>
      <c r="P355" s="102" t="b">
        <v>0</v>
      </c>
      <c r="Q355" s="102" t="b">
        <v>0</v>
      </c>
      <c r="R355" s="102" t="b">
        <v>0</v>
      </c>
      <c r="S355" s="34"/>
      <c r="T355" s="43"/>
      <c r="U355" s="102" t="b">
        <v>0</v>
      </c>
      <c r="V355" s="43"/>
      <c r="W355" s="43"/>
      <c r="X355" s="43"/>
      <c r="Y355" s="43"/>
      <c r="Z355" s="43"/>
      <c r="AA355" s="34"/>
      <c r="AB355" s="114"/>
      <c r="AC355" s="29" t="str">
        <f t="shared" si="5"/>
        <v>Sim</v>
      </c>
      <c r="AD355" s="37" t="str">
        <f t="shared" si="1"/>
        <v>Não</v>
      </c>
      <c r="AE355" s="102"/>
      <c r="AF355" s="47"/>
      <c r="AG355" s="34"/>
    </row>
    <row r="356" hidden="1">
      <c r="A356" s="43"/>
      <c r="B356" s="43"/>
      <c r="C356" s="43"/>
      <c r="D356" s="43"/>
      <c r="E356" s="46"/>
      <c r="F356" s="34"/>
      <c r="G356" s="34"/>
      <c r="H356" s="47"/>
      <c r="I356" s="47"/>
      <c r="J356" s="111"/>
      <c r="K356" s="47"/>
      <c r="L356" s="102"/>
      <c r="M356" s="47"/>
      <c r="N356" s="47"/>
      <c r="O356" s="43"/>
      <c r="P356" s="102" t="b">
        <v>0</v>
      </c>
      <c r="Q356" s="102" t="b">
        <v>0</v>
      </c>
      <c r="R356" s="102" t="b">
        <v>0</v>
      </c>
      <c r="S356" s="34"/>
      <c r="T356" s="43"/>
      <c r="U356" s="102" t="b">
        <v>0</v>
      </c>
      <c r="V356" s="43"/>
      <c r="W356" s="43"/>
      <c r="X356" s="43"/>
      <c r="Y356" s="43"/>
      <c r="Z356" s="43"/>
      <c r="AA356" s="34"/>
      <c r="AB356" s="114"/>
      <c r="AC356" s="29" t="str">
        <f t="shared" si="5"/>
        <v>Sim</v>
      </c>
      <c r="AD356" s="37" t="str">
        <f t="shared" si="1"/>
        <v>Não</v>
      </c>
      <c r="AE356" s="102"/>
      <c r="AF356" s="47"/>
      <c r="AG356" s="34"/>
    </row>
    <row r="357" hidden="1">
      <c r="A357" s="43"/>
      <c r="B357" s="43"/>
      <c r="C357" s="43"/>
      <c r="D357" s="43"/>
      <c r="E357" s="46"/>
      <c r="F357" s="34"/>
      <c r="G357" s="34"/>
      <c r="H357" s="47"/>
      <c r="I357" s="47"/>
      <c r="J357" s="111"/>
      <c r="K357" s="47"/>
      <c r="L357" s="102"/>
      <c r="M357" s="47"/>
      <c r="N357" s="47"/>
      <c r="O357" s="43"/>
      <c r="P357" s="102" t="b">
        <v>0</v>
      </c>
      <c r="Q357" s="102" t="b">
        <v>0</v>
      </c>
      <c r="R357" s="102" t="b">
        <v>0</v>
      </c>
      <c r="S357" s="34"/>
      <c r="T357" s="43"/>
      <c r="U357" s="102" t="b">
        <v>0</v>
      </c>
      <c r="V357" s="43"/>
      <c r="W357" s="43"/>
      <c r="X357" s="43"/>
      <c r="Y357" s="43"/>
      <c r="Z357" s="43"/>
      <c r="AA357" s="34"/>
      <c r="AB357" s="114"/>
      <c r="AC357" s="29" t="str">
        <f t="shared" si="5"/>
        <v>Sim</v>
      </c>
      <c r="AD357" s="37" t="str">
        <f t="shared" si="1"/>
        <v>Não</v>
      </c>
      <c r="AE357" s="102"/>
      <c r="AF357" s="47"/>
      <c r="AG357" s="34"/>
    </row>
    <row r="358" hidden="1">
      <c r="A358" s="43"/>
      <c r="B358" s="43"/>
      <c r="C358" s="43"/>
      <c r="D358" s="43"/>
      <c r="E358" s="46"/>
      <c r="F358" s="34"/>
      <c r="G358" s="34"/>
      <c r="H358" s="47"/>
      <c r="I358" s="47"/>
      <c r="J358" s="111"/>
      <c r="K358" s="47"/>
      <c r="L358" s="102"/>
      <c r="M358" s="47"/>
      <c r="N358" s="47"/>
      <c r="O358" s="43"/>
      <c r="P358" s="102" t="b">
        <v>0</v>
      </c>
      <c r="Q358" s="102" t="b">
        <v>0</v>
      </c>
      <c r="R358" s="102" t="b">
        <v>0</v>
      </c>
      <c r="S358" s="34"/>
      <c r="T358" s="43"/>
      <c r="U358" s="102" t="b">
        <v>0</v>
      </c>
      <c r="V358" s="43"/>
      <c r="W358" s="43"/>
      <c r="X358" s="43"/>
      <c r="Y358" s="43"/>
      <c r="Z358" s="43"/>
      <c r="AA358" s="34"/>
      <c r="AB358" s="114"/>
      <c r="AC358" s="29" t="str">
        <f t="shared" si="5"/>
        <v>Sim</v>
      </c>
      <c r="AD358" s="37" t="str">
        <f t="shared" si="1"/>
        <v>Não</v>
      </c>
      <c r="AE358" s="102"/>
      <c r="AF358" s="47"/>
      <c r="AG358" s="34"/>
    </row>
    <row r="359" hidden="1">
      <c r="A359" s="43"/>
      <c r="B359" s="43"/>
      <c r="C359" s="43"/>
      <c r="D359" s="43"/>
      <c r="E359" s="46"/>
      <c r="F359" s="34"/>
      <c r="G359" s="34"/>
      <c r="H359" s="47"/>
      <c r="I359" s="47"/>
      <c r="J359" s="111"/>
      <c r="K359" s="47"/>
      <c r="L359" s="102"/>
      <c r="M359" s="47"/>
      <c r="N359" s="47"/>
      <c r="O359" s="43"/>
      <c r="P359" s="102" t="b">
        <v>0</v>
      </c>
      <c r="Q359" s="102" t="b">
        <v>0</v>
      </c>
      <c r="R359" s="102" t="b">
        <v>0</v>
      </c>
      <c r="S359" s="34"/>
      <c r="T359" s="43"/>
      <c r="U359" s="102" t="b">
        <v>0</v>
      </c>
      <c r="V359" s="43"/>
      <c r="W359" s="43"/>
      <c r="X359" s="43"/>
      <c r="Y359" s="43"/>
      <c r="Z359" s="43"/>
      <c r="AA359" s="34"/>
      <c r="AB359" s="114"/>
      <c r="AC359" s="29" t="str">
        <f t="shared" si="5"/>
        <v>Sim</v>
      </c>
      <c r="AD359" s="37" t="str">
        <f t="shared" si="1"/>
        <v>Não</v>
      </c>
      <c r="AE359" s="102"/>
      <c r="AF359" s="47"/>
      <c r="AG359" s="34"/>
    </row>
    <row r="360" hidden="1">
      <c r="A360" s="43"/>
      <c r="B360" s="43"/>
      <c r="C360" s="43"/>
      <c r="D360" s="43"/>
      <c r="E360" s="46"/>
      <c r="F360" s="34"/>
      <c r="G360" s="34"/>
      <c r="H360" s="47"/>
      <c r="I360" s="47"/>
      <c r="J360" s="111"/>
      <c r="K360" s="47"/>
      <c r="L360" s="102"/>
      <c r="M360" s="47"/>
      <c r="N360" s="47"/>
      <c r="O360" s="43"/>
      <c r="P360" s="102" t="b">
        <v>0</v>
      </c>
      <c r="Q360" s="102" t="b">
        <v>0</v>
      </c>
      <c r="R360" s="102" t="b">
        <v>0</v>
      </c>
      <c r="S360" s="34"/>
      <c r="T360" s="43"/>
      <c r="U360" s="102" t="b">
        <v>0</v>
      </c>
      <c r="V360" s="43"/>
      <c r="W360" s="43"/>
      <c r="X360" s="43"/>
      <c r="Y360" s="43"/>
      <c r="Z360" s="43"/>
      <c r="AA360" s="34"/>
      <c r="AB360" s="114"/>
      <c r="AC360" s="29" t="str">
        <f t="shared" si="5"/>
        <v>Sim</v>
      </c>
      <c r="AD360" s="37" t="str">
        <f t="shared" si="1"/>
        <v>Não</v>
      </c>
      <c r="AE360" s="102"/>
      <c r="AF360" s="47"/>
      <c r="AG360" s="34"/>
    </row>
    <row r="361" hidden="1">
      <c r="A361" s="43"/>
      <c r="B361" s="43"/>
      <c r="C361" s="43"/>
      <c r="D361" s="43"/>
      <c r="E361" s="46"/>
      <c r="F361" s="34"/>
      <c r="G361" s="34"/>
      <c r="H361" s="47"/>
      <c r="I361" s="47"/>
      <c r="J361" s="111"/>
      <c r="K361" s="47"/>
      <c r="L361" s="102"/>
      <c r="M361" s="47"/>
      <c r="N361" s="47"/>
      <c r="O361" s="43"/>
      <c r="P361" s="102" t="b">
        <v>0</v>
      </c>
      <c r="Q361" s="102" t="b">
        <v>0</v>
      </c>
      <c r="R361" s="102" t="b">
        <v>0</v>
      </c>
      <c r="S361" s="34"/>
      <c r="T361" s="43"/>
      <c r="U361" s="102" t="b">
        <v>0</v>
      </c>
      <c r="V361" s="43"/>
      <c r="W361" s="43"/>
      <c r="X361" s="43"/>
      <c r="Y361" s="43"/>
      <c r="Z361" s="43"/>
      <c r="AA361" s="34"/>
      <c r="AB361" s="114"/>
      <c r="AC361" s="29" t="str">
        <f t="shared" si="5"/>
        <v>Sim</v>
      </c>
      <c r="AD361" s="37" t="str">
        <f t="shared" si="1"/>
        <v>Não</v>
      </c>
      <c r="AE361" s="102"/>
      <c r="AF361" s="47"/>
      <c r="AG361" s="34"/>
    </row>
    <row r="362" hidden="1">
      <c r="A362" s="43"/>
      <c r="B362" s="43"/>
      <c r="C362" s="43"/>
      <c r="D362" s="43"/>
      <c r="E362" s="46"/>
      <c r="F362" s="34"/>
      <c r="G362" s="34"/>
      <c r="H362" s="47"/>
      <c r="I362" s="47"/>
      <c r="J362" s="111"/>
      <c r="K362" s="47"/>
      <c r="L362" s="102"/>
      <c r="M362" s="47"/>
      <c r="N362" s="47"/>
      <c r="O362" s="43"/>
      <c r="P362" s="102" t="b">
        <v>0</v>
      </c>
      <c r="Q362" s="102" t="b">
        <v>0</v>
      </c>
      <c r="R362" s="102" t="b">
        <v>0</v>
      </c>
      <c r="S362" s="34"/>
      <c r="T362" s="43"/>
      <c r="U362" s="102" t="b">
        <v>0</v>
      </c>
      <c r="V362" s="43"/>
      <c r="W362" s="43"/>
      <c r="X362" s="43"/>
      <c r="Y362" s="43"/>
      <c r="Z362" s="43"/>
      <c r="AA362" s="34"/>
      <c r="AB362" s="114"/>
      <c r="AC362" s="29" t="str">
        <f t="shared" si="5"/>
        <v>Sim</v>
      </c>
      <c r="AD362" s="37" t="str">
        <f t="shared" si="1"/>
        <v>Não</v>
      </c>
      <c r="AE362" s="102"/>
      <c r="AF362" s="47"/>
      <c r="AG362" s="34"/>
    </row>
    <row r="363" hidden="1">
      <c r="A363" s="43"/>
      <c r="B363" s="43"/>
      <c r="C363" s="43"/>
      <c r="D363" s="43"/>
      <c r="E363" s="46"/>
      <c r="F363" s="34"/>
      <c r="G363" s="34"/>
      <c r="H363" s="47"/>
      <c r="I363" s="47"/>
      <c r="J363" s="111"/>
      <c r="K363" s="47"/>
      <c r="L363" s="102"/>
      <c r="M363" s="47"/>
      <c r="N363" s="47"/>
      <c r="O363" s="43"/>
      <c r="P363" s="102" t="b">
        <v>0</v>
      </c>
      <c r="Q363" s="102" t="b">
        <v>0</v>
      </c>
      <c r="R363" s="102" t="b">
        <v>0</v>
      </c>
      <c r="S363" s="34"/>
      <c r="T363" s="43"/>
      <c r="U363" s="102" t="b">
        <v>0</v>
      </c>
      <c r="V363" s="43"/>
      <c r="W363" s="43"/>
      <c r="X363" s="43"/>
      <c r="Y363" s="43"/>
      <c r="Z363" s="43"/>
      <c r="AA363" s="34"/>
      <c r="AB363" s="114"/>
      <c r="AC363" s="29" t="str">
        <f t="shared" si="5"/>
        <v>Sim</v>
      </c>
      <c r="AD363" s="37" t="str">
        <f t="shared" si="1"/>
        <v>Não</v>
      </c>
      <c r="AE363" s="102"/>
      <c r="AF363" s="47"/>
      <c r="AG363" s="34"/>
    </row>
    <row r="364" hidden="1">
      <c r="A364" s="43"/>
      <c r="B364" s="43"/>
      <c r="C364" s="43"/>
      <c r="D364" s="43"/>
      <c r="E364" s="46"/>
      <c r="F364" s="34"/>
      <c r="G364" s="34"/>
      <c r="H364" s="47"/>
      <c r="I364" s="47"/>
      <c r="J364" s="111"/>
      <c r="K364" s="47"/>
      <c r="L364" s="102"/>
      <c r="M364" s="47"/>
      <c r="N364" s="47"/>
      <c r="O364" s="43"/>
      <c r="P364" s="102" t="b">
        <v>0</v>
      </c>
      <c r="Q364" s="102" t="b">
        <v>0</v>
      </c>
      <c r="R364" s="102" t="b">
        <v>0</v>
      </c>
      <c r="S364" s="34"/>
      <c r="T364" s="43"/>
      <c r="U364" s="102" t="b">
        <v>0</v>
      </c>
      <c r="V364" s="43"/>
      <c r="W364" s="43"/>
      <c r="X364" s="43"/>
      <c r="Y364" s="43"/>
      <c r="Z364" s="43"/>
      <c r="AA364" s="34"/>
      <c r="AB364" s="114"/>
      <c r="AC364" s="29" t="str">
        <f t="shared" si="5"/>
        <v>Sim</v>
      </c>
      <c r="AD364" s="37" t="str">
        <f t="shared" si="1"/>
        <v>Não</v>
      </c>
      <c r="AE364" s="102"/>
      <c r="AF364" s="47"/>
      <c r="AG364" s="34"/>
    </row>
    <row r="365" hidden="1">
      <c r="A365" s="43"/>
      <c r="B365" s="43"/>
      <c r="C365" s="43"/>
      <c r="D365" s="43"/>
      <c r="E365" s="46"/>
      <c r="F365" s="34"/>
      <c r="G365" s="34"/>
      <c r="H365" s="47"/>
      <c r="I365" s="47"/>
      <c r="J365" s="111"/>
      <c r="K365" s="47"/>
      <c r="L365" s="102"/>
      <c r="M365" s="47"/>
      <c r="N365" s="47"/>
      <c r="O365" s="43"/>
      <c r="P365" s="102" t="b">
        <v>0</v>
      </c>
      <c r="Q365" s="102" t="b">
        <v>0</v>
      </c>
      <c r="R365" s="102" t="b">
        <v>0</v>
      </c>
      <c r="S365" s="34"/>
      <c r="T365" s="43"/>
      <c r="U365" s="102" t="b">
        <v>0</v>
      </c>
      <c r="V365" s="43"/>
      <c r="W365" s="43"/>
      <c r="X365" s="43"/>
      <c r="Y365" s="43"/>
      <c r="Z365" s="43"/>
      <c r="AA365" s="34"/>
      <c r="AB365" s="114"/>
      <c r="AC365" s="29" t="str">
        <f t="shared" si="5"/>
        <v>Sim</v>
      </c>
      <c r="AD365" s="37" t="str">
        <f t="shared" si="1"/>
        <v>Não</v>
      </c>
      <c r="AE365" s="102"/>
      <c r="AF365" s="47"/>
      <c r="AG365" s="34"/>
    </row>
    <row r="366" hidden="1">
      <c r="A366" s="43"/>
      <c r="B366" s="43"/>
      <c r="C366" s="43"/>
      <c r="D366" s="43"/>
      <c r="E366" s="46"/>
      <c r="F366" s="34"/>
      <c r="G366" s="34"/>
      <c r="H366" s="47"/>
      <c r="I366" s="47"/>
      <c r="J366" s="111"/>
      <c r="K366" s="47"/>
      <c r="L366" s="102"/>
      <c r="M366" s="47"/>
      <c r="N366" s="47"/>
      <c r="O366" s="43"/>
      <c r="P366" s="102" t="b">
        <v>0</v>
      </c>
      <c r="Q366" s="102" t="b">
        <v>0</v>
      </c>
      <c r="R366" s="102" t="b">
        <v>0</v>
      </c>
      <c r="S366" s="34"/>
      <c r="T366" s="43"/>
      <c r="U366" s="102" t="b">
        <v>0</v>
      </c>
      <c r="V366" s="43"/>
      <c r="W366" s="43"/>
      <c r="X366" s="43"/>
      <c r="Y366" s="43"/>
      <c r="Z366" s="43"/>
      <c r="AA366" s="34"/>
      <c r="AB366" s="114"/>
      <c r="AC366" s="29" t="str">
        <f t="shared" si="5"/>
        <v>Sim</v>
      </c>
      <c r="AD366" s="37" t="str">
        <f t="shared" si="1"/>
        <v>Não</v>
      </c>
      <c r="AE366" s="102"/>
      <c r="AF366" s="47"/>
      <c r="AG366" s="34"/>
    </row>
    <row r="367" hidden="1">
      <c r="A367" s="43"/>
      <c r="B367" s="43"/>
      <c r="C367" s="43"/>
      <c r="D367" s="43"/>
      <c r="E367" s="46"/>
      <c r="F367" s="34"/>
      <c r="G367" s="34"/>
      <c r="H367" s="47"/>
      <c r="I367" s="47"/>
      <c r="J367" s="111"/>
      <c r="K367" s="47"/>
      <c r="L367" s="102"/>
      <c r="M367" s="47"/>
      <c r="N367" s="47"/>
      <c r="O367" s="43"/>
      <c r="P367" s="102" t="b">
        <v>0</v>
      </c>
      <c r="Q367" s="102" t="b">
        <v>0</v>
      </c>
      <c r="R367" s="102" t="b">
        <v>0</v>
      </c>
      <c r="S367" s="34"/>
      <c r="T367" s="43"/>
      <c r="U367" s="102" t="b">
        <v>0</v>
      </c>
      <c r="V367" s="43"/>
      <c r="W367" s="43"/>
      <c r="X367" s="43"/>
      <c r="Y367" s="43"/>
      <c r="Z367" s="43"/>
      <c r="AA367" s="34"/>
      <c r="AB367" s="114"/>
      <c r="AC367" s="29" t="str">
        <f t="shared" si="5"/>
        <v>Sim</v>
      </c>
      <c r="AD367" s="37" t="str">
        <f t="shared" si="1"/>
        <v>Não</v>
      </c>
      <c r="AE367" s="102"/>
      <c r="AF367" s="47"/>
      <c r="AG367" s="34"/>
    </row>
    <row r="368" hidden="1">
      <c r="A368" s="43"/>
      <c r="B368" s="43"/>
      <c r="C368" s="43"/>
      <c r="D368" s="43"/>
      <c r="E368" s="46"/>
      <c r="F368" s="34"/>
      <c r="G368" s="34"/>
      <c r="H368" s="47"/>
      <c r="I368" s="47"/>
      <c r="J368" s="111"/>
      <c r="K368" s="47"/>
      <c r="L368" s="102"/>
      <c r="M368" s="47"/>
      <c r="N368" s="47"/>
      <c r="O368" s="43"/>
      <c r="P368" s="102" t="b">
        <v>0</v>
      </c>
      <c r="Q368" s="102" t="b">
        <v>0</v>
      </c>
      <c r="R368" s="102" t="b">
        <v>0</v>
      </c>
      <c r="S368" s="34"/>
      <c r="T368" s="43"/>
      <c r="U368" s="102" t="b">
        <v>0</v>
      </c>
      <c r="V368" s="43"/>
      <c r="W368" s="43"/>
      <c r="X368" s="43"/>
      <c r="Y368" s="43"/>
      <c r="Z368" s="43"/>
      <c r="AA368" s="34"/>
      <c r="AB368" s="114"/>
      <c r="AC368" s="29" t="str">
        <f t="shared" si="5"/>
        <v>Sim</v>
      </c>
      <c r="AD368" s="37" t="str">
        <f t="shared" si="1"/>
        <v>Não</v>
      </c>
      <c r="AE368" s="102"/>
      <c r="AF368" s="47"/>
      <c r="AG368" s="34"/>
    </row>
    <row r="369" hidden="1">
      <c r="A369" s="43"/>
      <c r="B369" s="43"/>
      <c r="C369" s="43"/>
      <c r="D369" s="43"/>
      <c r="E369" s="46"/>
      <c r="F369" s="34"/>
      <c r="G369" s="34"/>
      <c r="H369" s="47"/>
      <c r="I369" s="47"/>
      <c r="J369" s="111"/>
      <c r="K369" s="47"/>
      <c r="L369" s="102"/>
      <c r="M369" s="47"/>
      <c r="N369" s="47"/>
      <c r="O369" s="43"/>
      <c r="P369" s="102" t="b">
        <v>0</v>
      </c>
      <c r="Q369" s="102" t="b">
        <v>0</v>
      </c>
      <c r="R369" s="102" t="b">
        <v>0</v>
      </c>
      <c r="S369" s="34"/>
      <c r="T369" s="43"/>
      <c r="U369" s="102" t="b">
        <v>0</v>
      </c>
      <c r="V369" s="43"/>
      <c r="W369" s="43"/>
      <c r="X369" s="43"/>
      <c r="Y369" s="43"/>
      <c r="Z369" s="43"/>
      <c r="AA369" s="34"/>
      <c r="AB369" s="114"/>
      <c r="AC369" s="29" t="str">
        <f t="shared" si="5"/>
        <v>Sim</v>
      </c>
      <c r="AD369" s="37" t="str">
        <f t="shared" si="1"/>
        <v>Não</v>
      </c>
      <c r="AE369" s="102"/>
      <c r="AF369" s="47"/>
      <c r="AG369" s="34"/>
    </row>
    <row r="370" hidden="1">
      <c r="A370" s="43"/>
      <c r="B370" s="43"/>
      <c r="C370" s="43"/>
      <c r="D370" s="43"/>
      <c r="E370" s="46"/>
      <c r="F370" s="34"/>
      <c r="G370" s="34"/>
      <c r="H370" s="47"/>
      <c r="I370" s="47"/>
      <c r="J370" s="111"/>
      <c r="K370" s="47"/>
      <c r="L370" s="102"/>
      <c r="M370" s="47"/>
      <c r="N370" s="47"/>
      <c r="O370" s="43"/>
      <c r="P370" s="102" t="b">
        <v>0</v>
      </c>
      <c r="Q370" s="102" t="b">
        <v>0</v>
      </c>
      <c r="R370" s="102" t="b">
        <v>0</v>
      </c>
      <c r="S370" s="34"/>
      <c r="T370" s="43"/>
      <c r="U370" s="102" t="b">
        <v>0</v>
      </c>
      <c r="V370" s="43"/>
      <c r="W370" s="43"/>
      <c r="X370" s="43"/>
      <c r="Y370" s="43"/>
      <c r="Z370" s="43"/>
      <c r="AA370" s="34"/>
      <c r="AB370" s="114"/>
      <c r="AC370" s="29" t="str">
        <f t="shared" si="5"/>
        <v>Sim</v>
      </c>
      <c r="AD370" s="37" t="str">
        <f t="shared" si="1"/>
        <v>Não</v>
      </c>
      <c r="AE370" s="102"/>
      <c r="AF370" s="47"/>
      <c r="AG370" s="34"/>
    </row>
    <row r="371" hidden="1">
      <c r="A371" s="43"/>
      <c r="B371" s="43"/>
      <c r="C371" s="43"/>
      <c r="D371" s="43"/>
      <c r="E371" s="46"/>
      <c r="F371" s="34"/>
      <c r="G371" s="34"/>
      <c r="H371" s="47"/>
      <c r="I371" s="47"/>
      <c r="J371" s="111"/>
      <c r="K371" s="47"/>
      <c r="L371" s="102"/>
      <c r="M371" s="47"/>
      <c r="N371" s="47"/>
      <c r="O371" s="43"/>
      <c r="P371" s="102" t="b">
        <v>0</v>
      </c>
      <c r="Q371" s="102" t="b">
        <v>0</v>
      </c>
      <c r="R371" s="102" t="b">
        <v>0</v>
      </c>
      <c r="S371" s="34"/>
      <c r="T371" s="43"/>
      <c r="U371" s="102" t="b">
        <v>0</v>
      </c>
      <c r="V371" s="43"/>
      <c r="W371" s="43"/>
      <c r="X371" s="43"/>
      <c r="Y371" s="43"/>
      <c r="Z371" s="43"/>
      <c r="AA371" s="34"/>
      <c r="AB371" s="114"/>
      <c r="AC371" s="29" t="str">
        <f t="shared" si="5"/>
        <v>Sim</v>
      </c>
      <c r="AD371" s="37" t="str">
        <f t="shared" si="1"/>
        <v>Não</v>
      </c>
      <c r="AE371" s="102"/>
      <c r="AF371" s="47"/>
      <c r="AG371" s="34"/>
    </row>
    <row r="372" hidden="1">
      <c r="A372" s="43"/>
      <c r="B372" s="43"/>
      <c r="C372" s="43"/>
      <c r="D372" s="43"/>
      <c r="E372" s="46"/>
      <c r="F372" s="34"/>
      <c r="G372" s="34"/>
      <c r="H372" s="47"/>
      <c r="I372" s="47"/>
      <c r="J372" s="111"/>
      <c r="K372" s="47"/>
      <c r="L372" s="102"/>
      <c r="M372" s="47"/>
      <c r="N372" s="47"/>
      <c r="O372" s="43"/>
      <c r="P372" s="102" t="b">
        <v>0</v>
      </c>
      <c r="Q372" s="102" t="b">
        <v>0</v>
      </c>
      <c r="R372" s="102" t="b">
        <v>0</v>
      </c>
      <c r="S372" s="34"/>
      <c r="T372" s="43"/>
      <c r="U372" s="102" t="b">
        <v>0</v>
      </c>
      <c r="V372" s="43"/>
      <c r="W372" s="43"/>
      <c r="X372" s="43"/>
      <c r="Y372" s="43"/>
      <c r="Z372" s="43"/>
      <c r="AA372" s="34"/>
      <c r="AB372" s="114"/>
      <c r="AC372" s="29" t="str">
        <f t="shared" si="5"/>
        <v>Sim</v>
      </c>
      <c r="AD372" s="37" t="str">
        <f t="shared" si="1"/>
        <v>Não</v>
      </c>
      <c r="AE372" s="102"/>
      <c r="AF372" s="47"/>
      <c r="AG372" s="34"/>
    </row>
    <row r="373" hidden="1">
      <c r="A373" s="43"/>
      <c r="B373" s="43"/>
      <c r="C373" s="43"/>
      <c r="D373" s="43"/>
      <c r="E373" s="46"/>
      <c r="F373" s="34"/>
      <c r="G373" s="34"/>
      <c r="H373" s="47"/>
      <c r="I373" s="47"/>
      <c r="J373" s="111"/>
      <c r="K373" s="47"/>
      <c r="L373" s="102"/>
      <c r="M373" s="47"/>
      <c r="N373" s="47"/>
      <c r="O373" s="43"/>
      <c r="P373" s="102" t="b">
        <v>0</v>
      </c>
      <c r="Q373" s="102" t="b">
        <v>0</v>
      </c>
      <c r="R373" s="102" t="b">
        <v>0</v>
      </c>
      <c r="S373" s="34"/>
      <c r="T373" s="43"/>
      <c r="U373" s="102" t="b">
        <v>0</v>
      </c>
      <c r="V373" s="43"/>
      <c r="W373" s="43"/>
      <c r="X373" s="43"/>
      <c r="Y373" s="43"/>
      <c r="Z373" s="43"/>
      <c r="AA373" s="34"/>
      <c r="AB373" s="114"/>
      <c r="AC373" s="29" t="str">
        <f t="shared" si="5"/>
        <v>Sim</v>
      </c>
      <c r="AD373" s="37" t="str">
        <f t="shared" si="1"/>
        <v>Não</v>
      </c>
      <c r="AE373" s="102"/>
      <c r="AF373" s="47"/>
      <c r="AG373" s="34"/>
    </row>
    <row r="374" hidden="1">
      <c r="A374" s="43"/>
      <c r="B374" s="43"/>
      <c r="C374" s="43"/>
      <c r="D374" s="43"/>
      <c r="E374" s="46"/>
      <c r="F374" s="34"/>
      <c r="G374" s="34"/>
      <c r="H374" s="47"/>
      <c r="I374" s="47"/>
      <c r="J374" s="111"/>
      <c r="K374" s="47"/>
      <c r="L374" s="102"/>
      <c r="M374" s="47"/>
      <c r="N374" s="47"/>
      <c r="O374" s="43"/>
      <c r="P374" s="102" t="b">
        <v>0</v>
      </c>
      <c r="Q374" s="102" t="b">
        <v>0</v>
      </c>
      <c r="R374" s="102" t="b">
        <v>0</v>
      </c>
      <c r="S374" s="34"/>
      <c r="T374" s="43"/>
      <c r="U374" s="102" t="b">
        <v>0</v>
      </c>
      <c r="V374" s="43"/>
      <c r="W374" s="43"/>
      <c r="X374" s="43"/>
      <c r="Y374" s="43"/>
      <c r="Z374" s="43"/>
      <c r="AA374" s="34"/>
      <c r="AB374" s="114"/>
      <c r="AC374" s="29" t="str">
        <f t="shared" si="5"/>
        <v>Sim</v>
      </c>
      <c r="AD374" s="37" t="str">
        <f t="shared" si="1"/>
        <v>Não</v>
      </c>
      <c r="AE374" s="102"/>
      <c r="AF374" s="47"/>
      <c r="AG374" s="34"/>
    </row>
    <row r="375" hidden="1">
      <c r="A375" s="43"/>
      <c r="B375" s="43"/>
      <c r="C375" s="43"/>
      <c r="D375" s="43"/>
      <c r="E375" s="46"/>
      <c r="F375" s="34"/>
      <c r="G375" s="34"/>
      <c r="H375" s="47"/>
      <c r="I375" s="47"/>
      <c r="J375" s="111"/>
      <c r="K375" s="47"/>
      <c r="L375" s="102"/>
      <c r="M375" s="47"/>
      <c r="N375" s="47"/>
      <c r="O375" s="43"/>
      <c r="P375" s="102" t="b">
        <v>0</v>
      </c>
      <c r="Q375" s="102" t="b">
        <v>0</v>
      </c>
      <c r="R375" s="102" t="b">
        <v>0</v>
      </c>
      <c r="S375" s="34"/>
      <c r="T375" s="43"/>
      <c r="U375" s="102" t="b">
        <v>0</v>
      </c>
      <c r="V375" s="43"/>
      <c r="W375" s="43"/>
      <c r="X375" s="43"/>
      <c r="Y375" s="43"/>
      <c r="Z375" s="43"/>
      <c r="AA375" s="34"/>
      <c r="AB375" s="114"/>
      <c r="AC375" s="29" t="str">
        <f t="shared" si="5"/>
        <v>Sim</v>
      </c>
      <c r="AD375" s="37" t="str">
        <f t="shared" si="1"/>
        <v>Não</v>
      </c>
      <c r="AE375" s="102"/>
      <c r="AF375" s="47"/>
      <c r="AG375" s="34"/>
    </row>
    <row r="376" hidden="1">
      <c r="A376" s="43"/>
      <c r="B376" s="43"/>
      <c r="C376" s="43"/>
      <c r="D376" s="43"/>
      <c r="E376" s="46"/>
      <c r="F376" s="34"/>
      <c r="G376" s="34"/>
      <c r="H376" s="47"/>
      <c r="I376" s="47"/>
      <c r="J376" s="111"/>
      <c r="K376" s="47"/>
      <c r="L376" s="102"/>
      <c r="M376" s="47"/>
      <c r="N376" s="47"/>
      <c r="O376" s="43"/>
      <c r="P376" s="102" t="b">
        <v>0</v>
      </c>
      <c r="Q376" s="102" t="b">
        <v>0</v>
      </c>
      <c r="R376" s="102" t="b">
        <v>0</v>
      </c>
      <c r="S376" s="34"/>
      <c r="T376" s="43"/>
      <c r="U376" s="102" t="b">
        <v>0</v>
      </c>
      <c r="V376" s="43"/>
      <c r="W376" s="43"/>
      <c r="X376" s="43"/>
      <c r="Y376" s="43"/>
      <c r="Z376" s="43"/>
      <c r="AA376" s="34"/>
      <c r="AB376" s="114"/>
      <c r="AC376" s="29" t="str">
        <f t="shared" si="5"/>
        <v>Sim</v>
      </c>
      <c r="AD376" s="37" t="str">
        <f t="shared" si="1"/>
        <v>Não</v>
      </c>
      <c r="AE376" s="102"/>
      <c r="AF376" s="47"/>
      <c r="AG376" s="34"/>
    </row>
    <row r="377" hidden="1">
      <c r="A377" s="43"/>
      <c r="B377" s="43"/>
      <c r="C377" s="43"/>
      <c r="D377" s="43"/>
      <c r="E377" s="46"/>
      <c r="F377" s="34"/>
      <c r="G377" s="34"/>
      <c r="H377" s="47"/>
      <c r="I377" s="47"/>
      <c r="J377" s="111"/>
      <c r="K377" s="47"/>
      <c r="L377" s="102"/>
      <c r="M377" s="47"/>
      <c r="N377" s="47"/>
      <c r="O377" s="43"/>
      <c r="P377" s="102" t="b">
        <v>0</v>
      </c>
      <c r="Q377" s="102" t="b">
        <v>0</v>
      </c>
      <c r="R377" s="102" t="b">
        <v>0</v>
      </c>
      <c r="S377" s="34"/>
      <c r="T377" s="43"/>
      <c r="U377" s="102" t="b">
        <v>0</v>
      </c>
      <c r="V377" s="43"/>
      <c r="W377" s="43"/>
      <c r="X377" s="43"/>
      <c r="Y377" s="43"/>
      <c r="Z377" s="43"/>
      <c r="AA377" s="34"/>
      <c r="AB377" s="114"/>
      <c r="AC377" s="29" t="str">
        <f t="shared" si="5"/>
        <v>Sim</v>
      </c>
      <c r="AD377" s="37" t="str">
        <f t="shared" si="1"/>
        <v>Não</v>
      </c>
      <c r="AE377" s="102"/>
      <c r="AF377" s="47"/>
      <c r="AG377" s="34"/>
    </row>
    <row r="378" hidden="1">
      <c r="A378" s="43"/>
      <c r="B378" s="43"/>
      <c r="C378" s="43"/>
      <c r="D378" s="43"/>
      <c r="E378" s="46"/>
      <c r="F378" s="34"/>
      <c r="G378" s="34"/>
      <c r="H378" s="47"/>
      <c r="I378" s="47"/>
      <c r="J378" s="111"/>
      <c r="K378" s="47"/>
      <c r="L378" s="102"/>
      <c r="M378" s="47"/>
      <c r="N378" s="47"/>
      <c r="O378" s="43"/>
      <c r="P378" s="102" t="b">
        <v>0</v>
      </c>
      <c r="Q378" s="102" t="b">
        <v>0</v>
      </c>
      <c r="R378" s="102" t="b">
        <v>0</v>
      </c>
      <c r="S378" s="34"/>
      <c r="T378" s="43"/>
      <c r="U378" s="102" t="b">
        <v>0</v>
      </c>
      <c r="V378" s="43"/>
      <c r="W378" s="43"/>
      <c r="X378" s="43"/>
      <c r="Y378" s="43"/>
      <c r="Z378" s="43"/>
      <c r="AA378" s="34"/>
      <c r="AB378" s="114"/>
      <c r="AC378" s="29" t="str">
        <f t="shared" si="5"/>
        <v>Sim</v>
      </c>
      <c r="AD378" s="37" t="str">
        <f t="shared" si="1"/>
        <v>Não</v>
      </c>
      <c r="AE378" s="102"/>
      <c r="AF378" s="47"/>
      <c r="AG378" s="34"/>
    </row>
    <row r="379" hidden="1">
      <c r="A379" s="43"/>
      <c r="B379" s="43"/>
      <c r="C379" s="43"/>
      <c r="D379" s="43"/>
      <c r="E379" s="46"/>
      <c r="F379" s="34"/>
      <c r="G379" s="34"/>
      <c r="H379" s="47"/>
      <c r="I379" s="47"/>
      <c r="J379" s="111"/>
      <c r="K379" s="47"/>
      <c r="L379" s="102"/>
      <c r="M379" s="47"/>
      <c r="N379" s="47"/>
      <c r="O379" s="43"/>
      <c r="P379" s="102" t="b">
        <v>0</v>
      </c>
      <c r="Q379" s="102" t="b">
        <v>0</v>
      </c>
      <c r="R379" s="102" t="b">
        <v>0</v>
      </c>
      <c r="S379" s="34"/>
      <c r="T379" s="43"/>
      <c r="U379" s="102" t="b">
        <v>0</v>
      </c>
      <c r="V379" s="43"/>
      <c r="W379" s="43"/>
      <c r="X379" s="43"/>
      <c r="Y379" s="43"/>
      <c r="Z379" s="43"/>
      <c r="AA379" s="34"/>
      <c r="AB379" s="114"/>
      <c r="AC379" s="29" t="str">
        <f t="shared" si="5"/>
        <v>Sim</v>
      </c>
      <c r="AD379" s="37" t="str">
        <f t="shared" si="1"/>
        <v>Não</v>
      </c>
      <c r="AE379" s="102"/>
      <c r="AF379" s="47"/>
      <c r="AG379" s="34"/>
    </row>
    <row r="380" hidden="1">
      <c r="A380" s="43"/>
      <c r="B380" s="43"/>
      <c r="C380" s="43"/>
      <c r="D380" s="43"/>
      <c r="E380" s="46"/>
      <c r="F380" s="34"/>
      <c r="G380" s="34"/>
      <c r="H380" s="47"/>
      <c r="I380" s="47"/>
      <c r="J380" s="111"/>
      <c r="K380" s="47"/>
      <c r="L380" s="102"/>
      <c r="M380" s="47"/>
      <c r="N380" s="47"/>
      <c r="O380" s="43"/>
      <c r="P380" s="102" t="b">
        <v>0</v>
      </c>
      <c r="Q380" s="102" t="b">
        <v>0</v>
      </c>
      <c r="R380" s="102" t="b">
        <v>0</v>
      </c>
      <c r="S380" s="34"/>
      <c r="T380" s="43"/>
      <c r="U380" s="102" t="b">
        <v>0</v>
      </c>
      <c r="V380" s="43"/>
      <c r="W380" s="43"/>
      <c r="X380" s="43"/>
      <c r="Y380" s="43"/>
      <c r="Z380" s="43"/>
      <c r="AA380" s="34"/>
      <c r="AB380" s="114"/>
      <c r="AC380" s="29" t="str">
        <f t="shared" si="5"/>
        <v>Sim</v>
      </c>
      <c r="AD380" s="37" t="str">
        <f t="shared" si="1"/>
        <v>Não</v>
      </c>
      <c r="AE380" s="102"/>
      <c r="AF380" s="47"/>
      <c r="AG380" s="34"/>
    </row>
    <row r="381" hidden="1">
      <c r="A381" s="43"/>
      <c r="B381" s="43"/>
      <c r="C381" s="43"/>
      <c r="D381" s="43"/>
      <c r="E381" s="46"/>
      <c r="F381" s="34"/>
      <c r="G381" s="34"/>
      <c r="H381" s="47"/>
      <c r="I381" s="47"/>
      <c r="J381" s="111"/>
      <c r="K381" s="47"/>
      <c r="L381" s="102"/>
      <c r="M381" s="47"/>
      <c r="N381" s="47"/>
      <c r="O381" s="43"/>
      <c r="P381" s="102" t="b">
        <v>0</v>
      </c>
      <c r="Q381" s="102" t="b">
        <v>0</v>
      </c>
      <c r="R381" s="102" t="b">
        <v>0</v>
      </c>
      <c r="S381" s="34"/>
      <c r="T381" s="43"/>
      <c r="U381" s="102" t="b">
        <v>0</v>
      </c>
      <c r="V381" s="43"/>
      <c r="W381" s="43"/>
      <c r="X381" s="43"/>
      <c r="Y381" s="43"/>
      <c r="Z381" s="43"/>
      <c r="AA381" s="34"/>
      <c r="AB381" s="114"/>
      <c r="AC381" s="29" t="str">
        <f t="shared" si="5"/>
        <v>Sim</v>
      </c>
      <c r="AD381" s="37" t="str">
        <f t="shared" si="1"/>
        <v>Não</v>
      </c>
      <c r="AE381" s="102"/>
      <c r="AF381" s="47"/>
      <c r="AG381" s="34"/>
    </row>
    <row r="382" hidden="1">
      <c r="A382" s="43"/>
      <c r="B382" s="43"/>
      <c r="C382" s="43"/>
      <c r="D382" s="43"/>
      <c r="E382" s="46"/>
      <c r="F382" s="34"/>
      <c r="G382" s="34"/>
      <c r="H382" s="47"/>
      <c r="I382" s="47"/>
      <c r="J382" s="111"/>
      <c r="K382" s="47"/>
      <c r="L382" s="102"/>
      <c r="M382" s="47"/>
      <c r="N382" s="47"/>
      <c r="O382" s="43"/>
      <c r="P382" s="102" t="b">
        <v>0</v>
      </c>
      <c r="Q382" s="102" t="b">
        <v>0</v>
      </c>
      <c r="R382" s="102" t="b">
        <v>0</v>
      </c>
      <c r="S382" s="34"/>
      <c r="T382" s="43"/>
      <c r="U382" s="102" t="b">
        <v>0</v>
      </c>
      <c r="V382" s="43"/>
      <c r="W382" s="43"/>
      <c r="X382" s="43"/>
      <c r="Y382" s="43"/>
      <c r="Z382" s="43"/>
      <c r="AA382" s="34"/>
      <c r="AB382" s="114"/>
      <c r="AC382" s="29" t="str">
        <f t="shared" si="5"/>
        <v>Sim</v>
      </c>
      <c r="AD382" s="37" t="str">
        <f t="shared" si="1"/>
        <v>Não</v>
      </c>
      <c r="AE382" s="102"/>
      <c r="AF382" s="47"/>
      <c r="AG382" s="34"/>
    </row>
    <row r="383" hidden="1">
      <c r="A383" s="43"/>
      <c r="B383" s="43"/>
      <c r="C383" s="43"/>
      <c r="D383" s="43"/>
      <c r="E383" s="46"/>
      <c r="F383" s="34"/>
      <c r="G383" s="34"/>
      <c r="H383" s="47"/>
      <c r="I383" s="47"/>
      <c r="J383" s="111"/>
      <c r="K383" s="47"/>
      <c r="L383" s="102"/>
      <c r="M383" s="47"/>
      <c r="N383" s="47"/>
      <c r="O383" s="43"/>
      <c r="P383" s="102" t="b">
        <v>0</v>
      </c>
      <c r="Q383" s="102" t="b">
        <v>0</v>
      </c>
      <c r="R383" s="102" t="b">
        <v>0</v>
      </c>
      <c r="S383" s="34"/>
      <c r="T383" s="43"/>
      <c r="U383" s="102" t="b">
        <v>0</v>
      </c>
      <c r="V383" s="43"/>
      <c r="W383" s="43"/>
      <c r="X383" s="43"/>
      <c r="Y383" s="43"/>
      <c r="Z383" s="43"/>
      <c r="AA383" s="34"/>
      <c r="AB383" s="114"/>
      <c r="AC383" s="29" t="str">
        <f t="shared" si="5"/>
        <v>Sim</v>
      </c>
      <c r="AD383" s="37" t="str">
        <f t="shared" si="1"/>
        <v>Não</v>
      </c>
      <c r="AE383" s="102"/>
      <c r="AF383" s="47"/>
      <c r="AG383" s="34"/>
    </row>
    <row r="384" hidden="1">
      <c r="A384" s="43"/>
      <c r="B384" s="43"/>
      <c r="C384" s="43"/>
      <c r="D384" s="43"/>
      <c r="E384" s="46"/>
      <c r="F384" s="34"/>
      <c r="G384" s="34"/>
      <c r="H384" s="47"/>
      <c r="I384" s="47"/>
      <c r="J384" s="111"/>
      <c r="K384" s="47"/>
      <c r="L384" s="102"/>
      <c r="M384" s="47"/>
      <c r="N384" s="47"/>
      <c r="O384" s="43"/>
      <c r="P384" s="102" t="b">
        <v>0</v>
      </c>
      <c r="Q384" s="102" t="b">
        <v>0</v>
      </c>
      <c r="R384" s="102" t="b">
        <v>0</v>
      </c>
      <c r="S384" s="34"/>
      <c r="T384" s="43"/>
      <c r="U384" s="102" t="b">
        <v>0</v>
      </c>
      <c r="V384" s="43"/>
      <c r="W384" s="43"/>
      <c r="X384" s="43"/>
      <c r="Y384" s="43"/>
      <c r="Z384" s="43"/>
      <c r="AA384" s="34"/>
      <c r="AB384" s="114"/>
      <c r="AC384" s="29" t="str">
        <f t="shared" si="5"/>
        <v>Sim</v>
      </c>
      <c r="AD384" s="37" t="str">
        <f t="shared" si="1"/>
        <v>Não</v>
      </c>
      <c r="AE384" s="102"/>
      <c r="AF384" s="47"/>
      <c r="AG384" s="34"/>
    </row>
    <row r="385" hidden="1">
      <c r="A385" s="43"/>
      <c r="B385" s="43"/>
      <c r="C385" s="43"/>
      <c r="D385" s="43"/>
      <c r="E385" s="46"/>
      <c r="F385" s="34"/>
      <c r="G385" s="34"/>
      <c r="H385" s="47"/>
      <c r="I385" s="47"/>
      <c r="J385" s="111"/>
      <c r="K385" s="47"/>
      <c r="L385" s="102"/>
      <c r="M385" s="47"/>
      <c r="N385" s="47"/>
      <c r="O385" s="43"/>
      <c r="P385" s="102" t="b">
        <v>0</v>
      </c>
      <c r="Q385" s="102" t="b">
        <v>0</v>
      </c>
      <c r="R385" s="102" t="b">
        <v>0</v>
      </c>
      <c r="S385" s="34"/>
      <c r="T385" s="43"/>
      <c r="U385" s="102" t="b">
        <v>0</v>
      </c>
      <c r="V385" s="43"/>
      <c r="W385" s="43"/>
      <c r="X385" s="43"/>
      <c r="Y385" s="43"/>
      <c r="Z385" s="43"/>
      <c r="AA385" s="34"/>
      <c r="AB385" s="114"/>
      <c r="AC385" s="29" t="str">
        <f t="shared" si="5"/>
        <v>Sim</v>
      </c>
      <c r="AD385" s="37" t="str">
        <f t="shared" si="1"/>
        <v>Não</v>
      </c>
      <c r="AE385" s="102"/>
      <c r="AF385" s="47"/>
      <c r="AG385" s="34"/>
    </row>
    <row r="386" hidden="1">
      <c r="A386" s="43"/>
      <c r="B386" s="43"/>
      <c r="C386" s="43"/>
      <c r="D386" s="43"/>
      <c r="E386" s="46"/>
      <c r="F386" s="34"/>
      <c r="G386" s="34"/>
      <c r="H386" s="47"/>
      <c r="I386" s="47"/>
      <c r="J386" s="111"/>
      <c r="K386" s="47"/>
      <c r="L386" s="102"/>
      <c r="M386" s="47"/>
      <c r="N386" s="47"/>
      <c r="O386" s="43"/>
      <c r="P386" s="102" t="b">
        <v>0</v>
      </c>
      <c r="Q386" s="102" t="b">
        <v>0</v>
      </c>
      <c r="R386" s="102" t="b">
        <v>0</v>
      </c>
      <c r="S386" s="34"/>
      <c r="T386" s="43"/>
      <c r="U386" s="102" t="b">
        <v>0</v>
      </c>
      <c r="V386" s="43"/>
      <c r="W386" s="43"/>
      <c r="X386" s="43"/>
      <c r="Y386" s="43"/>
      <c r="Z386" s="43"/>
      <c r="AA386" s="34"/>
      <c r="AB386" s="114"/>
      <c r="AC386" s="29" t="str">
        <f t="shared" si="5"/>
        <v>Sim</v>
      </c>
      <c r="AD386" s="37" t="str">
        <f t="shared" si="1"/>
        <v>Não</v>
      </c>
      <c r="AE386" s="102"/>
      <c r="AF386" s="47"/>
      <c r="AG386" s="34"/>
    </row>
    <row r="387" hidden="1">
      <c r="A387" s="43"/>
      <c r="B387" s="43"/>
      <c r="C387" s="43"/>
      <c r="D387" s="43"/>
      <c r="E387" s="46"/>
      <c r="F387" s="34"/>
      <c r="G387" s="34"/>
      <c r="H387" s="47"/>
      <c r="I387" s="47"/>
      <c r="J387" s="111"/>
      <c r="K387" s="47"/>
      <c r="L387" s="102"/>
      <c r="M387" s="47"/>
      <c r="N387" s="47"/>
      <c r="O387" s="43"/>
      <c r="P387" s="102" t="b">
        <v>0</v>
      </c>
      <c r="Q387" s="102" t="b">
        <v>0</v>
      </c>
      <c r="R387" s="102" t="b">
        <v>0</v>
      </c>
      <c r="S387" s="34"/>
      <c r="T387" s="43"/>
      <c r="U387" s="102" t="b">
        <v>0</v>
      </c>
      <c r="V387" s="43"/>
      <c r="W387" s="43"/>
      <c r="X387" s="43"/>
      <c r="Y387" s="43"/>
      <c r="Z387" s="43"/>
      <c r="AA387" s="34"/>
      <c r="AB387" s="114"/>
      <c r="AC387" s="29" t="str">
        <f t="shared" si="5"/>
        <v>Sim</v>
      </c>
      <c r="AD387" s="37" t="str">
        <f t="shared" si="1"/>
        <v>Não</v>
      </c>
      <c r="AE387" s="102"/>
      <c r="AF387" s="47"/>
      <c r="AG387" s="34"/>
    </row>
    <row r="388" hidden="1">
      <c r="A388" s="43"/>
      <c r="B388" s="43"/>
      <c r="C388" s="43"/>
      <c r="D388" s="43"/>
      <c r="E388" s="46"/>
      <c r="F388" s="34"/>
      <c r="G388" s="34"/>
      <c r="H388" s="47"/>
      <c r="I388" s="47"/>
      <c r="J388" s="111"/>
      <c r="K388" s="47"/>
      <c r="L388" s="102"/>
      <c r="M388" s="47"/>
      <c r="N388" s="47"/>
      <c r="O388" s="43"/>
      <c r="P388" s="102" t="b">
        <v>0</v>
      </c>
      <c r="Q388" s="102" t="b">
        <v>0</v>
      </c>
      <c r="R388" s="102" t="b">
        <v>0</v>
      </c>
      <c r="S388" s="34"/>
      <c r="T388" s="43"/>
      <c r="U388" s="102" t="b">
        <v>0</v>
      </c>
      <c r="V388" s="43"/>
      <c r="W388" s="43"/>
      <c r="X388" s="43"/>
      <c r="Y388" s="43"/>
      <c r="Z388" s="43"/>
      <c r="AA388" s="34"/>
      <c r="AB388" s="114"/>
      <c r="AC388" s="29" t="str">
        <f t="shared" si="5"/>
        <v>Sim</v>
      </c>
      <c r="AD388" s="37" t="str">
        <f t="shared" si="1"/>
        <v>Não</v>
      </c>
      <c r="AE388" s="102"/>
      <c r="AF388" s="47"/>
      <c r="AG388" s="34"/>
    </row>
    <row r="389" hidden="1">
      <c r="A389" s="43"/>
      <c r="B389" s="43"/>
      <c r="C389" s="43"/>
      <c r="D389" s="43"/>
      <c r="E389" s="46"/>
      <c r="F389" s="34"/>
      <c r="G389" s="34"/>
      <c r="H389" s="47"/>
      <c r="I389" s="47"/>
      <c r="J389" s="111"/>
      <c r="K389" s="47"/>
      <c r="L389" s="102"/>
      <c r="M389" s="47"/>
      <c r="N389" s="47"/>
      <c r="O389" s="43"/>
      <c r="P389" s="102" t="b">
        <v>0</v>
      </c>
      <c r="Q389" s="102" t="b">
        <v>0</v>
      </c>
      <c r="R389" s="102" t="b">
        <v>0</v>
      </c>
      <c r="S389" s="34"/>
      <c r="T389" s="43"/>
      <c r="U389" s="102" t="b">
        <v>0</v>
      </c>
      <c r="V389" s="43"/>
      <c r="W389" s="43"/>
      <c r="X389" s="43"/>
      <c r="Y389" s="43"/>
      <c r="Z389" s="43"/>
      <c r="AA389" s="34"/>
      <c r="AB389" s="114"/>
      <c r="AC389" s="29" t="str">
        <f t="shared" si="5"/>
        <v>Sim</v>
      </c>
      <c r="AD389" s="37" t="str">
        <f t="shared" si="1"/>
        <v>Não</v>
      </c>
      <c r="AE389" s="102"/>
      <c r="AF389" s="47"/>
      <c r="AG389" s="34"/>
    </row>
    <row r="390" hidden="1">
      <c r="A390" s="43"/>
      <c r="B390" s="43"/>
      <c r="C390" s="43"/>
      <c r="D390" s="43"/>
      <c r="E390" s="46"/>
      <c r="F390" s="34"/>
      <c r="G390" s="34"/>
      <c r="H390" s="47"/>
      <c r="I390" s="47"/>
      <c r="J390" s="111"/>
      <c r="K390" s="47"/>
      <c r="L390" s="102"/>
      <c r="M390" s="47"/>
      <c r="N390" s="47"/>
      <c r="O390" s="43"/>
      <c r="P390" s="102" t="b">
        <v>0</v>
      </c>
      <c r="Q390" s="102" t="b">
        <v>0</v>
      </c>
      <c r="R390" s="102" t="b">
        <v>0</v>
      </c>
      <c r="S390" s="34"/>
      <c r="T390" s="43"/>
      <c r="U390" s="102" t="b">
        <v>0</v>
      </c>
      <c r="V390" s="43"/>
      <c r="W390" s="43"/>
      <c r="X390" s="43"/>
      <c r="Y390" s="43"/>
      <c r="Z390" s="43"/>
      <c r="AA390" s="34"/>
      <c r="AB390" s="114"/>
      <c r="AC390" s="29" t="str">
        <f t="shared" si="5"/>
        <v>Sim</v>
      </c>
      <c r="AD390" s="37" t="str">
        <f t="shared" si="1"/>
        <v>Não</v>
      </c>
      <c r="AE390" s="102"/>
      <c r="AF390" s="47"/>
      <c r="AG390" s="34"/>
    </row>
    <row r="391" hidden="1">
      <c r="A391" s="43"/>
      <c r="B391" s="43"/>
      <c r="C391" s="43"/>
      <c r="D391" s="43"/>
      <c r="E391" s="46"/>
      <c r="F391" s="34"/>
      <c r="G391" s="34"/>
      <c r="H391" s="47"/>
      <c r="I391" s="47"/>
      <c r="J391" s="111"/>
      <c r="K391" s="47"/>
      <c r="L391" s="102"/>
      <c r="M391" s="47"/>
      <c r="N391" s="47"/>
      <c r="O391" s="43"/>
      <c r="P391" s="102" t="b">
        <v>0</v>
      </c>
      <c r="Q391" s="102" t="b">
        <v>0</v>
      </c>
      <c r="R391" s="102" t="b">
        <v>0</v>
      </c>
      <c r="S391" s="34"/>
      <c r="T391" s="43"/>
      <c r="U391" s="102" t="b">
        <v>0</v>
      </c>
      <c r="V391" s="43"/>
      <c r="W391" s="43"/>
      <c r="X391" s="43"/>
      <c r="Y391" s="43"/>
      <c r="Z391" s="43"/>
      <c r="AA391" s="34"/>
      <c r="AB391" s="114"/>
      <c r="AC391" s="29" t="str">
        <f t="shared" si="5"/>
        <v>Sim</v>
      </c>
      <c r="AD391" s="37" t="str">
        <f t="shared" si="1"/>
        <v>Não</v>
      </c>
      <c r="AE391" s="102"/>
      <c r="AF391" s="47"/>
      <c r="AG391" s="34"/>
    </row>
    <row r="392" hidden="1">
      <c r="A392" s="43"/>
      <c r="B392" s="43"/>
      <c r="C392" s="43"/>
      <c r="D392" s="43"/>
      <c r="E392" s="46"/>
      <c r="F392" s="34"/>
      <c r="G392" s="34"/>
      <c r="H392" s="47"/>
      <c r="I392" s="47"/>
      <c r="J392" s="111"/>
      <c r="K392" s="47"/>
      <c r="L392" s="102"/>
      <c r="M392" s="47"/>
      <c r="N392" s="47"/>
      <c r="O392" s="43"/>
      <c r="P392" s="102" t="b">
        <v>0</v>
      </c>
      <c r="Q392" s="102" t="b">
        <v>0</v>
      </c>
      <c r="R392" s="102" t="b">
        <v>0</v>
      </c>
      <c r="S392" s="34"/>
      <c r="T392" s="43"/>
      <c r="U392" s="102" t="b">
        <v>0</v>
      </c>
      <c r="V392" s="43"/>
      <c r="W392" s="43"/>
      <c r="X392" s="43"/>
      <c r="Y392" s="43"/>
      <c r="Z392" s="43"/>
      <c r="AA392" s="34"/>
      <c r="AB392" s="114"/>
      <c r="AC392" s="29" t="str">
        <f t="shared" si="5"/>
        <v>Sim</v>
      </c>
      <c r="AD392" s="37" t="str">
        <f t="shared" si="1"/>
        <v>Não</v>
      </c>
      <c r="AE392" s="102"/>
      <c r="AF392" s="47"/>
      <c r="AG392" s="34"/>
    </row>
    <row r="393" hidden="1">
      <c r="A393" s="43"/>
      <c r="B393" s="43"/>
      <c r="C393" s="43"/>
      <c r="D393" s="43"/>
      <c r="E393" s="46"/>
      <c r="F393" s="34"/>
      <c r="G393" s="34"/>
      <c r="H393" s="47"/>
      <c r="I393" s="47"/>
      <c r="J393" s="111"/>
      <c r="K393" s="47"/>
      <c r="L393" s="102"/>
      <c r="M393" s="47"/>
      <c r="N393" s="47"/>
      <c r="O393" s="43"/>
      <c r="P393" s="102" t="b">
        <v>0</v>
      </c>
      <c r="Q393" s="102" t="b">
        <v>0</v>
      </c>
      <c r="R393" s="102" t="b">
        <v>0</v>
      </c>
      <c r="S393" s="34"/>
      <c r="T393" s="43"/>
      <c r="U393" s="102" t="b">
        <v>0</v>
      </c>
      <c r="V393" s="43"/>
      <c r="W393" s="43"/>
      <c r="X393" s="43"/>
      <c r="Y393" s="43"/>
      <c r="Z393" s="43"/>
      <c r="AA393" s="34"/>
      <c r="AB393" s="114"/>
      <c r="AC393" s="29" t="str">
        <f t="shared" si="5"/>
        <v>Sim</v>
      </c>
      <c r="AD393" s="37" t="str">
        <f t="shared" si="1"/>
        <v>Não</v>
      </c>
      <c r="AE393" s="102"/>
      <c r="AF393" s="47"/>
      <c r="AG393" s="34"/>
    </row>
    <row r="394" hidden="1">
      <c r="A394" s="43"/>
      <c r="B394" s="43"/>
      <c r="C394" s="43"/>
      <c r="D394" s="43"/>
      <c r="E394" s="46"/>
      <c r="F394" s="34"/>
      <c r="G394" s="34"/>
      <c r="H394" s="47"/>
      <c r="I394" s="47"/>
      <c r="J394" s="111"/>
      <c r="K394" s="47"/>
      <c r="L394" s="102"/>
      <c r="M394" s="47"/>
      <c r="N394" s="47"/>
      <c r="O394" s="43"/>
      <c r="P394" s="102" t="b">
        <v>0</v>
      </c>
      <c r="Q394" s="102" t="b">
        <v>0</v>
      </c>
      <c r="R394" s="102" t="b">
        <v>0</v>
      </c>
      <c r="S394" s="34"/>
      <c r="T394" s="43"/>
      <c r="U394" s="102" t="b">
        <v>0</v>
      </c>
      <c r="V394" s="43"/>
      <c r="W394" s="43"/>
      <c r="X394" s="43"/>
      <c r="Y394" s="43"/>
      <c r="Z394" s="43"/>
      <c r="AA394" s="34"/>
      <c r="AB394" s="114"/>
      <c r="AC394" s="29" t="str">
        <f t="shared" si="5"/>
        <v>Sim</v>
      </c>
      <c r="AD394" s="37" t="str">
        <f t="shared" si="1"/>
        <v>Não</v>
      </c>
      <c r="AE394" s="102"/>
      <c r="AF394" s="47"/>
      <c r="AG394" s="34"/>
    </row>
    <row r="395" hidden="1">
      <c r="A395" s="43"/>
      <c r="B395" s="43"/>
      <c r="C395" s="43"/>
      <c r="D395" s="43"/>
      <c r="E395" s="46"/>
      <c r="F395" s="34"/>
      <c r="G395" s="34"/>
      <c r="H395" s="47"/>
      <c r="I395" s="47"/>
      <c r="J395" s="111"/>
      <c r="K395" s="47"/>
      <c r="L395" s="102"/>
      <c r="M395" s="47"/>
      <c r="N395" s="47"/>
      <c r="O395" s="43"/>
      <c r="P395" s="102" t="b">
        <v>0</v>
      </c>
      <c r="Q395" s="102" t="b">
        <v>0</v>
      </c>
      <c r="R395" s="102" t="b">
        <v>0</v>
      </c>
      <c r="S395" s="34"/>
      <c r="T395" s="43"/>
      <c r="U395" s="102" t="b">
        <v>0</v>
      </c>
      <c r="V395" s="43"/>
      <c r="W395" s="43"/>
      <c r="X395" s="43"/>
      <c r="Y395" s="43"/>
      <c r="Z395" s="43"/>
      <c r="AA395" s="34"/>
      <c r="AB395" s="114"/>
      <c r="AC395" s="29" t="str">
        <f t="shared" si="5"/>
        <v>Sim</v>
      </c>
      <c r="AD395" s="37" t="str">
        <f t="shared" si="1"/>
        <v>Não</v>
      </c>
      <c r="AE395" s="102"/>
      <c r="AF395" s="47"/>
      <c r="AG395" s="34"/>
    </row>
    <row r="396" hidden="1">
      <c r="A396" s="43"/>
      <c r="B396" s="43"/>
      <c r="C396" s="43"/>
      <c r="D396" s="43"/>
      <c r="E396" s="46"/>
      <c r="F396" s="34"/>
      <c r="G396" s="34"/>
      <c r="H396" s="47"/>
      <c r="I396" s="47"/>
      <c r="J396" s="111"/>
      <c r="K396" s="47"/>
      <c r="L396" s="102"/>
      <c r="M396" s="47"/>
      <c r="N396" s="47"/>
      <c r="O396" s="43"/>
      <c r="P396" s="102" t="b">
        <v>0</v>
      </c>
      <c r="Q396" s="102" t="b">
        <v>0</v>
      </c>
      <c r="R396" s="102" t="b">
        <v>0</v>
      </c>
      <c r="S396" s="34"/>
      <c r="T396" s="43"/>
      <c r="U396" s="102" t="b">
        <v>0</v>
      </c>
      <c r="V396" s="43"/>
      <c r="W396" s="43"/>
      <c r="X396" s="43"/>
      <c r="Y396" s="43"/>
      <c r="Z396" s="43"/>
      <c r="AA396" s="34"/>
      <c r="AB396" s="114"/>
      <c r="AC396" s="29" t="str">
        <f t="shared" si="5"/>
        <v>Sim</v>
      </c>
      <c r="AD396" s="37" t="str">
        <f t="shared" si="1"/>
        <v>Não</v>
      </c>
      <c r="AE396" s="102"/>
      <c r="AF396" s="47"/>
      <c r="AG396" s="34"/>
    </row>
    <row r="397" hidden="1">
      <c r="A397" s="43"/>
      <c r="B397" s="43"/>
      <c r="C397" s="43"/>
      <c r="D397" s="43"/>
      <c r="E397" s="46"/>
      <c r="F397" s="34"/>
      <c r="G397" s="34"/>
      <c r="H397" s="47"/>
      <c r="I397" s="47"/>
      <c r="J397" s="111"/>
      <c r="K397" s="47"/>
      <c r="L397" s="102"/>
      <c r="M397" s="47"/>
      <c r="N397" s="47"/>
      <c r="O397" s="43"/>
      <c r="P397" s="102" t="b">
        <v>0</v>
      </c>
      <c r="Q397" s="102" t="b">
        <v>0</v>
      </c>
      <c r="R397" s="102" t="b">
        <v>0</v>
      </c>
      <c r="S397" s="34"/>
      <c r="T397" s="43"/>
      <c r="U397" s="102" t="b">
        <v>0</v>
      </c>
      <c r="V397" s="43"/>
      <c r="W397" s="43"/>
      <c r="X397" s="43"/>
      <c r="Y397" s="43"/>
      <c r="Z397" s="43"/>
      <c r="AA397" s="34"/>
      <c r="AB397" s="114"/>
      <c r="AC397" s="29" t="str">
        <f t="shared" si="5"/>
        <v>Sim</v>
      </c>
      <c r="AD397" s="37" t="str">
        <f t="shared" si="1"/>
        <v>Não</v>
      </c>
      <c r="AE397" s="102"/>
      <c r="AF397" s="47"/>
      <c r="AG397" s="34"/>
    </row>
    <row r="398" hidden="1">
      <c r="A398" s="43"/>
      <c r="B398" s="43"/>
      <c r="C398" s="43"/>
      <c r="D398" s="43"/>
      <c r="E398" s="46"/>
      <c r="F398" s="34"/>
      <c r="G398" s="34"/>
      <c r="H398" s="47"/>
      <c r="I398" s="47"/>
      <c r="J398" s="111"/>
      <c r="K398" s="47"/>
      <c r="L398" s="102"/>
      <c r="M398" s="47"/>
      <c r="N398" s="47"/>
      <c r="O398" s="43"/>
      <c r="P398" s="102" t="b">
        <v>0</v>
      </c>
      <c r="Q398" s="102" t="b">
        <v>0</v>
      </c>
      <c r="R398" s="102" t="b">
        <v>0</v>
      </c>
      <c r="S398" s="34"/>
      <c r="T398" s="43"/>
      <c r="U398" s="102" t="b">
        <v>0</v>
      </c>
      <c r="V398" s="43"/>
      <c r="W398" s="43"/>
      <c r="X398" s="43"/>
      <c r="Y398" s="43"/>
      <c r="Z398" s="43"/>
      <c r="AA398" s="34"/>
      <c r="AB398" s="114"/>
      <c r="AC398" s="29" t="str">
        <f t="shared" si="5"/>
        <v>Sim</v>
      </c>
      <c r="AD398" s="37" t="str">
        <f t="shared" si="1"/>
        <v>Não</v>
      </c>
      <c r="AE398" s="102"/>
      <c r="AF398" s="47"/>
      <c r="AG398" s="34"/>
    </row>
    <row r="399" hidden="1">
      <c r="A399" s="43"/>
      <c r="B399" s="43"/>
      <c r="C399" s="43"/>
      <c r="D399" s="43"/>
      <c r="E399" s="46"/>
      <c r="F399" s="34"/>
      <c r="G399" s="34"/>
      <c r="H399" s="47"/>
      <c r="I399" s="47"/>
      <c r="J399" s="111"/>
      <c r="K399" s="47"/>
      <c r="L399" s="102"/>
      <c r="M399" s="47"/>
      <c r="N399" s="47"/>
      <c r="O399" s="43"/>
      <c r="P399" s="102" t="b">
        <v>0</v>
      </c>
      <c r="Q399" s="102" t="b">
        <v>0</v>
      </c>
      <c r="R399" s="102" t="b">
        <v>0</v>
      </c>
      <c r="S399" s="34"/>
      <c r="T399" s="43"/>
      <c r="U399" s="102" t="b">
        <v>0</v>
      </c>
      <c r="V399" s="43"/>
      <c r="W399" s="43"/>
      <c r="X399" s="43"/>
      <c r="Y399" s="43"/>
      <c r="Z399" s="43"/>
      <c r="AA399" s="34"/>
      <c r="AB399" s="114"/>
      <c r="AC399" s="29" t="str">
        <f t="shared" si="5"/>
        <v>Sim</v>
      </c>
      <c r="AD399" s="37" t="str">
        <f t="shared" si="1"/>
        <v>Não</v>
      </c>
      <c r="AE399" s="102"/>
      <c r="AF399" s="47"/>
      <c r="AG399" s="34"/>
    </row>
    <row r="400" hidden="1">
      <c r="A400" s="43"/>
      <c r="B400" s="43"/>
      <c r="C400" s="43"/>
      <c r="D400" s="43"/>
      <c r="E400" s="46"/>
      <c r="F400" s="34"/>
      <c r="G400" s="34"/>
      <c r="H400" s="47"/>
      <c r="I400" s="47"/>
      <c r="J400" s="111"/>
      <c r="K400" s="47"/>
      <c r="L400" s="102"/>
      <c r="M400" s="47"/>
      <c r="N400" s="47"/>
      <c r="O400" s="43"/>
      <c r="P400" s="102" t="b">
        <v>0</v>
      </c>
      <c r="Q400" s="102" t="b">
        <v>0</v>
      </c>
      <c r="R400" s="102" t="b">
        <v>0</v>
      </c>
      <c r="S400" s="34"/>
      <c r="T400" s="43"/>
      <c r="U400" s="102" t="b">
        <v>0</v>
      </c>
      <c r="V400" s="43"/>
      <c r="W400" s="43"/>
      <c r="X400" s="43"/>
      <c r="Y400" s="43"/>
      <c r="Z400" s="43"/>
      <c r="AA400" s="34"/>
      <c r="AB400" s="114"/>
      <c r="AC400" s="29" t="str">
        <f t="shared" si="5"/>
        <v>Sim</v>
      </c>
      <c r="AD400" s="37" t="str">
        <f t="shared" si="1"/>
        <v>Não</v>
      </c>
      <c r="AE400" s="102"/>
      <c r="AF400" s="47"/>
      <c r="AG400" s="34"/>
    </row>
    <row r="401" hidden="1">
      <c r="A401" s="43"/>
      <c r="B401" s="43"/>
      <c r="C401" s="43"/>
      <c r="D401" s="43"/>
      <c r="E401" s="46"/>
      <c r="F401" s="34"/>
      <c r="G401" s="34"/>
      <c r="H401" s="47"/>
      <c r="I401" s="47"/>
      <c r="J401" s="111"/>
      <c r="K401" s="47"/>
      <c r="L401" s="102"/>
      <c r="M401" s="47"/>
      <c r="N401" s="47"/>
      <c r="O401" s="43"/>
      <c r="P401" s="102" t="b">
        <v>0</v>
      </c>
      <c r="Q401" s="102" t="b">
        <v>0</v>
      </c>
      <c r="R401" s="102" t="b">
        <v>0</v>
      </c>
      <c r="S401" s="34"/>
      <c r="T401" s="43"/>
      <c r="U401" s="102" t="b">
        <v>0</v>
      </c>
      <c r="V401" s="43"/>
      <c r="W401" s="43"/>
      <c r="X401" s="43"/>
      <c r="Y401" s="43"/>
      <c r="Z401" s="43"/>
      <c r="AA401" s="34"/>
      <c r="AB401" s="114"/>
      <c r="AC401" s="29" t="str">
        <f t="shared" si="5"/>
        <v>Sim</v>
      </c>
      <c r="AD401" s="37" t="str">
        <f t="shared" si="1"/>
        <v>Não</v>
      </c>
      <c r="AE401" s="102"/>
      <c r="AF401" s="47"/>
      <c r="AG401" s="34"/>
    </row>
    <row r="402" hidden="1">
      <c r="A402" s="43"/>
      <c r="B402" s="43"/>
      <c r="C402" s="43"/>
      <c r="D402" s="43"/>
      <c r="E402" s="46"/>
      <c r="F402" s="34"/>
      <c r="G402" s="34"/>
      <c r="H402" s="47"/>
      <c r="I402" s="47"/>
      <c r="J402" s="111"/>
      <c r="K402" s="47"/>
      <c r="L402" s="102"/>
      <c r="M402" s="47"/>
      <c r="N402" s="47"/>
      <c r="O402" s="43"/>
      <c r="P402" s="102" t="b">
        <v>0</v>
      </c>
      <c r="Q402" s="102" t="b">
        <v>0</v>
      </c>
      <c r="R402" s="102" t="b">
        <v>0</v>
      </c>
      <c r="S402" s="34"/>
      <c r="T402" s="43"/>
      <c r="U402" s="102" t="b">
        <v>0</v>
      </c>
      <c r="V402" s="43"/>
      <c r="W402" s="43"/>
      <c r="X402" s="43"/>
      <c r="Y402" s="43"/>
      <c r="Z402" s="43"/>
      <c r="AA402" s="34"/>
      <c r="AB402" s="114"/>
      <c r="AC402" s="29" t="str">
        <f t="shared" si="5"/>
        <v>Sim</v>
      </c>
      <c r="AD402" s="37" t="str">
        <f t="shared" si="1"/>
        <v>Não</v>
      </c>
      <c r="AE402" s="102"/>
      <c r="AF402" s="47"/>
      <c r="AG402" s="34"/>
    </row>
    <row r="403" hidden="1">
      <c r="A403" s="43"/>
      <c r="B403" s="43"/>
      <c r="C403" s="43"/>
      <c r="D403" s="43"/>
      <c r="E403" s="46"/>
      <c r="F403" s="34"/>
      <c r="G403" s="34"/>
      <c r="H403" s="47"/>
      <c r="I403" s="47"/>
      <c r="J403" s="111"/>
      <c r="K403" s="47"/>
      <c r="L403" s="102"/>
      <c r="M403" s="47"/>
      <c r="N403" s="47"/>
      <c r="O403" s="43"/>
      <c r="P403" s="102" t="b">
        <v>0</v>
      </c>
      <c r="Q403" s="102" t="b">
        <v>0</v>
      </c>
      <c r="R403" s="102" t="b">
        <v>0</v>
      </c>
      <c r="S403" s="34"/>
      <c r="T403" s="43"/>
      <c r="U403" s="102" t="b">
        <v>0</v>
      </c>
      <c r="V403" s="43"/>
      <c r="W403" s="43"/>
      <c r="X403" s="43"/>
      <c r="Y403" s="43"/>
      <c r="Z403" s="43"/>
      <c r="AA403" s="34"/>
      <c r="AB403" s="114"/>
      <c r="AC403" s="29" t="str">
        <f t="shared" si="5"/>
        <v>Sim</v>
      </c>
      <c r="AD403" s="37" t="str">
        <f t="shared" si="1"/>
        <v>Não</v>
      </c>
      <c r="AE403" s="102"/>
      <c r="AF403" s="47"/>
      <c r="AG403" s="34"/>
    </row>
    <row r="404" hidden="1">
      <c r="A404" s="43"/>
      <c r="B404" s="43"/>
      <c r="C404" s="43"/>
      <c r="D404" s="43"/>
      <c r="E404" s="46"/>
      <c r="F404" s="34"/>
      <c r="G404" s="34"/>
      <c r="H404" s="47"/>
      <c r="I404" s="47"/>
      <c r="J404" s="111"/>
      <c r="K404" s="47"/>
      <c r="L404" s="102"/>
      <c r="M404" s="47"/>
      <c r="N404" s="47"/>
      <c r="O404" s="43"/>
      <c r="P404" s="102" t="b">
        <v>0</v>
      </c>
      <c r="Q404" s="102" t="b">
        <v>0</v>
      </c>
      <c r="R404" s="102" t="b">
        <v>0</v>
      </c>
      <c r="S404" s="34"/>
      <c r="T404" s="43"/>
      <c r="U404" s="102" t="b">
        <v>0</v>
      </c>
      <c r="V404" s="43"/>
      <c r="W404" s="43"/>
      <c r="X404" s="43"/>
      <c r="Y404" s="43"/>
      <c r="Z404" s="43"/>
      <c r="AA404" s="34"/>
      <c r="AB404" s="114"/>
      <c r="AC404" s="29" t="str">
        <f t="shared" si="5"/>
        <v>Sim</v>
      </c>
      <c r="AD404" s="37" t="str">
        <f t="shared" si="1"/>
        <v>Não</v>
      </c>
      <c r="AE404" s="102"/>
      <c r="AF404" s="47"/>
      <c r="AG404" s="34"/>
    </row>
    <row r="405" hidden="1">
      <c r="A405" s="43"/>
      <c r="B405" s="43"/>
      <c r="C405" s="43"/>
      <c r="D405" s="43"/>
      <c r="E405" s="46"/>
      <c r="F405" s="34"/>
      <c r="G405" s="34"/>
      <c r="H405" s="47"/>
      <c r="I405" s="47"/>
      <c r="J405" s="111"/>
      <c r="K405" s="47"/>
      <c r="L405" s="102"/>
      <c r="M405" s="47"/>
      <c r="N405" s="47"/>
      <c r="O405" s="43"/>
      <c r="P405" s="102" t="b">
        <v>0</v>
      </c>
      <c r="Q405" s="102" t="b">
        <v>0</v>
      </c>
      <c r="R405" s="102" t="b">
        <v>0</v>
      </c>
      <c r="S405" s="34"/>
      <c r="T405" s="43"/>
      <c r="U405" s="102" t="b">
        <v>0</v>
      </c>
      <c r="V405" s="43"/>
      <c r="W405" s="43"/>
      <c r="X405" s="43"/>
      <c r="Y405" s="43"/>
      <c r="Z405" s="43"/>
      <c r="AA405" s="34"/>
      <c r="AB405" s="114"/>
      <c r="AC405" s="29" t="str">
        <f t="shared" si="5"/>
        <v>Sim</v>
      </c>
      <c r="AD405" s="37" t="str">
        <f t="shared" si="1"/>
        <v>Não</v>
      </c>
      <c r="AE405" s="102"/>
      <c r="AF405" s="47"/>
      <c r="AG405" s="34"/>
    </row>
    <row r="406" hidden="1">
      <c r="A406" s="43"/>
      <c r="B406" s="43"/>
      <c r="C406" s="43"/>
      <c r="D406" s="43"/>
      <c r="E406" s="46"/>
      <c r="F406" s="34"/>
      <c r="G406" s="34"/>
      <c r="H406" s="47"/>
      <c r="I406" s="47"/>
      <c r="J406" s="111"/>
      <c r="K406" s="47"/>
      <c r="L406" s="102"/>
      <c r="M406" s="47"/>
      <c r="N406" s="47"/>
      <c r="O406" s="43"/>
      <c r="P406" s="102" t="b">
        <v>0</v>
      </c>
      <c r="Q406" s="102" t="b">
        <v>0</v>
      </c>
      <c r="R406" s="102" t="b">
        <v>0</v>
      </c>
      <c r="S406" s="34"/>
      <c r="T406" s="43"/>
      <c r="U406" s="102" t="b">
        <v>0</v>
      </c>
      <c r="V406" s="43"/>
      <c r="W406" s="43"/>
      <c r="X406" s="43"/>
      <c r="Y406" s="43"/>
      <c r="Z406" s="43"/>
      <c r="AA406" s="34"/>
      <c r="AB406" s="114"/>
      <c r="AC406" s="29" t="str">
        <f t="shared" si="5"/>
        <v>Sim</v>
      </c>
      <c r="AD406" s="37" t="str">
        <f t="shared" si="1"/>
        <v>Não</v>
      </c>
      <c r="AE406" s="102"/>
      <c r="AF406" s="47"/>
      <c r="AG406" s="34"/>
    </row>
    <row r="407" hidden="1">
      <c r="A407" s="43"/>
      <c r="B407" s="43"/>
      <c r="C407" s="43"/>
      <c r="D407" s="43"/>
      <c r="E407" s="46"/>
      <c r="F407" s="34"/>
      <c r="G407" s="34"/>
      <c r="H407" s="47"/>
      <c r="I407" s="47"/>
      <c r="J407" s="111"/>
      <c r="K407" s="47"/>
      <c r="L407" s="102"/>
      <c r="M407" s="47"/>
      <c r="N407" s="47"/>
      <c r="O407" s="43"/>
      <c r="P407" s="102" t="b">
        <v>0</v>
      </c>
      <c r="Q407" s="102" t="b">
        <v>0</v>
      </c>
      <c r="R407" s="102" t="b">
        <v>0</v>
      </c>
      <c r="S407" s="34"/>
      <c r="T407" s="43"/>
      <c r="U407" s="102" t="b">
        <v>0</v>
      </c>
      <c r="V407" s="43"/>
      <c r="W407" s="43"/>
      <c r="X407" s="43"/>
      <c r="Y407" s="43"/>
      <c r="Z407" s="43"/>
      <c r="AA407" s="34"/>
      <c r="AB407" s="114"/>
      <c r="AC407" s="29" t="str">
        <f t="shared" si="5"/>
        <v>Sim</v>
      </c>
      <c r="AD407" s="37" t="str">
        <f t="shared" si="1"/>
        <v>Não</v>
      </c>
      <c r="AE407" s="102"/>
      <c r="AF407" s="47"/>
      <c r="AG407" s="34"/>
    </row>
    <row r="408" hidden="1">
      <c r="A408" s="43"/>
      <c r="B408" s="43"/>
      <c r="C408" s="43"/>
      <c r="D408" s="43"/>
      <c r="E408" s="46"/>
      <c r="F408" s="34"/>
      <c r="G408" s="34"/>
      <c r="H408" s="47"/>
      <c r="I408" s="47"/>
      <c r="J408" s="111"/>
      <c r="K408" s="47"/>
      <c r="L408" s="102"/>
      <c r="M408" s="47"/>
      <c r="N408" s="47"/>
      <c r="O408" s="43"/>
      <c r="P408" s="102" t="b">
        <v>0</v>
      </c>
      <c r="Q408" s="102" t="b">
        <v>0</v>
      </c>
      <c r="R408" s="102" t="b">
        <v>0</v>
      </c>
      <c r="S408" s="34"/>
      <c r="T408" s="43"/>
      <c r="U408" s="102" t="b">
        <v>0</v>
      </c>
      <c r="V408" s="43"/>
      <c r="W408" s="43"/>
      <c r="X408" s="43"/>
      <c r="Y408" s="43"/>
      <c r="Z408" s="43"/>
      <c r="AA408" s="34"/>
      <c r="AB408" s="114"/>
      <c r="AC408" s="29" t="str">
        <f t="shared" si="5"/>
        <v>Sim</v>
      </c>
      <c r="AD408" s="37" t="str">
        <f t="shared" si="1"/>
        <v>Não</v>
      </c>
      <c r="AE408" s="102"/>
      <c r="AF408" s="47"/>
      <c r="AG408" s="34"/>
    </row>
    <row r="409" hidden="1">
      <c r="A409" s="43"/>
      <c r="B409" s="43"/>
      <c r="C409" s="43"/>
      <c r="D409" s="43"/>
      <c r="E409" s="46"/>
      <c r="F409" s="34"/>
      <c r="G409" s="34"/>
      <c r="H409" s="47"/>
      <c r="I409" s="47"/>
      <c r="J409" s="111"/>
      <c r="K409" s="47"/>
      <c r="L409" s="102"/>
      <c r="M409" s="47"/>
      <c r="N409" s="47"/>
      <c r="O409" s="43"/>
      <c r="P409" s="102" t="b">
        <v>0</v>
      </c>
      <c r="Q409" s="102" t="b">
        <v>0</v>
      </c>
      <c r="R409" s="102" t="b">
        <v>0</v>
      </c>
      <c r="S409" s="34"/>
      <c r="T409" s="43"/>
      <c r="U409" s="102" t="b">
        <v>0</v>
      </c>
      <c r="V409" s="43"/>
      <c r="W409" s="43"/>
      <c r="X409" s="43"/>
      <c r="Y409" s="43"/>
      <c r="Z409" s="43"/>
      <c r="AA409" s="34"/>
      <c r="AB409" s="114"/>
      <c r="AC409" s="29" t="str">
        <f t="shared" si="5"/>
        <v>Sim</v>
      </c>
      <c r="AD409" s="37" t="str">
        <f t="shared" si="1"/>
        <v>Não</v>
      </c>
      <c r="AE409" s="102"/>
      <c r="AF409" s="47"/>
      <c r="AG409" s="34"/>
    </row>
    <row r="410" hidden="1">
      <c r="A410" s="43"/>
      <c r="B410" s="43"/>
      <c r="C410" s="43"/>
      <c r="D410" s="43"/>
      <c r="E410" s="46"/>
      <c r="F410" s="34"/>
      <c r="G410" s="34"/>
      <c r="H410" s="47"/>
      <c r="I410" s="47"/>
      <c r="J410" s="111"/>
      <c r="K410" s="47"/>
      <c r="L410" s="102"/>
      <c r="M410" s="47"/>
      <c r="N410" s="47"/>
      <c r="O410" s="43"/>
      <c r="P410" s="102" t="b">
        <v>0</v>
      </c>
      <c r="Q410" s="102" t="b">
        <v>0</v>
      </c>
      <c r="R410" s="102" t="b">
        <v>0</v>
      </c>
      <c r="S410" s="34"/>
      <c r="T410" s="43"/>
      <c r="U410" s="102" t="b">
        <v>0</v>
      </c>
      <c r="V410" s="43"/>
      <c r="W410" s="43"/>
      <c r="X410" s="43"/>
      <c r="Y410" s="43"/>
      <c r="Z410" s="43"/>
      <c r="AA410" s="34"/>
      <c r="AB410" s="114"/>
      <c r="AC410" s="29" t="str">
        <f t="shared" si="5"/>
        <v>Sim</v>
      </c>
      <c r="AD410" s="37" t="str">
        <f t="shared" si="1"/>
        <v>Não</v>
      </c>
      <c r="AE410" s="102"/>
      <c r="AF410" s="47"/>
      <c r="AG410" s="34"/>
    </row>
    <row r="411" hidden="1">
      <c r="A411" s="43"/>
      <c r="B411" s="43"/>
      <c r="C411" s="43"/>
      <c r="D411" s="43"/>
      <c r="E411" s="46"/>
      <c r="F411" s="34"/>
      <c r="G411" s="34"/>
      <c r="H411" s="47"/>
      <c r="I411" s="47"/>
      <c r="J411" s="111"/>
      <c r="K411" s="47"/>
      <c r="L411" s="102"/>
      <c r="M411" s="47"/>
      <c r="N411" s="47"/>
      <c r="O411" s="43"/>
      <c r="P411" s="102" t="b">
        <v>0</v>
      </c>
      <c r="Q411" s="102" t="b">
        <v>0</v>
      </c>
      <c r="R411" s="102" t="b">
        <v>0</v>
      </c>
      <c r="S411" s="34"/>
      <c r="T411" s="43"/>
      <c r="U411" s="102" t="b">
        <v>0</v>
      </c>
      <c r="V411" s="43"/>
      <c r="W411" s="43"/>
      <c r="X411" s="43"/>
      <c r="Y411" s="43"/>
      <c r="Z411" s="43"/>
      <c r="AA411" s="34"/>
      <c r="AB411" s="114"/>
      <c r="AC411" s="29" t="str">
        <f t="shared" si="5"/>
        <v>Sim</v>
      </c>
      <c r="AD411" s="37" t="str">
        <f t="shared" si="1"/>
        <v>Não</v>
      </c>
      <c r="AE411" s="102"/>
      <c r="AF411" s="47"/>
      <c r="AG411" s="34"/>
    </row>
    <row r="412" hidden="1">
      <c r="A412" s="43"/>
      <c r="B412" s="43"/>
      <c r="C412" s="43"/>
      <c r="D412" s="43"/>
      <c r="E412" s="46"/>
      <c r="F412" s="34"/>
      <c r="G412" s="34"/>
      <c r="H412" s="47"/>
      <c r="I412" s="47"/>
      <c r="J412" s="111"/>
      <c r="K412" s="47"/>
      <c r="L412" s="102"/>
      <c r="M412" s="47"/>
      <c r="N412" s="47"/>
      <c r="O412" s="43"/>
      <c r="P412" s="102" t="b">
        <v>0</v>
      </c>
      <c r="Q412" s="102" t="b">
        <v>0</v>
      </c>
      <c r="R412" s="102" t="b">
        <v>0</v>
      </c>
      <c r="S412" s="34"/>
      <c r="T412" s="43"/>
      <c r="U412" s="102" t="b">
        <v>0</v>
      </c>
      <c r="V412" s="43"/>
      <c r="W412" s="43"/>
      <c r="X412" s="43"/>
      <c r="Y412" s="43"/>
      <c r="Z412" s="43"/>
      <c r="AA412" s="34"/>
      <c r="AB412" s="114"/>
      <c r="AC412" s="29" t="str">
        <f t="shared" si="5"/>
        <v>Sim</v>
      </c>
      <c r="AD412" s="37" t="str">
        <f t="shared" si="1"/>
        <v>Não</v>
      </c>
      <c r="AE412" s="102"/>
      <c r="AF412" s="47"/>
      <c r="AG412" s="34"/>
    </row>
    <row r="413" hidden="1">
      <c r="A413" s="43"/>
      <c r="B413" s="43"/>
      <c r="C413" s="43"/>
      <c r="D413" s="43"/>
      <c r="E413" s="46"/>
      <c r="F413" s="34"/>
      <c r="G413" s="34"/>
      <c r="H413" s="47"/>
      <c r="I413" s="47"/>
      <c r="J413" s="111"/>
      <c r="K413" s="47"/>
      <c r="L413" s="102"/>
      <c r="M413" s="47"/>
      <c r="N413" s="47"/>
      <c r="O413" s="43"/>
      <c r="P413" s="102" t="b">
        <v>0</v>
      </c>
      <c r="Q413" s="102" t="b">
        <v>0</v>
      </c>
      <c r="R413" s="102" t="b">
        <v>0</v>
      </c>
      <c r="S413" s="34"/>
      <c r="T413" s="43"/>
      <c r="U413" s="102" t="b">
        <v>0</v>
      </c>
      <c r="V413" s="43"/>
      <c r="W413" s="43"/>
      <c r="X413" s="43"/>
      <c r="Y413" s="43"/>
      <c r="Z413" s="43"/>
      <c r="AA413" s="34"/>
      <c r="AB413" s="114"/>
      <c r="AC413" s="29" t="str">
        <f t="shared" si="5"/>
        <v>Sim</v>
      </c>
      <c r="AD413" s="37" t="str">
        <f t="shared" si="1"/>
        <v>Não</v>
      </c>
      <c r="AE413" s="102"/>
      <c r="AF413" s="47"/>
      <c r="AG413" s="34"/>
    </row>
    <row r="414" hidden="1">
      <c r="A414" s="43"/>
      <c r="B414" s="43"/>
      <c r="C414" s="43"/>
      <c r="D414" s="43"/>
      <c r="E414" s="46"/>
      <c r="F414" s="34"/>
      <c r="G414" s="34"/>
      <c r="H414" s="47"/>
      <c r="I414" s="47"/>
      <c r="J414" s="111"/>
      <c r="K414" s="47"/>
      <c r="L414" s="102"/>
      <c r="M414" s="47"/>
      <c r="N414" s="47"/>
      <c r="O414" s="43"/>
      <c r="P414" s="102" t="b">
        <v>0</v>
      </c>
      <c r="Q414" s="102" t="b">
        <v>0</v>
      </c>
      <c r="R414" s="102" t="b">
        <v>0</v>
      </c>
      <c r="S414" s="34"/>
      <c r="T414" s="43"/>
      <c r="U414" s="102" t="b">
        <v>0</v>
      </c>
      <c r="V414" s="43"/>
      <c r="W414" s="43"/>
      <c r="X414" s="43"/>
      <c r="Y414" s="43"/>
      <c r="Z414" s="43"/>
      <c r="AA414" s="34"/>
      <c r="AB414" s="114"/>
      <c r="AC414" s="29" t="str">
        <f t="shared" si="5"/>
        <v>Sim</v>
      </c>
      <c r="AD414" s="37" t="str">
        <f t="shared" si="1"/>
        <v>Não</v>
      </c>
      <c r="AE414" s="102"/>
      <c r="AF414" s="47"/>
      <c r="AG414" s="34"/>
    </row>
    <row r="415" hidden="1">
      <c r="A415" s="43"/>
      <c r="B415" s="43"/>
      <c r="C415" s="43"/>
      <c r="D415" s="43"/>
      <c r="E415" s="46"/>
      <c r="F415" s="34"/>
      <c r="G415" s="34"/>
      <c r="H415" s="47"/>
      <c r="I415" s="47"/>
      <c r="J415" s="111"/>
      <c r="K415" s="47"/>
      <c r="L415" s="102"/>
      <c r="M415" s="47"/>
      <c r="N415" s="47"/>
      <c r="O415" s="43"/>
      <c r="P415" s="102" t="b">
        <v>0</v>
      </c>
      <c r="Q415" s="102" t="b">
        <v>0</v>
      </c>
      <c r="R415" s="102" t="b">
        <v>0</v>
      </c>
      <c r="S415" s="34"/>
      <c r="T415" s="43"/>
      <c r="U415" s="102" t="b">
        <v>0</v>
      </c>
      <c r="V415" s="43"/>
      <c r="W415" s="43"/>
      <c r="X415" s="43"/>
      <c r="Y415" s="43"/>
      <c r="Z415" s="43"/>
      <c r="AA415" s="34"/>
      <c r="AB415" s="114"/>
      <c r="AC415" s="29" t="str">
        <f t="shared" si="5"/>
        <v>Sim</v>
      </c>
      <c r="AD415" s="37" t="str">
        <f t="shared" si="1"/>
        <v>Não</v>
      </c>
      <c r="AE415" s="102"/>
      <c r="AF415" s="47"/>
      <c r="AG415" s="34"/>
    </row>
    <row r="416" hidden="1">
      <c r="A416" s="43"/>
      <c r="B416" s="43"/>
      <c r="C416" s="43"/>
      <c r="D416" s="43"/>
      <c r="E416" s="46"/>
      <c r="F416" s="34"/>
      <c r="G416" s="34"/>
      <c r="H416" s="47"/>
      <c r="I416" s="47"/>
      <c r="J416" s="111"/>
      <c r="K416" s="47"/>
      <c r="L416" s="102"/>
      <c r="M416" s="47"/>
      <c r="N416" s="47"/>
      <c r="O416" s="43"/>
      <c r="P416" s="102" t="b">
        <v>0</v>
      </c>
      <c r="Q416" s="102" t="b">
        <v>0</v>
      </c>
      <c r="R416" s="102" t="b">
        <v>0</v>
      </c>
      <c r="S416" s="34"/>
      <c r="T416" s="43"/>
      <c r="U416" s="102" t="b">
        <v>0</v>
      </c>
      <c r="V416" s="43"/>
      <c r="W416" s="43"/>
      <c r="X416" s="43"/>
      <c r="Y416" s="43"/>
      <c r="Z416" s="43"/>
      <c r="AA416" s="34"/>
      <c r="AB416" s="114"/>
      <c r="AC416" s="29" t="str">
        <f t="shared" si="5"/>
        <v>Sim</v>
      </c>
      <c r="AD416" s="37" t="str">
        <f t="shared" si="1"/>
        <v>Não</v>
      </c>
      <c r="AE416" s="102"/>
      <c r="AF416" s="47"/>
      <c r="AG416" s="34"/>
    </row>
    <row r="417" hidden="1">
      <c r="A417" s="43"/>
      <c r="B417" s="43"/>
      <c r="C417" s="43"/>
      <c r="D417" s="43"/>
      <c r="E417" s="46"/>
      <c r="F417" s="34"/>
      <c r="G417" s="34"/>
      <c r="H417" s="47"/>
      <c r="I417" s="47"/>
      <c r="J417" s="111"/>
      <c r="K417" s="47"/>
      <c r="L417" s="102"/>
      <c r="M417" s="47"/>
      <c r="N417" s="47"/>
      <c r="O417" s="43"/>
      <c r="P417" s="102" t="b">
        <v>0</v>
      </c>
      <c r="Q417" s="102" t="b">
        <v>0</v>
      </c>
      <c r="R417" s="102" t="b">
        <v>0</v>
      </c>
      <c r="S417" s="34"/>
      <c r="T417" s="43"/>
      <c r="U417" s="102" t="b">
        <v>0</v>
      </c>
      <c r="V417" s="43"/>
      <c r="W417" s="43"/>
      <c r="X417" s="43"/>
      <c r="Y417" s="43"/>
      <c r="Z417" s="43"/>
      <c r="AA417" s="34"/>
      <c r="AB417" s="114"/>
      <c r="AC417" s="29" t="str">
        <f t="shared" si="5"/>
        <v>Sim</v>
      </c>
      <c r="AD417" s="37" t="str">
        <f t="shared" si="1"/>
        <v>Não</v>
      </c>
      <c r="AE417" s="102"/>
      <c r="AF417" s="47"/>
      <c r="AG417" s="34"/>
    </row>
    <row r="418" hidden="1">
      <c r="A418" s="43"/>
      <c r="B418" s="43"/>
      <c r="C418" s="43"/>
      <c r="D418" s="43"/>
      <c r="E418" s="46"/>
      <c r="F418" s="34"/>
      <c r="G418" s="34"/>
      <c r="H418" s="47"/>
      <c r="I418" s="47"/>
      <c r="J418" s="111"/>
      <c r="K418" s="47"/>
      <c r="L418" s="102"/>
      <c r="M418" s="47"/>
      <c r="N418" s="47"/>
      <c r="O418" s="43"/>
      <c r="P418" s="102" t="b">
        <v>0</v>
      </c>
      <c r="Q418" s="102" t="b">
        <v>0</v>
      </c>
      <c r="R418" s="102" t="b">
        <v>0</v>
      </c>
      <c r="S418" s="34"/>
      <c r="T418" s="43"/>
      <c r="U418" s="102" t="b">
        <v>0</v>
      </c>
      <c r="V418" s="43"/>
      <c r="W418" s="43"/>
      <c r="X418" s="43"/>
      <c r="Y418" s="43"/>
      <c r="Z418" s="43"/>
      <c r="AA418" s="34"/>
      <c r="AB418" s="114"/>
      <c r="AC418" s="29" t="str">
        <f t="shared" si="5"/>
        <v>Sim</v>
      </c>
      <c r="AD418" s="37" t="str">
        <f t="shared" si="1"/>
        <v>Não</v>
      </c>
      <c r="AE418" s="102"/>
      <c r="AF418" s="47"/>
      <c r="AG418" s="34"/>
    </row>
    <row r="419" hidden="1">
      <c r="A419" s="43"/>
      <c r="B419" s="43"/>
      <c r="C419" s="43"/>
      <c r="D419" s="43"/>
      <c r="E419" s="46"/>
      <c r="F419" s="34"/>
      <c r="G419" s="34"/>
      <c r="H419" s="47"/>
      <c r="I419" s="47"/>
      <c r="J419" s="111"/>
      <c r="K419" s="47"/>
      <c r="L419" s="102"/>
      <c r="M419" s="47"/>
      <c r="N419" s="47"/>
      <c r="O419" s="43"/>
      <c r="P419" s="102" t="b">
        <v>0</v>
      </c>
      <c r="Q419" s="102" t="b">
        <v>0</v>
      </c>
      <c r="R419" s="102" t="b">
        <v>0</v>
      </c>
      <c r="S419" s="34"/>
      <c r="T419" s="43"/>
      <c r="U419" s="102" t="b">
        <v>0</v>
      </c>
      <c r="V419" s="43"/>
      <c r="W419" s="43"/>
      <c r="X419" s="43"/>
      <c r="Y419" s="43"/>
      <c r="Z419" s="43"/>
      <c r="AA419" s="34"/>
      <c r="AB419" s="114"/>
      <c r="AC419" s="29" t="str">
        <f t="shared" si="5"/>
        <v>Sim</v>
      </c>
      <c r="AD419" s="37" t="str">
        <f t="shared" si="1"/>
        <v>Não</v>
      </c>
      <c r="AE419" s="102"/>
      <c r="AF419" s="47"/>
      <c r="AG419" s="34"/>
    </row>
    <row r="420" hidden="1">
      <c r="A420" s="43"/>
      <c r="B420" s="43"/>
      <c r="C420" s="43"/>
      <c r="D420" s="43"/>
      <c r="E420" s="46"/>
      <c r="F420" s="34"/>
      <c r="G420" s="34"/>
      <c r="H420" s="47"/>
      <c r="I420" s="47"/>
      <c r="J420" s="111"/>
      <c r="K420" s="47"/>
      <c r="L420" s="102"/>
      <c r="M420" s="47"/>
      <c r="N420" s="47"/>
      <c r="O420" s="43"/>
      <c r="P420" s="102" t="b">
        <v>0</v>
      </c>
      <c r="Q420" s="102" t="b">
        <v>0</v>
      </c>
      <c r="R420" s="102" t="b">
        <v>0</v>
      </c>
      <c r="S420" s="34"/>
      <c r="T420" s="43"/>
      <c r="U420" s="102" t="b">
        <v>0</v>
      </c>
      <c r="V420" s="43"/>
      <c r="W420" s="43"/>
      <c r="X420" s="43"/>
      <c r="Y420" s="43"/>
      <c r="Z420" s="43"/>
      <c r="AA420" s="34"/>
      <c r="AB420" s="114"/>
      <c r="AC420" s="29" t="str">
        <f t="shared" si="5"/>
        <v>Sim</v>
      </c>
      <c r="AD420" s="37" t="str">
        <f t="shared" si="1"/>
        <v>Não</v>
      </c>
      <c r="AE420" s="102"/>
      <c r="AF420" s="47"/>
      <c r="AG420" s="34"/>
    </row>
    <row r="421" hidden="1">
      <c r="A421" s="43"/>
      <c r="B421" s="43"/>
      <c r="C421" s="43"/>
      <c r="D421" s="43"/>
      <c r="E421" s="46"/>
      <c r="F421" s="34"/>
      <c r="G421" s="34"/>
      <c r="H421" s="47"/>
      <c r="I421" s="47"/>
      <c r="J421" s="111"/>
      <c r="K421" s="47"/>
      <c r="L421" s="102"/>
      <c r="M421" s="47"/>
      <c r="N421" s="47"/>
      <c r="O421" s="43"/>
      <c r="P421" s="102" t="b">
        <v>0</v>
      </c>
      <c r="Q421" s="102" t="b">
        <v>0</v>
      </c>
      <c r="R421" s="102" t="b">
        <v>0</v>
      </c>
      <c r="S421" s="34"/>
      <c r="T421" s="43"/>
      <c r="U421" s="102" t="b">
        <v>0</v>
      </c>
      <c r="V421" s="43"/>
      <c r="W421" s="43"/>
      <c r="X421" s="43"/>
      <c r="Y421" s="43"/>
      <c r="Z421" s="43"/>
      <c r="AA421" s="34"/>
      <c r="AB421" s="114"/>
      <c r="AC421" s="29" t="str">
        <f t="shared" si="5"/>
        <v>Sim</v>
      </c>
      <c r="AD421" s="37" t="str">
        <f t="shared" si="1"/>
        <v>Não</v>
      </c>
      <c r="AE421" s="102"/>
      <c r="AF421" s="47"/>
      <c r="AG421" s="34"/>
    </row>
    <row r="422" hidden="1">
      <c r="A422" s="43"/>
      <c r="B422" s="43"/>
      <c r="C422" s="43"/>
      <c r="D422" s="43"/>
      <c r="E422" s="46"/>
      <c r="F422" s="34"/>
      <c r="G422" s="34"/>
      <c r="H422" s="47"/>
      <c r="I422" s="47"/>
      <c r="J422" s="111"/>
      <c r="K422" s="47"/>
      <c r="L422" s="102"/>
      <c r="M422" s="47"/>
      <c r="N422" s="47"/>
      <c r="O422" s="43"/>
      <c r="P422" s="102" t="b">
        <v>0</v>
      </c>
      <c r="Q422" s="102" t="b">
        <v>0</v>
      </c>
      <c r="R422" s="102" t="b">
        <v>0</v>
      </c>
      <c r="S422" s="34"/>
      <c r="T422" s="43"/>
      <c r="U422" s="102" t="b">
        <v>0</v>
      </c>
      <c r="V422" s="43"/>
      <c r="W422" s="43"/>
      <c r="X422" s="43"/>
      <c r="Y422" s="43"/>
      <c r="Z422" s="43"/>
      <c r="AA422" s="34"/>
      <c r="AB422" s="114"/>
      <c r="AC422" s="29" t="str">
        <f t="shared" si="5"/>
        <v>Sim</v>
      </c>
      <c r="AD422" s="37" t="str">
        <f t="shared" si="1"/>
        <v>Não</v>
      </c>
      <c r="AE422" s="102"/>
      <c r="AF422" s="47"/>
      <c r="AG422" s="34"/>
    </row>
    <row r="423" hidden="1">
      <c r="A423" s="43"/>
      <c r="B423" s="43"/>
      <c r="C423" s="43"/>
      <c r="D423" s="43"/>
      <c r="E423" s="46"/>
      <c r="F423" s="34"/>
      <c r="G423" s="34"/>
      <c r="H423" s="47"/>
      <c r="I423" s="47"/>
      <c r="J423" s="111"/>
      <c r="K423" s="47"/>
      <c r="L423" s="102"/>
      <c r="M423" s="47"/>
      <c r="N423" s="47"/>
      <c r="O423" s="43"/>
      <c r="P423" s="102" t="b">
        <v>0</v>
      </c>
      <c r="Q423" s="102" t="b">
        <v>0</v>
      </c>
      <c r="R423" s="102" t="b">
        <v>0</v>
      </c>
      <c r="S423" s="34"/>
      <c r="T423" s="43"/>
      <c r="U423" s="102" t="b">
        <v>0</v>
      </c>
      <c r="V423" s="43"/>
      <c r="W423" s="43"/>
      <c r="X423" s="43"/>
      <c r="Y423" s="43"/>
      <c r="Z423" s="43"/>
      <c r="AA423" s="34"/>
      <c r="AB423" s="114"/>
      <c r="AC423" s="29" t="str">
        <f t="shared" si="5"/>
        <v>Sim</v>
      </c>
      <c r="AD423" s="37" t="str">
        <f t="shared" si="1"/>
        <v>Não</v>
      </c>
      <c r="AE423" s="102"/>
      <c r="AF423" s="47"/>
      <c r="AG423" s="34"/>
    </row>
    <row r="424" hidden="1">
      <c r="A424" s="43"/>
      <c r="B424" s="43"/>
      <c r="C424" s="43"/>
      <c r="D424" s="43"/>
      <c r="E424" s="46"/>
      <c r="F424" s="34"/>
      <c r="G424" s="34"/>
      <c r="H424" s="47"/>
      <c r="I424" s="47"/>
      <c r="J424" s="111"/>
      <c r="K424" s="47"/>
      <c r="L424" s="102"/>
      <c r="M424" s="47"/>
      <c r="N424" s="47"/>
      <c r="O424" s="43"/>
      <c r="P424" s="102" t="b">
        <v>0</v>
      </c>
      <c r="Q424" s="102" t="b">
        <v>0</v>
      </c>
      <c r="R424" s="102" t="b">
        <v>0</v>
      </c>
      <c r="S424" s="34"/>
      <c r="T424" s="43"/>
      <c r="U424" s="102" t="b">
        <v>0</v>
      </c>
      <c r="V424" s="43"/>
      <c r="W424" s="43"/>
      <c r="X424" s="43"/>
      <c r="Y424" s="43"/>
      <c r="Z424" s="43"/>
      <c r="AA424" s="34"/>
      <c r="AB424" s="114"/>
      <c r="AC424" s="29" t="str">
        <f t="shared" si="5"/>
        <v>Sim</v>
      </c>
      <c r="AD424" s="37" t="str">
        <f t="shared" si="1"/>
        <v>Não</v>
      </c>
      <c r="AE424" s="102"/>
      <c r="AF424" s="47"/>
      <c r="AG424" s="34"/>
    </row>
    <row r="425" hidden="1">
      <c r="A425" s="43"/>
      <c r="B425" s="43"/>
      <c r="C425" s="43"/>
      <c r="D425" s="43"/>
      <c r="E425" s="46"/>
      <c r="F425" s="34"/>
      <c r="G425" s="34"/>
      <c r="H425" s="47"/>
      <c r="I425" s="47"/>
      <c r="J425" s="111"/>
      <c r="K425" s="47"/>
      <c r="L425" s="102"/>
      <c r="M425" s="47"/>
      <c r="N425" s="47"/>
      <c r="O425" s="43"/>
      <c r="P425" s="102" t="b">
        <v>0</v>
      </c>
      <c r="Q425" s="102" t="b">
        <v>0</v>
      </c>
      <c r="R425" s="102" t="b">
        <v>0</v>
      </c>
      <c r="S425" s="34"/>
      <c r="T425" s="43"/>
      <c r="U425" s="102" t="b">
        <v>0</v>
      </c>
      <c r="V425" s="43"/>
      <c r="W425" s="43"/>
      <c r="X425" s="43"/>
      <c r="Y425" s="43"/>
      <c r="Z425" s="43"/>
      <c r="AA425" s="34"/>
      <c r="AB425" s="114"/>
      <c r="AC425" s="29" t="str">
        <f t="shared" si="5"/>
        <v>Sim</v>
      </c>
      <c r="AD425" s="37" t="str">
        <f t="shared" si="1"/>
        <v>Não</v>
      </c>
      <c r="AE425" s="102"/>
      <c r="AF425" s="47"/>
      <c r="AG425" s="34"/>
    </row>
    <row r="426" hidden="1">
      <c r="A426" s="43"/>
      <c r="B426" s="43"/>
      <c r="C426" s="43"/>
      <c r="D426" s="43"/>
      <c r="E426" s="46"/>
      <c r="F426" s="34"/>
      <c r="G426" s="34"/>
      <c r="H426" s="47"/>
      <c r="I426" s="47"/>
      <c r="J426" s="111"/>
      <c r="K426" s="47"/>
      <c r="L426" s="102"/>
      <c r="M426" s="47"/>
      <c r="N426" s="47"/>
      <c r="O426" s="43"/>
      <c r="P426" s="102" t="b">
        <v>0</v>
      </c>
      <c r="Q426" s="102" t="b">
        <v>0</v>
      </c>
      <c r="R426" s="102" t="b">
        <v>0</v>
      </c>
      <c r="S426" s="34"/>
      <c r="T426" s="43"/>
      <c r="U426" s="102" t="b">
        <v>0</v>
      </c>
      <c r="V426" s="43"/>
      <c r="W426" s="43"/>
      <c r="X426" s="43"/>
      <c r="Y426" s="43"/>
      <c r="Z426" s="43"/>
      <c r="AA426" s="34"/>
      <c r="AB426" s="114"/>
      <c r="AC426" s="29" t="str">
        <f t="shared" si="5"/>
        <v>Sim</v>
      </c>
      <c r="AD426" s="37" t="str">
        <f t="shared" si="1"/>
        <v>Não</v>
      </c>
      <c r="AE426" s="102"/>
      <c r="AF426" s="47"/>
      <c r="AG426" s="34"/>
    </row>
    <row r="427" hidden="1">
      <c r="A427" s="43"/>
      <c r="B427" s="43"/>
      <c r="C427" s="43"/>
      <c r="D427" s="43"/>
      <c r="E427" s="46"/>
      <c r="F427" s="34"/>
      <c r="G427" s="34"/>
      <c r="H427" s="47"/>
      <c r="I427" s="47"/>
      <c r="J427" s="111"/>
      <c r="K427" s="47"/>
      <c r="L427" s="102"/>
      <c r="M427" s="47"/>
      <c r="N427" s="47"/>
      <c r="O427" s="43"/>
      <c r="P427" s="102" t="b">
        <v>0</v>
      </c>
      <c r="Q427" s="102" t="b">
        <v>0</v>
      </c>
      <c r="R427" s="102" t="b">
        <v>0</v>
      </c>
      <c r="S427" s="34"/>
      <c r="T427" s="43"/>
      <c r="U427" s="102" t="b">
        <v>0</v>
      </c>
      <c r="V427" s="43"/>
      <c r="W427" s="43"/>
      <c r="X427" s="43"/>
      <c r="Y427" s="43"/>
      <c r="Z427" s="43"/>
      <c r="AA427" s="34"/>
      <c r="AB427" s="114"/>
      <c r="AC427" s="29" t="str">
        <f t="shared" si="5"/>
        <v>Sim</v>
      </c>
      <c r="AD427" s="37" t="str">
        <f t="shared" si="1"/>
        <v>Não</v>
      </c>
      <c r="AE427" s="102"/>
      <c r="AF427" s="47"/>
      <c r="AG427" s="34"/>
    </row>
    <row r="428" hidden="1">
      <c r="A428" s="43"/>
      <c r="B428" s="43"/>
      <c r="C428" s="43"/>
      <c r="D428" s="43"/>
      <c r="E428" s="46"/>
      <c r="F428" s="34"/>
      <c r="G428" s="34"/>
      <c r="H428" s="47"/>
      <c r="I428" s="47"/>
      <c r="J428" s="111"/>
      <c r="K428" s="47"/>
      <c r="L428" s="102"/>
      <c r="M428" s="47"/>
      <c r="N428" s="47"/>
      <c r="O428" s="43"/>
      <c r="P428" s="102" t="b">
        <v>0</v>
      </c>
      <c r="Q428" s="102" t="b">
        <v>0</v>
      </c>
      <c r="R428" s="102" t="b">
        <v>0</v>
      </c>
      <c r="S428" s="34"/>
      <c r="T428" s="43"/>
      <c r="U428" s="102" t="b">
        <v>0</v>
      </c>
      <c r="V428" s="43"/>
      <c r="W428" s="43"/>
      <c r="X428" s="43"/>
      <c r="Y428" s="43"/>
      <c r="Z428" s="43"/>
      <c r="AA428" s="34"/>
      <c r="AB428" s="114"/>
      <c r="AC428" s="29" t="str">
        <f t="shared" si="5"/>
        <v>Sim</v>
      </c>
      <c r="AD428" s="37" t="str">
        <f t="shared" si="1"/>
        <v>Não</v>
      </c>
      <c r="AE428" s="102"/>
      <c r="AF428" s="47"/>
      <c r="AG428" s="34"/>
    </row>
    <row r="429" hidden="1">
      <c r="A429" s="43"/>
      <c r="B429" s="43"/>
      <c r="C429" s="43"/>
      <c r="D429" s="43"/>
      <c r="E429" s="46"/>
      <c r="F429" s="34"/>
      <c r="G429" s="34"/>
      <c r="H429" s="47"/>
      <c r="I429" s="47"/>
      <c r="J429" s="111"/>
      <c r="K429" s="47"/>
      <c r="L429" s="102"/>
      <c r="M429" s="47"/>
      <c r="N429" s="47"/>
      <c r="O429" s="43"/>
      <c r="P429" s="102" t="b">
        <v>0</v>
      </c>
      <c r="Q429" s="102" t="b">
        <v>0</v>
      </c>
      <c r="R429" s="102" t="b">
        <v>0</v>
      </c>
      <c r="S429" s="34"/>
      <c r="T429" s="43"/>
      <c r="U429" s="102" t="b">
        <v>0</v>
      </c>
      <c r="V429" s="43"/>
      <c r="W429" s="43"/>
      <c r="X429" s="43"/>
      <c r="Y429" s="43"/>
      <c r="Z429" s="43"/>
      <c r="AA429" s="34"/>
      <c r="AB429" s="114"/>
      <c r="AC429" s="29" t="str">
        <f t="shared" si="5"/>
        <v>Sim</v>
      </c>
      <c r="AD429" s="37" t="str">
        <f t="shared" si="1"/>
        <v>Não</v>
      </c>
      <c r="AE429" s="102"/>
      <c r="AF429" s="47"/>
      <c r="AG429" s="34"/>
    </row>
    <row r="430" hidden="1">
      <c r="A430" s="43"/>
      <c r="B430" s="43"/>
      <c r="C430" s="43"/>
      <c r="D430" s="43"/>
      <c r="E430" s="46"/>
      <c r="F430" s="34"/>
      <c r="G430" s="34"/>
      <c r="H430" s="47"/>
      <c r="I430" s="47"/>
      <c r="J430" s="111"/>
      <c r="K430" s="47"/>
      <c r="L430" s="102"/>
      <c r="M430" s="47"/>
      <c r="N430" s="47"/>
      <c r="O430" s="43"/>
      <c r="P430" s="102" t="b">
        <v>0</v>
      </c>
      <c r="Q430" s="102" t="b">
        <v>0</v>
      </c>
      <c r="R430" s="102" t="b">
        <v>0</v>
      </c>
      <c r="S430" s="34"/>
      <c r="T430" s="43"/>
      <c r="U430" s="102" t="b">
        <v>0</v>
      </c>
      <c r="V430" s="43"/>
      <c r="W430" s="43"/>
      <c r="X430" s="43"/>
      <c r="Y430" s="43"/>
      <c r="Z430" s="43"/>
      <c r="AA430" s="34"/>
      <c r="AB430" s="114"/>
      <c r="AC430" s="29" t="str">
        <f t="shared" si="5"/>
        <v>Sim</v>
      </c>
      <c r="AD430" s="37" t="str">
        <f t="shared" si="1"/>
        <v>Não</v>
      </c>
      <c r="AE430" s="102"/>
      <c r="AF430" s="47"/>
      <c r="AG430" s="34"/>
    </row>
    <row r="431" hidden="1">
      <c r="A431" s="43"/>
      <c r="B431" s="43"/>
      <c r="C431" s="43"/>
      <c r="D431" s="43"/>
      <c r="E431" s="46"/>
      <c r="F431" s="34"/>
      <c r="G431" s="34"/>
      <c r="H431" s="47"/>
      <c r="I431" s="47"/>
      <c r="J431" s="111"/>
      <c r="K431" s="47"/>
      <c r="L431" s="102"/>
      <c r="M431" s="47"/>
      <c r="N431" s="47"/>
      <c r="O431" s="43"/>
      <c r="P431" s="102" t="b">
        <v>0</v>
      </c>
      <c r="Q431" s="102" t="b">
        <v>0</v>
      </c>
      <c r="R431" s="102" t="b">
        <v>0</v>
      </c>
      <c r="S431" s="34"/>
      <c r="T431" s="43"/>
      <c r="U431" s="102" t="b">
        <v>0</v>
      </c>
      <c r="V431" s="43"/>
      <c r="W431" s="43"/>
      <c r="X431" s="43"/>
      <c r="Y431" s="43"/>
      <c r="Z431" s="43"/>
      <c r="AA431" s="34"/>
      <c r="AB431" s="114"/>
      <c r="AC431" s="29" t="str">
        <f t="shared" si="5"/>
        <v>Sim</v>
      </c>
      <c r="AD431" s="37" t="str">
        <f t="shared" si="1"/>
        <v>Não</v>
      </c>
      <c r="AE431" s="102"/>
      <c r="AF431" s="47"/>
      <c r="AG431" s="34"/>
    </row>
    <row r="432" hidden="1">
      <c r="A432" s="43"/>
      <c r="B432" s="43"/>
      <c r="C432" s="43"/>
      <c r="D432" s="43"/>
      <c r="E432" s="46"/>
      <c r="F432" s="34"/>
      <c r="G432" s="34"/>
      <c r="H432" s="47"/>
      <c r="I432" s="47"/>
      <c r="J432" s="111"/>
      <c r="K432" s="47"/>
      <c r="L432" s="102"/>
      <c r="M432" s="47"/>
      <c r="N432" s="47"/>
      <c r="O432" s="43"/>
      <c r="P432" s="102" t="b">
        <v>0</v>
      </c>
      <c r="Q432" s="102" t="b">
        <v>0</v>
      </c>
      <c r="R432" s="102" t="b">
        <v>0</v>
      </c>
      <c r="S432" s="34"/>
      <c r="T432" s="43"/>
      <c r="U432" s="102" t="b">
        <v>0</v>
      </c>
      <c r="V432" s="43"/>
      <c r="W432" s="43"/>
      <c r="X432" s="43"/>
      <c r="Y432" s="43"/>
      <c r="Z432" s="43"/>
      <c r="AA432" s="34"/>
      <c r="AB432" s="114"/>
      <c r="AC432" s="29" t="str">
        <f t="shared" si="5"/>
        <v>Sim</v>
      </c>
      <c r="AD432" s="37" t="str">
        <f t="shared" si="1"/>
        <v>Não</v>
      </c>
      <c r="AE432" s="102"/>
      <c r="AF432" s="47"/>
      <c r="AG432" s="34"/>
    </row>
    <row r="433" hidden="1">
      <c r="A433" s="43"/>
      <c r="B433" s="43"/>
      <c r="C433" s="43"/>
      <c r="D433" s="43"/>
      <c r="E433" s="46"/>
      <c r="F433" s="34"/>
      <c r="G433" s="34"/>
      <c r="H433" s="47"/>
      <c r="I433" s="47"/>
      <c r="J433" s="111"/>
      <c r="K433" s="47"/>
      <c r="L433" s="102"/>
      <c r="M433" s="47"/>
      <c r="N433" s="47"/>
      <c r="O433" s="43"/>
      <c r="P433" s="102" t="b">
        <v>0</v>
      </c>
      <c r="Q433" s="102" t="b">
        <v>0</v>
      </c>
      <c r="R433" s="102" t="b">
        <v>0</v>
      </c>
      <c r="S433" s="34"/>
      <c r="T433" s="43"/>
      <c r="U433" s="102" t="b">
        <v>0</v>
      </c>
      <c r="V433" s="43"/>
      <c r="W433" s="43"/>
      <c r="X433" s="43"/>
      <c r="Y433" s="43"/>
      <c r="Z433" s="43"/>
      <c r="AA433" s="34"/>
      <c r="AB433" s="114"/>
      <c r="AC433" s="29" t="str">
        <f t="shared" si="5"/>
        <v>Sim</v>
      </c>
      <c r="AD433" s="37" t="str">
        <f t="shared" si="1"/>
        <v>Não</v>
      </c>
      <c r="AE433" s="102"/>
      <c r="AF433" s="47"/>
      <c r="AG433" s="34"/>
    </row>
    <row r="434" hidden="1">
      <c r="A434" s="43"/>
      <c r="B434" s="43"/>
      <c r="C434" s="43"/>
      <c r="D434" s="43"/>
      <c r="E434" s="46"/>
      <c r="F434" s="34"/>
      <c r="G434" s="34"/>
      <c r="H434" s="47"/>
      <c r="I434" s="47"/>
      <c r="J434" s="111"/>
      <c r="K434" s="47"/>
      <c r="L434" s="102"/>
      <c r="M434" s="47"/>
      <c r="N434" s="47"/>
      <c r="O434" s="43"/>
      <c r="P434" s="102" t="b">
        <v>0</v>
      </c>
      <c r="Q434" s="102" t="b">
        <v>0</v>
      </c>
      <c r="R434" s="102" t="b">
        <v>0</v>
      </c>
      <c r="S434" s="34"/>
      <c r="T434" s="43"/>
      <c r="U434" s="102" t="b">
        <v>0</v>
      </c>
      <c r="V434" s="43"/>
      <c r="W434" s="43"/>
      <c r="X434" s="43"/>
      <c r="Y434" s="43"/>
      <c r="Z434" s="43"/>
      <c r="AA434" s="34"/>
      <c r="AB434" s="114"/>
      <c r="AC434" s="29" t="str">
        <f t="shared" si="5"/>
        <v>Sim</v>
      </c>
      <c r="AD434" s="37" t="str">
        <f t="shared" si="1"/>
        <v>Não</v>
      </c>
      <c r="AE434" s="102"/>
      <c r="AF434" s="47"/>
      <c r="AG434" s="34"/>
    </row>
    <row r="435" hidden="1">
      <c r="A435" s="43"/>
      <c r="B435" s="43"/>
      <c r="C435" s="43"/>
      <c r="D435" s="43"/>
      <c r="E435" s="46"/>
      <c r="F435" s="34"/>
      <c r="G435" s="34"/>
      <c r="H435" s="47"/>
      <c r="I435" s="47"/>
      <c r="J435" s="111"/>
      <c r="K435" s="47"/>
      <c r="L435" s="102"/>
      <c r="M435" s="47"/>
      <c r="N435" s="47"/>
      <c r="O435" s="43"/>
      <c r="P435" s="102" t="b">
        <v>0</v>
      </c>
      <c r="Q435" s="102" t="b">
        <v>0</v>
      </c>
      <c r="R435" s="102" t="b">
        <v>0</v>
      </c>
      <c r="S435" s="34"/>
      <c r="T435" s="43"/>
      <c r="U435" s="102" t="b">
        <v>0</v>
      </c>
      <c r="V435" s="43"/>
      <c r="W435" s="43"/>
      <c r="X435" s="43"/>
      <c r="Y435" s="43"/>
      <c r="Z435" s="43"/>
      <c r="AA435" s="34"/>
      <c r="AB435" s="114"/>
      <c r="AC435" s="29" t="str">
        <f t="shared" si="5"/>
        <v>Sim</v>
      </c>
      <c r="AD435" s="37" t="str">
        <f t="shared" si="1"/>
        <v>Não</v>
      </c>
      <c r="AE435" s="102"/>
      <c r="AF435" s="47"/>
      <c r="AG435" s="34"/>
    </row>
    <row r="436" hidden="1">
      <c r="A436" s="43"/>
      <c r="B436" s="43"/>
      <c r="C436" s="43"/>
      <c r="D436" s="43"/>
      <c r="E436" s="46"/>
      <c r="F436" s="34"/>
      <c r="G436" s="34"/>
      <c r="H436" s="47"/>
      <c r="I436" s="47"/>
      <c r="J436" s="111"/>
      <c r="K436" s="47"/>
      <c r="L436" s="102"/>
      <c r="M436" s="47"/>
      <c r="N436" s="47"/>
      <c r="O436" s="43"/>
      <c r="P436" s="102" t="b">
        <v>0</v>
      </c>
      <c r="Q436" s="102" t="b">
        <v>0</v>
      </c>
      <c r="R436" s="102" t="b">
        <v>0</v>
      </c>
      <c r="S436" s="34"/>
      <c r="T436" s="43"/>
      <c r="U436" s="102" t="b">
        <v>0</v>
      </c>
      <c r="V436" s="43"/>
      <c r="W436" s="43"/>
      <c r="X436" s="43"/>
      <c r="Y436" s="43"/>
      <c r="Z436" s="43"/>
      <c r="AA436" s="34"/>
      <c r="AB436" s="114"/>
      <c r="AC436" s="29" t="str">
        <f t="shared" si="5"/>
        <v>Sim</v>
      </c>
      <c r="AD436" s="37" t="str">
        <f t="shared" si="1"/>
        <v>Não</v>
      </c>
      <c r="AE436" s="102"/>
      <c r="AF436" s="47"/>
      <c r="AG436" s="34"/>
    </row>
    <row r="437" hidden="1">
      <c r="A437" s="43"/>
      <c r="B437" s="43"/>
      <c r="C437" s="43"/>
      <c r="D437" s="43"/>
      <c r="E437" s="46"/>
      <c r="F437" s="34"/>
      <c r="G437" s="34"/>
      <c r="H437" s="47"/>
      <c r="I437" s="47"/>
      <c r="J437" s="111"/>
      <c r="K437" s="47"/>
      <c r="L437" s="102"/>
      <c r="M437" s="47"/>
      <c r="N437" s="47"/>
      <c r="O437" s="43"/>
      <c r="P437" s="102" t="b">
        <v>0</v>
      </c>
      <c r="Q437" s="102" t="b">
        <v>0</v>
      </c>
      <c r="R437" s="102" t="b">
        <v>0</v>
      </c>
      <c r="S437" s="34"/>
      <c r="T437" s="43"/>
      <c r="U437" s="102" t="b">
        <v>0</v>
      </c>
      <c r="V437" s="43"/>
      <c r="W437" s="43"/>
      <c r="X437" s="43"/>
      <c r="Y437" s="43"/>
      <c r="Z437" s="43"/>
      <c r="AA437" s="34"/>
      <c r="AB437" s="114"/>
      <c r="AC437" s="29" t="str">
        <f t="shared" si="5"/>
        <v>Sim</v>
      </c>
      <c r="AD437" s="37" t="str">
        <f t="shared" si="1"/>
        <v>Não</v>
      </c>
      <c r="AE437" s="102"/>
      <c r="AF437" s="47"/>
      <c r="AG437" s="34"/>
    </row>
    <row r="438" hidden="1">
      <c r="A438" s="43"/>
      <c r="B438" s="43"/>
      <c r="C438" s="43"/>
      <c r="D438" s="43"/>
      <c r="E438" s="46"/>
      <c r="F438" s="34"/>
      <c r="G438" s="34"/>
      <c r="H438" s="47"/>
      <c r="I438" s="47"/>
      <c r="J438" s="111"/>
      <c r="K438" s="47"/>
      <c r="L438" s="102"/>
      <c r="M438" s="47"/>
      <c r="N438" s="47"/>
      <c r="O438" s="43"/>
      <c r="P438" s="102" t="b">
        <v>0</v>
      </c>
      <c r="Q438" s="102" t="b">
        <v>0</v>
      </c>
      <c r="R438" s="102" t="b">
        <v>0</v>
      </c>
      <c r="S438" s="34"/>
      <c r="T438" s="43"/>
      <c r="U438" s="102" t="b">
        <v>0</v>
      </c>
      <c r="V438" s="43"/>
      <c r="W438" s="43"/>
      <c r="X438" s="43"/>
      <c r="Y438" s="43"/>
      <c r="Z438" s="43"/>
      <c r="AA438" s="34"/>
      <c r="AB438" s="114"/>
      <c r="AC438" s="29" t="str">
        <f t="shared" si="5"/>
        <v>Sim</v>
      </c>
      <c r="AD438" s="37" t="str">
        <f t="shared" si="1"/>
        <v>Não</v>
      </c>
      <c r="AE438" s="102"/>
      <c r="AF438" s="47"/>
      <c r="AG438" s="34"/>
    </row>
    <row r="439" hidden="1">
      <c r="A439" s="43"/>
      <c r="B439" s="43"/>
      <c r="C439" s="43"/>
      <c r="D439" s="43"/>
      <c r="E439" s="46"/>
      <c r="F439" s="34"/>
      <c r="G439" s="34"/>
      <c r="H439" s="47"/>
      <c r="I439" s="47"/>
      <c r="J439" s="111"/>
      <c r="K439" s="47"/>
      <c r="L439" s="102"/>
      <c r="M439" s="47"/>
      <c r="N439" s="47"/>
      <c r="O439" s="43"/>
      <c r="P439" s="102" t="b">
        <v>0</v>
      </c>
      <c r="Q439" s="102" t="b">
        <v>0</v>
      </c>
      <c r="R439" s="102" t="b">
        <v>0</v>
      </c>
      <c r="S439" s="34"/>
      <c r="T439" s="43"/>
      <c r="U439" s="102" t="b">
        <v>0</v>
      </c>
      <c r="V439" s="43"/>
      <c r="W439" s="43"/>
      <c r="X439" s="43"/>
      <c r="Y439" s="43"/>
      <c r="Z439" s="43"/>
      <c r="AA439" s="34"/>
      <c r="AB439" s="114"/>
      <c r="AC439" s="29" t="str">
        <f t="shared" si="5"/>
        <v>Sim</v>
      </c>
      <c r="AD439" s="37" t="str">
        <f t="shared" si="1"/>
        <v>Não</v>
      </c>
      <c r="AE439" s="102"/>
      <c r="AF439" s="47"/>
      <c r="AG439" s="34"/>
    </row>
    <row r="440" hidden="1">
      <c r="A440" s="43"/>
      <c r="B440" s="43"/>
      <c r="C440" s="43"/>
      <c r="D440" s="43"/>
      <c r="E440" s="46"/>
      <c r="F440" s="34"/>
      <c r="G440" s="34"/>
      <c r="H440" s="47"/>
      <c r="I440" s="47"/>
      <c r="J440" s="111"/>
      <c r="K440" s="47"/>
      <c r="L440" s="102"/>
      <c r="M440" s="47"/>
      <c r="N440" s="47"/>
      <c r="O440" s="43"/>
      <c r="P440" s="102" t="b">
        <v>0</v>
      </c>
      <c r="Q440" s="102" t="b">
        <v>0</v>
      </c>
      <c r="R440" s="102" t="b">
        <v>0</v>
      </c>
      <c r="S440" s="34"/>
      <c r="T440" s="43"/>
      <c r="U440" s="102" t="b">
        <v>0</v>
      </c>
      <c r="V440" s="43"/>
      <c r="W440" s="43"/>
      <c r="X440" s="43"/>
      <c r="Y440" s="43"/>
      <c r="Z440" s="43"/>
      <c r="AA440" s="34"/>
      <c r="AB440" s="114"/>
      <c r="AC440" s="29" t="str">
        <f t="shared" si="5"/>
        <v>Sim</v>
      </c>
      <c r="AD440" s="37" t="str">
        <f t="shared" si="1"/>
        <v>Não</v>
      </c>
      <c r="AE440" s="102"/>
      <c r="AF440" s="47"/>
      <c r="AG440" s="34"/>
    </row>
    <row r="441" hidden="1">
      <c r="A441" s="43"/>
      <c r="B441" s="43"/>
      <c r="C441" s="43"/>
      <c r="D441" s="43"/>
      <c r="E441" s="46"/>
      <c r="F441" s="34"/>
      <c r="G441" s="34"/>
      <c r="H441" s="47"/>
      <c r="I441" s="47"/>
      <c r="J441" s="111"/>
      <c r="K441" s="47"/>
      <c r="L441" s="102"/>
      <c r="M441" s="47"/>
      <c r="N441" s="47"/>
      <c r="O441" s="43"/>
      <c r="P441" s="102" t="b">
        <v>0</v>
      </c>
      <c r="Q441" s="102" t="b">
        <v>0</v>
      </c>
      <c r="R441" s="102" t="b">
        <v>0</v>
      </c>
      <c r="S441" s="34"/>
      <c r="T441" s="43"/>
      <c r="U441" s="102" t="b">
        <v>0</v>
      </c>
      <c r="V441" s="43"/>
      <c r="W441" s="43"/>
      <c r="X441" s="43"/>
      <c r="Y441" s="43"/>
      <c r="Z441" s="43"/>
      <c r="AA441" s="34"/>
      <c r="AB441" s="114"/>
      <c r="AC441" s="29" t="str">
        <f t="shared" si="5"/>
        <v>Sim</v>
      </c>
      <c r="AD441" s="37" t="str">
        <f t="shared" si="1"/>
        <v>Não</v>
      </c>
      <c r="AE441" s="102"/>
      <c r="AF441" s="47"/>
      <c r="AG441" s="34"/>
    </row>
    <row r="442" hidden="1">
      <c r="A442" s="43"/>
      <c r="B442" s="43"/>
      <c r="C442" s="43"/>
      <c r="D442" s="43"/>
      <c r="E442" s="46"/>
      <c r="F442" s="34"/>
      <c r="G442" s="34"/>
      <c r="H442" s="47"/>
      <c r="I442" s="47"/>
      <c r="J442" s="111"/>
      <c r="K442" s="47"/>
      <c r="L442" s="102"/>
      <c r="M442" s="47"/>
      <c r="N442" s="47"/>
      <c r="O442" s="43"/>
      <c r="P442" s="102" t="b">
        <v>0</v>
      </c>
      <c r="Q442" s="102" t="b">
        <v>0</v>
      </c>
      <c r="R442" s="102" t="b">
        <v>0</v>
      </c>
      <c r="S442" s="34"/>
      <c r="T442" s="43"/>
      <c r="U442" s="102" t="b">
        <v>0</v>
      </c>
      <c r="V442" s="43"/>
      <c r="W442" s="43"/>
      <c r="X442" s="43"/>
      <c r="Y442" s="43"/>
      <c r="Z442" s="43"/>
      <c r="AA442" s="34"/>
      <c r="AB442" s="114"/>
      <c r="AC442" s="29" t="str">
        <f t="shared" si="5"/>
        <v>Sim</v>
      </c>
      <c r="AD442" s="37" t="str">
        <f t="shared" si="1"/>
        <v>Não</v>
      </c>
      <c r="AE442" s="102"/>
      <c r="AF442" s="47"/>
      <c r="AG442" s="34"/>
    </row>
    <row r="443" hidden="1">
      <c r="A443" s="43"/>
      <c r="B443" s="43"/>
      <c r="C443" s="43"/>
      <c r="D443" s="43"/>
      <c r="E443" s="46"/>
      <c r="F443" s="34"/>
      <c r="G443" s="34"/>
      <c r="H443" s="47"/>
      <c r="I443" s="47"/>
      <c r="J443" s="111"/>
      <c r="K443" s="47"/>
      <c r="L443" s="102"/>
      <c r="M443" s="47"/>
      <c r="N443" s="47"/>
      <c r="O443" s="43"/>
      <c r="P443" s="102" t="b">
        <v>0</v>
      </c>
      <c r="Q443" s="102" t="b">
        <v>0</v>
      </c>
      <c r="R443" s="102" t="b">
        <v>0</v>
      </c>
      <c r="S443" s="34"/>
      <c r="T443" s="43"/>
      <c r="U443" s="102" t="b">
        <v>0</v>
      </c>
      <c r="V443" s="43"/>
      <c r="W443" s="43"/>
      <c r="X443" s="43"/>
      <c r="Y443" s="43"/>
      <c r="Z443" s="43"/>
      <c r="AA443" s="34"/>
      <c r="AB443" s="114"/>
      <c r="AC443" s="29" t="str">
        <f t="shared" si="5"/>
        <v>Sim</v>
      </c>
      <c r="AD443" s="37" t="str">
        <f t="shared" si="1"/>
        <v>Não</v>
      </c>
      <c r="AE443" s="102"/>
      <c r="AF443" s="47"/>
      <c r="AG443" s="34"/>
    </row>
    <row r="444" hidden="1">
      <c r="A444" s="43"/>
      <c r="B444" s="43"/>
      <c r="C444" s="43"/>
      <c r="D444" s="43"/>
      <c r="E444" s="46"/>
      <c r="F444" s="34"/>
      <c r="G444" s="34"/>
      <c r="H444" s="47"/>
      <c r="I444" s="47"/>
      <c r="J444" s="111"/>
      <c r="K444" s="47"/>
      <c r="L444" s="102"/>
      <c r="M444" s="47"/>
      <c r="N444" s="47"/>
      <c r="O444" s="43"/>
      <c r="P444" s="102" t="b">
        <v>0</v>
      </c>
      <c r="Q444" s="102" t="b">
        <v>0</v>
      </c>
      <c r="R444" s="102" t="b">
        <v>0</v>
      </c>
      <c r="S444" s="34"/>
      <c r="T444" s="43"/>
      <c r="U444" s="102" t="b">
        <v>0</v>
      </c>
      <c r="V444" s="43"/>
      <c r="W444" s="43"/>
      <c r="X444" s="43"/>
      <c r="Y444" s="43"/>
      <c r="Z444" s="43"/>
      <c r="AA444" s="34"/>
      <c r="AB444" s="114"/>
      <c r="AC444" s="29" t="str">
        <f t="shared" si="5"/>
        <v>Sim</v>
      </c>
      <c r="AD444" s="37" t="str">
        <f t="shared" si="1"/>
        <v>Não</v>
      </c>
      <c r="AE444" s="102"/>
      <c r="AF444" s="47"/>
      <c r="AG444" s="34"/>
    </row>
    <row r="445" hidden="1">
      <c r="A445" s="43"/>
      <c r="B445" s="43"/>
      <c r="C445" s="43"/>
      <c r="D445" s="43"/>
      <c r="E445" s="46"/>
      <c r="F445" s="34"/>
      <c r="G445" s="34"/>
      <c r="H445" s="47"/>
      <c r="I445" s="47"/>
      <c r="J445" s="111"/>
      <c r="K445" s="47"/>
      <c r="L445" s="102"/>
      <c r="M445" s="47"/>
      <c r="N445" s="47"/>
      <c r="O445" s="43"/>
      <c r="P445" s="102" t="b">
        <v>0</v>
      </c>
      <c r="Q445" s="102" t="b">
        <v>0</v>
      </c>
      <c r="R445" s="102" t="b">
        <v>0</v>
      </c>
      <c r="S445" s="34"/>
      <c r="T445" s="43"/>
      <c r="U445" s="102" t="b">
        <v>0</v>
      </c>
      <c r="V445" s="43"/>
      <c r="W445" s="43"/>
      <c r="X445" s="43"/>
      <c r="Y445" s="43"/>
      <c r="Z445" s="43"/>
      <c r="AA445" s="34"/>
      <c r="AB445" s="114"/>
      <c r="AC445" s="29" t="str">
        <f t="shared" si="5"/>
        <v>Sim</v>
      </c>
      <c r="AD445" s="37" t="str">
        <f t="shared" si="1"/>
        <v>Não</v>
      </c>
      <c r="AE445" s="102"/>
      <c r="AF445" s="47"/>
      <c r="AG445" s="34"/>
    </row>
    <row r="446" hidden="1">
      <c r="A446" s="43"/>
      <c r="B446" s="43"/>
      <c r="C446" s="43"/>
      <c r="D446" s="43"/>
      <c r="E446" s="46"/>
      <c r="F446" s="34"/>
      <c r="G446" s="34"/>
      <c r="H446" s="47"/>
      <c r="I446" s="47"/>
      <c r="J446" s="111"/>
      <c r="K446" s="47"/>
      <c r="L446" s="102"/>
      <c r="M446" s="47"/>
      <c r="N446" s="47"/>
      <c r="O446" s="43"/>
      <c r="P446" s="102" t="b">
        <v>0</v>
      </c>
      <c r="Q446" s="102" t="b">
        <v>0</v>
      </c>
      <c r="R446" s="102" t="b">
        <v>0</v>
      </c>
      <c r="S446" s="34"/>
      <c r="T446" s="43"/>
      <c r="U446" s="102" t="b">
        <v>0</v>
      </c>
      <c r="V446" s="43"/>
      <c r="W446" s="43"/>
      <c r="X446" s="43"/>
      <c r="Y446" s="43"/>
      <c r="Z446" s="43"/>
      <c r="AA446" s="34"/>
      <c r="AB446" s="114"/>
      <c r="AC446" s="29" t="str">
        <f t="shared" si="5"/>
        <v>Sim</v>
      </c>
      <c r="AD446" s="37" t="str">
        <f t="shared" si="1"/>
        <v>Não</v>
      </c>
      <c r="AE446" s="102"/>
      <c r="AF446" s="47"/>
      <c r="AG446" s="34"/>
    </row>
    <row r="447" hidden="1">
      <c r="A447" s="43"/>
      <c r="B447" s="43"/>
      <c r="C447" s="43"/>
      <c r="D447" s="43"/>
      <c r="E447" s="46"/>
      <c r="F447" s="34"/>
      <c r="G447" s="34"/>
      <c r="H447" s="47"/>
      <c r="I447" s="47"/>
      <c r="J447" s="111"/>
      <c r="K447" s="47"/>
      <c r="L447" s="102"/>
      <c r="M447" s="47"/>
      <c r="N447" s="47"/>
      <c r="O447" s="43"/>
      <c r="P447" s="102" t="b">
        <v>0</v>
      </c>
      <c r="Q447" s="102" t="b">
        <v>0</v>
      </c>
      <c r="R447" s="102" t="b">
        <v>0</v>
      </c>
      <c r="S447" s="34"/>
      <c r="T447" s="43"/>
      <c r="U447" s="102" t="b">
        <v>0</v>
      </c>
      <c r="V447" s="43"/>
      <c r="W447" s="43"/>
      <c r="X447" s="43"/>
      <c r="Y447" s="43"/>
      <c r="Z447" s="43"/>
      <c r="AA447" s="34"/>
      <c r="AB447" s="114"/>
      <c r="AC447" s="29" t="str">
        <f t="shared" si="5"/>
        <v>Sim</v>
      </c>
      <c r="AD447" s="37" t="str">
        <f t="shared" si="1"/>
        <v>Não</v>
      </c>
      <c r="AE447" s="102"/>
      <c r="AF447" s="47"/>
      <c r="AG447" s="34"/>
    </row>
    <row r="448" hidden="1">
      <c r="A448" s="43"/>
      <c r="B448" s="43"/>
      <c r="C448" s="43"/>
      <c r="D448" s="43"/>
      <c r="E448" s="46"/>
      <c r="F448" s="34"/>
      <c r="G448" s="34"/>
      <c r="H448" s="47"/>
      <c r="I448" s="47"/>
      <c r="J448" s="111"/>
      <c r="K448" s="47"/>
      <c r="L448" s="102"/>
      <c r="M448" s="47"/>
      <c r="N448" s="47"/>
      <c r="O448" s="43"/>
      <c r="P448" s="102" t="b">
        <v>0</v>
      </c>
      <c r="Q448" s="102" t="b">
        <v>0</v>
      </c>
      <c r="R448" s="102" t="b">
        <v>0</v>
      </c>
      <c r="S448" s="34"/>
      <c r="T448" s="43"/>
      <c r="U448" s="102" t="b">
        <v>0</v>
      </c>
      <c r="V448" s="43"/>
      <c r="W448" s="43"/>
      <c r="X448" s="43"/>
      <c r="Y448" s="43"/>
      <c r="Z448" s="43"/>
      <c r="AA448" s="34"/>
      <c r="AB448" s="114"/>
      <c r="AC448" s="29" t="str">
        <f t="shared" si="5"/>
        <v>Sim</v>
      </c>
      <c r="AD448" s="37" t="str">
        <f t="shared" si="1"/>
        <v>Não</v>
      </c>
      <c r="AE448" s="102"/>
      <c r="AF448" s="47"/>
      <c r="AG448" s="34"/>
    </row>
    <row r="449" hidden="1">
      <c r="A449" s="43"/>
      <c r="B449" s="43"/>
      <c r="C449" s="43"/>
      <c r="D449" s="43"/>
      <c r="E449" s="46"/>
      <c r="F449" s="34"/>
      <c r="G449" s="34"/>
      <c r="H449" s="47"/>
      <c r="I449" s="47"/>
      <c r="J449" s="111"/>
      <c r="K449" s="47"/>
      <c r="L449" s="102"/>
      <c r="M449" s="47"/>
      <c r="N449" s="47"/>
      <c r="O449" s="43"/>
      <c r="P449" s="102" t="b">
        <v>0</v>
      </c>
      <c r="Q449" s="102" t="b">
        <v>0</v>
      </c>
      <c r="R449" s="102" t="b">
        <v>0</v>
      </c>
      <c r="S449" s="34"/>
      <c r="T449" s="43"/>
      <c r="U449" s="102" t="b">
        <v>0</v>
      </c>
      <c r="V449" s="43"/>
      <c r="W449" s="43"/>
      <c r="X449" s="43"/>
      <c r="Y449" s="43"/>
      <c r="Z449" s="43"/>
      <c r="AA449" s="34"/>
      <c r="AB449" s="114"/>
      <c r="AC449" s="29" t="str">
        <f t="shared" si="5"/>
        <v>Sim</v>
      </c>
      <c r="AD449" s="37" t="str">
        <f t="shared" si="1"/>
        <v>Não</v>
      </c>
      <c r="AE449" s="102"/>
      <c r="AF449" s="47"/>
      <c r="AG449" s="34"/>
    </row>
    <row r="450" hidden="1">
      <c r="A450" s="43"/>
      <c r="B450" s="43"/>
      <c r="C450" s="43"/>
      <c r="D450" s="43"/>
      <c r="E450" s="46"/>
      <c r="F450" s="34"/>
      <c r="G450" s="34"/>
      <c r="H450" s="47"/>
      <c r="I450" s="47"/>
      <c r="J450" s="111"/>
      <c r="K450" s="47"/>
      <c r="L450" s="102"/>
      <c r="M450" s="47"/>
      <c r="N450" s="47"/>
      <c r="O450" s="43"/>
      <c r="P450" s="102" t="b">
        <v>0</v>
      </c>
      <c r="Q450" s="102" t="b">
        <v>0</v>
      </c>
      <c r="R450" s="102" t="b">
        <v>0</v>
      </c>
      <c r="S450" s="34"/>
      <c r="T450" s="43"/>
      <c r="U450" s="102" t="b">
        <v>0</v>
      </c>
      <c r="V450" s="43"/>
      <c r="W450" s="43"/>
      <c r="X450" s="43"/>
      <c r="Y450" s="43"/>
      <c r="Z450" s="43"/>
      <c r="AA450" s="34"/>
      <c r="AB450" s="114"/>
      <c r="AC450" s="29" t="str">
        <f t="shared" si="5"/>
        <v>Sim</v>
      </c>
      <c r="AD450" s="37" t="str">
        <f t="shared" si="1"/>
        <v>Não</v>
      </c>
      <c r="AE450" s="102"/>
      <c r="AF450" s="47"/>
      <c r="AG450" s="34"/>
    </row>
    <row r="451" hidden="1">
      <c r="A451" s="43"/>
      <c r="B451" s="43"/>
      <c r="C451" s="43"/>
      <c r="D451" s="43"/>
      <c r="E451" s="46"/>
      <c r="F451" s="34"/>
      <c r="G451" s="34"/>
      <c r="H451" s="47"/>
      <c r="I451" s="47"/>
      <c r="J451" s="111"/>
      <c r="K451" s="47"/>
      <c r="L451" s="102"/>
      <c r="M451" s="47"/>
      <c r="N451" s="47"/>
      <c r="O451" s="43"/>
      <c r="P451" s="102" t="b">
        <v>0</v>
      </c>
      <c r="Q451" s="102" t="b">
        <v>0</v>
      </c>
      <c r="R451" s="102" t="b">
        <v>0</v>
      </c>
      <c r="S451" s="34"/>
      <c r="T451" s="43"/>
      <c r="U451" s="102" t="b">
        <v>0</v>
      </c>
      <c r="V451" s="43"/>
      <c r="W451" s="43"/>
      <c r="X451" s="43"/>
      <c r="Y451" s="43"/>
      <c r="Z451" s="43"/>
      <c r="AA451" s="34"/>
      <c r="AB451" s="114"/>
      <c r="AC451" s="29" t="str">
        <f t="shared" si="5"/>
        <v>Sim</v>
      </c>
      <c r="AD451" s="37" t="str">
        <f t="shared" si="1"/>
        <v>Não</v>
      </c>
      <c r="AE451" s="102"/>
      <c r="AF451" s="47"/>
      <c r="AG451" s="34"/>
    </row>
    <row r="452" hidden="1">
      <c r="A452" s="43"/>
      <c r="B452" s="43"/>
      <c r="C452" s="43"/>
      <c r="D452" s="43"/>
      <c r="E452" s="46"/>
      <c r="F452" s="34"/>
      <c r="G452" s="34"/>
      <c r="H452" s="47"/>
      <c r="I452" s="47"/>
      <c r="J452" s="111"/>
      <c r="K452" s="47"/>
      <c r="L452" s="102"/>
      <c r="M452" s="47"/>
      <c r="N452" s="47"/>
      <c r="O452" s="43"/>
      <c r="P452" s="102" t="b">
        <v>0</v>
      </c>
      <c r="Q452" s="102" t="b">
        <v>0</v>
      </c>
      <c r="R452" s="102" t="b">
        <v>0</v>
      </c>
      <c r="S452" s="34"/>
      <c r="T452" s="43"/>
      <c r="U452" s="102" t="b">
        <v>0</v>
      </c>
      <c r="V452" s="43"/>
      <c r="W452" s="43"/>
      <c r="X452" s="43"/>
      <c r="Y452" s="43"/>
      <c r="Z452" s="43"/>
      <c r="AA452" s="34"/>
      <c r="AB452" s="114"/>
      <c r="AC452" s="29" t="str">
        <f t="shared" si="5"/>
        <v>Sim</v>
      </c>
      <c r="AD452" s="37" t="str">
        <f t="shared" si="1"/>
        <v>Não</v>
      </c>
      <c r="AE452" s="102"/>
      <c r="AF452" s="47"/>
      <c r="AG452" s="34"/>
    </row>
    <row r="453" hidden="1">
      <c r="A453" s="43"/>
      <c r="B453" s="43"/>
      <c r="C453" s="43"/>
      <c r="D453" s="43"/>
      <c r="E453" s="46"/>
      <c r="F453" s="34"/>
      <c r="G453" s="34"/>
      <c r="H453" s="47"/>
      <c r="I453" s="47"/>
      <c r="J453" s="111"/>
      <c r="K453" s="47"/>
      <c r="L453" s="102"/>
      <c r="M453" s="47"/>
      <c r="N453" s="47"/>
      <c r="O453" s="43"/>
      <c r="P453" s="102" t="b">
        <v>0</v>
      </c>
      <c r="Q453" s="102" t="b">
        <v>0</v>
      </c>
      <c r="R453" s="102" t="b">
        <v>0</v>
      </c>
      <c r="S453" s="34"/>
      <c r="T453" s="43"/>
      <c r="U453" s="102" t="b">
        <v>0</v>
      </c>
      <c r="V453" s="43"/>
      <c r="W453" s="43"/>
      <c r="X453" s="43"/>
      <c r="Y453" s="43"/>
      <c r="Z453" s="43"/>
      <c r="AA453" s="34"/>
      <c r="AB453" s="114"/>
      <c r="AC453" s="29" t="str">
        <f t="shared" si="5"/>
        <v>Sim</v>
      </c>
      <c r="AD453" s="37" t="str">
        <f t="shared" si="1"/>
        <v>Não</v>
      </c>
      <c r="AE453" s="102"/>
      <c r="AF453" s="47"/>
      <c r="AG453" s="34"/>
    </row>
    <row r="454" hidden="1">
      <c r="A454" s="43"/>
      <c r="B454" s="43"/>
      <c r="C454" s="43"/>
      <c r="D454" s="43"/>
      <c r="E454" s="46"/>
      <c r="F454" s="34"/>
      <c r="G454" s="34"/>
      <c r="H454" s="47"/>
      <c r="I454" s="47"/>
      <c r="J454" s="111"/>
      <c r="K454" s="47"/>
      <c r="L454" s="102"/>
      <c r="M454" s="47"/>
      <c r="N454" s="47"/>
      <c r="O454" s="43"/>
      <c r="P454" s="102" t="b">
        <v>0</v>
      </c>
      <c r="Q454" s="102" t="b">
        <v>0</v>
      </c>
      <c r="R454" s="102" t="b">
        <v>0</v>
      </c>
      <c r="S454" s="34"/>
      <c r="T454" s="43"/>
      <c r="U454" s="102" t="b">
        <v>0</v>
      </c>
      <c r="V454" s="43"/>
      <c r="W454" s="43"/>
      <c r="X454" s="43"/>
      <c r="Y454" s="43"/>
      <c r="Z454" s="43"/>
      <c r="AA454" s="34"/>
      <c r="AB454" s="114"/>
      <c r="AC454" s="29" t="str">
        <f t="shared" si="5"/>
        <v>Sim</v>
      </c>
      <c r="AD454" s="37" t="str">
        <f t="shared" si="1"/>
        <v>Não</v>
      </c>
      <c r="AE454" s="102"/>
      <c r="AF454" s="47"/>
      <c r="AG454" s="34"/>
    </row>
    <row r="455" hidden="1">
      <c r="A455" s="43"/>
      <c r="B455" s="43"/>
      <c r="C455" s="43"/>
      <c r="D455" s="43"/>
      <c r="E455" s="46"/>
      <c r="F455" s="34"/>
      <c r="G455" s="34"/>
      <c r="H455" s="47"/>
      <c r="I455" s="47"/>
      <c r="J455" s="111"/>
      <c r="K455" s="47"/>
      <c r="L455" s="102"/>
      <c r="M455" s="47"/>
      <c r="N455" s="47"/>
      <c r="O455" s="43"/>
      <c r="P455" s="102" t="b">
        <v>0</v>
      </c>
      <c r="Q455" s="102" t="b">
        <v>0</v>
      </c>
      <c r="R455" s="102" t="b">
        <v>0</v>
      </c>
      <c r="S455" s="34"/>
      <c r="T455" s="43"/>
      <c r="U455" s="102" t="b">
        <v>0</v>
      </c>
      <c r="V455" s="43"/>
      <c r="W455" s="43"/>
      <c r="X455" s="43"/>
      <c r="Y455" s="43"/>
      <c r="Z455" s="43"/>
      <c r="AA455" s="34"/>
      <c r="AB455" s="114"/>
      <c r="AC455" s="29" t="str">
        <f t="shared" si="5"/>
        <v>Sim</v>
      </c>
      <c r="AD455" s="37" t="str">
        <f t="shared" si="1"/>
        <v>Não</v>
      </c>
      <c r="AE455" s="102"/>
      <c r="AF455" s="47"/>
      <c r="AG455" s="34"/>
    </row>
    <row r="456" hidden="1">
      <c r="A456" s="43"/>
      <c r="B456" s="43"/>
      <c r="C456" s="43"/>
      <c r="D456" s="43"/>
      <c r="E456" s="46"/>
      <c r="F456" s="34"/>
      <c r="G456" s="34"/>
      <c r="H456" s="47"/>
      <c r="I456" s="47"/>
      <c r="J456" s="111"/>
      <c r="K456" s="47"/>
      <c r="L456" s="102"/>
      <c r="M456" s="47"/>
      <c r="N456" s="47"/>
      <c r="O456" s="43"/>
      <c r="P456" s="102" t="b">
        <v>0</v>
      </c>
      <c r="Q456" s="102" t="b">
        <v>0</v>
      </c>
      <c r="R456" s="102" t="b">
        <v>0</v>
      </c>
      <c r="S456" s="34"/>
      <c r="T456" s="43"/>
      <c r="U456" s="102" t="b">
        <v>0</v>
      </c>
      <c r="V456" s="43"/>
      <c r="W456" s="43"/>
      <c r="X456" s="43"/>
      <c r="Y456" s="43"/>
      <c r="Z456" s="43"/>
      <c r="AA456" s="34"/>
      <c r="AB456" s="114"/>
      <c r="AC456" s="29" t="str">
        <f t="shared" si="5"/>
        <v>Sim</v>
      </c>
      <c r="AD456" s="37" t="str">
        <f t="shared" si="1"/>
        <v>Não</v>
      </c>
      <c r="AE456" s="102"/>
      <c r="AF456" s="47"/>
      <c r="AG456" s="34"/>
    </row>
    <row r="457" hidden="1">
      <c r="A457" s="43"/>
      <c r="B457" s="43"/>
      <c r="C457" s="43"/>
      <c r="D457" s="43"/>
      <c r="E457" s="46"/>
      <c r="F457" s="34"/>
      <c r="G457" s="34"/>
      <c r="H457" s="47"/>
      <c r="I457" s="47"/>
      <c r="J457" s="111"/>
      <c r="K457" s="47"/>
      <c r="L457" s="102"/>
      <c r="M457" s="47"/>
      <c r="N457" s="47"/>
      <c r="O457" s="43"/>
      <c r="P457" s="102" t="b">
        <v>0</v>
      </c>
      <c r="Q457" s="102" t="b">
        <v>0</v>
      </c>
      <c r="R457" s="102" t="b">
        <v>0</v>
      </c>
      <c r="S457" s="34"/>
      <c r="T457" s="43"/>
      <c r="U457" s="102" t="b">
        <v>0</v>
      </c>
      <c r="V457" s="43"/>
      <c r="W457" s="43"/>
      <c r="X457" s="43"/>
      <c r="Y457" s="43"/>
      <c r="Z457" s="43"/>
      <c r="AA457" s="34"/>
      <c r="AB457" s="114"/>
      <c r="AC457" s="29" t="str">
        <f t="shared" si="5"/>
        <v>Sim</v>
      </c>
      <c r="AD457" s="37" t="str">
        <f t="shared" si="1"/>
        <v>Não</v>
      </c>
      <c r="AE457" s="102"/>
      <c r="AF457" s="47"/>
      <c r="AG457" s="34"/>
    </row>
    <row r="458" hidden="1">
      <c r="A458" s="43"/>
      <c r="B458" s="43"/>
      <c r="C458" s="43"/>
      <c r="D458" s="43"/>
      <c r="E458" s="46"/>
      <c r="F458" s="34"/>
      <c r="G458" s="34"/>
      <c r="H458" s="47"/>
      <c r="I458" s="47"/>
      <c r="J458" s="111"/>
      <c r="K458" s="47"/>
      <c r="L458" s="102"/>
      <c r="M458" s="47"/>
      <c r="N458" s="47"/>
      <c r="O458" s="43"/>
      <c r="P458" s="102" t="b">
        <v>0</v>
      </c>
      <c r="Q458" s="102" t="b">
        <v>0</v>
      </c>
      <c r="R458" s="102" t="b">
        <v>0</v>
      </c>
      <c r="S458" s="34"/>
      <c r="T458" s="43"/>
      <c r="U458" s="102" t="b">
        <v>0</v>
      </c>
      <c r="V458" s="43"/>
      <c r="W458" s="43"/>
      <c r="X458" s="43"/>
      <c r="Y458" s="43"/>
      <c r="Z458" s="43"/>
      <c r="AA458" s="34"/>
      <c r="AB458" s="114"/>
      <c r="AC458" s="29" t="str">
        <f t="shared" si="5"/>
        <v>Sim</v>
      </c>
      <c r="AD458" s="37" t="str">
        <f t="shared" si="1"/>
        <v>Não</v>
      </c>
      <c r="AE458" s="102"/>
      <c r="AF458" s="47"/>
      <c r="AG458" s="34"/>
    </row>
    <row r="459" hidden="1">
      <c r="A459" s="43"/>
      <c r="B459" s="43"/>
      <c r="C459" s="43"/>
      <c r="D459" s="43"/>
      <c r="E459" s="46"/>
      <c r="F459" s="34"/>
      <c r="G459" s="34"/>
      <c r="H459" s="47"/>
      <c r="I459" s="47"/>
      <c r="J459" s="111"/>
      <c r="K459" s="47"/>
      <c r="L459" s="102"/>
      <c r="M459" s="47"/>
      <c r="N459" s="47"/>
      <c r="O459" s="43"/>
      <c r="P459" s="102" t="b">
        <v>0</v>
      </c>
      <c r="Q459" s="102" t="b">
        <v>0</v>
      </c>
      <c r="R459" s="102" t="b">
        <v>0</v>
      </c>
      <c r="S459" s="34"/>
      <c r="T459" s="43"/>
      <c r="U459" s="102" t="b">
        <v>0</v>
      </c>
      <c r="V459" s="43"/>
      <c r="W459" s="43"/>
      <c r="X459" s="43"/>
      <c r="Y459" s="43"/>
      <c r="Z459" s="43"/>
      <c r="AA459" s="34"/>
      <c r="AB459" s="114"/>
      <c r="AC459" s="29" t="str">
        <f t="shared" si="5"/>
        <v>Sim</v>
      </c>
      <c r="AD459" s="37" t="str">
        <f t="shared" si="1"/>
        <v>Não</v>
      </c>
      <c r="AE459" s="102"/>
      <c r="AF459" s="47"/>
      <c r="AG459" s="34"/>
    </row>
    <row r="460" hidden="1">
      <c r="A460" s="115"/>
      <c r="B460" s="93"/>
      <c r="C460" s="93"/>
      <c r="D460" s="93"/>
      <c r="E460" s="116"/>
      <c r="F460" s="95"/>
      <c r="G460" s="95"/>
      <c r="H460" s="94"/>
      <c r="I460" s="94"/>
      <c r="J460" s="117"/>
      <c r="K460" s="118"/>
      <c r="L460" s="119"/>
      <c r="M460" s="94"/>
      <c r="N460" s="94"/>
      <c r="O460" s="93"/>
      <c r="P460" s="120" t="b">
        <v>0</v>
      </c>
      <c r="Q460" s="120" t="b">
        <v>0</v>
      </c>
      <c r="R460" s="120" t="b">
        <v>0</v>
      </c>
      <c r="S460" s="95"/>
      <c r="U460" s="120" t="b">
        <v>0</v>
      </c>
      <c r="V460" s="93"/>
      <c r="W460" s="93"/>
      <c r="X460" s="93"/>
      <c r="Y460" s="93"/>
      <c r="AA460" s="95"/>
      <c r="AB460" s="121"/>
      <c r="AC460" s="29" t="str">
        <f t="shared" si="5"/>
        <v>Sim</v>
      </c>
      <c r="AD460" s="37" t="str">
        <f t="shared" si="1"/>
        <v>Não</v>
      </c>
      <c r="AE460" s="94"/>
      <c r="AF460" s="94"/>
      <c r="AG460" s="95"/>
    </row>
    <row r="461" hidden="1">
      <c r="A461" s="115"/>
      <c r="B461" s="93"/>
      <c r="C461" s="93"/>
      <c r="D461" s="93"/>
      <c r="E461" s="116"/>
      <c r="F461" s="95"/>
      <c r="G461" s="95"/>
      <c r="H461" s="94"/>
      <c r="I461" s="94"/>
      <c r="J461" s="117"/>
      <c r="K461" s="118"/>
      <c r="L461" s="119"/>
      <c r="M461" s="94"/>
      <c r="N461" s="94"/>
      <c r="O461" s="93"/>
      <c r="P461" s="120" t="b">
        <v>0</v>
      </c>
      <c r="Q461" s="120" t="b">
        <v>0</v>
      </c>
      <c r="R461" s="120" t="b">
        <v>0</v>
      </c>
      <c r="S461" s="95"/>
      <c r="U461" s="120" t="b">
        <v>0</v>
      </c>
      <c r="V461" s="93"/>
      <c r="W461" s="93"/>
      <c r="X461" s="93"/>
      <c r="Y461" s="93"/>
      <c r="AA461" s="95"/>
      <c r="AB461" s="121"/>
      <c r="AC461" s="29" t="str">
        <f t="shared" si="5"/>
        <v>Sim</v>
      </c>
      <c r="AD461" s="37" t="str">
        <f t="shared" si="1"/>
        <v>Não</v>
      </c>
      <c r="AE461" s="94"/>
      <c r="AF461" s="94"/>
      <c r="AG461" s="95"/>
    </row>
    <row r="462" hidden="1">
      <c r="A462" s="115"/>
      <c r="B462" s="93"/>
      <c r="C462" s="93"/>
      <c r="D462" s="93"/>
      <c r="E462" s="116"/>
      <c r="F462" s="95"/>
      <c r="G462" s="95"/>
      <c r="H462" s="94"/>
      <c r="I462" s="94"/>
      <c r="J462" s="117"/>
      <c r="K462" s="118"/>
      <c r="L462" s="119"/>
      <c r="M462" s="94"/>
      <c r="N462" s="94"/>
      <c r="O462" s="93"/>
      <c r="P462" s="120" t="b">
        <v>0</v>
      </c>
      <c r="Q462" s="120" t="b">
        <v>0</v>
      </c>
      <c r="R462" s="120" t="b">
        <v>0</v>
      </c>
      <c r="S462" s="95"/>
      <c r="U462" s="120" t="b">
        <v>0</v>
      </c>
      <c r="V462" s="93"/>
      <c r="W462" s="93"/>
      <c r="X462" s="93"/>
      <c r="Y462" s="93"/>
      <c r="AA462" s="95"/>
      <c r="AB462" s="121"/>
      <c r="AC462" s="29" t="str">
        <f t="shared" si="5"/>
        <v>Sim</v>
      </c>
      <c r="AD462" s="37" t="str">
        <f t="shared" si="1"/>
        <v>Não</v>
      </c>
      <c r="AE462" s="94"/>
      <c r="AF462" s="94"/>
      <c r="AG462" s="95"/>
    </row>
    <row r="463" hidden="1">
      <c r="A463" s="115"/>
      <c r="B463" s="93"/>
      <c r="C463" s="93"/>
      <c r="D463" s="93"/>
      <c r="E463" s="116"/>
      <c r="F463" s="95"/>
      <c r="G463" s="95"/>
      <c r="H463" s="94"/>
      <c r="I463" s="94"/>
      <c r="J463" s="117"/>
      <c r="K463" s="118"/>
      <c r="L463" s="119"/>
      <c r="M463" s="94"/>
      <c r="N463" s="94"/>
      <c r="O463" s="93"/>
      <c r="P463" s="120" t="b">
        <v>0</v>
      </c>
      <c r="Q463" s="120" t="b">
        <v>0</v>
      </c>
      <c r="R463" s="120" t="b">
        <v>0</v>
      </c>
      <c r="S463" s="95"/>
      <c r="U463" s="120" t="b">
        <v>0</v>
      </c>
      <c r="V463" s="93"/>
      <c r="W463" s="93"/>
      <c r="X463" s="93"/>
      <c r="Y463" s="93"/>
      <c r="AA463" s="95"/>
      <c r="AB463" s="121"/>
      <c r="AC463" s="29" t="str">
        <f t="shared" si="5"/>
        <v>Sim</v>
      </c>
      <c r="AD463" s="37" t="str">
        <f t="shared" si="1"/>
        <v>Não</v>
      </c>
      <c r="AE463" s="94"/>
      <c r="AF463" s="94"/>
      <c r="AG463" s="95"/>
    </row>
    <row r="464" hidden="1">
      <c r="A464" s="115"/>
      <c r="B464" s="93"/>
      <c r="C464" s="93"/>
      <c r="D464" s="93"/>
      <c r="E464" s="116"/>
      <c r="F464" s="95"/>
      <c r="G464" s="95"/>
      <c r="H464" s="94"/>
      <c r="I464" s="94"/>
      <c r="J464" s="117"/>
      <c r="K464" s="118"/>
      <c r="L464" s="119"/>
      <c r="M464" s="94"/>
      <c r="N464" s="94"/>
      <c r="O464" s="93"/>
      <c r="P464" s="120" t="b">
        <v>0</v>
      </c>
      <c r="Q464" s="120" t="b">
        <v>0</v>
      </c>
      <c r="R464" s="120" t="b">
        <v>0</v>
      </c>
      <c r="S464" s="95"/>
      <c r="U464" s="120" t="b">
        <v>0</v>
      </c>
      <c r="V464" s="93"/>
      <c r="W464" s="93"/>
      <c r="X464" s="93"/>
      <c r="Y464" s="93"/>
      <c r="AA464" s="95"/>
      <c r="AB464" s="121"/>
      <c r="AC464" s="29" t="str">
        <f t="shared" si="5"/>
        <v>Sim</v>
      </c>
      <c r="AD464" s="37" t="str">
        <f t="shared" si="1"/>
        <v>Não</v>
      </c>
      <c r="AE464" s="94"/>
      <c r="AF464" s="94"/>
      <c r="AG464" s="95"/>
    </row>
    <row r="465" hidden="1">
      <c r="A465" s="115"/>
      <c r="B465" s="93"/>
      <c r="C465" s="93"/>
      <c r="D465" s="93"/>
      <c r="E465" s="116"/>
      <c r="F465" s="95"/>
      <c r="G465" s="95"/>
      <c r="H465" s="94"/>
      <c r="I465" s="94"/>
      <c r="J465" s="117"/>
      <c r="K465" s="118"/>
      <c r="L465" s="119"/>
      <c r="M465" s="94"/>
      <c r="N465" s="94"/>
      <c r="O465" s="93"/>
      <c r="P465" s="120" t="b">
        <v>0</v>
      </c>
      <c r="Q465" s="120" t="b">
        <v>0</v>
      </c>
      <c r="R465" s="120" t="b">
        <v>0</v>
      </c>
      <c r="S465" s="95"/>
      <c r="U465" s="120" t="b">
        <v>0</v>
      </c>
      <c r="V465" s="93"/>
      <c r="W465" s="93"/>
      <c r="X465" s="93"/>
      <c r="Y465" s="93"/>
      <c r="AA465" s="95"/>
      <c r="AB465" s="121"/>
      <c r="AC465" s="29" t="str">
        <f t="shared" si="5"/>
        <v>Sim</v>
      </c>
      <c r="AD465" s="37" t="str">
        <f t="shared" si="1"/>
        <v>Não</v>
      </c>
      <c r="AE465" s="94"/>
      <c r="AF465" s="94"/>
      <c r="AG465" s="95"/>
    </row>
    <row r="466" hidden="1">
      <c r="A466" s="115"/>
      <c r="B466" s="93"/>
      <c r="C466" s="93"/>
      <c r="D466" s="93"/>
      <c r="E466" s="116"/>
      <c r="F466" s="95"/>
      <c r="G466" s="95"/>
      <c r="H466" s="94"/>
      <c r="I466" s="94"/>
      <c r="J466" s="117"/>
      <c r="K466" s="118"/>
      <c r="L466" s="119"/>
      <c r="M466" s="94"/>
      <c r="N466" s="94"/>
      <c r="O466" s="93"/>
      <c r="P466" s="120" t="b">
        <v>0</v>
      </c>
      <c r="Q466" s="120" t="b">
        <v>0</v>
      </c>
      <c r="R466" s="120" t="b">
        <v>0</v>
      </c>
      <c r="S466" s="95"/>
      <c r="U466" s="120" t="b">
        <v>0</v>
      </c>
      <c r="V466" s="93"/>
      <c r="W466" s="93"/>
      <c r="X466" s="93"/>
      <c r="Y466" s="93"/>
      <c r="AA466" s="95"/>
      <c r="AB466" s="121"/>
      <c r="AC466" s="29" t="str">
        <f t="shared" si="5"/>
        <v>Sim</v>
      </c>
      <c r="AD466" s="37" t="str">
        <f t="shared" si="1"/>
        <v>Não</v>
      </c>
      <c r="AE466" s="94"/>
      <c r="AF466" s="94"/>
      <c r="AG466" s="95"/>
    </row>
    <row r="467" hidden="1">
      <c r="A467" s="115"/>
      <c r="B467" s="93"/>
      <c r="C467" s="93"/>
      <c r="D467" s="93"/>
      <c r="E467" s="116"/>
      <c r="F467" s="95"/>
      <c r="G467" s="95"/>
      <c r="H467" s="94"/>
      <c r="I467" s="94"/>
      <c r="J467" s="117"/>
      <c r="K467" s="118"/>
      <c r="L467" s="119"/>
      <c r="M467" s="94"/>
      <c r="N467" s="94"/>
      <c r="O467" s="93"/>
      <c r="P467" s="120" t="b">
        <v>0</v>
      </c>
      <c r="Q467" s="120" t="b">
        <v>0</v>
      </c>
      <c r="R467" s="120" t="b">
        <v>0</v>
      </c>
      <c r="S467" s="95"/>
      <c r="U467" s="120" t="b">
        <v>0</v>
      </c>
      <c r="V467" s="93"/>
      <c r="W467" s="93"/>
      <c r="X467" s="93"/>
      <c r="Y467" s="93"/>
      <c r="AA467" s="95"/>
      <c r="AB467" s="121"/>
      <c r="AC467" s="29" t="str">
        <f t="shared" si="5"/>
        <v>Sim</v>
      </c>
      <c r="AD467" s="37" t="str">
        <f t="shared" si="1"/>
        <v>Não</v>
      </c>
      <c r="AE467" s="94"/>
      <c r="AF467" s="94"/>
      <c r="AG467" s="95"/>
    </row>
    <row r="468" hidden="1">
      <c r="A468" s="115"/>
      <c r="B468" s="93"/>
      <c r="C468" s="93"/>
      <c r="D468" s="93"/>
      <c r="E468" s="116"/>
      <c r="F468" s="95"/>
      <c r="G468" s="95"/>
      <c r="H468" s="94"/>
      <c r="I468" s="94"/>
      <c r="J468" s="117"/>
      <c r="K468" s="118"/>
      <c r="L468" s="119"/>
      <c r="M468" s="94"/>
      <c r="N468" s="94"/>
      <c r="O468" s="93"/>
      <c r="P468" s="120" t="b">
        <v>0</v>
      </c>
      <c r="Q468" s="120" t="b">
        <v>0</v>
      </c>
      <c r="R468" s="120" t="b">
        <v>0</v>
      </c>
      <c r="S468" s="95"/>
      <c r="U468" s="120" t="b">
        <v>0</v>
      </c>
      <c r="V468" s="93"/>
      <c r="W468" s="93"/>
      <c r="X468" s="93"/>
      <c r="Y468" s="93"/>
      <c r="AA468" s="95"/>
      <c r="AB468" s="121"/>
      <c r="AC468" s="29" t="str">
        <f t="shared" si="5"/>
        <v>Sim</v>
      </c>
      <c r="AD468" s="37" t="str">
        <f t="shared" si="1"/>
        <v>Não</v>
      </c>
      <c r="AE468" s="94"/>
      <c r="AF468" s="94"/>
      <c r="AG468" s="95"/>
    </row>
    <row r="469" hidden="1">
      <c r="A469" s="115"/>
      <c r="B469" s="93"/>
      <c r="C469" s="93"/>
      <c r="D469" s="93"/>
      <c r="E469" s="116"/>
      <c r="F469" s="95"/>
      <c r="G469" s="95"/>
      <c r="H469" s="94"/>
      <c r="I469" s="94"/>
      <c r="J469" s="117"/>
      <c r="K469" s="118"/>
      <c r="L469" s="119"/>
      <c r="M469" s="94"/>
      <c r="N469" s="94"/>
      <c r="O469" s="93"/>
      <c r="P469" s="120" t="b">
        <v>0</v>
      </c>
      <c r="Q469" s="120" t="b">
        <v>0</v>
      </c>
      <c r="R469" s="120" t="b">
        <v>0</v>
      </c>
      <c r="S469" s="95"/>
      <c r="U469" s="120" t="b">
        <v>0</v>
      </c>
      <c r="V469" s="93"/>
      <c r="W469" s="93"/>
      <c r="X469" s="93"/>
      <c r="Y469" s="93"/>
      <c r="AA469" s="95"/>
      <c r="AB469" s="121"/>
      <c r="AC469" s="29" t="str">
        <f t="shared" si="5"/>
        <v>Sim</v>
      </c>
      <c r="AD469" s="37" t="str">
        <f t="shared" si="1"/>
        <v>Não</v>
      </c>
      <c r="AE469" s="94"/>
      <c r="AF469" s="94"/>
      <c r="AG469" s="95"/>
    </row>
    <row r="470" hidden="1">
      <c r="A470" s="115"/>
      <c r="B470" s="93"/>
      <c r="C470" s="93"/>
      <c r="D470" s="93"/>
      <c r="E470" s="116"/>
      <c r="F470" s="95"/>
      <c r="G470" s="95"/>
      <c r="H470" s="94"/>
      <c r="I470" s="94"/>
      <c r="J470" s="117"/>
      <c r="K470" s="118"/>
      <c r="L470" s="119"/>
      <c r="M470" s="94"/>
      <c r="N470" s="94"/>
      <c r="O470" s="93"/>
      <c r="P470" s="120" t="b">
        <v>0</v>
      </c>
      <c r="Q470" s="120" t="b">
        <v>0</v>
      </c>
      <c r="R470" s="120" t="b">
        <v>0</v>
      </c>
      <c r="S470" s="95"/>
      <c r="U470" s="120" t="b">
        <v>0</v>
      </c>
      <c r="V470" s="93"/>
      <c r="W470" s="93"/>
      <c r="X470" s="93"/>
      <c r="Y470" s="93"/>
      <c r="AA470" s="95"/>
      <c r="AB470" s="121"/>
      <c r="AC470" s="29" t="str">
        <f t="shared" si="5"/>
        <v>Sim</v>
      </c>
      <c r="AD470" s="37" t="str">
        <f t="shared" si="1"/>
        <v>Não</v>
      </c>
      <c r="AE470" s="94"/>
      <c r="AF470" s="94"/>
      <c r="AG470" s="95"/>
    </row>
    <row r="471" hidden="1">
      <c r="A471" s="115"/>
      <c r="B471" s="93"/>
      <c r="C471" s="93"/>
      <c r="D471" s="93"/>
      <c r="E471" s="116"/>
      <c r="F471" s="95"/>
      <c r="G471" s="95"/>
      <c r="H471" s="94"/>
      <c r="I471" s="94"/>
      <c r="J471" s="117"/>
      <c r="K471" s="118"/>
      <c r="L471" s="119"/>
      <c r="M471" s="94"/>
      <c r="N471" s="94"/>
      <c r="O471" s="93"/>
      <c r="P471" s="120" t="b">
        <v>0</v>
      </c>
      <c r="Q471" s="120" t="b">
        <v>0</v>
      </c>
      <c r="R471" s="120" t="b">
        <v>0</v>
      </c>
      <c r="S471" s="95"/>
      <c r="U471" s="120" t="b">
        <v>0</v>
      </c>
      <c r="V471" s="93"/>
      <c r="W471" s="93"/>
      <c r="X471" s="93"/>
      <c r="Y471" s="93"/>
      <c r="AA471" s="95"/>
      <c r="AB471" s="121"/>
      <c r="AC471" s="29" t="str">
        <f t="shared" si="5"/>
        <v>Sim</v>
      </c>
      <c r="AD471" s="37" t="str">
        <f t="shared" si="1"/>
        <v>Não</v>
      </c>
      <c r="AE471" s="94"/>
      <c r="AF471" s="94"/>
      <c r="AG471" s="95"/>
    </row>
    <row r="472" hidden="1">
      <c r="A472" s="115"/>
      <c r="B472" s="93"/>
      <c r="C472" s="93"/>
      <c r="D472" s="93"/>
      <c r="E472" s="116"/>
      <c r="F472" s="95"/>
      <c r="G472" s="95"/>
      <c r="H472" s="94"/>
      <c r="I472" s="94"/>
      <c r="J472" s="117"/>
      <c r="K472" s="118"/>
      <c r="L472" s="119"/>
      <c r="M472" s="94"/>
      <c r="N472" s="94"/>
      <c r="O472" s="93"/>
      <c r="P472" s="120" t="b">
        <v>0</v>
      </c>
      <c r="Q472" s="120" t="b">
        <v>0</v>
      </c>
      <c r="R472" s="120" t="b">
        <v>0</v>
      </c>
      <c r="S472" s="95"/>
      <c r="U472" s="120" t="b">
        <v>0</v>
      </c>
      <c r="V472" s="93"/>
      <c r="W472" s="93"/>
      <c r="X472" s="93"/>
      <c r="Y472" s="93"/>
      <c r="AA472" s="95"/>
      <c r="AB472" s="121"/>
      <c r="AC472" s="29" t="str">
        <f t="shared" si="5"/>
        <v>Sim</v>
      </c>
      <c r="AD472" s="37" t="str">
        <f t="shared" si="1"/>
        <v>Não</v>
      </c>
      <c r="AE472" s="94"/>
      <c r="AF472" s="94"/>
      <c r="AG472" s="95"/>
    </row>
    <row r="473" hidden="1">
      <c r="A473" s="115"/>
      <c r="B473" s="93"/>
      <c r="C473" s="93"/>
      <c r="D473" s="93"/>
      <c r="E473" s="116"/>
      <c r="F473" s="95"/>
      <c r="G473" s="95"/>
      <c r="H473" s="94"/>
      <c r="I473" s="94"/>
      <c r="J473" s="117"/>
      <c r="K473" s="118"/>
      <c r="L473" s="119"/>
      <c r="M473" s="94"/>
      <c r="N473" s="94"/>
      <c r="O473" s="93"/>
      <c r="P473" s="120" t="b">
        <v>0</v>
      </c>
      <c r="Q473" s="120" t="b">
        <v>0</v>
      </c>
      <c r="R473" s="120" t="b">
        <v>0</v>
      </c>
      <c r="S473" s="95"/>
      <c r="U473" s="120" t="b">
        <v>0</v>
      </c>
      <c r="V473" s="93"/>
      <c r="W473" s="93"/>
      <c r="X473" s="93"/>
      <c r="Y473" s="93"/>
      <c r="AA473" s="95"/>
      <c r="AB473" s="121"/>
      <c r="AC473" s="29" t="str">
        <f t="shared" si="5"/>
        <v>Sim</v>
      </c>
      <c r="AD473" s="37" t="str">
        <f t="shared" si="1"/>
        <v>Não</v>
      </c>
      <c r="AE473" s="94"/>
      <c r="AF473" s="94"/>
      <c r="AG473" s="95"/>
    </row>
    <row r="474" hidden="1">
      <c r="A474" s="115"/>
      <c r="B474" s="93"/>
      <c r="C474" s="93"/>
      <c r="D474" s="93"/>
      <c r="E474" s="116"/>
      <c r="F474" s="95"/>
      <c r="G474" s="95"/>
      <c r="H474" s="94"/>
      <c r="I474" s="94"/>
      <c r="J474" s="117"/>
      <c r="K474" s="118"/>
      <c r="L474" s="119"/>
      <c r="M474" s="94"/>
      <c r="N474" s="94"/>
      <c r="O474" s="93"/>
      <c r="P474" s="120" t="b">
        <v>0</v>
      </c>
      <c r="Q474" s="120" t="b">
        <v>0</v>
      </c>
      <c r="R474" s="120" t="b">
        <v>0</v>
      </c>
      <c r="S474" s="95"/>
      <c r="U474" s="120" t="b">
        <v>0</v>
      </c>
      <c r="V474" s="93"/>
      <c r="W474" s="93"/>
      <c r="X474" s="93"/>
      <c r="Y474" s="93"/>
      <c r="AA474" s="95"/>
      <c r="AB474" s="121"/>
      <c r="AC474" s="29" t="str">
        <f t="shared" si="5"/>
        <v>Sim</v>
      </c>
      <c r="AD474" s="37" t="str">
        <f t="shared" si="1"/>
        <v>Não</v>
      </c>
      <c r="AE474" s="94"/>
      <c r="AF474" s="94"/>
      <c r="AG474" s="95"/>
    </row>
    <row r="475" hidden="1">
      <c r="A475" s="115"/>
      <c r="B475" s="93"/>
      <c r="C475" s="93"/>
      <c r="D475" s="93"/>
      <c r="E475" s="116"/>
      <c r="F475" s="95"/>
      <c r="G475" s="95"/>
      <c r="H475" s="94"/>
      <c r="I475" s="94"/>
      <c r="J475" s="117"/>
      <c r="K475" s="118"/>
      <c r="L475" s="119"/>
      <c r="M475" s="94"/>
      <c r="N475" s="94"/>
      <c r="O475" s="93"/>
      <c r="P475" s="120" t="b">
        <v>0</v>
      </c>
      <c r="Q475" s="120" t="b">
        <v>0</v>
      </c>
      <c r="R475" s="120" t="b">
        <v>0</v>
      </c>
      <c r="S475" s="95"/>
      <c r="U475" s="120" t="b">
        <v>0</v>
      </c>
      <c r="V475" s="93"/>
      <c r="W475" s="93"/>
      <c r="X475" s="93"/>
      <c r="Y475" s="93"/>
      <c r="AA475" s="95"/>
      <c r="AB475" s="121"/>
      <c r="AC475" s="29" t="str">
        <f t="shared" si="5"/>
        <v>Sim</v>
      </c>
      <c r="AD475" s="37" t="str">
        <f t="shared" si="1"/>
        <v>Não</v>
      </c>
      <c r="AE475" s="94"/>
      <c r="AF475" s="94"/>
      <c r="AG475" s="95"/>
    </row>
    <row r="476" hidden="1">
      <c r="A476" s="115"/>
      <c r="B476" s="93"/>
      <c r="C476" s="93"/>
      <c r="D476" s="93"/>
      <c r="E476" s="116"/>
      <c r="F476" s="95"/>
      <c r="G476" s="95"/>
      <c r="H476" s="94"/>
      <c r="I476" s="94"/>
      <c r="J476" s="117"/>
      <c r="K476" s="118"/>
      <c r="L476" s="119"/>
      <c r="M476" s="94"/>
      <c r="N476" s="94"/>
      <c r="O476" s="93"/>
      <c r="P476" s="120" t="b">
        <v>0</v>
      </c>
      <c r="Q476" s="120" t="b">
        <v>0</v>
      </c>
      <c r="R476" s="120" t="b">
        <v>0</v>
      </c>
      <c r="S476" s="95"/>
      <c r="U476" s="120" t="b">
        <v>0</v>
      </c>
      <c r="V476" s="93"/>
      <c r="W476" s="93"/>
      <c r="X476" s="93"/>
      <c r="Y476" s="93"/>
      <c r="AA476" s="95"/>
      <c r="AB476" s="121"/>
      <c r="AC476" s="29" t="str">
        <f t="shared" si="5"/>
        <v>Sim</v>
      </c>
      <c r="AD476" s="37" t="str">
        <f t="shared" si="1"/>
        <v>Não</v>
      </c>
      <c r="AE476" s="94"/>
      <c r="AF476" s="94"/>
      <c r="AG476" s="95"/>
    </row>
    <row r="477" hidden="1">
      <c r="A477" s="115"/>
      <c r="B477" s="93"/>
      <c r="C477" s="93"/>
      <c r="D477" s="93"/>
      <c r="E477" s="116"/>
      <c r="F477" s="95"/>
      <c r="G477" s="95"/>
      <c r="H477" s="94"/>
      <c r="I477" s="94"/>
      <c r="J477" s="117"/>
      <c r="K477" s="118"/>
      <c r="L477" s="119"/>
      <c r="M477" s="94"/>
      <c r="N477" s="94"/>
      <c r="O477" s="93"/>
      <c r="P477" s="120" t="b">
        <v>0</v>
      </c>
      <c r="Q477" s="120" t="b">
        <v>0</v>
      </c>
      <c r="R477" s="120" t="b">
        <v>0</v>
      </c>
      <c r="S477" s="95"/>
      <c r="U477" s="120" t="b">
        <v>0</v>
      </c>
      <c r="V477" s="93"/>
      <c r="W477" s="93"/>
      <c r="X477" s="93"/>
      <c r="Y477" s="93"/>
      <c r="AA477" s="95"/>
      <c r="AB477" s="121"/>
      <c r="AC477" s="29" t="str">
        <f t="shared" si="5"/>
        <v>Sim</v>
      </c>
      <c r="AD477" s="37" t="str">
        <f t="shared" si="1"/>
        <v>Não</v>
      </c>
      <c r="AE477" s="94"/>
      <c r="AF477" s="94"/>
      <c r="AG477" s="95"/>
    </row>
    <row r="478" hidden="1">
      <c r="A478" s="115"/>
      <c r="B478" s="93"/>
      <c r="C478" s="93"/>
      <c r="D478" s="93"/>
      <c r="E478" s="116"/>
      <c r="F478" s="95"/>
      <c r="G478" s="95"/>
      <c r="H478" s="94"/>
      <c r="I478" s="94"/>
      <c r="J478" s="117"/>
      <c r="K478" s="118"/>
      <c r="L478" s="119"/>
      <c r="M478" s="94"/>
      <c r="N478" s="94"/>
      <c r="O478" s="93"/>
      <c r="P478" s="120" t="b">
        <v>0</v>
      </c>
      <c r="Q478" s="120" t="b">
        <v>0</v>
      </c>
      <c r="R478" s="120" t="b">
        <v>0</v>
      </c>
      <c r="S478" s="95"/>
      <c r="U478" s="120" t="b">
        <v>0</v>
      </c>
      <c r="V478" s="93"/>
      <c r="W478" s="93"/>
      <c r="X478" s="93"/>
      <c r="Y478" s="93"/>
      <c r="AA478" s="95"/>
      <c r="AB478" s="121"/>
      <c r="AC478" s="29" t="str">
        <f t="shared" si="5"/>
        <v>Sim</v>
      </c>
      <c r="AD478" s="37" t="str">
        <f t="shared" si="1"/>
        <v>Não</v>
      </c>
      <c r="AE478" s="94"/>
      <c r="AF478" s="94"/>
      <c r="AG478" s="95"/>
    </row>
    <row r="479" hidden="1">
      <c r="A479" s="115"/>
      <c r="B479" s="93"/>
      <c r="C479" s="93"/>
      <c r="D479" s="93"/>
      <c r="E479" s="116"/>
      <c r="F479" s="95"/>
      <c r="G479" s="95"/>
      <c r="H479" s="94"/>
      <c r="I479" s="94"/>
      <c r="J479" s="117"/>
      <c r="K479" s="118"/>
      <c r="L479" s="119"/>
      <c r="M479" s="94"/>
      <c r="N479" s="94"/>
      <c r="O479" s="93"/>
      <c r="P479" s="120" t="b">
        <v>0</v>
      </c>
      <c r="Q479" s="120" t="b">
        <v>0</v>
      </c>
      <c r="R479" s="120" t="b">
        <v>0</v>
      </c>
      <c r="S479" s="95"/>
      <c r="U479" s="120" t="b">
        <v>0</v>
      </c>
      <c r="V479" s="93"/>
      <c r="W479" s="93"/>
      <c r="X479" s="93"/>
      <c r="Y479" s="93"/>
      <c r="AA479" s="95"/>
      <c r="AB479" s="121"/>
      <c r="AC479" s="29" t="str">
        <f t="shared" si="5"/>
        <v>Sim</v>
      </c>
      <c r="AD479" s="37" t="str">
        <f t="shared" si="1"/>
        <v>Não</v>
      </c>
      <c r="AE479" s="94"/>
      <c r="AF479" s="94"/>
      <c r="AG479" s="95"/>
    </row>
    <row r="480" hidden="1">
      <c r="A480" s="115"/>
      <c r="B480" s="93"/>
      <c r="C480" s="93"/>
      <c r="D480" s="93"/>
      <c r="E480" s="116"/>
      <c r="F480" s="95"/>
      <c r="G480" s="95"/>
      <c r="H480" s="94"/>
      <c r="I480" s="94"/>
      <c r="J480" s="117"/>
      <c r="K480" s="118"/>
      <c r="L480" s="119"/>
      <c r="M480" s="94"/>
      <c r="N480" s="94"/>
      <c r="O480" s="93"/>
      <c r="P480" s="120" t="b">
        <v>0</v>
      </c>
      <c r="Q480" s="120" t="b">
        <v>0</v>
      </c>
      <c r="R480" s="120" t="b">
        <v>0</v>
      </c>
      <c r="S480" s="95"/>
      <c r="U480" s="120" t="b">
        <v>0</v>
      </c>
      <c r="V480" s="93"/>
      <c r="W480" s="93"/>
      <c r="X480" s="93"/>
      <c r="Y480" s="93"/>
      <c r="AA480" s="95"/>
      <c r="AB480" s="121"/>
      <c r="AC480" s="29" t="str">
        <f t="shared" si="5"/>
        <v>Sim</v>
      </c>
      <c r="AD480" s="37" t="str">
        <f t="shared" si="1"/>
        <v>Não</v>
      </c>
      <c r="AE480" s="94"/>
      <c r="AF480" s="94"/>
      <c r="AG480" s="95"/>
    </row>
    <row r="481" hidden="1">
      <c r="A481" s="115"/>
      <c r="B481" s="93"/>
      <c r="C481" s="93"/>
      <c r="D481" s="93"/>
      <c r="E481" s="116"/>
      <c r="F481" s="95"/>
      <c r="G481" s="95"/>
      <c r="H481" s="94"/>
      <c r="I481" s="94"/>
      <c r="J481" s="117"/>
      <c r="K481" s="118"/>
      <c r="L481" s="119"/>
      <c r="M481" s="94"/>
      <c r="N481" s="94"/>
      <c r="O481" s="93"/>
      <c r="P481" s="120" t="b">
        <v>0</v>
      </c>
      <c r="Q481" s="120" t="b">
        <v>0</v>
      </c>
      <c r="R481" s="120" t="b">
        <v>0</v>
      </c>
      <c r="S481" s="95"/>
      <c r="U481" s="120" t="b">
        <v>0</v>
      </c>
      <c r="V481" s="93"/>
      <c r="W481" s="93"/>
      <c r="X481" s="93"/>
      <c r="Y481" s="93"/>
      <c r="AA481" s="95"/>
      <c r="AB481" s="121"/>
      <c r="AC481" s="29" t="str">
        <f t="shared" si="5"/>
        <v>Sim</v>
      </c>
      <c r="AD481" s="37" t="str">
        <f t="shared" si="1"/>
        <v>Não</v>
      </c>
      <c r="AE481" s="94"/>
      <c r="AF481" s="94"/>
      <c r="AG481" s="95"/>
    </row>
    <row r="482" hidden="1">
      <c r="A482" s="115"/>
      <c r="B482" s="93"/>
      <c r="C482" s="93"/>
      <c r="D482" s="93"/>
      <c r="E482" s="116"/>
      <c r="F482" s="95"/>
      <c r="G482" s="95"/>
      <c r="H482" s="94"/>
      <c r="I482" s="94"/>
      <c r="J482" s="117"/>
      <c r="K482" s="118"/>
      <c r="L482" s="119"/>
      <c r="M482" s="94"/>
      <c r="N482" s="94"/>
      <c r="O482" s="93"/>
      <c r="P482" s="120" t="b">
        <v>0</v>
      </c>
      <c r="Q482" s="120" t="b">
        <v>0</v>
      </c>
      <c r="R482" s="120" t="b">
        <v>0</v>
      </c>
      <c r="S482" s="95"/>
      <c r="U482" s="120" t="b">
        <v>0</v>
      </c>
      <c r="V482" s="93"/>
      <c r="W482" s="93"/>
      <c r="X482" s="93"/>
      <c r="Y482" s="93"/>
      <c r="AA482" s="95"/>
      <c r="AB482" s="121"/>
      <c r="AC482" s="29" t="str">
        <f t="shared" si="5"/>
        <v>Sim</v>
      </c>
      <c r="AD482" s="37" t="str">
        <f t="shared" si="1"/>
        <v>Não</v>
      </c>
      <c r="AE482" s="94"/>
      <c r="AF482" s="94"/>
      <c r="AG482" s="95"/>
    </row>
    <row r="483" hidden="1">
      <c r="A483" s="115"/>
      <c r="B483" s="93"/>
      <c r="C483" s="93"/>
      <c r="D483" s="93"/>
      <c r="E483" s="116"/>
      <c r="F483" s="95"/>
      <c r="G483" s="95"/>
      <c r="H483" s="94"/>
      <c r="I483" s="94"/>
      <c r="J483" s="117"/>
      <c r="K483" s="118"/>
      <c r="L483" s="119"/>
      <c r="M483" s="94"/>
      <c r="N483" s="94"/>
      <c r="O483" s="93"/>
      <c r="P483" s="120" t="b">
        <v>0</v>
      </c>
      <c r="Q483" s="120" t="b">
        <v>0</v>
      </c>
      <c r="R483" s="120" t="b">
        <v>0</v>
      </c>
      <c r="S483" s="95"/>
      <c r="U483" s="120" t="b">
        <v>0</v>
      </c>
      <c r="V483" s="93"/>
      <c r="W483" s="93"/>
      <c r="X483" s="93"/>
      <c r="Y483" s="93"/>
      <c r="AA483" s="95"/>
      <c r="AB483" s="121"/>
      <c r="AC483" s="29" t="str">
        <f t="shared" si="5"/>
        <v>Sim</v>
      </c>
      <c r="AD483" s="37" t="str">
        <f t="shared" si="1"/>
        <v>Não</v>
      </c>
      <c r="AE483" s="94"/>
      <c r="AF483" s="94"/>
      <c r="AG483" s="95"/>
    </row>
    <row r="484" hidden="1">
      <c r="A484" s="115"/>
      <c r="B484" s="93"/>
      <c r="C484" s="93"/>
      <c r="D484" s="93"/>
      <c r="E484" s="116"/>
      <c r="F484" s="95"/>
      <c r="G484" s="95"/>
      <c r="H484" s="94"/>
      <c r="I484" s="94"/>
      <c r="J484" s="117"/>
      <c r="K484" s="118"/>
      <c r="L484" s="119"/>
      <c r="M484" s="94"/>
      <c r="N484" s="94"/>
      <c r="O484" s="93"/>
      <c r="P484" s="120" t="b">
        <v>0</v>
      </c>
      <c r="Q484" s="120" t="b">
        <v>0</v>
      </c>
      <c r="R484" s="120" t="b">
        <v>0</v>
      </c>
      <c r="S484" s="95"/>
      <c r="U484" s="120" t="b">
        <v>0</v>
      </c>
      <c r="V484" s="93"/>
      <c r="W484" s="93"/>
      <c r="X484" s="93"/>
      <c r="Y484" s="93"/>
      <c r="AA484" s="95"/>
      <c r="AB484" s="121"/>
      <c r="AC484" s="29" t="str">
        <f t="shared" si="5"/>
        <v>Sim</v>
      </c>
      <c r="AD484" s="37" t="str">
        <f t="shared" si="1"/>
        <v>Não</v>
      </c>
      <c r="AE484" s="94"/>
      <c r="AF484" s="94"/>
      <c r="AG484" s="95"/>
    </row>
    <row r="485" hidden="1">
      <c r="A485" s="115"/>
      <c r="B485" s="93"/>
      <c r="C485" s="93"/>
      <c r="D485" s="93"/>
      <c r="E485" s="116"/>
      <c r="F485" s="95"/>
      <c r="G485" s="95"/>
      <c r="H485" s="94"/>
      <c r="I485" s="94"/>
      <c r="J485" s="117"/>
      <c r="K485" s="118"/>
      <c r="L485" s="119"/>
      <c r="M485" s="94"/>
      <c r="N485" s="94"/>
      <c r="O485" s="93"/>
      <c r="P485" s="120" t="b">
        <v>0</v>
      </c>
      <c r="Q485" s="120" t="b">
        <v>0</v>
      </c>
      <c r="R485" s="120" t="b">
        <v>0</v>
      </c>
      <c r="S485" s="95"/>
      <c r="U485" s="120" t="b">
        <v>0</v>
      </c>
      <c r="V485" s="93"/>
      <c r="W485" s="93"/>
      <c r="X485" s="93"/>
      <c r="Y485" s="93"/>
      <c r="AA485" s="95"/>
      <c r="AB485" s="121"/>
      <c r="AC485" s="29" t="str">
        <f t="shared" si="5"/>
        <v>Sim</v>
      </c>
      <c r="AD485" s="37" t="str">
        <f t="shared" si="1"/>
        <v>Não</v>
      </c>
      <c r="AE485" s="94"/>
      <c r="AF485" s="94"/>
      <c r="AG485" s="95"/>
    </row>
    <row r="486" hidden="1">
      <c r="A486" s="115"/>
      <c r="B486" s="93"/>
      <c r="C486" s="93"/>
      <c r="D486" s="93"/>
      <c r="E486" s="116"/>
      <c r="F486" s="95"/>
      <c r="G486" s="95"/>
      <c r="H486" s="94"/>
      <c r="I486" s="94"/>
      <c r="J486" s="117"/>
      <c r="K486" s="118"/>
      <c r="L486" s="119"/>
      <c r="M486" s="94"/>
      <c r="N486" s="94"/>
      <c r="O486" s="93"/>
      <c r="P486" s="120" t="b">
        <v>0</v>
      </c>
      <c r="Q486" s="120" t="b">
        <v>0</v>
      </c>
      <c r="R486" s="120" t="b">
        <v>0</v>
      </c>
      <c r="S486" s="95"/>
      <c r="U486" s="120" t="b">
        <v>0</v>
      </c>
      <c r="V486" s="93"/>
      <c r="W486" s="93"/>
      <c r="X486" s="93"/>
      <c r="Y486" s="93"/>
      <c r="AA486" s="95"/>
      <c r="AB486" s="121"/>
      <c r="AC486" s="29" t="str">
        <f t="shared" si="5"/>
        <v>Sim</v>
      </c>
      <c r="AD486" s="37" t="str">
        <f t="shared" si="1"/>
        <v>Não</v>
      </c>
      <c r="AE486" s="94"/>
      <c r="AF486" s="94"/>
      <c r="AG486" s="95"/>
    </row>
    <row r="487" hidden="1">
      <c r="A487" s="115"/>
      <c r="B487" s="93"/>
      <c r="C487" s="93"/>
      <c r="D487" s="93"/>
      <c r="E487" s="116"/>
      <c r="F487" s="95"/>
      <c r="G487" s="95"/>
      <c r="H487" s="94"/>
      <c r="I487" s="94"/>
      <c r="J487" s="117"/>
      <c r="K487" s="118"/>
      <c r="L487" s="119"/>
      <c r="M487" s="94"/>
      <c r="N487" s="94"/>
      <c r="O487" s="93"/>
      <c r="P487" s="120" t="b">
        <v>0</v>
      </c>
      <c r="Q487" s="120" t="b">
        <v>0</v>
      </c>
      <c r="R487" s="120" t="b">
        <v>0</v>
      </c>
      <c r="S487" s="95"/>
      <c r="U487" s="120" t="b">
        <v>0</v>
      </c>
      <c r="V487" s="93"/>
      <c r="W487" s="93"/>
      <c r="X487" s="93"/>
      <c r="Y487" s="93"/>
      <c r="AA487" s="95"/>
      <c r="AB487" s="121"/>
      <c r="AC487" s="29" t="str">
        <f t="shared" si="5"/>
        <v>Sim</v>
      </c>
      <c r="AD487" s="37" t="str">
        <f t="shared" si="1"/>
        <v>Não</v>
      </c>
      <c r="AE487" s="94"/>
      <c r="AF487" s="94"/>
      <c r="AG487" s="95"/>
    </row>
    <row r="488" hidden="1">
      <c r="A488" s="115"/>
      <c r="B488" s="93"/>
      <c r="C488" s="93"/>
      <c r="D488" s="93"/>
      <c r="E488" s="116"/>
      <c r="F488" s="95"/>
      <c r="G488" s="95"/>
      <c r="H488" s="94"/>
      <c r="I488" s="94"/>
      <c r="J488" s="117"/>
      <c r="K488" s="118"/>
      <c r="L488" s="119"/>
      <c r="M488" s="94"/>
      <c r="N488" s="94"/>
      <c r="O488" s="93"/>
      <c r="P488" s="120" t="b">
        <v>0</v>
      </c>
      <c r="Q488" s="120" t="b">
        <v>0</v>
      </c>
      <c r="R488" s="120" t="b">
        <v>0</v>
      </c>
      <c r="S488" s="95"/>
      <c r="U488" s="120" t="b">
        <v>0</v>
      </c>
      <c r="V488" s="93"/>
      <c r="W488" s="93"/>
      <c r="X488" s="93"/>
      <c r="Y488" s="93"/>
      <c r="AA488" s="95"/>
      <c r="AB488" s="121"/>
      <c r="AC488" s="29" t="str">
        <f t="shared" si="5"/>
        <v>Sim</v>
      </c>
      <c r="AD488" s="37" t="str">
        <f t="shared" si="1"/>
        <v>Não</v>
      </c>
      <c r="AE488" s="94"/>
      <c r="AF488" s="94"/>
      <c r="AG488" s="95"/>
    </row>
    <row r="489" hidden="1">
      <c r="A489" s="115"/>
      <c r="B489" s="93"/>
      <c r="C489" s="93"/>
      <c r="D489" s="93"/>
      <c r="E489" s="116"/>
      <c r="F489" s="95"/>
      <c r="G489" s="95"/>
      <c r="H489" s="94"/>
      <c r="I489" s="94"/>
      <c r="J489" s="117"/>
      <c r="K489" s="118"/>
      <c r="L489" s="119"/>
      <c r="M489" s="94"/>
      <c r="N489" s="94"/>
      <c r="O489" s="93"/>
      <c r="P489" s="120" t="b">
        <v>0</v>
      </c>
      <c r="Q489" s="120" t="b">
        <v>0</v>
      </c>
      <c r="R489" s="120" t="b">
        <v>0</v>
      </c>
      <c r="S489" s="95"/>
      <c r="U489" s="120" t="b">
        <v>0</v>
      </c>
      <c r="V489" s="93"/>
      <c r="W489" s="93"/>
      <c r="X489" s="93"/>
      <c r="Y489" s="93"/>
      <c r="AA489" s="95"/>
      <c r="AB489" s="121"/>
      <c r="AC489" s="29" t="str">
        <f t="shared" si="5"/>
        <v>Sim</v>
      </c>
      <c r="AD489" s="37" t="str">
        <f t="shared" si="1"/>
        <v>Não</v>
      </c>
      <c r="AE489" s="94"/>
      <c r="AF489" s="94"/>
      <c r="AG489" s="95"/>
    </row>
    <row r="490" hidden="1">
      <c r="A490" s="115"/>
      <c r="B490" s="93"/>
      <c r="C490" s="93"/>
      <c r="D490" s="93"/>
      <c r="E490" s="116"/>
      <c r="F490" s="95"/>
      <c r="G490" s="95"/>
      <c r="H490" s="94"/>
      <c r="I490" s="94"/>
      <c r="J490" s="117"/>
      <c r="K490" s="118"/>
      <c r="L490" s="119"/>
      <c r="M490" s="94"/>
      <c r="N490" s="94"/>
      <c r="O490" s="93"/>
      <c r="P490" s="120" t="b">
        <v>0</v>
      </c>
      <c r="Q490" s="120" t="b">
        <v>0</v>
      </c>
      <c r="R490" s="120" t="b">
        <v>0</v>
      </c>
      <c r="S490" s="95"/>
      <c r="U490" s="120" t="b">
        <v>0</v>
      </c>
      <c r="V490" s="93"/>
      <c r="W490" s="93"/>
      <c r="X490" s="93"/>
      <c r="Y490" s="93"/>
      <c r="AA490" s="95"/>
      <c r="AB490" s="121"/>
      <c r="AC490" s="29" t="str">
        <f t="shared" si="5"/>
        <v>Sim</v>
      </c>
      <c r="AD490" s="37" t="str">
        <f t="shared" si="1"/>
        <v>Não</v>
      </c>
      <c r="AE490" s="94"/>
      <c r="AF490" s="94"/>
      <c r="AG490" s="95"/>
    </row>
    <row r="491" hidden="1">
      <c r="A491" s="115"/>
      <c r="B491" s="93"/>
      <c r="C491" s="93"/>
      <c r="D491" s="93"/>
      <c r="E491" s="116"/>
      <c r="F491" s="95"/>
      <c r="G491" s="95"/>
      <c r="H491" s="94"/>
      <c r="I491" s="94"/>
      <c r="J491" s="117"/>
      <c r="K491" s="118"/>
      <c r="L491" s="119"/>
      <c r="M491" s="94"/>
      <c r="N491" s="94"/>
      <c r="O491" s="93"/>
      <c r="P491" s="120" t="b">
        <v>0</v>
      </c>
      <c r="Q491" s="120" t="b">
        <v>0</v>
      </c>
      <c r="R491" s="120" t="b">
        <v>0</v>
      </c>
      <c r="S491" s="95"/>
      <c r="U491" s="120" t="b">
        <v>0</v>
      </c>
      <c r="V491" s="93"/>
      <c r="W491" s="93"/>
      <c r="X491" s="93"/>
      <c r="Y491" s="93"/>
      <c r="AA491" s="95"/>
      <c r="AB491" s="121"/>
      <c r="AC491" s="29" t="str">
        <f t="shared" si="5"/>
        <v>Sim</v>
      </c>
      <c r="AD491" s="37" t="str">
        <f t="shared" si="1"/>
        <v>Não</v>
      </c>
      <c r="AE491" s="94"/>
      <c r="AF491" s="94"/>
      <c r="AG491" s="95"/>
    </row>
    <row r="492" hidden="1">
      <c r="A492" s="115"/>
      <c r="B492" s="93"/>
      <c r="C492" s="93"/>
      <c r="D492" s="93"/>
      <c r="E492" s="116"/>
      <c r="F492" s="95"/>
      <c r="G492" s="95"/>
      <c r="H492" s="94"/>
      <c r="I492" s="94"/>
      <c r="J492" s="117"/>
      <c r="K492" s="118"/>
      <c r="L492" s="119"/>
      <c r="M492" s="94"/>
      <c r="N492" s="94"/>
      <c r="O492" s="93"/>
      <c r="P492" s="120" t="b">
        <v>0</v>
      </c>
      <c r="Q492" s="120" t="b">
        <v>0</v>
      </c>
      <c r="R492" s="120" t="b">
        <v>0</v>
      </c>
      <c r="S492" s="95"/>
      <c r="U492" s="120" t="b">
        <v>0</v>
      </c>
      <c r="V492" s="93"/>
      <c r="W492" s="93"/>
      <c r="X492" s="93"/>
      <c r="Y492" s="93"/>
      <c r="AA492" s="95"/>
      <c r="AB492" s="121"/>
      <c r="AC492" s="29" t="str">
        <f t="shared" si="5"/>
        <v>Sim</v>
      </c>
      <c r="AD492" s="37" t="str">
        <f t="shared" si="1"/>
        <v>Não</v>
      </c>
      <c r="AE492" s="94"/>
      <c r="AF492" s="94"/>
      <c r="AG492" s="95"/>
    </row>
    <row r="493" hidden="1">
      <c r="A493" s="115"/>
      <c r="B493" s="93"/>
      <c r="C493" s="93"/>
      <c r="D493" s="93"/>
      <c r="E493" s="116"/>
      <c r="F493" s="95"/>
      <c r="G493" s="95"/>
      <c r="H493" s="94"/>
      <c r="I493" s="94"/>
      <c r="J493" s="117"/>
      <c r="K493" s="118"/>
      <c r="L493" s="119"/>
      <c r="M493" s="94"/>
      <c r="N493" s="94"/>
      <c r="O493" s="93"/>
      <c r="P493" s="120" t="b">
        <v>0</v>
      </c>
      <c r="Q493" s="120" t="b">
        <v>0</v>
      </c>
      <c r="R493" s="120" t="b">
        <v>0</v>
      </c>
      <c r="S493" s="95"/>
      <c r="U493" s="120" t="b">
        <v>0</v>
      </c>
      <c r="V493" s="93"/>
      <c r="W493" s="93"/>
      <c r="X493" s="93"/>
      <c r="Y493" s="93"/>
      <c r="AA493" s="95"/>
      <c r="AB493" s="121"/>
      <c r="AC493" s="29" t="str">
        <f t="shared" si="5"/>
        <v>Sim</v>
      </c>
      <c r="AD493" s="37" t="str">
        <f t="shared" si="1"/>
        <v>Não</v>
      </c>
      <c r="AE493" s="94"/>
      <c r="AF493" s="94"/>
      <c r="AG493" s="95"/>
    </row>
    <row r="494" hidden="1">
      <c r="A494" s="115"/>
      <c r="B494" s="93"/>
      <c r="C494" s="93"/>
      <c r="D494" s="93"/>
      <c r="E494" s="116"/>
      <c r="F494" s="95"/>
      <c r="G494" s="95"/>
      <c r="H494" s="94"/>
      <c r="I494" s="94"/>
      <c r="J494" s="117"/>
      <c r="K494" s="118"/>
      <c r="L494" s="119"/>
      <c r="M494" s="94"/>
      <c r="N494" s="94"/>
      <c r="O494" s="93"/>
      <c r="P494" s="120" t="b">
        <v>0</v>
      </c>
      <c r="Q494" s="120" t="b">
        <v>0</v>
      </c>
      <c r="R494" s="120" t="b">
        <v>0</v>
      </c>
      <c r="S494" s="95"/>
      <c r="U494" s="120" t="b">
        <v>0</v>
      </c>
      <c r="V494" s="93"/>
      <c r="W494" s="93"/>
      <c r="X494" s="93"/>
      <c r="Y494" s="93"/>
      <c r="AA494" s="95"/>
      <c r="AB494" s="121"/>
      <c r="AC494" s="29" t="str">
        <f t="shared" si="5"/>
        <v>Sim</v>
      </c>
      <c r="AD494" s="37" t="str">
        <f t="shared" si="1"/>
        <v>Não</v>
      </c>
      <c r="AE494" s="94"/>
      <c r="AF494" s="94"/>
      <c r="AG494" s="95"/>
    </row>
    <row r="495" hidden="1">
      <c r="A495" s="115"/>
      <c r="B495" s="93"/>
      <c r="C495" s="93"/>
      <c r="D495" s="93"/>
      <c r="E495" s="116"/>
      <c r="F495" s="95"/>
      <c r="G495" s="95"/>
      <c r="H495" s="94"/>
      <c r="I495" s="94"/>
      <c r="J495" s="117"/>
      <c r="K495" s="118"/>
      <c r="L495" s="119"/>
      <c r="M495" s="94"/>
      <c r="N495" s="94"/>
      <c r="O495" s="93"/>
      <c r="P495" s="120" t="b">
        <v>0</v>
      </c>
      <c r="Q495" s="120" t="b">
        <v>0</v>
      </c>
      <c r="R495" s="120" t="b">
        <v>0</v>
      </c>
      <c r="S495" s="95"/>
      <c r="U495" s="120" t="b">
        <v>0</v>
      </c>
      <c r="V495" s="93"/>
      <c r="W495" s="93"/>
      <c r="X495" s="93"/>
      <c r="Y495" s="93"/>
      <c r="AA495" s="95"/>
      <c r="AB495" s="121"/>
      <c r="AC495" s="29" t="str">
        <f t="shared" si="5"/>
        <v>Sim</v>
      </c>
      <c r="AD495" s="37" t="str">
        <f t="shared" si="1"/>
        <v>Não</v>
      </c>
      <c r="AE495" s="94"/>
      <c r="AF495" s="94"/>
      <c r="AG495" s="95"/>
    </row>
    <row r="496" hidden="1">
      <c r="A496" s="115"/>
      <c r="B496" s="93"/>
      <c r="C496" s="93"/>
      <c r="D496" s="93"/>
      <c r="E496" s="116"/>
      <c r="F496" s="95"/>
      <c r="G496" s="95"/>
      <c r="H496" s="94"/>
      <c r="I496" s="94"/>
      <c r="J496" s="117"/>
      <c r="K496" s="118"/>
      <c r="L496" s="119"/>
      <c r="M496" s="94"/>
      <c r="N496" s="94"/>
      <c r="O496" s="93"/>
      <c r="P496" s="120" t="b">
        <v>0</v>
      </c>
      <c r="Q496" s="120" t="b">
        <v>0</v>
      </c>
      <c r="R496" s="120" t="b">
        <v>0</v>
      </c>
      <c r="S496" s="95"/>
      <c r="U496" s="120" t="b">
        <v>0</v>
      </c>
      <c r="V496" s="93"/>
      <c r="W496" s="93"/>
      <c r="X496" s="93"/>
      <c r="Y496" s="93"/>
      <c r="AA496" s="95"/>
      <c r="AB496" s="121"/>
      <c r="AC496" s="29" t="str">
        <f t="shared" si="5"/>
        <v>Sim</v>
      </c>
      <c r="AD496" s="37" t="str">
        <f t="shared" si="1"/>
        <v>Não</v>
      </c>
      <c r="AE496" s="94"/>
      <c r="AF496" s="94"/>
      <c r="AG496" s="95"/>
    </row>
    <row r="497" hidden="1">
      <c r="A497" s="115"/>
      <c r="B497" s="93"/>
      <c r="C497" s="93"/>
      <c r="D497" s="93"/>
      <c r="E497" s="116"/>
      <c r="F497" s="95"/>
      <c r="G497" s="95"/>
      <c r="H497" s="94"/>
      <c r="I497" s="94"/>
      <c r="J497" s="117"/>
      <c r="K497" s="118"/>
      <c r="L497" s="119"/>
      <c r="M497" s="94"/>
      <c r="N497" s="94"/>
      <c r="O497" s="93"/>
      <c r="P497" s="120" t="b">
        <v>0</v>
      </c>
      <c r="Q497" s="120" t="b">
        <v>0</v>
      </c>
      <c r="R497" s="120" t="b">
        <v>0</v>
      </c>
      <c r="S497" s="95"/>
      <c r="U497" s="120" t="b">
        <v>0</v>
      </c>
      <c r="V497" s="93"/>
      <c r="W497" s="93"/>
      <c r="X497" s="93"/>
      <c r="Y497" s="93"/>
      <c r="AA497" s="95"/>
      <c r="AB497" s="121"/>
      <c r="AC497" s="29" t="str">
        <f t="shared" si="5"/>
        <v>Sim</v>
      </c>
      <c r="AD497" s="37" t="str">
        <f t="shared" si="1"/>
        <v>Não</v>
      </c>
      <c r="AE497" s="94"/>
      <c r="AF497" s="94"/>
      <c r="AG497" s="95"/>
    </row>
    <row r="498" hidden="1">
      <c r="A498" s="115"/>
      <c r="B498" s="93"/>
      <c r="C498" s="93"/>
      <c r="D498" s="93"/>
      <c r="E498" s="116"/>
      <c r="F498" s="95"/>
      <c r="G498" s="95"/>
      <c r="H498" s="94"/>
      <c r="I498" s="94"/>
      <c r="J498" s="117"/>
      <c r="K498" s="118"/>
      <c r="L498" s="119"/>
      <c r="M498" s="94"/>
      <c r="N498" s="94"/>
      <c r="O498" s="93"/>
      <c r="P498" s="120" t="b">
        <v>0</v>
      </c>
      <c r="Q498" s="120" t="b">
        <v>0</v>
      </c>
      <c r="R498" s="120" t="b">
        <v>0</v>
      </c>
      <c r="S498" s="95"/>
      <c r="U498" s="120" t="b">
        <v>0</v>
      </c>
      <c r="V498" s="93"/>
      <c r="W498" s="93"/>
      <c r="X498" s="93"/>
      <c r="Y498" s="93"/>
      <c r="AA498" s="95"/>
      <c r="AB498" s="121"/>
      <c r="AC498" s="29" t="str">
        <f t="shared" si="5"/>
        <v>Sim</v>
      </c>
      <c r="AD498" s="37" t="str">
        <f t="shared" si="1"/>
        <v>Não</v>
      </c>
      <c r="AE498" s="94"/>
      <c r="AF498" s="94"/>
      <c r="AG498" s="95"/>
    </row>
    <row r="499" hidden="1">
      <c r="A499" s="115"/>
      <c r="B499" s="93"/>
      <c r="C499" s="93"/>
      <c r="D499" s="93"/>
      <c r="E499" s="116"/>
      <c r="F499" s="95"/>
      <c r="G499" s="95"/>
      <c r="H499" s="94"/>
      <c r="I499" s="94"/>
      <c r="J499" s="117"/>
      <c r="K499" s="118"/>
      <c r="L499" s="119"/>
      <c r="M499" s="94"/>
      <c r="N499" s="94"/>
      <c r="O499" s="93"/>
      <c r="P499" s="120" t="b">
        <v>0</v>
      </c>
      <c r="Q499" s="120" t="b">
        <v>0</v>
      </c>
      <c r="R499" s="120" t="b">
        <v>0</v>
      </c>
      <c r="S499" s="95"/>
      <c r="U499" s="120" t="b">
        <v>0</v>
      </c>
      <c r="V499" s="93"/>
      <c r="W499" s="93"/>
      <c r="X499" s="93"/>
      <c r="Y499" s="93"/>
      <c r="AA499" s="95"/>
      <c r="AB499" s="121"/>
      <c r="AC499" s="29" t="str">
        <f t="shared" si="5"/>
        <v>Sim</v>
      </c>
      <c r="AD499" s="37" t="str">
        <f t="shared" si="1"/>
        <v>Não</v>
      </c>
      <c r="AE499" s="94"/>
      <c r="AF499" s="94"/>
      <c r="AG499" s="95"/>
    </row>
    <row r="500" hidden="1">
      <c r="A500" s="115"/>
      <c r="B500" s="93"/>
      <c r="C500" s="93"/>
      <c r="D500" s="93"/>
      <c r="E500" s="116"/>
      <c r="F500" s="95"/>
      <c r="G500" s="95"/>
      <c r="H500" s="94"/>
      <c r="I500" s="94"/>
      <c r="J500" s="117"/>
      <c r="K500" s="118"/>
      <c r="L500" s="119"/>
      <c r="M500" s="94"/>
      <c r="N500" s="94"/>
      <c r="O500" s="93"/>
      <c r="P500" s="120" t="b">
        <v>0</v>
      </c>
      <c r="Q500" s="120" t="b">
        <v>0</v>
      </c>
      <c r="R500" s="120" t="b">
        <v>0</v>
      </c>
      <c r="S500" s="95"/>
      <c r="U500" s="120" t="b">
        <v>0</v>
      </c>
      <c r="V500" s="93"/>
      <c r="W500" s="93"/>
      <c r="X500" s="93"/>
      <c r="Y500" s="93"/>
      <c r="AA500" s="95"/>
      <c r="AB500" s="121"/>
      <c r="AC500" s="29" t="str">
        <f t="shared" si="5"/>
        <v>Sim</v>
      </c>
      <c r="AD500" s="37" t="str">
        <f t="shared" si="1"/>
        <v>Não</v>
      </c>
      <c r="AE500" s="94"/>
      <c r="AF500" s="94"/>
      <c r="AG500" s="95"/>
    </row>
    <row r="501" hidden="1">
      <c r="A501" s="115"/>
      <c r="B501" s="93"/>
      <c r="C501" s="93"/>
      <c r="D501" s="93"/>
      <c r="E501" s="116"/>
      <c r="F501" s="95"/>
      <c r="G501" s="95"/>
      <c r="H501" s="94"/>
      <c r="I501" s="94"/>
      <c r="J501" s="117"/>
      <c r="K501" s="118"/>
      <c r="L501" s="119"/>
      <c r="M501" s="94"/>
      <c r="N501" s="94"/>
      <c r="O501" s="93"/>
      <c r="P501" s="120" t="b">
        <v>0</v>
      </c>
      <c r="Q501" s="120" t="b">
        <v>0</v>
      </c>
      <c r="R501" s="120" t="b">
        <v>0</v>
      </c>
      <c r="S501" s="95"/>
      <c r="U501" s="120" t="b">
        <v>0</v>
      </c>
      <c r="V501" s="93"/>
      <c r="W501" s="93"/>
      <c r="X501" s="93"/>
      <c r="Y501" s="93"/>
      <c r="AA501" s="95"/>
      <c r="AB501" s="121"/>
      <c r="AC501" s="29" t="str">
        <f t="shared" si="5"/>
        <v>Sim</v>
      </c>
      <c r="AD501" s="37" t="str">
        <f t="shared" si="1"/>
        <v>Não</v>
      </c>
      <c r="AE501" s="94"/>
      <c r="AF501" s="94"/>
      <c r="AG501" s="95"/>
    </row>
    <row r="502" hidden="1">
      <c r="A502" s="115"/>
      <c r="B502" s="93"/>
      <c r="C502" s="93"/>
      <c r="D502" s="93"/>
      <c r="E502" s="116"/>
      <c r="F502" s="95"/>
      <c r="G502" s="95"/>
      <c r="H502" s="94"/>
      <c r="I502" s="94"/>
      <c r="J502" s="117"/>
      <c r="K502" s="118"/>
      <c r="L502" s="119"/>
      <c r="M502" s="94"/>
      <c r="N502" s="94"/>
      <c r="O502" s="93"/>
      <c r="P502" s="120" t="b">
        <v>0</v>
      </c>
      <c r="Q502" s="120" t="b">
        <v>0</v>
      </c>
      <c r="R502" s="120" t="b">
        <v>0</v>
      </c>
      <c r="S502" s="95"/>
      <c r="U502" s="120" t="b">
        <v>0</v>
      </c>
      <c r="V502" s="93"/>
      <c r="W502" s="93"/>
      <c r="X502" s="93"/>
      <c r="Y502" s="93"/>
      <c r="AA502" s="95"/>
      <c r="AB502" s="121"/>
      <c r="AC502" s="29" t="str">
        <f t="shared" si="5"/>
        <v>Sim</v>
      </c>
      <c r="AD502" s="37" t="str">
        <f t="shared" si="1"/>
        <v>Não</v>
      </c>
      <c r="AE502" s="94"/>
      <c r="AF502" s="94"/>
      <c r="AG502" s="95"/>
    </row>
    <row r="503" hidden="1">
      <c r="A503" s="115"/>
      <c r="B503" s="93"/>
      <c r="C503" s="93"/>
      <c r="D503" s="93"/>
      <c r="E503" s="116"/>
      <c r="F503" s="95"/>
      <c r="G503" s="95"/>
      <c r="H503" s="94"/>
      <c r="I503" s="94"/>
      <c r="J503" s="117"/>
      <c r="K503" s="118"/>
      <c r="L503" s="119"/>
      <c r="M503" s="94"/>
      <c r="N503" s="94"/>
      <c r="O503" s="93"/>
      <c r="P503" s="120" t="b">
        <v>0</v>
      </c>
      <c r="Q503" s="120" t="b">
        <v>0</v>
      </c>
      <c r="R503" s="120" t="b">
        <v>0</v>
      </c>
      <c r="S503" s="95"/>
      <c r="U503" s="120" t="b">
        <v>0</v>
      </c>
      <c r="V503" s="93"/>
      <c r="W503" s="93"/>
      <c r="X503" s="93"/>
      <c r="Y503" s="93"/>
      <c r="AA503" s="95"/>
      <c r="AB503" s="121"/>
      <c r="AC503" s="29" t="str">
        <f t="shared" si="5"/>
        <v>Sim</v>
      </c>
      <c r="AD503" s="37" t="str">
        <f t="shared" si="1"/>
        <v>Não</v>
      </c>
      <c r="AE503" s="94"/>
      <c r="AF503" s="94"/>
      <c r="AG503" s="95"/>
    </row>
    <row r="504" hidden="1">
      <c r="A504" s="115"/>
      <c r="B504" s="93"/>
      <c r="C504" s="93"/>
      <c r="D504" s="93"/>
      <c r="E504" s="116"/>
      <c r="F504" s="95"/>
      <c r="G504" s="95"/>
      <c r="H504" s="94"/>
      <c r="I504" s="94"/>
      <c r="J504" s="117"/>
      <c r="K504" s="118"/>
      <c r="L504" s="119"/>
      <c r="M504" s="94"/>
      <c r="N504" s="94"/>
      <c r="O504" s="93"/>
      <c r="P504" s="120" t="b">
        <v>0</v>
      </c>
      <c r="Q504" s="120" t="b">
        <v>0</v>
      </c>
      <c r="R504" s="120" t="b">
        <v>0</v>
      </c>
      <c r="S504" s="95"/>
      <c r="U504" s="120" t="b">
        <v>0</v>
      </c>
      <c r="V504" s="93"/>
      <c r="W504" s="93"/>
      <c r="X504" s="93"/>
      <c r="Y504" s="93"/>
      <c r="AA504" s="95"/>
      <c r="AB504" s="121"/>
      <c r="AC504" s="29" t="str">
        <f t="shared" si="5"/>
        <v>Sim</v>
      </c>
      <c r="AD504" s="37" t="str">
        <f t="shared" si="1"/>
        <v>Não</v>
      </c>
      <c r="AE504" s="94"/>
      <c r="AF504" s="94"/>
      <c r="AG504" s="95"/>
    </row>
    <row r="505" hidden="1">
      <c r="A505" s="115"/>
      <c r="B505" s="93"/>
      <c r="C505" s="93"/>
      <c r="D505" s="93"/>
      <c r="E505" s="116"/>
      <c r="F505" s="95"/>
      <c r="G505" s="95"/>
      <c r="H505" s="94"/>
      <c r="I505" s="94"/>
      <c r="J505" s="117"/>
      <c r="K505" s="118"/>
      <c r="L505" s="119"/>
      <c r="M505" s="94"/>
      <c r="N505" s="94"/>
      <c r="O505" s="93"/>
      <c r="P505" s="120" t="b">
        <v>0</v>
      </c>
      <c r="Q505" s="120" t="b">
        <v>0</v>
      </c>
      <c r="R505" s="120" t="b">
        <v>0</v>
      </c>
      <c r="S505" s="95"/>
      <c r="U505" s="120" t="b">
        <v>0</v>
      </c>
      <c r="V505" s="93"/>
      <c r="W505" s="93"/>
      <c r="X505" s="93"/>
      <c r="Y505" s="93"/>
      <c r="AA505" s="95"/>
      <c r="AB505" s="121"/>
      <c r="AC505" s="29" t="str">
        <f t="shared" si="5"/>
        <v>Sim</v>
      </c>
      <c r="AD505" s="37" t="str">
        <f t="shared" si="1"/>
        <v>Não</v>
      </c>
      <c r="AE505" s="94"/>
      <c r="AF505" s="94"/>
      <c r="AG505" s="95"/>
    </row>
    <row r="506" hidden="1">
      <c r="A506" s="115"/>
      <c r="B506" s="93"/>
      <c r="C506" s="93"/>
      <c r="D506" s="93"/>
      <c r="E506" s="116"/>
      <c r="F506" s="95"/>
      <c r="G506" s="95"/>
      <c r="H506" s="94"/>
      <c r="I506" s="94"/>
      <c r="J506" s="117"/>
      <c r="K506" s="118"/>
      <c r="L506" s="119"/>
      <c r="M506" s="94"/>
      <c r="N506" s="94"/>
      <c r="O506" s="93"/>
      <c r="P506" s="120" t="b">
        <v>0</v>
      </c>
      <c r="Q506" s="120" t="b">
        <v>0</v>
      </c>
      <c r="R506" s="120" t="b">
        <v>0</v>
      </c>
      <c r="S506" s="95"/>
      <c r="U506" s="120" t="b">
        <v>0</v>
      </c>
      <c r="V506" s="93"/>
      <c r="W506" s="93"/>
      <c r="X506" s="93"/>
      <c r="Y506" s="93"/>
      <c r="AA506" s="95"/>
      <c r="AB506" s="121"/>
      <c r="AC506" s="29" t="str">
        <f t="shared" si="5"/>
        <v>Sim</v>
      </c>
      <c r="AD506" s="37" t="str">
        <f t="shared" si="1"/>
        <v>Não</v>
      </c>
      <c r="AE506" s="94"/>
      <c r="AF506" s="94"/>
      <c r="AG506" s="95"/>
    </row>
    <row r="507" hidden="1">
      <c r="A507" s="115"/>
      <c r="B507" s="93"/>
      <c r="C507" s="93"/>
      <c r="D507" s="93"/>
      <c r="E507" s="116"/>
      <c r="F507" s="95"/>
      <c r="G507" s="95"/>
      <c r="H507" s="94"/>
      <c r="I507" s="94"/>
      <c r="J507" s="117"/>
      <c r="K507" s="118"/>
      <c r="L507" s="119"/>
      <c r="M507" s="94"/>
      <c r="N507" s="94"/>
      <c r="O507" s="93"/>
      <c r="P507" s="120" t="b">
        <v>0</v>
      </c>
      <c r="Q507" s="120" t="b">
        <v>0</v>
      </c>
      <c r="R507" s="120" t="b">
        <v>0</v>
      </c>
      <c r="S507" s="95"/>
      <c r="U507" s="120" t="b">
        <v>0</v>
      </c>
      <c r="V507" s="93"/>
      <c r="W507" s="93"/>
      <c r="X507" s="93"/>
      <c r="Y507" s="93"/>
      <c r="AA507" s="95"/>
      <c r="AB507" s="121"/>
      <c r="AC507" s="29" t="str">
        <f t="shared" si="5"/>
        <v>Sim</v>
      </c>
      <c r="AD507" s="37" t="str">
        <f t="shared" si="1"/>
        <v>Não</v>
      </c>
      <c r="AE507" s="94"/>
      <c r="AF507" s="94"/>
      <c r="AG507" s="95"/>
    </row>
    <row r="508" hidden="1">
      <c r="A508" s="115"/>
      <c r="B508" s="93"/>
      <c r="C508" s="93"/>
      <c r="D508" s="93"/>
      <c r="E508" s="116"/>
      <c r="F508" s="95"/>
      <c r="G508" s="95"/>
      <c r="H508" s="94"/>
      <c r="I508" s="94"/>
      <c r="J508" s="117"/>
      <c r="K508" s="118"/>
      <c r="L508" s="119"/>
      <c r="M508" s="94"/>
      <c r="N508" s="94"/>
      <c r="O508" s="93"/>
      <c r="P508" s="120" t="b">
        <v>0</v>
      </c>
      <c r="Q508" s="120" t="b">
        <v>0</v>
      </c>
      <c r="R508" s="120" t="b">
        <v>0</v>
      </c>
      <c r="S508" s="95"/>
      <c r="U508" s="120" t="b">
        <v>0</v>
      </c>
      <c r="V508" s="93"/>
      <c r="W508" s="93"/>
      <c r="X508" s="93"/>
      <c r="Y508" s="93"/>
      <c r="AA508" s="95"/>
      <c r="AB508" s="121"/>
      <c r="AC508" s="29" t="str">
        <f t="shared" si="5"/>
        <v>Sim</v>
      </c>
      <c r="AD508" s="37" t="str">
        <f t="shared" si="1"/>
        <v>Não</v>
      </c>
      <c r="AE508" s="94"/>
      <c r="AF508" s="94"/>
      <c r="AG508" s="95"/>
    </row>
    <row r="509" hidden="1">
      <c r="A509" s="115"/>
      <c r="B509" s="93"/>
      <c r="C509" s="93"/>
      <c r="D509" s="93"/>
      <c r="E509" s="116"/>
      <c r="F509" s="95"/>
      <c r="G509" s="95"/>
      <c r="H509" s="94"/>
      <c r="I509" s="94"/>
      <c r="J509" s="117"/>
      <c r="K509" s="118"/>
      <c r="L509" s="119"/>
      <c r="M509" s="94"/>
      <c r="N509" s="94"/>
      <c r="O509" s="93"/>
      <c r="P509" s="120" t="b">
        <v>0</v>
      </c>
      <c r="Q509" s="120" t="b">
        <v>0</v>
      </c>
      <c r="R509" s="120" t="b">
        <v>0</v>
      </c>
      <c r="S509" s="95"/>
      <c r="U509" s="120" t="b">
        <v>0</v>
      </c>
      <c r="V509" s="93"/>
      <c r="W509" s="93"/>
      <c r="X509" s="93"/>
      <c r="Y509" s="93"/>
      <c r="AA509" s="95"/>
      <c r="AB509" s="121"/>
      <c r="AC509" s="29" t="str">
        <f t="shared" si="5"/>
        <v>Sim</v>
      </c>
      <c r="AD509" s="37" t="str">
        <f t="shared" si="1"/>
        <v>Não</v>
      </c>
      <c r="AE509" s="94"/>
      <c r="AF509" s="94"/>
      <c r="AG509" s="95"/>
    </row>
    <row r="510" hidden="1">
      <c r="A510" s="115"/>
      <c r="B510" s="93"/>
      <c r="C510" s="93"/>
      <c r="D510" s="93"/>
      <c r="E510" s="116"/>
      <c r="F510" s="95"/>
      <c r="G510" s="95"/>
      <c r="H510" s="94"/>
      <c r="I510" s="94"/>
      <c r="J510" s="117"/>
      <c r="K510" s="118"/>
      <c r="L510" s="119"/>
      <c r="M510" s="94"/>
      <c r="N510" s="94"/>
      <c r="O510" s="93"/>
      <c r="P510" s="120" t="b">
        <v>0</v>
      </c>
      <c r="Q510" s="120" t="b">
        <v>0</v>
      </c>
      <c r="R510" s="120" t="b">
        <v>0</v>
      </c>
      <c r="S510" s="95"/>
      <c r="U510" s="120" t="b">
        <v>0</v>
      </c>
      <c r="V510" s="93"/>
      <c r="W510" s="93"/>
      <c r="X510" s="93"/>
      <c r="Y510" s="93"/>
      <c r="AA510" s="95"/>
      <c r="AB510" s="121"/>
      <c r="AC510" s="29" t="str">
        <f t="shared" si="5"/>
        <v>Sim</v>
      </c>
      <c r="AD510" s="37" t="str">
        <f t="shared" si="1"/>
        <v>Não</v>
      </c>
      <c r="AE510" s="94"/>
      <c r="AF510" s="94"/>
      <c r="AG510" s="95"/>
    </row>
    <row r="511" hidden="1">
      <c r="A511" s="115"/>
      <c r="B511" s="93"/>
      <c r="C511" s="93"/>
      <c r="D511" s="93"/>
      <c r="E511" s="116"/>
      <c r="F511" s="95"/>
      <c r="G511" s="95"/>
      <c r="H511" s="94"/>
      <c r="I511" s="94"/>
      <c r="J511" s="117"/>
      <c r="K511" s="118"/>
      <c r="L511" s="119"/>
      <c r="M511" s="94"/>
      <c r="N511" s="94"/>
      <c r="O511" s="93"/>
      <c r="P511" s="120" t="b">
        <v>0</v>
      </c>
      <c r="Q511" s="120" t="b">
        <v>0</v>
      </c>
      <c r="R511" s="120" t="b">
        <v>0</v>
      </c>
      <c r="S511" s="95"/>
      <c r="U511" s="120" t="b">
        <v>0</v>
      </c>
      <c r="V511" s="93"/>
      <c r="W511" s="93"/>
      <c r="X511" s="93"/>
      <c r="Y511" s="93"/>
      <c r="AA511" s="95"/>
      <c r="AB511" s="121"/>
      <c r="AC511" s="29" t="str">
        <f t="shared" si="5"/>
        <v>Sim</v>
      </c>
      <c r="AD511" s="37" t="str">
        <f t="shared" si="1"/>
        <v>Não</v>
      </c>
      <c r="AE511" s="94"/>
      <c r="AF511" s="94"/>
      <c r="AG511" s="95"/>
    </row>
    <row r="512" hidden="1">
      <c r="A512" s="115"/>
      <c r="B512" s="93"/>
      <c r="C512" s="93"/>
      <c r="D512" s="93"/>
      <c r="E512" s="116"/>
      <c r="F512" s="95"/>
      <c r="G512" s="95"/>
      <c r="H512" s="94"/>
      <c r="I512" s="94"/>
      <c r="J512" s="117"/>
      <c r="K512" s="118"/>
      <c r="L512" s="119"/>
      <c r="M512" s="94"/>
      <c r="N512" s="94"/>
      <c r="O512" s="93"/>
      <c r="P512" s="120" t="b">
        <v>0</v>
      </c>
      <c r="Q512" s="120" t="b">
        <v>0</v>
      </c>
      <c r="R512" s="120" t="b">
        <v>0</v>
      </c>
      <c r="S512" s="95"/>
      <c r="U512" s="120" t="b">
        <v>0</v>
      </c>
      <c r="V512" s="93"/>
      <c r="W512" s="93"/>
      <c r="X512" s="93"/>
      <c r="Y512" s="93"/>
      <c r="AA512" s="95"/>
      <c r="AB512" s="121"/>
      <c r="AC512" s="29" t="str">
        <f t="shared" si="5"/>
        <v>Sim</v>
      </c>
      <c r="AD512" s="37" t="str">
        <f t="shared" si="1"/>
        <v>Não</v>
      </c>
      <c r="AE512" s="94"/>
      <c r="AF512" s="94"/>
      <c r="AG512" s="95"/>
    </row>
    <row r="513" hidden="1">
      <c r="A513" s="115"/>
      <c r="B513" s="93"/>
      <c r="C513" s="93"/>
      <c r="D513" s="93"/>
      <c r="E513" s="116"/>
      <c r="F513" s="95"/>
      <c r="G513" s="95"/>
      <c r="H513" s="94"/>
      <c r="I513" s="94"/>
      <c r="J513" s="117"/>
      <c r="K513" s="118"/>
      <c r="L513" s="119"/>
      <c r="M513" s="94"/>
      <c r="N513" s="94"/>
      <c r="O513" s="93"/>
      <c r="P513" s="120" t="b">
        <v>0</v>
      </c>
      <c r="Q513" s="120" t="b">
        <v>0</v>
      </c>
      <c r="R513" s="120" t="b">
        <v>0</v>
      </c>
      <c r="S513" s="95"/>
      <c r="U513" s="120" t="b">
        <v>0</v>
      </c>
      <c r="V513" s="93"/>
      <c r="W513" s="93"/>
      <c r="X513" s="93"/>
      <c r="Y513" s="93"/>
      <c r="AA513" s="95"/>
      <c r="AB513" s="121"/>
      <c r="AC513" s="29" t="str">
        <f t="shared" si="5"/>
        <v>Sim</v>
      </c>
      <c r="AD513" s="37" t="str">
        <f t="shared" si="1"/>
        <v>Não</v>
      </c>
      <c r="AE513" s="94"/>
      <c r="AF513" s="94"/>
      <c r="AG513" s="95"/>
    </row>
    <row r="514" hidden="1">
      <c r="A514" s="115"/>
      <c r="B514" s="93"/>
      <c r="C514" s="93"/>
      <c r="D514" s="93"/>
      <c r="E514" s="116"/>
      <c r="F514" s="95"/>
      <c r="G514" s="95"/>
      <c r="H514" s="94"/>
      <c r="I514" s="94"/>
      <c r="J514" s="117"/>
      <c r="K514" s="118"/>
      <c r="L514" s="119"/>
      <c r="M514" s="94"/>
      <c r="N514" s="94"/>
      <c r="O514" s="93"/>
      <c r="P514" s="120" t="b">
        <v>0</v>
      </c>
      <c r="Q514" s="120" t="b">
        <v>0</v>
      </c>
      <c r="R514" s="120" t="b">
        <v>0</v>
      </c>
      <c r="S514" s="95"/>
      <c r="U514" s="120" t="b">
        <v>0</v>
      </c>
      <c r="V514" s="93"/>
      <c r="W514" s="93"/>
      <c r="X514" s="93"/>
      <c r="Y514" s="93"/>
      <c r="AA514" s="95"/>
      <c r="AB514" s="121"/>
      <c r="AC514" s="29" t="str">
        <f t="shared" si="5"/>
        <v>Sim</v>
      </c>
      <c r="AD514" s="37" t="str">
        <f t="shared" si="1"/>
        <v>Não</v>
      </c>
      <c r="AE514" s="94"/>
      <c r="AF514" s="94"/>
      <c r="AG514" s="95"/>
    </row>
    <row r="515" hidden="1">
      <c r="A515" s="115"/>
      <c r="B515" s="93"/>
      <c r="C515" s="93"/>
      <c r="D515" s="93"/>
      <c r="E515" s="116"/>
      <c r="F515" s="95"/>
      <c r="G515" s="95"/>
      <c r="H515" s="94"/>
      <c r="I515" s="94"/>
      <c r="J515" s="117"/>
      <c r="K515" s="118"/>
      <c r="L515" s="119"/>
      <c r="M515" s="94"/>
      <c r="N515" s="94"/>
      <c r="O515" s="93"/>
      <c r="P515" s="120" t="b">
        <v>0</v>
      </c>
      <c r="Q515" s="120" t="b">
        <v>0</v>
      </c>
      <c r="R515" s="120" t="b">
        <v>0</v>
      </c>
      <c r="S515" s="95"/>
      <c r="U515" s="120" t="b">
        <v>0</v>
      </c>
      <c r="V515" s="93"/>
      <c r="W515" s="93"/>
      <c r="X515" s="93"/>
      <c r="Y515" s="93"/>
      <c r="AA515" s="95"/>
      <c r="AB515" s="121"/>
      <c r="AC515" s="29" t="str">
        <f t="shared" si="5"/>
        <v>Sim</v>
      </c>
      <c r="AD515" s="37" t="str">
        <f t="shared" si="1"/>
        <v>Não</v>
      </c>
      <c r="AE515" s="94"/>
      <c r="AF515" s="94"/>
      <c r="AG515" s="95"/>
    </row>
    <row r="516" hidden="1">
      <c r="A516" s="115"/>
      <c r="B516" s="93"/>
      <c r="C516" s="93"/>
      <c r="D516" s="93"/>
      <c r="E516" s="116"/>
      <c r="F516" s="95"/>
      <c r="G516" s="95"/>
      <c r="H516" s="94"/>
      <c r="I516" s="94"/>
      <c r="J516" s="117"/>
      <c r="K516" s="118"/>
      <c r="L516" s="119"/>
      <c r="M516" s="94"/>
      <c r="N516" s="94"/>
      <c r="O516" s="93"/>
      <c r="P516" s="120" t="b">
        <v>0</v>
      </c>
      <c r="Q516" s="120" t="b">
        <v>0</v>
      </c>
      <c r="R516" s="120" t="b">
        <v>0</v>
      </c>
      <c r="S516" s="95"/>
      <c r="U516" s="120" t="b">
        <v>0</v>
      </c>
      <c r="V516" s="93"/>
      <c r="W516" s="93"/>
      <c r="X516" s="93"/>
      <c r="Y516" s="93"/>
      <c r="AA516" s="95"/>
      <c r="AB516" s="121"/>
      <c r="AC516" s="29" t="str">
        <f t="shared" si="5"/>
        <v>Sim</v>
      </c>
      <c r="AD516" s="37" t="str">
        <f t="shared" si="1"/>
        <v>Não</v>
      </c>
      <c r="AE516" s="94"/>
      <c r="AF516" s="94"/>
      <c r="AG516" s="95"/>
    </row>
    <row r="517" hidden="1">
      <c r="A517" s="115"/>
      <c r="B517" s="93"/>
      <c r="C517" s="93"/>
      <c r="D517" s="93"/>
      <c r="E517" s="116"/>
      <c r="F517" s="95"/>
      <c r="G517" s="95"/>
      <c r="H517" s="94"/>
      <c r="I517" s="94"/>
      <c r="J517" s="117"/>
      <c r="K517" s="118"/>
      <c r="L517" s="119"/>
      <c r="M517" s="94"/>
      <c r="N517" s="94"/>
      <c r="O517" s="93"/>
      <c r="P517" s="120" t="b">
        <v>0</v>
      </c>
      <c r="Q517" s="120" t="b">
        <v>0</v>
      </c>
      <c r="R517" s="120" t="b">
        <v>0</v>
      </c>
      <c r="S517" s="95"/>
      <c r="U517" s="120" t="b">
        <v>0</v>
      </c>
      <c r="V517" s="93"/>
      <c r="W517" s="93"/>
      <c r="X517" s="93"/>
      <c r="Y517" s="93"/>
      <c r="AA517" s="95"/>
      <c r="AB517" s="121"/>
      <c r="AC517" s="29" t="str">
        <f t="shared" si="5"/>
        <v>Sim</v>
      </c>
      <c r="AD517" s="37" t="str">
        <f t="shared" si="1"/>
        <v>Não</v>
      </c>
      <c r="AE517" s="94"/>
      <c r="AF517" s="94"/>
      <c r="AG517" s="95"/>
    </row>
    <row r="518" hidden="1">
      <c r="A518" s="115"/>
      <c r="B518" s="93"/>
      <c r="C518" s="93"/>
      <c r="D518" s="93"/>
      <c r="E518" s="116"/>
      <c r="F518" s="95"/>
      <c r="G518" s="95"/>
      <c r="H518" s="94"/>
      <c r="I518" s="94"/>
      <c r="J518" s="117"/>
      <c r="K518" s="118"/>
      <c r="L518" s="119"/>
      <c r="M518" s="94"/>
      <c r="N518" s="94"/>
      <c r="O518" s="93"/>
      <c r="P518" s="120" t="b">
        <v>0</v>
      </c>
      <c r="Q518" s="120" t="b">
        <v>0</v>
      </c>
      <c r="R518" s="120" t="b">
        <v>0</v>
      </c>
      <c r="S518" s="95"/>
      <c r="U518" s="120" t="b">
        <v>0</v>
      </c>
      <c r="V518" s="93"/>
      <c r="W518" s="93"/>
      <c r="X518" s="93"/>
      <c r="Y518" s="93"/>
      <c r="AA518" s="95"/>
      <c r="AB518" s="121"/>
      <c r="AC518" s="29" t="str">
        <f t="shared" si="5"/>
        <v>Sim</v>
      </c>
      <c r="AD518" s="37" t="str">
        <f t="shared" si="1"/>
        <v>Não</v>
      </c>
      <c r="AE518" s="94"/>
      <c r="AF518" s="94"/>
      <c r="AG518" s="95"/>
    </row>
    <row r="519" hidden="1">
      <c r="A519" s="115"/>
      <c r="B519" s="93"/>
      <c r="C519" s="93"/>
      <c r="D519" s="93"/>
      <c r="E519" s="116"/>
      <c r="F519" s="95"/>
      <c r="G519" s="95"/>
      <c r="H519" s="94"/>
      <c r="I519" s="94"/>
      <c r="J519" s="117"/>
      <c r="K519" s="118"/>
      <c r="L519" s="119"/>
      <c r="M519" s="94"/>
      <c r="N519" s="94"/>
      <c r="O519" s="93"/>
      <c r="P519" s="120" t="b">
        <v>0</v>
      </c>
      <c r="Q519" s="120" t="b">
        <v>0</v>
      </c>
      <c r="R519" s="120" t="b">
        <v>0</v>
      </c>
      <c r="S519" s="95"/>
      <c r="U519" s="120" t="b">
        <v>0</v>
      </c>
      <c r="V519" s="93"/>
      <c r="W519" s="93"/>
      <c r="X519" s="93"/>
      <c r="Y519" s="93"/>
      <c r="AA519" s="95"/>
      <c r="AB519" s="121"/>
      <c r="AC519" s="29" t="str">
        <f t="shared" si="5"/>
        <v>Sim</v>
      </c>
      <c r="AD519" s="37" t="str">
        <f t="shared" si="1"/>
        <v>Não</v>
      </c>
      <c r="AE519" s="94"/>
      <c r="AF519" s="94"/>
      <c r="AG519" s="95"/>
    </row>
    <row r="520" hidden="1">
      <c r="A520" s="115"/>
      <c r="B520" s="93"/>
      <c r="C520" s="93"/>
      <c r="D520" s="93"/>
      <c r="E520" s="116"/>
      <c r="F520" s="95"/>
      <c r="G520" s="95"/>
      <c r="H520" s="94"/>
      <c r="I520" s="94"/>
      <c r="J520" s="117"/>
      <c r="K520" s="118"/>
      <c r="L520" s="119"/>
      <c r="M520" s="94"/>
      <c r="N520" s="94"/>
      <c r="O520" s="93"/>
      <c r="P520" s="120" t="b">
        <v>0</v>
      </c>
      <c r="Q520" s="120" t="b">
        <v>0</v>
      </c>
      <c r="R520" s="120" t="b">
        <v>0</v>
      </c>
      <c r="S520" s="95"/>
      <c r="U520" s="120" t="b">
        <v>0</v>
      </c>
      <c r="V520" s="93"/>
      <c r="W520" s="93"/>
      <c r="X520" s="93"/>
      <c r="Y520" s="93"/>
      <c r="AA520" s="95"/>
      <c r="AB520" s="121"/>
      <c r="AC520" s="29" t="str">
        <f t="shared" si="5"/>
        <v>Sim</v>
      </c>
      <c r="AD520" s="37" t="str">
        <f t="shared" si="1"/>
        <v>Não</v>
      </c>
      <c r="AE520" s="94"/>
      <c r="AF520" s="94"/>
      <c r="AG520" s="95"/>
    </row>
    <row r="521" hidden="1">
      <c r="A521" s="115"/>
      <c r="B521" s="93"/>
      <c r="C521" s="93"/>
      <c r="D521" s="93"/>
      <c r="E521" s="116"/>
      <c r="F521" s="95"/>
      <c r="G521" s="95"/>
      <c r="H521" s="94"/>
      <c r="I521" s="94"/>
      <c r="J521" s="117"/>
      <c r="K521" s="118"/>
      <c r="L521" s="119"/>
      <c r="M521" s="94"/>
      <c r="N521" s="94"/>
      <c r="O521" s="93"/>
      <c r="P521" s="120" t="b">
        <v>0</v>
      </c>
      <c r="Q521" s="120" t="b">
        <v>0</v>
      </c>
      <c r="R521" s="120" t="b">
        <v>0</v>
      </c>
      <c r="S521" s="95"/>
      <c r="U521" s="120" t="b">
        <v>0</v>
      </c>
      <c r="V521" s="93"/>
      <c r="W521" s="93"/>
      <c r="X521" s="93"/>
      <c r="Y521" s="93"/>
      <c r="AA521" s="95"/>
      <c r="AB521" s="121"/>
      <c r="AC521" s="29" t="str">
        <f t="shared" si="5"/>
        <v>Sim</v>
      </c>
      <c r="AD521" s="37" t="str">
        <f t="shared" si="1"/>
        <v>Não</v>
      </c>
      <c r="AE521" s="94"/>
      <c r="AF521" s="94"/>
      <c r="AG521" s="95"/>
    </row>
    <row r="522" hidden="1">
      <c r="A522" s="115"/>
      <c r="B522" s="93"/>
      <c r="C522" s="93"/>
      <c r="D522" s="93"/>
      <c r="E522" s="116"/>
      <c r="F522" s="95"/>
      <c r="G522" s="95"/>
      <c r="H522" s="94"/>
      <c r="I522" s="94"/>
      <c r="J522" s="117"/>
      <c r="K522" s="118"/>
      <c r="L522" s="119"/>
      <c r="M522" s="94"/>
      <c r="N522" s="94"/>
      <c r="O522" s="93"/>
      <c r="P522" s="120" t="b">
        <v>0</v>
      </c>
      <c r="Q522" s="120" t="b">
        <v>0</v>
      </c>
      <c r="R522" s="120" t="b">
        <v>0</v>
      </c>
      <c r="S522" s="95"/>
      <c r="U522" s="120" t="b">
        <v>0</v>
      </c>
      <c r="V522" s="93"/>
      <c r="W522" s="93"/>
      <c r="X522" s="93"/>
      <c r="Y522" s="93"/>
      <c r="AA522" s="95"/>
      <c r="AB522" s="121"/>
      <c r="AC522" s="29" t="str">
        <f t="shared" si="5"/>
        <v>Sim</v>
      </c>
      <c r="AD522" s="37" t="str">
        <f t="shared" si="1"/>
        <v>Não</v>
      </c>
      <c r="AE522" s="94"/>
      <c r="AF522" s="94"/>
      <c r="AG522" s="95"/>
    </row>
    <row r="523" hidden="1">
      <c r="A523" s="115"/>
      <c r="B523" s="93"/>
      <c r="C523" s="93"/>
      <c r="D523" s="93"/>
      <c r="E523" s="116"/>
      <c r="F523" s="95"/>
      <c r="G523" s="95"/>
      <c r="H523" s="94"/>
      <c r="I523" s="94"/>
      <c r="J523" s="117"/>
      <c r="K523" s="118"/>
      <c r="L523" s="119"/>
      <c r="M523" s="94"/>
      <c r="N523" s="94"/>
      <c r="O523" s="93"/>
      <c r="P523" s="120" t="b">
        <v>0</v>
      </c>
      <c r="Q523" s="120" t="b">
        <v>0</v>
      </c>
      <c r="R523" s="120" t="b">
        <v>0</v>
      </c>
      <c r="S523" s="95"/>
      <c r="U523" s="120" t="b">
        <v>0</v>
      </c>
      <c r="V523" s="93"/>
      <c r="W523" s="93"/>
      <c r="X523" s="93"/>
      <c r="Y523" s="93"/>
      <c r="AA523" s="95"/>
      <c r="AB523" s="121"/>
      <c r="AC523" s="29" t="str">
        <f t="shared" si="5"/>
        <v>Sim</v>
      </c>
      <c r="AD523" s="37" t="str">
        <f t="shared" si="1"/>
        <v>Não</v>
      </c>
      <c r="AE523" s="94"/>
      <c r="AF523" s="94"/>
      <c r="AG523" s="95"/>
    </row>
    <row r="524" hidden="1">
      <c r="A524" s="115"/>
      <c r="B524" s="93"/>
      <c r="C524" s="93"/>
      <c r="D524" s="93"/>
      <c r="E524" s="116"/>
      <c r="F524" s="95"/>
      <c r="G524" s="95"/>
      <c r="H524" s="94"/>
      <c r="I524" s="94"/>
      <c r="J524" s="117"/>
      <c r="K524" s="118"/>
      <c r="L524" s="119"/>
      <c r="M524" s="94"/>
      <c r="N524" s="94"/>
      <c r="O524" s="93"/>
      <c r="P524" s="120" t="b">
        <v>0</v>
      </c>
      <c r="Q524" s="120" t="b">
        <v>0</v>
      </c>
      <c r="R524" s="120" t="b">
        <v>0</v>
      </c>
      <c r="S524" s="95"/>
      <c r="U524" s="120" t="b">
        <v>0</v>
      </c>
      <c r="V524" s="93"/>
      <c r="W524" s="93"/>
      <c r="X524" s="93"/>
      <c r="Y524" s="93"/>
      <c r="AA524" s="95"/>
      <c r="AB524" s="121"/>
      <c r="AC524" s="29" t="str">
        <f t="shared" si="5"/>
        <v>Sim</v>
      </c>
      <c r="AD524" s="37" t="str">
        <f t="shared" si="1"/>
        <v>Não</v>
      </c>
      <c r="AE524" s="94"/>
      <c r="AF524" s="94"/>
      <c r="AG524" s="95"/>
    </row>
    <row r="525" hidden="1">
      <c r="A525" s="115"/>
      <c r="B525" s="93"/>
      <c r="C525" s="93"/>
      <c r="D525" s="93"/>
      <c r="E525" s="116"/>
      <c r="F525" s="95"/>
      <c r="G525" s="95"/>
      <c r="H525" s="94"/>
      <c r="I525" s="94"/>
      <c r="J525" s="117"/>
      <c r="K525" s="118"/>
      <c r="L525" s="119"/>
      <c r="M525" s="94"/>
      <c r="N525" s="94"/>
      <c r="O525" s="93"/>
      <c r="P525" s="120" t="b">
        <v>0</v>
      </c>
      <c r="Q525" s="120" t="b">
        <v>0</v>
      </c>
      <c r="R525" s="120" t="b">
        <v>0</v>
      </c>
      <c r="S525" s="95"/>
      <c r="U525" s="120" t="b">
        <v>0</v>
      </c>
      <c r="V525" s="93"/>
      <c r="W525" s="93"/>
      <c r="X525" s="93"/>
      <c r="Y525" s="93"/>
      <c r="AA525" s="95"/>
      <c r="AB525" s="121"/>
      <c r="AC525" s="29" t="str">
        <f t="shared" si="5"/>
        <v>Sim</v>
      </c>
      <c r="AD525" s="37" t="str">
        <f t="shared" si="1"/>
        <v>Não</v>
      </c>
      <c r="AE525" s="94"/>
      <c r="AF525" s="94"/>
      <c r="AG525" s="95"/>
    </row>
    <row r="526" hidden="1">
      <c r="A526" s="115"/>
      <c r="B526" s="93"/>
      <c r="C526" s="93"/>
      <c r="D526" s="93"/>
      <c r="E526" s="116"/>
      <c r="F526" s="95"/>
      <c r="G526" s="95"/>
      <c r="H526" s="94"/>
      <c r="I526" s="94"/>
      <c r="J526" s="117"/>
      <c r="K526" s="118"/>
      <c r="L526" s="119"/>
      <c r="M526" s="94"/>
      <c r="N526" s="94"/>
      <c r="O526" s="93"/>
      <c r="P526" s="120" t="b">
        <v>0</v>
      </c>
      <c r="Q526" s="120" t="b">
        <v>0</v>
      </c>
      <c r="R526" s="120" t="b">
        <v>0</v>
      </c>
      <c r="S526" s="95"/>
      <c r="U526" s="120" t="b">
        <v>0</v>
      </c>
      <c r="V526" s="93"/>
      <c r="W526" s="93"/>
      <c r="X526" s="93"/>
      <c r="Y526" s="93"/>
      <c r="AA526" s="95"/>
      <c r="AB526" s="121"/>
      <c r="AC526" s="29" t="str">
        <f t="shared" si="5"/>
        <v>Sim</v>
      </c>
      <c r="AD526" s="37" t="str">
        <f t="shared" si="1"/>
        <v>Não</v>
      </c>
      <c r="AE526" s="94"/>
      <c r="AF526" s="94"/>
      <c r="AG526" s="95"/>
    </row>
    <row r="527" hidden="1">
      <c r="A527" s="115"/>
      <c r="B527" s="93"/>
      <c r="C527" s="93"/>
      <c r="D527" s="93"/>
      <c r="E527" s="116"/>
      <c r="F527" s="95"/>
      <c r="G527" s="95"/>
      <c r="H527" s="94"/>
      <c r="I527" s="94"/>
      <c r="J527" s="117"/>
      <c r="K527" s="118"/>
      <c r="L527" s="119"/>
      <c r="M527" s="94"/>
      <c r="N527" s="94"/>
      <c r="O527" s="93"/>
      <c r="P527" s="120" t="b">
        <v>0</v>
      </c>
      <c r="Q527" s="120" t="b">
        <v>0</v>
      </c>
      <c r="R527" s="120" t="b">
        <v>0</v>
      </c>
      <c r="S527" s="95"/>
      <c r="U527" s="120" t="b">
        <v>0</v>
      </c>
      <c r="V527" s="93"/>
      <c r="W527" s="93"/>
      <c r="X527" s="93"/>
      <c r="Y527" s="93"/>
      <c r="AA527" s="95"/>
      <c r="AB527" s="121"/>
      <c r="AC527" s="29" t="str">
        <f t="shared" si="5"/>
        <v>Sim</v>
      </c>
      <c r="AD527" s="37" t="str">
        <f t="shared" si="1"/>
        <v>Não</v>
      </c>
      <c r="AE527" s="94"/>
      <c r="AF527" s="94"/>
      <c r="AG527" s="95"/>
    </row>
    <row r="528" hidden="1">
      <c r="A528" s="115"/>
      <c r="B528" s="93"/>
      <c r="C528" s="93"/>
      <c r="D528" s="93"/>
      <c r="E528" s="116"/>
      <c r="F528" s="95"/>
      <c r="G528" s="95"/>
      <c r="H528" s="94"/>
      <c r="I528" s="94"/>
      <c r="J528" s="117"/>
      <c r="K528" s="118"/>
      <c r="L528" s="119"/>
      <c r="M528" s="94"/>
      <c r="N528" s="94"/>
      <c r="O528" s="93"/>
      <c r="P528" s="120" t="b">
        <v>0</v>
      </c>
      <c r="Q528" s="120" t="b">
        <v>0</v>
      </c>
      <c r="R528" s="120" t="b">
        <v>0</v>
      </c>
      <c r="S528" s="95"/>
      <c r="U528" s="120" t="b">
        <v>0</v>
      </c>
      <c r="V528" s="93"/>
      <c r="W528" s="93"/>
      <c r="X528" s="93"/>
      <c r="Y528" s="93"/>
      <c r="AA528" s="95"/>
      <c r="AB528" s="121"/>
      <c r="AC528" s="29" t="str">
        <f t="shared" si="5"/>
        <v>Sim</v>
      </c>
      <c r="AD528" s="37" t="str">
        <f t="shared" si="1"/>
        <v>Não</v>
      </c>
      <c r="AE528" s="94"/>
      <c r="AF528" s="94"/>
      <c r="AG528" s="95"/>
    </row>
    <row r="529" hidden="1">
      <c r="A529" s="115"/>
      <c r="B529" s="93"/>
      <c r="C529" s="93"/>
      <c r="D529" s="93"/>
      <c r="E529" s="116"/>
      <c r="F529" s="95"/>
      <c r="G529" s="95"/>
      <c r="H529" s="94"/>
      <c r="I529" s="94"/>
      <c r="J529" s="117"/>
      <c r="K529" s="118"/>
      <c r="L529" s="119"/>
      <c r="M529" s="94"/>
      <c r="N529" s="94"/>
      <c r="O529" s="93"/>
      <c r="P529" s="120" t="b">
        <v>0</v>
      </c>
      <c r="Q529" s="120" t="b">
        <v>0</v>
      </c>
      <c r="R529" s="120" t="b">
        <v>0</v>
      </c>
      <c r="S529" s="95"/>
      <c r="U529" s="120" t="b">
        <v>0</v>
      </c>
      <c r="V529" s="93"/>
      <c r="W529" s="93"/>
      <c r="X529" s="93"/>
      <c r="Y529" s="93"/>
      <c r="AA529" s="95"/>
      <c r="AB529" s="121"/>
      <c r="AC529" s="29" t="str">
        <f t="shared" si="5"/>
        <v>Sim</v>
      </c>
      <c r="AD529" s="37" t="str">
        <f t="shared" si="1"/>
        <v>Não</v>
      </c>
      <c r="AE529" s="94"/>
      <c r="AF529" s="94"/>
      <c r="AG529" s="95"/>
    </row>
    <row r="530" hidden="1">
      <c r="A530" s="115"/>
      <c r="B530" s="93"/>
      <c r="C530" s="93"/>
      <c r="D530" s="93"/>
      <c r="E530" s="116"/>
      <c r="F530" s="95"/>
      <c r="G530" s="95"/>
      <c r="H530" s="94"/>
      <c r="I530" s="94"/>
      <c r="J530" s="117"/>
      <c r="K530" s="118"/>
      <c r="L530" s="119"/>
      <c r="M530" s="94"/>
      <c r="N530" s="94"/>
      <c r="O530" s="93"/>
      <c r="P530" s="120" t="b">
        <v>0</v>
      </c>
      <c r="Q530" s="120" t="b">
        <v>0</v>
      </c>
      <c r="R530" s="120" t="b">
        <v>0</v>
      </c>
      <c r="S530" s="95"/>
      <c r="U530" s="120" t="b">
        <v>0</v>
      </c>
      <c r="V530" s="93"/>
      <c r="W530" s="93"/>
      <c r="X530" s="93"/>
      <c r="Y530" s="93"/>
      <c r="AA530" s="95"/>
      <c r="AB530" s="121"/>
      <c r="AC530" s="29" t="str">
        <f t="shared" si="5"/>
        <v>Sim</v>
      </c>
      <c r="AD530" s="37" t="str">
        <f t="shared" si="1"/>
        <v>Não</v>
      </c>
      <c r="AE530" s="94"/>
      <c r="AF530" s="94"/>
      <c r="AG530" s="95"/>
    </row>
    <row r="531" hidden="1">
      <c r="A531" s="115"/>
      <c r="B531" s="93"/>
      <c r="C531" s="93"/>
      <c r="D531" s="93"/>
      <c r="E531" s="116"/>
      <c r="F531" s="95"/>
      <c r="G531" s="95"/>
      <c r="H531" s="94"/>
      <c r="I531" s="94"/>
      <c r="J531" s="117"/>
      <c r="K531" s="118"/>
      <c r="L531" s="119"/>
      <c r="M531" s="94"/>
      <c r="N531" s="94"/>
      <c r="O531" s="93"/>
      <c r="P531" s="120" t="b">
        <v>0</v>
      </c>
      <c r="Q531" s="120" t="b">
        <v>0</v>
      </c>
      <c r="R531" s="120" t="b">
        <v>0</v>
      </c>
      <c r="S531" s="95"/>
      <c r="U531" s="120" t="b">
        <v>0</v>
      </c>
      <c r="V531" s="93"/>
      <c r="W531" s="93"/>
      <c r="X531" s="93"/>
      <c r="Y531" s="93"/>
      <c r="AA531" s="95"/>
      <c r="AB531" s="121"/>
      <c r="AC531" s="29" t="str">
        <f t="shared" si="5"/>
        <v>Sim</v>
      </c>
      <c r="AD531" s="37" t="str">
        <f t="shared" si="1"/>
        <v>Não</v>
      </c>
      <c r="AE531" s="94"/>
      <c r="AF531" s="94"/>
      <c r="AG531" s="95"/>
    </row>
    <row r="532" hidden="1">
      <c r="A532" s="115"/>
      <c r="B532" s="93"/>
      <c r="C532" s="93"/>
      <c r="D532" s="93"/>
      <c r="E532" s="116"/>
      <c r="F532" s="95"/>
      <c r="G532" s="95"/>
      <c r="H532" s="94"/>
      <c r="I532" s="94"/>
      <c r="J532" s="117"/>
      <c r="K532" s="118"/>
      <c r="L532" s="119"/>
      <c r="M532" s="94"/>
      <c r="N532" s="94"/>
      <c r="O532" s="93"/>
      <c r="P532" s="120" t="b">
        <v>0</v>
      </c>
      <c r="Q532" s="120" t="b">
        <v>0</v>
      </c>
      <c r="R532" s="120" t="b">
        <v>0</v>
      </c>
      <c r="S532" s="95"/>
      <c r="U532" s="120" t="b">
        <v>0</v>
      </c>
      <c r="V532" s="93"/>
      <c r="W532" s="93"/>
      <c r="X532" s="93"/>
      <c r="Y532" s="93"/>
      <c r="AA532" s="95"/>
      <c r="AB532" s="121"/>
      <c r="AC532" s="29" t="str">
        <f t="shared" si="5"/>
        <v>Sim</v>
      </c>
      <c r="AD532" s="37" t="str">
        <f t="shared" si="1"/>
        <v>Não</v>
      </c>
      <c r="AE532" s="94"/>
      <c r="AF532" s="94"/>
      <c r="AG532" s="95"/>
    </row>
    <row r="533" hidden="1">
      <c r="A533" s="115"/>
      <c r="B533" s="93"/>
      <c r="C533" s="93"/>
      <c r="D533" s="93"/>
      <c r="E533" s="116"/>
      <c r="F533" s="95"/>
      <c r="G533" s="95"/>
      <c r="H533" s="94"/>
      <c r="I533" s="94"/>
      <c r="J533" s="117"/>
      <c r="K533" s="118"/>
      <c r="L533" s="119"/>
      <c r="M533" s="94"/>
      <c r="N533" s="94"/>
      <c r="O533" s="93"/>
      <c r="P533" s="120" t="b">
        <v>0</v>
      </c>
      <c r="Q533" s="120" t="b">
        <v>0</v>
      </c>
      <c r="R533" s="120" t="b">
        <v>0</v>
      </c>
      <c r="S533" s="95"/>
      <c r="U533" s="120" t="b">
        <v>0</v>
      </c>
      <c r="V533" s="93"/>
      <c r="W533" s="93"/>
      <c r="X533" s="93"/>
      <c r="Y533" s="93"/>
      <c r="AA533" s="95"/>
      <c r="AB533" s="121"/>
      <c r="AC533" s="29" t="str">
        <f t="shared" si="5"/>
        <v>Sim</v>
      </c>
      <c r="AD533" s="37" t="str">
        <f t="shared" si="1"/>
        <v>Não</v>
      </c>
      <c r="AE533" s="94"/>
      <c r="AF533" s="94"/>
      <c r="AG533" s="95"/>
    </row>
    <row r="534" hidden="1">
      <c r="A534" s="115"/>
      <c r="B534" s="93"/>
      <c r="C534" s="93"/>
      <c r="D534" s="93"/>
      <c r="E534" s="116"/>
      <c r="F534" s="95"/>
      <c r="G534" s="95"/>
      <c r="H534" s="94"/>
      <c r="I534" s="94"/>
      <c r="J534" s="117"/>
      <c r="K534" s="118"/>
      <c r="L534" s="119"/>
      <c r="M534" s="94"/>
      <c r="N534" s="94"/>
      <c r="O534" s="93"/>
      <c r="P534" s="120" t="b">
        <v>0</v>
      </c>
      <c r="Q534" s="120" t="b">
        <v>0</v>
      </c>
      <c r="R534" s="120" t="b">
        <v>0</v>
      </c>
      <c r="S534" s="95"/>
      <c r="U534" s="120" t="b">
        <v>0</v>
      </c>
      <c r="V534" s="93"/>
      <c r="W534" s="93"/>
      <c r="X534" s="93"/>
      <c r="Y534" s="93"/>
      <c r="AA534" s="95"/>
      <c r="AB534" s="121"/>
      <c r="AC534" s="29" t="str">
        <f t="shared" si="5"/>
        <v>Sim</v>
      </c>
      <c r="AD534" s="37" t="str">
        <f t="shared" si="1"/>
        <v>Não</v>
      </c>
      <c r="AE534" s="94"/>
      <c r="AF534" s="94"/>
      <c r="AG534" s="95"/>
    </row>
    <row r="535" hidden="1">
      <c r="A535" s="115"/>
      <c r="B535" s="93"/>
      <c r="C535" s="93"/>
      <c r="D535" s="93"/>
      <c r="E535" s="116"/>
      <c r="F535" s="95"/>
      <c r="G535" s="95"/>
      <c r="H535" s="94"/>
      <c r="I535" s="94"/>
      <c r="J535" s="117"/>
      <c r="K535" s="118"/>
      <c r="L535" s="119"/>
      <c r="M535" s="94"/>
      <c r="N535" s="94"/>
      <c r="O535" s="93"/>
      <c r="P535" s="120" t="b">
        <v>0</v>
      </c>
      <c r="Q535" s="120" t="b">
        <v>0</v>
      </c>
      <c r="R535" s="120" t="b">
        <v>0</v>
      </c>
      <c r="S535" s="95"/>
      <c r="U535" s="120" t="b">
        <v>0</v>
      </c>
      <c r="V535" s="93"/>
      <c r="W535" s="93"/>
      <c r="X535" s="93"/>
      <c r="Y535" s="93"/>
      <c r="AA535" s="95"/>
      <c r="AB535" s="121"/>
      <c r="AC535" s="29" t="str">
        <f t="shared" si="5"/>
        <v>Sim</v>
      </c>
      <c r="AD535" s="37" t="str">
        <f t="shared" si="1"/>
        <v>Não</v>
      </c>
      <c r="AE535" s="94"/>
      <c r="AF535" s="94"/>
      <c r="AG535" s="95"/>
    </row>
    <row r="536" hidden="1">
      <c r="A536" s="115"/>
      <c r="B536" s="93"/>
      <c r="C536" s="93"/>
      <c r="D536" s="93"/>
      <c r="E536" s="116"/>
      <c r="F536" s="95"/>
      <c r="G536" s="95"/>
      <c r="H536" s="94"/>
      <c r="I536" s="94"/>
      <c r="J536" s="117"/>
      <c r="K536" s="118"/>
      <c r="L536" s="119"/>
      <c r="M536" s="94"/>
      <c r="N536" s="94"/>
      <c r="O536" s="93"/>
      <c r="P536" s="120" t="b">
        <v>0</v>
      </c>
      <c r="Q536" s="120" t="b">
        <v>0</v>
      </c>
      <c r="R536" s="120" t="b">
        <v>0</v>
      </c>
      <c r="S536" s="95"/>
      <c r="U536" s="120" t="b">
        <v>0</v>
      </c>
      <c r="V536" s="93"/>
      <c r="W536" s="93"/>
      <c r="X536" s="93"/>
      <c r="Y536" s="93"/>
      <c r="AA536" s="95"/>
      <c r="AB536" s="121"/>
      <c r="AC536" s="29" t="str">
        <f t="shared" si="5"/>
        <v>Sim</v>
      </c>
      <c r="AD536" s="37" t="str">
        <f t="shared" si="1"/>
        <v>Não</v>
      </c>
      <c r="AE536" s="94"/>
      <c r="AF536" s="94"/>
      <c r="AG536" s="95"/>
    </row>
    <row r="537" hidden="1">
      <c r="A537" s="115"/>
      <c r="B537" s="93"/>
      <c r="C537" s="93"/>
      <c r="D537" s="93"/>
      <c r="E537" s="116"/>
      <c r="F537" s="95"/>
      <c r="G537" s="95"/>
      <c r="H537" s="94"/>
      <c r="I537" s="94"/>
      <c r="J537" s="117"/>
      <c r="K537" s="118"/>
      <c r="L537" s="119"/>
      <c r="M537" s="94"/>
      <c r="N537" s="94"/>
      <c r="O537" s="93"/>
      <c r="P537" s="120" t="b">
        <v>0</v>
      </c>
      <c r="Q537" s="120" t="b">
        <v>0</v>
      </c>
      <c r="R537" s="120" t="b">
        <v>0</v>
      </c>
      <c r="S537" s="95"/>
      <c r="U537" s="120" t="b">
        <v>0</v>
      </c>
      <c r="V537" s="93"/>
      <c r="W537" s="93"/>
      <c r="X537" s="93"/>
      <c r="Y537" s="93"/>
      <c r="AA537" s="95"/>
      <c r="AB537" s="121"/>
      <c r="AC537" s="29" t="str">
        <f t="shared" si="5"/>
        <v>Sim</v>
      </c>
      <c r="AD537" s="37" t="str">
        <f t="shared" si="1"/>
        <v>Não</v>
      </c>
      <c r="AE537" s="94"/>
      <c r="AF537" s="94"/>
      <c r="AG537" s="95"/>
    </row>
    <row r="538" hidden="1">
      <c r="A538" s="115"/>
      <c r="B538" s="93"/>
      <c r="C538" s="93"/>
      <c r="D538" s="93"/>
      <c r="E538" s="116"/>
      <c r="F538" s="95"/>
      <c r="G538" s="95"/>
      <c r="H538" s="94"/>
      <c r="I538" s="94"/>
      <c r="J538" s="117"/>
      <c r="K538" s="118"/>
      <c r="L538" s="119"/>
      <c r="M538" s="94"/>
      <c r="N538" s="94"/>
      <c r="O538" s="93"/>
      <c r="P538" s="120" t="b">
        <v>0</v>
      </c>
      <c r="Q538" s="120" t="b">
        <v>0</v>
      </c>
      <c r="R538" s="120" t="b">
        <v>0</v>
      </c>
      <c r="S538" s="95"/>
      <c r="U538" s="120" t="b">
        <v>0</v>
      </c>
      <c r="V538" s="93"/>
      <c r="W538" s="93"/>
      <c r="X538" s="93"/>
      <c r="Y538" s="93"/>
      <c r="AA538" s="95"/>
      <c r="AB538" s="121"/>
      <c r="AC538" s="29" t="str">
        <f t="shared" si="5"/>
        <v>Sim</v>
      </c>
      <c r="AD538" s="37" t="str">
        <f t="shared" si="1"/>
        <v>Não</v>
      </c>
      <c r="AE538" s="94"/>
      <c r="AF538" s="94"/>
      <c r="AG538" s="95"/>
    </row>
    <row r="539" hidden="1">
      <c r="A539" s="115"/>
      <c r="B539" s="93"/>
      <c r="C539" s="93"/>
      <c r="D539" s="93"/>
      <c r="E539" s="116"/>
      <c r="F539" s="95"/>
      <c r="G539" s="95"/>
      <c r="H539" s="94"/>
      <c r="I539" s="94"/>
      <c r="J539" s="117"/>
      <c r="K539" s="118"/>
      <c r="L539" s="119"/>
      <c r="M539" s="94"/>
      <c r="N539" s="94"/>
      <c r="O539" s="93"/>
      <c r="P539" s="120" t="b">
        <v>0</v>
      </c>
      <c r="Q539" s="120" t="b">
        <v>0</v>
      </c>
      <c r="R539" s="120" t="b">
        <v>0</v>
      </c>
      <c r="S539" s="95"/>
      <c r="U539" s="120" t="b">
        <v>0</v>
      </c>
      <c r="V539" s="93"/>
      <c r="W539" s="93"/>
      <c r="X539" s="93"/>
      <c r="Y539" s="93"/>
      <c r="AA539" s="95"/>
      <c r="AB539" s="121"/>
      <c r="AC539" s="29" t="str">
        <f t="shared" si="5"/>
        <v>Sim</v>
      </c>
      <c r="AD539" s="37" t="str">
        <f t="shared" si="1"/>
        <v>Não</v>
      </c>
      <c r="AE539" s="94"/>
      <c r="AF539" s="94"/>
      <c r="AG539" s="95"/>
    </row>
    <row r="540" hidden="1">
      <c r="A540" s="115"/>
      <c r="B540" s="93"/>
      <c r="C540" s="93"/>
      <c r="D540" s="93"/>
      <c r="E540" s="116"/>
      <c r="F540" s="95"/>
      <c r="G540" s="95"/>
      <c r="H540" s="94"/>
      <c r="I540" s="94"/>
      <c r="J540" s="117"/>
      <c r="K540" s="118"/>
      <c r="L540" s="119"/>
      <c r="M540" s="94"/>
      <c r="N540" s="94"/>
      <c r="O540" s="93"/>
      <c r="P540" s="120" t="b">
        <v>0</v>
      </c>
      <c r="Q540" s="120" t="b">
        <v>0</v>
      </c>
      <c r="R540" s="120" t="b">
        <v>0</v>
      </c>
      <c r="S540" s="95"/>
      <c r="U540" s="120" t="b">
        <v>0</v>
      </c>
      <c r="V540" s="93"/>
      <c r="W540" s="93"/>
      <c r="X540" s="93"/>
      <c r="Y540" s="93"/>
      <c r="AA540" s="95"/>
      <c r="AB540" s="121"/>
      <c r="AC540" s="29" t="str">
        <f t="shared" si="5"/>
        <v>Sim</v>
      </c>
      <c r="AD540" s="37" t="str">
        <f t="shared" si="1"/>
        <v>Não</v>
      </c>
      <c r="AE540" s="94"/>
      <c r="AF540" s="94"/>
      <c r="AG540" s="95"/>
    </row>
    <row r="541" hidden="1">
      <c r="A541" s="115"/>
      <c r="B541" s="93"/>
      <c r="C541" s="93"/>
      <c r="D541" s="93"/>
      <c r="E541" s="116"/>
      <c r="F541" s="95"/>
      <c r="G541" s="95"/>
      <c r="H541" s="94"/>
      <c r="I541" s="94"/>
      <c r="J541" s="117"/>
      <c r="K541" s="118"/>
      <c r="L541" s="119"/>
      <c r="M541" s="94"/>
      <c r="N541" s="94"/>
      <c r="O541" s="93"/>
      <c r="P541" s="120" t="b">
        <v>0</v>
      </c>
      <c r="Q541" s="120" t="b">
        <v>0</v>
      </c>
      <c r="R541" s="120" t="b">
        <v>0</v>
      </c>
      <c r="S541" s="95"/>
      <c r="U541" s="120" t="b">
        <v>0</v>
      </c>
      <c r="V541" s="93"/>
      <c r="W541" s="93"/>
      <c r="X541" s="93"/>
      <c r="Y541" s="93"/>
      <c r="AA541" s="95"/>
      <c r="AB541" s="121"/>
      <c r="AC541" s="29" t="str">
        <f t="shared" si="5"/>
        <v>Sim</v>
      </c>
      <c r="AD541" s="37" t="str">
        <f t="shared" si="1"/>
        <v>Não</v>
      </c>
      <c r="AE541" s="94"/>
      <c r="AF541" s="94"/>
      <c r="AG541" s="95"/>
    </row>
    <row r="542" hidden="1">
      <c r="A542" s="115"/>
      <c r="B542" s="93"/>
      <c r="C542" s="93"/>
      <c r="D542" s="93"/>
      <c r="E542" s="116"/>
      <c r="F542" s="95"/>
      <c r="G542" s="95"/>
      <c r="H542" s="94"/>
      <c r="I542" s="94"/>
      <c r="J542" s="117"/>
      <c r="K542" s="118"/>
      <c r="L542" s="119"/>
      <c r="M542" s="94"/>
      <c r="N542" s="94"/>
      <c r="O542" s="93"/>
      <c r="P542" s="120" t="b">
        <v>0</v>
      </c>
      <c r="Q542" s="120" t="b">
        <v>0</v>
      </c>
      <c r="R542" s="120" t="b">
        <v>0</v>
      </c>
      <c r="S542" s="95"/>
      <c r="U542" s="120" t="b">
        <v>0</v>
      </c>
      <c r="V542" s="93"/>
      <c r="W542" s="93"/>
      <c r="X542" s="93"/>
      <c r="Y542" s="93"/>
      <c r="AA542" s="95"/>
      <c r="AB542" s="121"/>
      <c r="AC542" s="29" t="str">
        <f t="shared" si="5"/>
        <v>Sim</v>
      </c>
      <c r="AD542" s="37" t="str">
        <f t="shared" si="1"/>
        <v>Não</v>
      </c>
      <c r="AE542" s="94"/>
      <c r="AF542" s="94"/>
      <c r="AG542" s="95"/>
    </row>
    <row r="543" hidden="1">
      <c r="A543" s="115"/>
      <c r="B543" s="93"/>
      <c r="C543" s="93"/>
      <c r="D543" s="93"/>
      <c r="E543" s="116"/>
      <c r="F543" s="95"/>
      <c r="G543" s="95"/>
      <c r="H543" s="94"/>
      <c r="I543" s="94"/>
      <c r="J543" s="117"/>
      <c r="K543" s="118"/>
      <c r="L543" s="119"/>
      <c r="M543" s="94"/>
      <c r="N543" s="94"/>
      <c r="O543" s="93"/>
      <c r="P543" s="120" t="b">
        <v>0</v>
      </c>
      <c r="Q543" s="120" t="b">
        <v>0</v>
      </c>
      <c r="R543" s="120" t="b">
        <v>0</v>
      </c>
      <c r="S543" s="95"/>
      <c r="U543" s="120" t="b">
        <v>0</v>
      </c>
      <c r="V543" s="93"/>
      <c r="W543" s="93"/>
      <c r="X543" s="93"/>
      <c r="Y543" s="93"/>
      <c r="AA543" s="95"/>
      <c r="AB543" s="121"/>
      <c r="AC543" s="29" t="str">
        <f t="shared" si="5"/>
        <v>Sim</v>
      </c>
      <c r="AD543" s="37" t="str">
        <f t="shared" si="1"/>
        <v>Não</v>
      </c>
      <c r="AE543" s="94"/>
      <c r="AF543" s="94"/>
      <c r="AG543" s="95"/>
    </row>
    <row r="544" hidden="1">
      <c r="A544" s="115"/>
      <c r="B544" s="93"/>
      <c r="C544" s="93"/>
      <c r="D544" s="93"/>
      <c r="E544" s="116"/>
      <c r="F544" s="95"/>
      <c r="G544" s="95"/>
      <c r="H544" s="94"/>
      <c r="I544" s="94"/>
      <c r="J544" s="117"/>
      <c r="K544" s="118"/>
      <c r="L544" s="119"/>
      <c r="M544" s="94"/>
      <c r="N544" s="94"/>
      <c r="O544" s="93"/>
      <c r="P544" s="120" t="b">
        <v>0</v>
      </c>
      <c r="Q544" s="120" t="b">
        <v>0</v>
      </c>
      <c r="R544" s="120" t="b">
        <v>0</v>
      </c>
      <c r="S544" s="95"/>
      <c r="U544" s="120" t="b">
        <v>0</v>
      </c>
      <c r="V544" s="93"/>
      <c r="W544" s="93"/>
      <c r="X544" s="93"/>
      <c r="Y544" s="93"/>
      <c r="AA544" s="95"/>
      <c r="AB544" s="121"/>
      <c r="AC544" s="29" t="str">
        <f t="shared" si="5"/>
        <v>Sim</v>
      </c>
      <c r="AD544" s="37" t="str">
        <f t="shared" si="1"/>
        <v>Não</v>
      </c>
      <c r="AE544" s="94"/>
      <c r="AF544" s="94"/>
      <c r="AG544" s="95"/>
    </row>
    <row r="545" hidden="1">
      <c r="A545" s="115"/>
      <c r="B545" s="93"/>
      <c r="C545" s="93"/>
      <c r="D545" s="93"/>
      <c r="E545" s="116"/>
      <c r="F545" s="95"/>
      <c r="G545" s="95"/>
      <c r="H545" s="94"/>
      <c r="I545" s="94"/>
      <c r="J545" s="117"/>
      <c r="K545" s="118"/>
      <c r="L545" s="119"/>
      <c r="M545" s="94"/>
      <c r="N545" s="94"/>
      <c r="O545" s="93"/>
      <c r="P545" s="120" t="b">
        <v>0</v>
      </c>
      <c r="Q545" s="120" t="b">
        <v>0</v>
      </c>
      <c r="R545" s="120" t="b">
        <v>0</v>
      </c>
      <c r="S545" s="95"/>
      <c r="U545" s="120" t="b">
        <v>0</v>
      </c>
      <c r="V545" s="93"/>
      <c r="W545" s="93"/>
      <c r="X545" s="93"/>
      <c r="Y545" s="93"/>
      <c r="AA545" s="95"/>
      <c r="AB545" s="121"/>
      <c r="AC545" s="29" t="str">
        <f t="shared" si="5"/>
        <v>Sim</v>
      </c>
      <c r="AD545" s="37" t="str">
        <f t="shared" si="1"/>
        <v>Não</v>
      </c>
      <c r="AE545" s="94"/>
      <c r="AF545" s="94"/>
      <c r="AG545" s="95"/>
    </row>
    <row r="546" hidden="1">
      <c r="A546" s="115"/>
      <c r="B546" s="93"/>
      <c r="C546" s="93"/>
      <c r="D546" s="93"/>
      <c r="E546" s="116"/>
      <c r="F546" s="95"/>
      <c r="G546" s="95"/>
      <c r="H546" s="94"/>
      <c r="I546" s="94"/>
      <c r="J546" s="117"/>
      <c r="K546" s="118"/>
      <c r="L546" s="119"/>
      <c r="M546" s="94"/>
      <c r="N546" s="94"/>
      <c r="O546" s="93"/>
      <c r="P546" s="120" t="b">
        <v>0</v>
      </c>
      <c r="Q546" s="120" t="b">
        <v>0</v>
      </c>
      <c r="R546" s="120" t="b">
        <v>0</v>
      </c>
      <c r="S546" s="95"/>
      <c r="U546" s="120" t="b">
        <v>0</v>
      </c>
      <c r="V546" s="93"/>
      <c r="W546" s="93"/>
      <c r="X546" s="93"/>
      <c r="Y546" s="93"/>
      <c r="AA546" s="95"/>
      <c r="AB546" s="121"/>
      <c r="AC546" s="29" t="str">
        <f t="shared" si="5"/>
        <v>Sim</v>
      </c>
      <c r="AD546" s="37" t="str">
        <f t="shared" si="1"/>
        <v>Não</v>
      </c>
      <c r="AE546" s="94"/>
      <c r="AF546" s="94"/>
      <c r="AG546" s="95"/>
    </row>
    <row r="547" hidden="1">
      <c r="A547" s="115"/>
      <c r="B547" s="93"/>
      <c r="C547" s="93"/>
      <c r="D547" s="93"/>
      <c r="E547" s="116"/>
      <c r="F547" s="95"/>
      <c r="G547" s="95"/>
      <c r="H547" s="94"/>
      <c r="I547" s="94"/>
      <c r="J547" s="117"/>
      <c r="K547" s="118"/>
      <c r="L547" s="119"/>
      <c r="M547" s="94"/>
      <c r="N547" s="94"/>
      <c r="O547" s="93"/>
      <c r="P547" s="120" t="b">
        <v>0</v>
      </c>
      <c r="Q547" s="120" t="b">
        <v>0</v>
      </c>
      <c r="R547" s="120" t="b">
        <v>0</v>
      </c>
      <c r="S547" s="95"/>
      <c r="U547" s="120" t="b">
        <v>0</v>
      </c>
      <c r="V547" s="93"/>
      <c r="W547" s="93"/>
      <c r="X547" s="93"/>
      <c r="Y547" s="93"/>
      <c r="AA547" s="95"/>
      <c r="AB547" s="121"/>
      <c r="AC547" s="29" t="str">
        <f t="shared" si="5"/>
        <v>Sim</v>
      </c>
      <c r="AD547" s="37" t="str">
        <f t="shared" si="1"/>
        <v>Não</v>
      </c>
      <c r="AE547" s="94"/>
      <c r="AF547" s="94"/>
      <c r="AG547" s="95"/>
    </row>
    <row r="548" hidden="1">
      <c r="A548" s="115"/>
      <c r="B548" s="93"/>
      <c r="C548" s="93"/>
      <c r="D548" s="93"/>
      <c r="E548" s="116"/>
      <c r="F548" s="95"/>
      <c r="G548" s="95"/>
      <c r="H548" s="94"/>
      <c r="I548" s="94"/>
      <c r="J548" s="117"/>
      <c r="K548" s="118"/>
      <c r="L548" s="119"/>
      <c r="M548" s="94"/>
      <c r="N548" s="94"/>
      <c r="O548" s="93"/>
      <c r="P548" s="120" t="b">
        <v>0</v>
      </c>
      <c r="Q548" s="120" t="b">
        <v>0</v>
      </c>
      <c r="R548" s="120" t="b">
        <v>0</v>
      </c>
      <c r="S548" s="95"/>
      <c r="U548" s="120" t="b">
        <v>0</v>
      </c>
      <c r="V548" s="93"/>
      <c r="W548" s="93"/>
      <c r="X548" s="93"/>
      <c r="Y548" s="93"/>
      <c r="AA548" s="95"/>
      <c r="AB548" s="121"/>
      <c r="AC548" s="29" t="str">
        <f t="shared" si="5"/>
        <v>Sim</v>
      </c>
      <c r="AD548" s="37" t="str">
        <f t="shared" si="1"/>
        <v>Não</v>
      </c>
      <c r="AE548" s="94"/>
      <c r="AF548" s="94"/>
      <c r="AG548" s="95"/>
    </row>
    <row r="549" hidden="1">
      <c r="A549" s="115"/>
      <c r="B549" s="93"/>
      <c r="C549" s="93"/>
      <c r="D549" s="93"/>
      <c r="E549" s="116"/>
      <c r="F549" s="95"/>
      <c r="G549" s="95"/>
      <c r="H549" s="94"/>
      <c r="I549" s="94"/>
      <c r="J549" s="117"/>
      <c r="K549" s="118"/>
      <c r="L549" s="119"/>
      <c r="M549" s="94"/>
      <c r="N549" s="94"/>
      <c r="O549" s="93"/>
      <c r="P549" s="120" t="b">
        <v>0</v>
      </c>
      <c r="Q549" s="120" t="b">
        <v>0</v>
      </c>
      <c r="R549" s="120" t="b">
        <v>0</v>
      </c>
      <c r="S549" s="95"/>
      <c r="U549" s="120" t="b">
        <v>0</v>
      </c>
      <c r="V549" s="93"/>
      <c r="W549" s="93"/>
      <c r="X549" s="93"/>
      <c r="Y549" s="93"/>
      <c r="AA549" s="95"/>
      <c r="AB549" s="121"/>
      <c r="AC549" s="29" t="str">
        <f t="shared" si="5"/>
        <v>Sim</v>
      </c>
      <c r="AD549" s="37" t="str">
        <f t="shared" si="1"/>
        <v>Não</v>
      </c>
      <c r="AE549" s="94"/>
      <c r="AF549" s="94"/>
      <c r="AG549" s="95"/>
    </row>
    <row r="550" hidden="1">
      <c r="A550" s="115"/>
      <c r="B550" s="93"/>
      <c r="C550" s="93"/>
      <c r="D550" s="93"/>
      <c r="E550" s="116"/>
      <c r="F550" s="95"/>
      <c r="G550" s="95"/>
      <c r="H550" s="94"/>
      <c r="I550" s="94"/>
      <c r="J550" s="117"/>
      <c r="K550" s="118"/>
      <c r="L550" s="119"/>
      <c r="M550" s="94"/>
      <c r="N550" s="94"/>
      <c r="O550" s="93"/>
      <c r="P550" s="120" t="b">
        <v>0</v>
      </c>
      <c r="Q550" s="120" t="b">
        <v>0</v>
      </c>
      <c r="R550" s="120" t="b">
        <v>0</v>
      </c>
      <c r="S550" s="95"/>
      <c r="U550" s="120" t="b">
        <v>0</v>
      </c>
      <c r="V550" s="93"/>
      <c r="W550" s="93"/>
      <c r="X550" s="93"/>
      <c r="Y550" s="93"/>
      <c r="AA550" s="95"/>
      <c r="AB550" s="121"/>
      <c r="AC550" s="29" t="str">
        <f t="shared" si="5"/>
        <v>Sim</v>
      </c>
      <c r="AD550" s="37" t="str">
        <f t="shared" si="1"/>
        <v>Não</v>
      </c>
      <c r="AE550" s="94"/>
      <c r="AF550" s="94"/>
      <c r="AG550" s="95"/>
    </row>
    <row r="551" hidden="1">
      <c r="A551" s="115"/>
      <c r="B551" s="93"/>
      <c r="C551" s="93"/>
      <c r="D551" s="93"/>
      <c r="E551" s="116"/>
      <c r="F551" s="95"/>
      <c r="G551" s="95"/>
      <c r="H551" s="94"/>
      <c r="I551" s="94"/>
      <c r="J551" s="117"/>
      <c r="K551" s="118"/>
      <c r="L551" s="119"/>
      <c r="M551" s="94"/>
      <c r="N551" s="94"/>
      <c r="O551" s="93"/>
      <c r="P551" s="120" t="b">
        <v>0</v>
      </c>
      <c r="Q551" s="120" t="b">
        <v>0</v>
      </c>
      <c r="R551" s="120" t="b">
        <v>0</v>
      </c>
      <c r="S551" s="95"/>
      <c r="U551" s="120" t="b">
        <v>0</v>
      </c>
      <c r="V551" s="93"/>
      <c r="W551" s="93"/>
      <c r="X551" s="93"/>
      <c r="Y551" s="93"/>
      <c r="AA551" s="95"/>
      <c r="AB551" s="121"/>
      <c r="AC551" s="29" t="str">
        <f t="shared" si="5"/>
        <v>Sim</v>
      </c>
      <c r="AD551" s="37" t="str">
        <f t="shared" si="1"/>
        <v>Não</v>
      </c>
      <c r="AE551" s="94"/>
      <c r="AF551" s="94"/>
      <c r="AG551" s="95"/>
    </row>
    <row r="552" hidden="1">
      <c r="A552" s="115"/>
      <c r="B552" s="93"/>
      <c r="C552" s="93"/>
      <c r="D552" s="93"/>
      <c r="E552" s="116"/>
      <c r="F552" s="95"/>
      <c r="G552" s="95"/>
      <c r="H552" s="94"/>
      <c r="I552" s="94"/>
      <c r="J552" s="117"/>
      <c r="K552" s="118"/>
      <c r="L552" s="119"/>
      <c r="M552" s="94"/>
      <c r="N552" s="94"/>
      <c r="O552" s="93"/>
      <c r="P552" s="120" t="b">
        <v>0</v>
      </c>
      <c r="Q552" s="120" t="b">
        <v>0</v>
      </c>
      <c r="R552" s="120" t="b">
        <v>0</v>
      </c>
      <c r="S552" s="95"/>
      <c r="U552" s="120" t="b">
        <v>0</v>
      </c>
      <c r="V552" s="93"/>
      <c r="W552" s="93"/>
      <c r="X552" s="93"/>
      <c r="Y552" s="93"/>
      <c r="AA552" s="95"/>
      <c r="AB552" s="121"/>
      <c r="AC552" s="29" t="str">
        <f t="shared" si="5"/>
        <v>Sim</v>
      </c>
      <c r="AD552" s="37" t="str">
        <f t="shared" si="1"/>
        <v>Não</v>
      </c>
      <c r="AE552" s="94"/>
      <c r="AF552" s="94"/>
      <c r="AG552" s="95"/>
    </row>
    <row r="553" hidden="1">
      <c r="A553" s="115"/>
      <c r="B553" s="93"/>
      <c r="C553" s="93"/>
      <c r="D553" s="93"/>
      <c r="E553" s="116"/>
      <c r="F553" s="95"/>
      <c r="G553" s="95"/>
      <c r="H553" s="94"/>
      <c r="I553" s="94"/>
      <c r="J553" s="117"/>
      <c r="K553" s="118"/>
      <c r="L553" s="119"/>
      <c r="M553" s="94"/>
      <c r="N553" s="94"/>
      <c r="O553" s="93"/>
      <c r="P553" s="120" t="b">
        <v>0</v>
      </c>
      <c r="Q553" s="120" t="b">
        <v>0</v>
      </c>
      <c r="R553" s="120" t="b">
        <v>0</v>
      </c>
      <c r="S553" s="95"/>
      <c r="U553" s="120" t="b">
        <v>0</v>
      </c>
      <c r="V553" s="93"/>
      <c r="W553" s="93"/>
      <c r="X553" s="93"/>
      <c r="Y553" s="93"/>
      <c r="AA553" s="95"/>
      <c r="AB553" s="121"/>
      <c r="AC553" s="29" t="str">
        <f t="shared" si="5"/>
        <v>Sim</v>
      </c>
      <c r="AD553" s="37" t="str">
        <f t="shared" si="1"/>
        <v>Não</v>
      </c>
      <c r="AE553" s="94"/>
      <c r="AF553" s="94"/>
      <c r="AG553" s="95"/>
    </row>
    <row r="554" hidden="1">
      <c r="A554" s="115"/>
      <c r="B554" s="93"/>
      <c r="C554" s="93"/>
      <c r="D554" s="93"/>
      <c r="E554" s="116"/>
      <c r="F554" s="95"/>
      <c r="G554" s="95"/>
      <c r="H554" s="94"/>
      <c r="I554" s="94"/>
      <c r="J554" s="117"/>
      <c r="K554" s="118"/>
      <c r="L554" s="119"/>
      <c r="M554" s="94"/>
      <c r="N554" s="94"/>
      <c r="O554" s="93"/>
      <c r="P554" s="120" t="b">
        <v>0</v>
      </c>
      <c r="Q554" s="120" t="b">
        <v>0</v>
      </c>
      <c r="R554" s="120" t="b">
        <v>0</v>
      </c>
      <c r="S554" s="95"/>
      <c r="U554" s="120" t="b">
        <v>0</v>
      </c>
      <c r="V554" s="93"/>
      <c r="W554" s="93"/>
      <c r="X554" s="93"/>
      <c r="Y554" s="93"/>
      <c r="AA554" s="95"/>
      <c r="AB554" s="121"/>
      <c r="AC554" s="29" t="str">
        <f t="shared" si="5"/>
        <v>Sim</v>
      </c>
      <c r="AD554" s="37" t="str">
        <f t="shared" si="1"/>
        <v>Não</v>
      </c>
      <c r="AE554" s="94"/>
      <c r="AF554" s="94"/>
      <c r="AG554" s="95"/>
    </row>
    <row r="555" hidden="1">
      <c r="A555" s="115"/>
      <c r="B555" s="93"/>
      <c r="C555" s="93"/>
      <c r="D555" s="93"/>
      <c r="E555" s="116"/>
      <c r="F555" s="95"/>
      <c r="G555" s="95"/>
      <c r="H555" s="94"/>
      <c r="I555" s="94"/>
      <c r="J555" s="117"/>
      <c r="K555" s="118"/>
      <c r="L555" s="119"/>
      <c r="M555" s="94"/>
      <c r="N555" s="94"/>
      <c r="O555" s="93"/>
      <c r="P555" s="120" t="b">
        <v>0</v>
      </c>
      <c r="Q555" s="120" t="b">
        <v>0</v>
      </c>
      <c r="R555" s="120" t="b">
        <v>0</v>
      </c>
      <c r="S555" s="95"/>
      <c r="U555" s="120" t="b">
        <v>0</v>
      </c>
      <c r="V555" s="93"/>
      <c r="W555" s="93"/>
      <c r="X555" s="93"/>
      <c r="Y555" s="93"/>
      <c r="AA555" s="95"/>
      <c r="AB555" s="121"/>
      <c r="AC555" s="29" t="str">
        <f t="shared" si="5"/>
        <v>Sim</v>
      </c>
      <c r="AD555" s="37" t="str">
        <f t="shared" si="1"/>
        <v>Não</v>
      </c>
      <c r="AE555" s="94"/>
      <c r="AF555" s="94"/>
      <c r="AG555" s="95"/>
    </row>
    <row r="556" hidden="1">
      <c r="A556" s="115"/>
      <c r="B556" s="93"/>
      <c r="C556" s="93"/>
      <c r="D556" s="93"/>
      <c r="E556" s="116"/>
      <c r="F556" s="95"/>
      <c r="G556" s="95"/>
      <c r="H556" s="94"/>
      <c r="I556" s="94"/>
      <c r="J556" s="117"/>
      <c r="K556" s="118"/>
      <c r="L556" s="119"/>
      <c r="M556" s="94"/>
      <c r="N556" s="94"/>
      <c r="O556" s="93"/>
      <c r="P556" s="120" t="b">
        <v>0</v>
      </c>
      <c r="Q556" s="120" t="b">
        <v>0</v>
      </c>
      <c r="R556" s="120" t="b">
        <v>0</v>
      </c>
      <c r="S556" s="95"/>
      <c r="U556" s="120" t="b">
        <v>0</v>
      </c>
      <c r="V556" s="93"/>
      <c r="W556" s="93"/>
      <c r="X556" s="93"/>
      <c r="Y556" s="93"/>
      <c r="AA556" s="95"/>
      <c r="AB556" s="121"/>
      <c r="AC556" s="29" t="str">
        <f t="shared" si="5"/>
        <v>Sim</v>
      </c>
      <c r="AD556" s="37" t="str">
        <f t="shared" si="1"/>
        <v>Não</v>
      </c>
      <c r="AE556" s="94"/>
      <c r="AF556" s="94"/>
      <c r="AG556" s="95"/>
    </row>
    <row r="557" hidden="1">
      <c r="A557" s="115"/>
      <c r="B557" s="93"/>
      <c r="C557" s="93"/>
      <c r="D557" s="93"/>
      <c r="E557" s="116"/>
      <c r="F557" s="95"/>
      <c r="G557" s="95"/>
      <c r="H557" s="94"/>
      <c r="I557" s="94"/>
      <c r="J557" s="117"/>
      <c r="K557" s="118"/>
      <c r="L557" s="119"/>
      <c r="M557" s="94"/>
      <c r="N557" s="94"/>
      <c r="O557" s="93"/>
      <c r="P557" s="120" t="b">
        <v>0</v>
      </c>
      <c r="Q557" s="120" t="b">
        <v>0</v>
      </c>
      <c r="R557" s="120" t="b">
        <v>0</v>
      </c>
      <c r="S557" s="95"/>
      <c r="U557" s="120" t="b">
        <v>0</v>
      </c>
      <c r="V557" s="93"/>
      <c r="W557" s="93"/>
      <c r="X557" s="93"/>
      <c r="Y557" s="93"/>
      <c r="AA557" s="95"/>
      <c r="AB557" s="121"/>
      <c r="AC557" s="29" t="str">
        <f t="shared" si="5"/>
        <v>Sim</v>
      </c>
      <c r="AD557" s="37" t="str">
        <f t="shared" si="1"/>
        <v>Não</v>
      </c>
      <c r="AE557" s="94"/>
      <c r="AF557" s="94"/>
      <c r="AG557" s="95"/>
    </row>
    <row r="558" hidden="1">
      <c r="A558" s="115"/>
      <c r="B558" s="93"/>
      <c r="C558" s="93"/>
      <c r="D558" s="93"/>
      <c r="E558" s="116"/>
      <c r="F558" s="95"/>
      <c r="G558" s="95"/>
      <c r="H558" s="94"/>
      <c r="I558" s="94"/>
      <c r="J558" s="117"/>
      <c r="K558" s="118"/>
      <c r="L558" s="119"/>
      <c r="M558" s="94"/>
      <c r="N558" s="94"/>
      <c r="O558" s="93"/>
      <c r="P558" s="120" t="b">
        <v>0</v>
      </c>
      <c r="Q558" s="120" t="b">
        <v>0</v>
      </c>
      <c r="R558" s="120" t="b">
        <v>0</v>
      </c>
      <c r="S558" s="95"/>
      <c r="U558" s="120" t="b">
        <v>0</v>
      </c>
      <c r="V558" s="93"/>
      <c r="W558" s="93"/>
      <c r="X558" s="93"/>
      <c r="Y558" s="93"/>
      <c r="AA558" s="95"/>
      <c r="AB558" s="121"/>
      <c r="AC558" s="29" t="str">
        <f t="shared" si="5"/>
        <v>Sim</v>
      </c>
      <c r="AD558" s="37" t="str">
        <f t="shared" si="1"/>
        <v>Não</v>
      </c>
      <c r="AE558" s="94"/>
      <c r="AF558" s="94"/>
      <c r="AG558" s="95"/>
    </row>
    <row r="559" hidden="1">
      <c r="A559" s="115"/>
      <c r="B559" s="93"/>
      <c r="C559" s="93"/>
      <c r="D559" s="93"/>
      <c r="E559" s="116"/>
      <c r="F559" s="95"/>
      <c r="G559" s="95"/>
      <c r="H559" s="94"/>
      <c r="I559" s="94"/>
      <c r="J559" s="117"/>
      <c r="K559" s="118"/>
      <c r="L559" s="119"/>
      <c r="M559" s="94"/>
      <c r="N559" s="94"/>
      <c r="O559" s="93"/>
      <c r="P559" s="120" t="b">
        <v>0</v>
      </c>
      <c r="Q559" s="120" t="b">
        <v>0</v>
      </c>
      <c r="R559" s="120" t="b">
        <v>0</v>
      </c>
      <c r="S559" s="95"/>
      <c r="U559" s="120" t="b">
        <v>0</v>
      </c>
      <c r="V559" s="93"/>
      <c r="W559" s="93"/>
      <c r="X559" s="93"/>
      <c r="Y559" s="93"/>
      <c r="AA559" s="95"/>
      <c r="AB559" s="121"/>
      <c r="AC559" s="29" t="str">
        <f t="shared" si="5"/>
        <v>Sim</v>
      </c>
      <c r="AD559" s="37" t="str">
        <f t="shared" si="1"/>
        <v>Não</v>
      </c>
      <c r="AE559" s="94"/>
      <c r="AF559" s="94"/>
      <c r="AG559" s="95"/>
    </row>
    <row r="560" hidden="1">
      <c r="A560" s="115"/>
      <c r="B560" s="93"/>
      <c r="C560" s="93"/>
      <c r="D560" s="93"/>
      <c r="E560" s="116"/>
      <c r="F560" s="95"/>
      <c r="G560" s="95"/>
      <c r="H560" s="94"/>
      <c r="I560" s="94"/>
      <c r="J560" s="117"/>
      <c r="K560" s="118"/>
      <c r="L560" s="119"/>
      <c r="M560" s="94"/>
      <c r="N560" s="94"/>
      <c r="O560" s="93"/>
      <c r="P560" s="120" t="b">
        <v>0</v>
      </c>
      <c r="Q560" s="120" t="b">
        <v>0</v>
      </c>
      <c r="R560" s="120" t="b">
        <v>0</v>
      </c>
      <c r="S560" s="95"/>
      <c r="U560" s="120" t="b">
        <v>0</v>
      </c>
      <c r="V560" s="93"/>
      <c r="W560" s="93"/>
      <c r="X560" s="93"/>
      <c r="Y560" s="93"/>
      <c r="AA560" s="95"/>
      <c r="AB560" s="121"/>
      <c r="AC560" s="29" t="str">
        <f t="shared" si="5"/>
        <v>Sim</v>
      </c>
      <c r="AD560" s="37" t="str">
        <f t="shared" si="1"/>
        <v>Não</v>
      </c>
      <c r="AE560" s="94"/>
      <c r="AF560" s="94"/>
      <c r="AG560" s="95"/>
    </row>
    <row r="561" hidden="1">
      <c r="A561" s="115"/>
      <c r="B561" s="93"/>
      <c r="C561" s="93"/>
      <c r="D561" s="93"/>
      <c r="E561" s="116"/>
      <c r="F561" s="95"/>
      <c r="G561" s="95"/>
      <c r="H561" s="94"/>
      <c r="I561" s="94"/>
      <c r="J561" s="117"/>
      <c r="K561" s="118"/>
      <c r="L561" s="119"/>
      <c r="M561" s="94"/>
      <c r="N561" s="94"/>
      <c r="O561" s="93"/>
      <c r="P561" s="120" t="b">
        <v>0</v>
      </c>
      <c r="Q561" s="120" t="b">
        <v>0</v>
      </c>
      <c r="R561" s="120" t="b">
        <v>0</v>
      </c>
      <c r="S561" s="95"/>
      <c r="U561" s="120" t="b">
        <v>0</v>
      </c>
      <c r="V561" s="93"/>
      <c r="W561" s="93"/>
      <c r="X561" s="93"/>
      <c r="Y561" s="93"/>
      <c r="AA561" s="95"/>
      <c r="AB561" s="121"/>
      <c r="AC561" s="29" t="str">
        <f t="shared" si="5"/>
        <v>Sim</v>
      </c>
      <c r="AD561" s="37" t="str">
        <f t="shared" si="1"/>
        <v>Não</v>
      </c>
      <c r="AE561" s="94"/>
      <c r="AF561" s="94"/>
      <c r="AG561" s="95"/>
    </row>
    <row r="562" hidden="1">
      <c r="A562" s="115"/>
      <c r="B562" s="93"/>
      <c r="C562" s="93"/>
      <c r="D562" s="93"/>
      <c r="E562" s="116"/>
      <c r="F562" s="95"/>
      <c r="G562" s="95"/>
      <c r="H562" s="94"/>
      <c r="I562" s="94"/>
      <c r="J562" s="117"/>
      <c r="K562" s="118"/>
      <c r="L562" s="119"/>
      <c r="M562" s="94"/>
      <c r="N562" s="94"/>
      <c r="O562" s="93"/>
      <c r="P562" s="120" t="b">
        <v>0</v>
      </c>
      <c r="Q562" s="120" t="b">
        <v>0</v>
      </c>
      <c r="R562" s="120" t="b">
        <v>0</v>
      </c>
      <c r="S562" s="95"/>
      <c r="U562" s="120" t="b">
        <v>0</v>
      </c>
      <c r="V562" s="93"/>
      <c r="W562" s="93"/>
      <c r="X562" s="93"/>
      <c r="Y562" s="93"/>
      <c r="AA562" s="95"/>
      <c r="AB562" s="121"/>
      <c r="AC562" s="29" t="str">
        <f t="shared" si="5"/>
        <v>Sim</v>
      </c>
      <c r="AD562" s="37" t="str">
        <f t="shared" si="1"/>
        <v>Não</v>
      </c>
      <c r="AE562" s="94"/>
      <c r="AF562" s="94"/>
      <c r="AG562" s="95"/>
    </row>
    <row r="563" hidden="1">
      <c r="A563" s="115"/>
      <c r="B563" s="93"/>
      <c r="C563" s="93"/>
      <c r="D563" s="93"/>
      <c r="E563" s="116"/>
      <c r="F563" s="95"/>
      <c r="G563" s="95"/>
      <c r="H563" s="94"/>
      <c r="I563" s="94"/>
      <c r="J563" s="117"/>
      <c r="K563" s="118"/>
      <c r="L563" s="119"/>
      <c r="M563" s="94"/>
      <c r="N563" s="94"/>
      <c r="O563" s="93"/>
      <c r="P563" s="120" t="b">
        <v>0</v>
      </c>
      <c r="Q563" s="120" t="b">
        <v>0</v>
      </c>
      <c r="R563" s="120" t="b">
        <v>0</v>
      </c>
      <c r="S563" s="95"/>
      <c r="U563" s="120" t="b">
        <v>0</v>
      </c>
      <c r="V563" s="93"/>
      <c r="W563" s="93"/>
      <c r="X563" s="93"/>
      <c r="Y563" s="93"/>
      <c r="AA563" s="95"/>
      <c r="AB563" s="121"/>
      <c r="AC563" s="29" t="str">
        <f t="shared" si="5"/>
        <v>Sim</v>
      </c>
      <c r="AD563" s="37" t="str">
        <f t="shared" si="1"/>
        <v>Não</v>
      </c>
      <c r="AE563" s="94"/>
      <c r="AF563" s="94"/>
      <c r="AG563" s="95"/>
    </row>
    <row r="564" hidden="1">
      <c r="A564" s="115"/>
      <c r="B564" s="93"/>
      <c r="C564" s="93"/>
      <c r="D564" s="93"/>
      <c r="E564" s="116"/>
      <c r="F564" s="95"/>
      <c r="G564" s="95"/>
      <c r="H564" s="94"/>
      <c r="I564" s="94"/>
      <c r="J564" s="117"/>
      <c r="K564" s="118"/>
      <c r="L564" s="119"/>
      <c r="M564" s="94"/>
      <c r="N564" s="94"/>
      <c r="O564" s="93"/>
      <c r="P564" s="120" t="b">
        <v>0</v>
      </c>
      <c r="Q564" s="120" t="b">
        <v>0</v>
      </c>
      <c r="R564" s="120" t="b">
        <v>0</v>
      </c>
      <c r="S564" s="95"/>
      <c r="U564" s="120" t="b">
        <v>0</v>
      </c>
      <c r="V564" s="93"/>
      <c r="W564" s="93"/>
      <c r="X564" s="93"/>
      <c r="Y564" s="93"/>
      <c r="AA564" s="95"/>
      <c r="AB564" s="121"/>
      <c r="AC564" s="29" t="str">
        <f t="shared" si="5"/>
        <v>Sim</v>
      </c>
      <c r="AD564" s="37" t="str">
        <f t="shared" si="1"/>
        <v>Não</v>
      </c>
      <c r="AE564" s="94"/>
      <c r="AF564" s="94"/>
      <c r="AG564" s="95"/>
    </row>
    <row r="565" hidden="1">
      <c r="A565" s="115"/>
      <c r="B565" s="93"/>
      <c r="C565" s="93"/>
      <c r="D565" s="93"/>
      <c r="E565" s="116"/>
      <c r="F565" s="95"/>
      <c r="G565" s="95"/>
      <c r="H565" s="94"/>
      <c r="I565" s="94"/>
      <c r="J565" s="117"/>
      <c r="K565" s="118"/>
      <c r="L565" s="119"/>
      <c r="M565" s="94"/>
      <c r="N565" s="94"/>
      <c r="O565" s="93"/>
      <c r="P565" s="120" t="b">
        <v>0</v>
      </c>
      <c r="Q565" s="120" t="b">
        <v>0</v>
      </c>
      <c r="R565" s="120" t="b">
        <v>0</v>
      </c>
      <c r="S565" s="95"/>
      <c r="U565" s="120" t="b">
        <v>0</v>
      </c>
      <c r="V565" s="93"/>
      <c r="W565" s="93"/>
      <c r="X565" s="93"/>
      <c r="Y565" s="93"/>
      <c r="AA565" s="95"/>
      <c r="AB565" s="121"/>
      <c r="AC565" s="29" t="str">
        <f t="shared" si="5"/>
        <v>Sim</v>
      </c>
      <c r="AD565" s="37" t="str">
        <f t="shared" si="1"/>
        <v>Não</v>
      </c>
      <c r="AE565" s="94"/>
      <c r="AF565" s="94"/>
      <c r="AG565" s="95"/>
    </row>
    <row r="566" hidden="1">
      <c r="A566" s="115"/>
      <c r="B566" s="93"/>
      <c r="C566" s="93"/>
      <c r="D566" s="93"/>
      <c r="E566" s="116"/>
      <c r="F566" s="95"/>
      <c r="G566" s="95"/>
      <c r="H566" s="94"/>
      <c r="I566" s="94"/>
      <c r="J566" s="117"/>
      <c r="K566" s="118"/>
      <c r="L566" s="119"/>
      <c r="M566" s="94"/>
      <c r="N566" s="94"/>
      <c r="O566" s="93"/>
      <c r="P566" s="120" t="b">
        <v>0</v>
      </c>
      <c r="Q566" s="120" t="b">
        <v>0</v>
      </c>
      <c r="R566" s="120" t="b">
        <v>0</v>
      </c>
      <c r="S566" s="95"/>
      <c r="U566" s="120" t="b">
        <v>0</v>
      </c>
      <c r="V566" s="93"/>
      <c r="W566" s="93"/>
      <c r="X566" s="93"/>
      <c r="Y566" s="93"/>
      <c r="AA566" s="95"/>
      <c r="AB566" s="121"/>
      <c r="AC566" s="29" t="str">
        <f t="shared" si="5"/>
        <v>Sim</v>
      </c>
      <c r="AD566" s="37" t="str">
        <f t="shared" si="1"/>
        <v>Não</v>
      </c>
      <c r="AE566" s="94"/>
      <c r="AF566" s="94"/>
      <c r="AG566" s="95"/>
    </row>
    <row r="567" hidden="1">
      <c r="A567" s="115"/>
      <c r="B567" s="93"/>
      <c r="C567" s="93"/>
      <c r="D567" s="93"/>
      <c r="E567" s="116"/>
      <c r="F567" s="95"/>
      <c r="G567" s="95"/>
      <c r="H567" s="94"/>
      <c r="I567" s="94"/>
      <c r="J567" s="117"/>
      <c r="K567" s="118"/>
      <c r="L567" s="119"/>
      <c r="M567" s="94"/>
      <c r="N567" s="94"/>
      <c r="O567" s="93"/>
      <c r="P567" s="120" t="b">
        <v>0</v>
      </c>
      <c r="Q567" s="120" t="b">
        <v>0</v>
      </c>
      <c r="R567" s="120" t="b">
        <v>0</v>
      </c>
      <c r="S567" s="95"/>
      <c r="U567" s="120" t="b">
        <v>0</v>
      </c>
      <c r="V567" s="93"/>
      <c r="W567" s="93"/>
      <c r="X567" s="93"/>
      <c r="Y567" s="93"/>
      <c r="AA567" s="95"/>
      <c r="AB567" s="121"/>
      <c r="AC567" s="29" t="str">
        <f t="shared" si="5"/>
        <v>Sim</v>
      </c>
      <c r="AD567" s="37" t="str">
        <f t="shared" si="1"/>
        <v>Não</v>
      </c>
      <c r="AE567" s="94"/>
      <c r="AF567" s="94"/>
      <c r="AG567" s="95"/>
    </row>
    <row r="568" hidden="1">
      <c r="A568" s="115"/>
      <c r="B568" s="93"/>
      <c r="C568" s="93"/>
      <c r="D568" s="93"/>
      <c r="E568" s="116"/>
      <c r="F568" s="95"/>
      <c r="G568" s="95"/>
      <c r="H568" s="94"/>
      <c r="I568" s="94"/>
      <c r="J568" s="117"/>
      <c r="K568" s="118"/>
      <c r="L568" s="119"/>
      <c r="M568" s="94"/>
      <c r="N568" s="94"/>
      <c r="O568" s="93"/>
      <c r="P568" s="120" t="b">
        <v>0</v>
      </c>
      <c r="Q568" s="120" t="b">
        <v>0</v>
      </c>
      <c r="R568" s="120" t="b">
        <v>0</v>
      </c>
      <c r="S568" s="95"/>
      <c r="U568" s="120" t="b">
        <v>0</v>
      </c>
      <c r="V568" s="93"/>
      <c r="W568" s="93"/>
      <c r="X568" s="93"/>
      <c r="Y568" s="93"/>
      <c r="AA568" s="95"/>
      <c r="AB568" s="121"/>
      <c r="AC568" s="29" t="str">
        <f t="shared" si="5"/>
        <v>Sim</v>
      </c>
      <c r="AD568" s="37" t="str">
        <f t="shared" si="1"/>
        <v>Não</v>
      </c>
      <c r="AE568" s="94"/>
      <c r="AF568" s="94"/>
      <c r="AG568" s="95"/>
    </row>
    <row r="569" hidden="1">
      <c r="A569" s="115"/>
      <c r="B569" s="93"/>
      <c r="C569" s="93"/>
      <c r="D569" s="93"/>
      <c r="E569" s="116"/>
      <c r="F569" s="95"/>
      <c r="G569" s="95"/>
      <c r="H569" s="94"/>
      <c r="I569" s="94"/>
      <c r="J569" s="117"/>
      <c r="K569" s="118"/>
      <c r="L569" s="119"/>
      <c r="M569" s="94"/>
      <c r="N569" s="94"/>
      <c r="O569" s="93"/>
      <c r="P569" s="120" t="b">
        <v>0</v>
      </c>
      <c r="Q569" s="120" t="b">
        <v>0</v>
      </c>
      <c r="R569" s="120" t="b">
        <v>0</v>
      </c>
      <c r="S569" s="95"/>
      <c r="U569" s="120" t="b">
        <v>0</v>
      </c>
      <c r="V569" s="93"/>
      <c r="W569" s="93"/>
      <c r="X569" s="93"/>
      <c r="Y569" s="93"/>
      <c r="AA569" s="95"/>
      <c r="AB569" s="121"/>
      <c r="AC569" s="29" t="str">
        <f t="shared" si="5"/>
        <v>Sim</v>
      </c>
      <c r="AD569" s="37" t="str">
        <f t="shared" si="1"/>
        <v>Não</v>
      </c>
      <c r="AE569" s="94"/>
      <c r="AF569" s="94"/>
      <c r="AG569" s="95"/>
    </row>
    <row r="570" hidden="1">
      <c r="A570" s="115"/>
      <c r="B570" s="93"/>
      <c r="C570" s="93"/>
      <c r="D570" s="93"/>
      <c r="E570" s="116"/>
      <c r="F570" s="95"/>
      <c r="G570" s="95"/>
      <c r="H570" s="94"/>
      <c r="I570" s="94"/>
      <c r="J570" s="117"/>
      <c r="K570" s="118"/>
      <c r="L570" s="119"/>
      <c r="M570" s="94"/>
      <c r="N570" s="94"/>
      <c r="O570" s="93"/>
      <c r="P570" s="120" t="b">
        <v>0</v>
      </c>
      <c r="Q570" s="120" t="b">
        <v>0</v>
      </c>
      <c r="R570" s="120" t="b">
        <v>0</v>
      </c>
      <c r="S570" s="95"/>
      <c r="U570" s="120" t="b">
        <v>0</v>
      </c>
      <c r="V570" s="93"/>
      <c r="W570" s="93"/>
      <c r="X570" s="93"/>
      <c r="Y570" s="93"/>
      <c r="AA570" s="95"/>
      <c r="AB570" s="121"/>
      <c r="AC570" s="29" t="str">
        <f t="shared" si="5"/>
        <v>Sim</v>
      </c>
      <c r="AD570" s="37" t="str">
        <f t="shared" si="1"/>
        <v>Não</v>
      </c>
      <c r="AE570" s="94"/>
      <c r="AF570" s="94"/>
      <c r="AG570" s="95"/>
    </row>
    <row r="571" hidden="1">
      <c r="A571" s="115"/>
      <c r="B571" s="93"/>
      <c r="C571" s="93"/>
      <c r="D571" s="93"/>
      <c r="E571" s="116"/>
      <c r="F571" s="95"/>
      <c r="G571" s="95"/>
      <c r="H571" s="94"/>
      <c r="I571" s="94"/>
      <c r="J571" s="117"/>
      <c r="K571" s="118"/>
      <c r="L571" s="119"/>
      <c r="M571" s="94"/>
      <c r="N571" s="94"/>
      <c r="O571" s="93"/>
      <c r="P571" s="120" t="b">
        <v>0</v>
      </c>
      <c r="Q571" s="120" t="b">
        <v>0</v>
      </c>
      <c r="R571" s="120" t="b">
        <v>0</v>
      </c>
      <c r="S571" s="95"/>
      <c r="U571" s="120" t="b">
        <v>0</v>
      </c>
      <c r="V571" s="93"/>
      <c r="W571" s="93"/>
      <c r="X571" s="93"/>
      <c r="Y571" s="93"/>
      <c r="AA571" s="95"/>
      <c r="AB571" s="121"/>
      <c r="AC571" s="29" t="str">
        <f t="shared" si="5"/>
        <v>Sim</v>
      </c>
      <c r="AD571" s="37" t="str">
        <f t="shared" si="1"/>
        <v>Não</v>
      </c>
      <c r="AE571" s="94"/>
      <c r="AF571" s="94"/>
      <c r="AG571" s="95"/>
    </row>
    <row r="572" hidden="1">
      <c r="A572" s="115"/>
      <c r="B572" s="93"/>
      <c r="C572" s="93"/>
      <c r="D572" s="93"/>
      <c r="E572" s="116"/>
      <c r="F572" s="95"/>
      <c r="G572" s="95"/>
      <c r="H572" s="94"/>
      <c r="I572" s="94"/>
      <c r="J572" s="117"/>
      <c r="K572" s="118"/>
      <c r="L572" s="119"/>
      <c r="M572" s="94"/>
      <c r="N572" s="94"/>
      <c r="O572" s="93"/>
      <c r="P572" s="120" t="b">
        <v>0</v>
      </c>
      <c r="Q572" s="120" t="b">
        <v>0</v>
      </c>
      <c r="R572" s="120" t="b">
        <v>0</v>
      </c>
      <c r="S572" s="95"/>
      <c r="U572" s="120" t="b">
        <v>0</v>
      </c>
      <c r="V572" s="93"/>
      <c r="W572" s="93"/>
      <c r="X572" s="93"/>
      <c r="Y572" s="93"/>
      <c r="AA572" s="95"/>
      <c r="AB572" s="121"/>
      <c r="AC572" s="29" t="str">
        <f t="shared" si="5"/>
        <v>Sim</v>
      </c>
      <c r="AD572" s="37" t="str">
        <f t="shared" si="1"/>
        <v>Não</v>
      </c>
      <c r="AE572" s="94"/>
      <c r="AF572" s="94"/>
      <c r="AG572" s="95"/>
    </row>
    <row r="573" hidden="1">
      <c r="A573" s="115"/>
      <c r="B573" s="93"/>
      <c r="C573" s="93"/>
      <c r="D573" s="93"/>
      <c r="E573" s="116"/>
      <c r="F573" s="95"/>
      <c r="G573" s="95"/>
      <c r="H573" s="94"/>
      <c r="I573" s="94"/>
      <c r="J573" s="117"/>
      <c r="K573" s="118"/>
      <c r="L573" s="119"/>
      <c r="M573" s="94"/>
      <c r="N573" s="94"/>
      <c r="O573" s="93"/>
      <c r="P573" s="120" t="b">
        <v>0</v>
      </c>
      <c r="Q573" s="120" t="b">
        <v>0</v>
      </c>
      <c r="R573" s="120" t="b">
        <v>0</v>
      </c>
      <c r="S573" s="95"/>
      <c r="U573" s="120" t="b">
        <v>0</v>
      </c>
      <c r="V573" s="93"/>
      <c r="W573" s="93"/>
      <c r="X573" s="93"/>
      <c r="Y573" s="93"/>
      <c r="AA573" s="95"/>
      <c r="AB573" s="121"/>
      <c r="AC573" s="29" t="str">
        <f t="shared" si="5"/>
        <v>Sim</v>
      </c>
      <c r="AD573" s="37" t="str">
        <f t="shared" si="1"/>
        <v>Não</v>
      </c>
      <c r="AE573" s="94"/>
      <c r="AF573" s="94"/>
      <c r="AG573" s="95"/>
    </row>
    <row r="574" hidden="1">
      <c r="A574" s="115"/>
      <c r="B574" s="93"/>
      <c r="C574" s="93"/>
      <c r="D574" s="93"/>
      <c r="E574" s="116"/>
      <c r="F574" s="95"/>
      <c r="G574" s="95"/>
      <c r="H574" s="94"/>
      <c r="I574" s="94"/>
      <c r="J574" s="117"/>
      <c r="K574" s="118"/>
      <c r="L574" s="119"/>
      <c r="M574" s="94"/>
      <c r="N574" s="94"/>
      <c r="O574" s="93"/>
      <c r="P574" s="120" t="b">
        <v>0</v>
      </c>
      <c r="Q574" s="120" t="b">
        <v>0</v>
      </c>
      <c r="R574" s="120" t="b">
        <v>0</v>
      </c>
      <c r="S574" s="95"/>
      <c r="U574" s="120" t="b">
        <v>0</v>
      </c>
      <c r="V574" s="93"/>
      <c r="W574" s="93"/>
      <c r="X574" s="93"/>
      <c r="Y574" s="93"/>
      <c r="AA574" s="95"/>
      <c r="AB574" s="121"/>
      <c r="AC574" s="29" t="str">
        <f t="shared" si="5"/>
        <v>Sim</v>
      </c>
      <c r="AD574" s="37" t="str">
        <f t="shared" si="1"/>
        <v>Não</v>
      </c>
      <c r="AE574" s="94"/>
      <c r="AF574" s="94"/>
      <c r="AG574" s="95"/>
    </row>
    <row r="575" hidden="1">
      <c r="A575" s="115"/>
      <c r="B575" s="93"/>
      <c r="C575" s="93"/>
      <c r="D575" s="93"/>
      <c r="E575" s="116"/>
      <c r="F575" s="95"/>
      <c r="G575" s="95"/>
      <c r="H575" s="94"/>
      <c r="I575" s="94"/>
      <c r="J575" s="117"/>
      <c r="K575" s="118"/>
      <c r="L575" s="119"/>
      <c r="M575" s="94"/>
      <c r="N575" s="94"/>
      <c r="O575" s="93"/>
      <c r="P575" s="120" t="b">
        <v>0</v>
      </c>
      <c r="Q575" s="120" t="b">
        <v>0</v>
      </c>
      <c r="R575" s="120" t="b">
        <v>0</v>
      </c>
      <c r="S575" s="95"/>
      <c r="U575" s="120" t="b">
        <v>0</v>
      </c>
      <c r="V575" s="93"/>
      <c r="W575" s="93"/>
      <c r="X575" s="93"/>
      <c r="Y575" s="93"/>
      <c r="AA575" s="95"/>
      <c r="AB575" s="121"/>
      <c r="AC575" s="29" t="str">
        <f t="shared" si="5"/>
        <v>Sim</v>
      </c>
      <c r="AD575" s="37" t="str">
        <f t="shared" si="1"/>
        <v>Não</v>
      </c>
      <c r="AE575" s="94"/>
      <c r="AF575" s="94"/>
      <c r="AG575" s="95"/>
    </row>
    <row r="576" hidden="1">
      <c r="A576" s="115"/>
      <c r="B576" s="93"/>
      <c r="C576" s="93"/>
      <c r="D576" s="93"/>
      <c r="E576" s="116"/>
      <c r="F576" s="95"/>
      <c r="G576" s="95"/>
      <c r="H576" s="94"/>
      <c r="I576" s="94"/>
      <c r="J576" s="117"/>
      <c r="K576" s="118"/>
      <c r="L576" s="119"/>
      <c r="M576" s="94"/>
      <c r="N576" s="94"/>
      <c r="O576" s="93"/>
      <c r="P576" s="120" t="b">
        <v>0</v>
      </c>
      <c r="Q576" s="120" t="b">
        <v>0</v>
      </c>
      <c r="R576" s="120" t="b">
        <v>0</v>
      </c>
      <c r="S576" s="95"/>
      <c r="U576" s="120" t="b">
        <v>0</v>
      </c>
      <c r="V576" s="93"/>
      <c r="W576" s="93"/>
      <c r="X576" s="93"/>
      <c r="Y576" s="93"/>
      <c r="AA576" s="95"/>
      <c r="AB576" s="121"/>
      <c r="AC576" s="29" t="str">
        <f t="shared" si="5"/>
        <v>Sim</v>
      </c>
      <c r="AD576" s="37" t="str">
        <f t="shared" si="1"/>
        <v>Não</v>
      </c>
      <c r="AE576" s="94"/>
      <c r="AF576" s="94"/>
      <c r="AG576" s="95"/>
    </row>
    <row r="577" hidden="1">
      <c r="A577" s="115"/>
      <c r="B577" s="93"/>
      <c r="C577" s="93"/>
      <c r="D577" s="93"/>
      <c r="E577" s="116"/>
      <c r="F577" s="95"/>
      <c r="G577" s="95"/>
      <c r="H577" s="94"/>
      <c r="I577" s="94"/>
      <c r="J577" s="117"/>
      <c r="K577" s="118"/>
      <c r="L577" s="119"/>
      <c r="M577" s="94"/>
      <c r="N577" s="94"/>
      <c r="O577" s="93"/>
      <c r="P577" s="120" t="b">
        <v>0</v>
      </c>
      <c r="Q577" s="120" t="b">
        <v>0</v>
      </c>
      <c r="R577" s="120" t="b">
        <v>0</v>
      </c>
      <c r="S577" s="95"/>
      <c r="U577" s="120" t="b">
        <v>0</v>
      </c>
      <c r="V577" s="93"/>
      <c r="W577" s="93"/>
      <c r="X577" s="93"/>
      <c r="Y577" s="93"/>
      <c r="AA577" s="95"/>
      <c r="AB577" s="121"/>
      <c r="AC577" s="29" t="str">
        <f t="shared" si="5"/>
        <v>Sim</v>
      </c>
      <c r="AD577" s="37" t="str">
        <f t="shared" si="1"/>
        <v>Não</v>
      </c>
      <c r="AE577" s="94"/>
      <c r="AF577" s="94"/>
      <c r="AG577" s="95"/>
    </row>
    <row r="578" hidden="1">
      <c r="A578" s="115"/>
      <c r="B578" s="93"/>
      <c r="C578" s="93"/>
      <c r="D578" s="93"/>
      <c r="E578" s="116"/>
      <c r="F578" s="95"/>
      <c r="G578" s="95"/>
      <c r="H578" s="94"/>
      <c r="I578" s="94"/>
      <c r="J578" s="117"/>
      <c r="K578" s="118"/>
      <c r="L578" s="119"/>
      <c r="M578" s="94"/>
      <c r="N578" s="94"/>
      <c r="O578" s="93"/>
      <c r="P578" s="120" t="b">
        <v>0</v>
      </c>
      <c r="Q578" s="120" t="b">
        <v>0</v>
      </c>
      <c r="R578" s="120" t="b">
        <v>0</v>
      </c>
      <c r="S578" s="95"/>
      <c r="U578" s="120" t="b">
        <v>0</v>
      </c>
      <c r="V578" s="93"/>
      <c r="W578" s="93"/>
      <c r="X578" s="93"/>
      <c r="Y578" s="93"/>
      <c r="AA578" s="95"/>
      <c r="AB578" s="121"/>
      <c r="AC578" s="29" t="str">
        <f t="shared" si="5"/>
        <v>Sim</v>
      </c>
      <c r="AD578" s="37" t="str">
        <f t="shared" si="1"/>
        <v>Não</v>
      </c>
      <c r="AE578" s="94"/>
      <c r="AF578" s="94"/>
      <c r="AG578" s="95"/>
    </row>
    <row r="579" hidden="1">
      <c r="A579" s="115"/>
      <c r="B579" s="93"/>
      <c r="C579" s="93"/>
      <c r="D579" s="93"/>
      <c r="E579" s="116"/>
      <c r="F579" s="95"/>
      <c r="G579" s="95"/>
      <c r="H579" s="94"/>
      <c r="I579" s="94"/>
      <c r="J579" s="117"/>
      <c r="K579" s="118"/>
      <c r="L579" s="119"/>
      <c r="M579" s="94"/>
      <c r="N579" s="94"/>
      <c r="O579" s="93"/>
      <c r="P579" s="120" t="b">
        <v>0</v>
      </c>
      <c r="Q579" s="120" t="b">
        <v>0</v>
      </c>
      <c r="R579" s="120" t="b">
        <v>0</v>
      </c>
      <c r="S579" s="95"/>
      <c r="U579" s="120" t="b">
        <v>0</v>
      </c>
      <c r="V579" s="93"/>
      <c r="W579" s="93"/>
      <c r="X579" s="93"/>
      <c r="Y579" s="93"/>
      <c r="AA579" s="95"/>
      <c r="AB579" s="121"/>
      <c r="AC579" s="29" t="str">
        <f t="shared" si="5"/>
        <v>Sim</v>
      </c>
      <c r="AD579" s="37" t="str">
        <f t="shared" si="1"/>
        <v>Não</v>
      </c>
      <c r="AE579" s="94"/>
      <c r="AF579" s="94"/>
      <c r="AG579" s="95"/>
    </row>
    <row r="580" hidden="1">
      <c r="A580" s="115"/>
      <c r="B580" s="93"/>
      <c r="C580" s="93"/>
      <c r="D580" s="93"/>
      <c r="E580" s="116"/>
      <c r="F580" s="95"/>
      <c r="G580" s="95"/>
      <c r="H580" s="94"/>
      <c r="I580" s="94"/>
      <c r="J580" s="117"/>
      <c r="K580" s="118"/>
      <c r="L580" s="119"/>
      <c r="M580" s="94"/>
      <c r="N580" s="94"/>
      <c r="O580" s="93"/>
      <c r="P580" s="120" t="b">
        <v>0</v>
      </c>
      <c r="Q580" s="120" t="b">
        <v>0</v>
      </c>
      <c r="R580" s="120" t="b">
        <v>0</v>
      </c>
      <c r="S580" s="95"/>
      <c r="U580" s="120" t="b">
        <v>0</v>
      </c>
      <c r="V580" s="93"/>
      <c r="W580" s="93"/>
      <c r="X580" s="93"/>
      <c r="Y580" s="93"/>
      <c r="AA580" s="95"/>
      <c r="AB580" s="121"/>
      <c r="AC580" s="29" t="str">
        <f t="shared" si="5"/>
        <v>Sim</v>
      </c>
      <c r="AD580" s="37" t="str">
        <f t="shared" si="1"/>
        <v>Não</v>
      </c>
      <c r="AE580" s="94"/>
      <c r="AF580" s="94"/>
      <c r="AG580" s="95"/>
    </row>
    <row r="581" hidden="1">
      <c r="A581" s="115"/>
      <c r="B581" s="93"/>
      <c r="C581" s="93"/>
      <c r="D581" s="93"/>
      <c r="E581" s="116"/>
      <c r="F581" s="95"/>
      <c r="G581" s="95"/>
      <c r="H581" s="94"/>
      <c r="I581" s="94"/>
      <c r="J581" s="117"/>
      <c r="K581" s="118"/>
      <c r="L581" s="119"/>
      <c r="M581" s="94"/>
      <c r="N581" s="94"/>
      <c r="O581" s="93"/>
      <c r="P581" s="120" t="b">
        <v>0</v>
      </c>
      <c r="Q581" s="120" t="b">
        <v>0</v>
      </c>
      <c r="R581" s="120" t="b">
        <v>0</v>
      </c>
      <c r="S581" s="95"/>
      <c r="U581" s="120" t="b">
        <v>0</v>
      </c>
      <c r="V581" s="93"/>
      <c r="W581" s="93"/>
      <c r="X581" s="93"/>
      <c r="Y581" s="93"/>
      <c r="AA581" s="95"/>
      <c r="AB581" s="121"/>
      <c r="AC581" s="29" t="str">
        <f t="shared" si="5"/>
        <v>Sim</v>
      </c>
      <c r="AD581" s="37" t="str">
        <f t="shared" si="1"/>
        <v>Não</v>
      </c>
      <c r="AE581" s="94"/>
      <c r="AF581" s="94"/>
      <c r="AG581" s="95"/>
    </row>
    <row r="582" hidden="1">
      <c r="A582" s="115"/>
      <c r="B582" s="93"/>
      <c r="C582" s="93"/>
      <c r="D582" s="93"/>
      <c r="E582" s="116"/>
      <c r="F582" s="95"/>
      <c r="G582" s="95"/>
      <c r="H582" s="94"/>
      <c r="I582" s="94"/>
      <c r="J582" s="117"/>
      <c r="K582" s="118"/>
      <c r="L582" s="119"/>
      <c r="M582" s="94"/>
      <c r="N582" s="94"/>
      <c r="O582" s="93"/>
      <c r="P582" s="120" t="b">
        <v>0</v>
      </c>
      <c r="Q582" s="120" t="b">
        <v>0</v>
      </c>
      <c r="R582" s="120" t="b">
        <v>0</v>
      </c>
      <c r="S582" s="95"/>
      <c r="U582" s="120" t="b">
        <v>0</v>
      </c>
      <c r="V582" s="93"/>
      <c r="W582" s="93"/>
      <c r="X582" s="93"/>
      <c r="Y582" s="93"/>
      <c r="AA582" s="95"/>
      <c r="AB582" s="121"/>
      <c r="AC582" s="29" t="str">
        <f t="shared" si="5"/>
        <v>Sim</v>
      </c>
      <c r="AD582" s="37" t="str">
        <f t="shared" si="1"/>
        <v>Não</v>
      </c>
      <c r="AE582" s="94"/>
      <c r="AF582" s="94"/>
      <c r="AG582" s="95"/>
    </row>
    <row r="583" hidden="1">
      <c r="A583" s="115"/>
      <c r="B583" s="93"/>
      <c r="C583" s="93"/>
      <c r="D583" s="93"/>
      <c r="E583" s="116"/>
      <c r="F583" s="95"/>
      <c r="G583" s="95"/>
      <c r="H583" s="94"/>
      <c r="I583" s="94"/>
      <c r="J583" s="117"/>
      <c r="K583" s="118"/>
      <c r="L583" s="119"/>
      <c r="M583" s="94"/>
      <c r="N583" s="94"/>
      <c r="O583" s="93"/>
      <c r="P583" s="120" t="b">
        <v>0</v>
      </c>
      <c r="Q583" s="120" t="b">
        <v>0</v>
      </c>
      <c r="R583" s="120" t="b">
        <v>0</v>
      </c>
      <c r="S583" s="95"/>
      <c r="U583" s="120" t="b">
        <v>0</v>
      </c>
      <c r="V583" s="93"/>
      <c r="W583" s="93"/>
      <c r="X583" s="93"/>
      <c r="Y583" s="93"/>
      <c r="AA583" s="95"/>
      <c r="AB583" s="121"/>
      <c r="AC583" s="29" t="str">
        <f t="shared" si="5"/>
        <v>Sim</v>
      </c>
      <c r="AD583" s="37" t="str">
        <f t="shared" si="1"/>
        <v>Não</v>
      </c>
      <c r="AE583" s="94"/>
      <c r="AF583" s="94"/>
      <c r="AG583" s="95"/>
    </row>
    <row r="584" hidden="1">
      <c r="A584" s="115"/>
      <c r="B584" s="93"/>
      <c r="C584" s="93"/>
      <c r="D584" s="93"/>
      <c r="E584" s="116"/>
      <c r="F584" s="95"/>
      <c r="G584" s="95"/>
      <c r="H584" s="94"/>
      <c r="I584" s="94"/>
      <c r="J584" s="117"/>
      <c r="K584" s="118"/>
      <c r="L584" s="119"/>
      <c r="M584" s="94"/>
      <c r="N584" s="94"/>
      <c r="O584" s="93"/>
      <c r="P584" s="120" t="b">
        <v>0</v>
      </c>
      <c r="Q584" s="120" t="b">
        <v>0</v>
      </c>
      <c r="R584" s="120" t="b">
        <v>0</v>
      </c>
      <c r="S584" s="95"/>
      <c r="U584" s="120" t="b">
        <v>0</v>
      </c>
      <c r="V584" s="93"/>
      <c r="W584" s="93"/>
      <c r="X584" s="93"/>
      <c r="Y584" s="93"/>
      <c r="AA584" s="95"/>
      <c r="AB584" s="121"/>
      <c r="AC584" s="29" t="str">
        <f t="shared" si="5"/>
        <v>Sim</v>
      </c>
      <c r="AD584" s="37" t="str">
        <f t="shared" si="1"/>
        <v>Não</v>
      </c>
      <c r="AE584" s="94"/>
      <c r="AF584" s="94"/>
      <c r="AG584" s="95"/>
    </row>
    <row r="585" hidden="1">
      <c r="A585" s="115"/>
      <c r="B585" s="93"/>
      <c r="C585" s="93"/>
      <c r="D585" s="93"/>
      <c r="E585" s="116"/>
      <c r="F585" s="95"/>
      <c r="G585" s="95"/>
      <c r="H585" s="94"/>
      <c r="I585" s="94"/>
      <c r="J585" s="117"/>
      <c r="K585" s="118"/>
      <c r="L585" s="119"/>
      <c r="M585" s="94"/>
      <c r="N585" s="94"/>
      <c r="O585" s="93"/>
      <c r="P585" s="120" t="b">
        <v>0</v>
      </c>
      <c r="Q585" s="120" t="b">
        <v>0</v>
      </c>
      <c r="R585" s="120" t="b">
        <v>0</v>
      </c>
      <c r="S585" s="95"/>
      <c r="U585" s="120" t="b">
        <v>0</v>
      </c>
      <c r="V585" s="93"/>
      <c r="W585" s="93"/>
      <c r="X585" s="93"/>
      <c r="Y585" s="93"/>
      <c r="AA585" s="95"/>
      <c r="AB585" s="121"/>
      <c r="AC585" s="29" t="str">
        <f t="shared" si="5"/>
        <v>Sim</v>
      </c>
      <c r="AD585" s="37" t="str">
        <f t="shared" si="1"/>
        <v>Não</v>
      </c>
      <c r="AE585" s="94"/>
      <c r="AF585" s="94"/>
      <c r="AG585" s="95"/>
    </row>
    <row r="586" hidden="1">
      <c r="A586" s="115"/>
      <c r="B586" s="93"/>
      <c r="C586" s="93"/>
      <c r="D586" s="93"/>
      <c r="E586" s="116"/>
      <c r="F586" s="95"/>
      <c r="G586" s="95"/>
      <c r="H586" s="94"/>
      <c r="I586" s="94"/>
      <c r="J586" s="117"/>
      <c r="K586" s="118"/>
      <c r="L586" s="119"/>
      <c r="M586" s="94"/>
      <c r="N586" s="94"/>
      <c r="O586" s="93"/>
      <c r="P586" s="120" t="b">
        <v>0</v>
      </c>
      <c r="Q586" s="120" t="b">
        <v>0</v>
      </c>
      <c r="R586" s="120" t="b">
        <v>0</v>
      </c>
      <c r="S586" s="95"/>
      <c r="U586" s="120" t="b">
        <v>0</v>
      </c>
      <c r="V586" s="93"/>
      <c r="W586" s="93"/>
      <c r="X586" s="93"/>
      <c r="Y586" s="93"/>
      <c r="AA586" s="95"/>
      <c r="AB586" s="121"/>
      <c r="AC586" s="29" t="str">
        <f t="shared" si="5"/>
        <v>Sim</v>
      </c>
      <c r="AD586" s="37" t="str">
        <f t="shared" si="1"/>
        <v>Não</v>
      </c>
      <c r="AE586" s="94"/>
      <c r="AF586" s="94"/>
      <c r="AG586" s="95"/>
    </row>
    <row r="587" hidden="1">
      <c r="A587" s="115"/>
      <c r="B587" s="93"/>
      <c r="C587" s="93"/>
      <c r="D587" s="93"/>
      <c r="E587" s="116"/>
      <c r="F587" s="95"/>
      <c r="G587" s="95"/>
      <c r="H587" s="94"/>
      <c r="I587" s="94"/>
      <c r="J587" s="117"/>
      <c r="K587" s="118"/>
      <c r="L587" s="119"/>
      <c r="M587" s="94"/>
      <c r="N587" s="94"/>
      <c r="O587" s="93"/>
      <c r="P587" s="120" t="b">
        <v>0</v>
      </c>
      <c r="Q587" s="120" t="b">
        <v>0</v>
      </c>
      <c r="R587" s="120" t="b">
        <v>0</v>
      </c>
      <c r="S587" s="95"/>
      <c r="U587" s="120" t="b">
        <v>0</v>
      </c>
      <c r="V587" s="93"/>
      <c r="W587" s="93"/>
      <c r="X587" s="93"/>
      <c r="Y587" s="93"/>
      <c r="AA587" s="95"/>
      <c r="AB587" s="121"/>
      <c r="AC587" s="29" t="str">
        <f t="shared" si="5"/>
        <v>Sim</v>
      </c>
      <c r="AD587" s="37" t="str">
        <f t="shared" si="1"/>
        <v>Não</v>
      </c>
      <c r="AE587" s="94"/>
      <c r="AF587" s="94"/>
      <c r="AG587" s="95"/>
    </row>
    <row r="588" hidden="1">
      <c r="A588" s="115"/>
      <c r="B588" s="93"/>
      <c r="C588" s="93"/>
      <c r="D588" s="93"/>
      <c r="E588" s="116"/>
      <c r="F588" s="95"/>
      <c r="G588" s="95"/>
      <c r="H588" s="94"/>
      <c r="I588" s="94"/>
      <c r="J588" s="117"/>
      <c r="K588" s="118"/>
      <c r="L588" s="119"/>
      <c r="M588" s="94"/>
      <c r="N588" s="94"/>
      <c r="O588" s="93"/>
      <c r="P588" s="120" t="b">
        <v>0</v>
      </c>
      <c r="Q588" s="120" t="b">
        <v>0</v>
      </c>
      <c r="R588" s="120" t="b">
        <v>0</v>
      </c>
      <c r="S588" s="95"/>
      <c r="U588" s="120" t="b">
        <v>0</v>
      </c>
      <c r="V588" s="93"/>
      <c r="W588" s="93"/>
      <c r="X588" s="93"/>
      <c r="Y588" s="93"/>
      <c r="AA588" s="95"/>
      <c r="AB588" s="121"/>
      <c r="AC588" s="29" t="str">
        <f t="shared" si="5"/>
        <v>Sim</v>
      </c>
      <c r="AD588" s="37" t="str">
        <f t="shared" si="1"/>
        <v>Não</v>
      </c>
      <c r="AE588" s="94"/>
      <c r="AF588" s="94"/>
      <c r="AG588" s="95"/>
    </row>
    <row r="589" hidden="1">
      <c r="A589" s="115"/>
      <c r="B589" s="93"/>
      <c r="C589" s="93"/>
      <c r="D589" s="93"/>
      <c r="E589" s="116"/>
      <c r="F589" s="95"/>
      <c r="G589" s="95"/>
      <c r="H589" s="94"/>
      <c r="I589" s="94"/>
      <c r="J589" s="117"/>
      <c r="K589" s="118"/>
      <c r="L589" s="119"/>
      <c r="M589" s="94"/>
      <c r="N589" s="94"/>
      <c r="O589" s="93"/>
      <c r="P589" s="120" t="b">
        <v>0</v>
      </c>
      <c r="Q589" s="120" t="b">
        <v>0</v>
      </c>
      <c r="R589" s="120" t="b">
        <v>0</v>
      </c>
      <c r="S589" s="95"/>
      <c r="U589" s="120" t="b">
        <v>0</v>
      </c>
      <c r="V589" s="93"/>
      <c r="W589" s="93"/>
      <c r="X589" s="93"/>
      <c r="Y589" s="93"/>
      <c r="AA589" s="95"/>
      <c r="AB589" s="121"/>
      <c r="AC589" s="29" t="str">
        <f t="shared" si="5"/>
        <v>Sim</v>
      </c>
      <c r="AD589" s="37" t="str">
        <f t="shared" si="1"/>
        <v>Não</v>
      </c>
      <c r="AE589" s="94"/>
      <c r="AF589" s="94"/>
      <c r="AG589" s="95"/>
    </row>
    <row r="590" hidden="1">
      <c r="A590" s="115"/>
      <c r="B590" s="93"/>
      <c r="C590" s="93"/>
      <c r="D590" s="93"/>
      <c r="E590" s="116"/>
      <c r="F590" s="95"/>
      <c r="G590" s="95"/>
      <c r="H590" s="94"/>
      <c r="I590" s="94"/>
      <c r="J590" s="117"/>
      <c r="K590" s="118"/>
      <c r="L590" s="119"/>
      <c r="M590" s="94"/>
      <c r="N590" s="94"/>
      <c r="O590" s="93"/>
      <c r="P590" s="120" t="b">
        <v>0</v>
      </c>
      <c r="Q590" s="120" t="b">
        <v>0</v>
      </c>
      <c r="R590" s="120" t="b">
        <v>0</v>
      </c>
      <c r="S590" s="95"/>
      <c r="U590" s="120" t="b">
        <v>0</v>
      </c>
      <c r="V590" s="93"/>
      <c r="W590" s="93"/>
      <c r="X590" s="93"/>
      <c r="Y590" s="93"/>
      <c r="AA590" s="95"/>
      <c r="AB590" s="121"/>
      <c r="AC590" s="29" t="str">
        <f t="shared" si="5"/>
        <v>Sim</v>
      </c>
      <c r="AD590" s="37" t="str">
        <f t="shared" si="1"/>
        <v>Não</v>
      </c>
      <c r="AE590" s="94"/>
      <c r="AF590" s="94"/>
      <c r="AG590" s="95"/>
    </row>
    <row r="591" hidden="1">
      <c r="A591" s="115"/>
      <c r="B591" s="93"/>
      <c r="C591" s="93"/>
      <c r="D591" s="93"/>
      <c r="E591" s="116"/>
      <c r="F591" s="95"/>
      <c r="G591" s="95"/>
      <c r="H591" s="94"/>
      <c r="I591" s="94"/>
      <c r="J591" s="117"/>
      <c r="K591" s="118"/>
      <c r="L591" s="119"/>
      <c r="M591" s="94"/>
      <c r="N591" s="94"/>
      <c r="O591" s="93"/>
      <c r="P591" s="120" t="b">
        <v>0</v>
      </c>
      <c r="Q591" s="120" t="b">
        <v>0</v>
      </c>
      <c r="R591" s="120" t="b">
        <v>0</v>
      </c>
      <c r="S591" s="95"/>
      <c r="U591" s="120" t="b">
        <v>0</v>
      </c>
      <c r="V591" s="93"/>
      <c r="W591" s="93"/>
      <c r="X591" s="93"/>
      <c r="Y591" s="93"/>
      <c r="AA591" s="95"/>
      <c r="AB591" s="121"/>
      <c r="AC591" s="29" t="str">
        <f t="shared" si="5"/>
        <v>Sim</v>
      </c>
      <c r="AD591" s="37" t="str">
        <f t="shared" si="1"/>
        <v>Não</v>
      </c>
      <c r="AE591" s="94"/>
      <c r="AF591" s="94"/>
      <c r="AG591" s="95"/>
    </row>
    <row r="592" hidden="1">
      <c r="A592" s="115"/>
      <c r="B592" s="93"/>
      <c r="C592" s="93"/>
      <c r="D592" s="93"/>
      <c r="E592" s="116"/>
      <c r="F592" s="95"/>
      <c r="G592" s="95"/>
      <c r="H592" s="94"/>
      <c r="I592" s="94"/>
      <c r="J592" s="117"/>
      <c r="K592" s="118"/>
      <c r="L592" s="119"/>
      <c r="M592" s="94"/>
      <c r="N592" s="94"/>
      <c r="O592" s="93"/>
      <c r="P592" s="120" t="b">
        <v>0</v>
      </c>
      <c r="Q592" s="120" t="b">
        <v>0</v>
      </c>
      <c r="R592" s="120" t="b">
        <v>0</v>
      </c>
      <c r="S592" s="95"/>
      <c r="U592" s="120" t="b">
        <v>0</v>
      </c>
      <c r="V592" s="93"/>
      <c r="W592" s="93"/>
      <c r="X592" s="93"/>
      <c r="Y592" s="93"/>
      <c r="AA592" s="95"/>
      <c r="AB592" s="121"/>
      <c r="AC592" s="29" t="str">
        <f t="shared" si="5"/>
        <v>Sim</v>
      </c>
      <c r="AD592" s="37" t="str">
        <f t="shared" si="1"/>
        <v>Não</v>
      </c>
      <c r="AE592" s="94"/>
      <c r="AF592" s="94"/>
      <c r="AG592" s="95"/>
    </row>
    <row r="593" hidden="1">
      <c r="A593" s="115"/>
      <c r="B593" s="93"/>
      <c r="C593" s="93"/>
      <c r="D593" s="93"/>
      <c r="E593" s="116"/>
      <c r="F593" s="95"/>
      <c r="G593" s="95"/>
      <c r="H593" s="94"/>
      <c r="I593" s="94"/>
      <c r="J593" s="117"/>
      <c r="K593" s="118"/>
      <c r="L593" s="119"/>
      <c r="M593" s="94"/>
      <c r="N593" s="94"/>
      <c r="O593" s="93"/>
      <c r="P593" s="120" t="b">
        <v>0</v>
      </c>
      <c r="Q593" s="120" t="b">
        <v>0</v>
      </c>
      <c r="R593" s="120" t="b">
        <v>0</v>
      </c>
      <c r="S593" s="95"/>
      <c r="U593" s="120" t="b">
        <v>0</v>
      </c>
      <c r="V593" s="93"/>
      <c r="W593" s="93"/>
      <c r="X593" s="93"/>
      <c r="Y593" s="93"/>
      <c r="AA593" s="95"/>
      <c r="AB593" s="121"/>
      <c r="AC593" s="29" t="str">
        <f t="shared" si="5"/>
        <v>Sim</v>
      </c>
      <c r="AD593" s="37" t="str">
        <f t="shared" si="1"/>
        <v>Não</v>
      </c>
      <c r="AE593" s="94"/>
      <c r="AF593" s="94"/>
      <c r="AG593" s="95"/>
    </row>
    <row r="594" hidden="1">
      <c r="A594" s="115"/>
      <c r="B594" s="93"/>
      <c r="C594" s="93"/>
      <c r="D594" s="93"/>
      <c r="E594" s="116"/>
      <c r="F594" s="95"/>
      <c r="G594" s="95"/>
      <c r="H594" s="94"/>
      <c r="I594" s="94"/>
      <c r="J594" s="117"/>
      <c r="K594" s="118"/>
      <c r="L594" s="119"/>
      <c r="M594" s="94"/>
      <c r="N594" s="94"/>
      <c r="O594" s="93"/>
      <c r="P594" s="120" t="b">
        <v>0</v>
      </c>
      <c r="Q594" s="120" t="b">
        <v>0</v>
      </c>
      <c r="R594" s="120" t="b">
        <v>0</v>
      </c>
      <c r="S594" s="95"/>
      <c r="U594" s="120" t="b">
        <v>0</v>
      </c>
      <c r="V594" s="93"/>
      <c r="W594" s="93"/>
      <c r="X594" s="93"/>
      <c r="Y594" s="93"/>
      <c r="AA594" s="95"/>
      <c r="AB594" s="121"/>
      <c r="AC594" s="29" t="str">
        <f t="shared" si="5"/>
        <v>Sim</v>
      </c>
      <c r="AD594" s="37" t="str">
        <f t="shared" si="1"/>
        <v>Não</v>
      </c>
      <c r="AE594" s="94"/>
      <c r="AF594" s="94"/>
      <c r="AG594" s="95"/>
    </row>
    <row r="595" hidden="1">
      <c r="A595" s="115"/>
      <c r="B595" s="93"/>
      <c r="C595" s="93"/>
      <c r="D595" s="93"/>
      <c r="E595" s="116"/>
      <c r="F595" s="95"/>
      <c r="G595" s="95"/>
      <c r="H595" s="94"/>
      <c r="I595" s="94"/>
      <c r="J595" s="117"/>
      <c r="K595" s="118"/>
      <c r="L595" s="119"/>
      <c r="M595" s="94"/>
      <c r="N595" s="94"/>
      <c r="O595" s="93"/>
      <c r="P595" s="120" t="b">
        <v>0</v>
      </c>
      <c r="Q595" s="120" t="b">
        <v>0</v>
      </c>
      <c r="R595" s="120" t="b">
        <v>0</v>
      </c>
      <c r="S595" s="95"/>
      <c r="U595" s="120" t="b">
        <v>0</v>
      </c>
      <c r="V595" s="93"/>
      <c r="W595" s="93"/>
      <c r="X595" s="93"/>
      <c r="Y595" s="93"/>
      <c r="AA595" s="95"/>
      <c r="AB595" s="121"/>
      <c r="AC595" s="29" t="str">
        <f t="shared" si="5"/>
        <v>Sim</v>
      </c>
      <c r="AD595" s="37" t="str">
        <f t="shared" si="1"/>
        <v>Não</v>
      </c>
      <c r="AE595" s="94"/>
      <c r="AF595" s="94"/>
      <c r="AG595" s="95"/>
    </row>
    <row r="596" hidden="1">
      <c r="A596" s="115"/>
      <c r="B596" s="93"/>
      <c r="C596" s="93"/>
      <c r="D596" s="93"/>
      <c r="E596" s="116"/>
      <c r="F596" s="95"/>
      <c r="G596" s="95"/>
      <c r="H596" s="94"/>
      <c r="I596" s="94"/>
      <c r="J596" s="117"/>
      <c r="K596" s="118"/>
      <c r="L596" s="119"/>
      <c r="M596" s="94"/>
      <c r="N596" s="94"/>
      <c r="O596" s="93"/>
      <c r="P596" s="120" t="b">
        <v>0</v>
      </c>
      <c r="Q596" s="120" t="b">
        <v>0</v>
      </c>
      <c r="R596" s="120" t="b">
        <v>0</v>
      </c>
      <c r="S596" s="95"/>
      <c r="U596" s="120" t="b">
        <v>0</v>
      </c>
      <c r="V596" s="93"/>
      <c r="W596" s="93"/>
      <c r="X596" s="93"/>
      <c r="Y596" s="93"/>
      <c r="AA596" s="95"/>
      <c r="AB596" s="121"/>
      <c r="AC596" s="29" t="str">
        <f t="shared" si="5"/>
        <v>Sim</v>
      </c>
      <c r="AD596" s="37" t="str">
        <f t="shared" si="1"/>
        <v>Não</v>
      </c>
      <c r="AE596" s="94"/>
      <c r="AF596" s="94"/>
      <c r="AG596" s="95"/>
    </row>
    <row r="597" hidden="1">
      <c r="A597" s="115"/>
      <c r="B597" s="93"/>
      <c r="C597" s="93"/>
      <c r="D597" s="93"/>
      <c r="E597" s="116"/>
      <c r="F597" s="95"/>
      <c r="G597" s="95"/>
      <c r="H597" s="94"/>
      <c r="I597" s="94"/>
      <c r="J597" s="117"/>
      <c r="K597" s="118"/>
      <c r="L597" s="119"/>
      <c r="M597" s="94"/>
      <c r="N597" s="94"/>
      <c r="O597" s="93"/>
      <c r="P597" s="120" t="b">
        <v>0</v>
      </c>
      <c r="Q597" s="120" t="b">
        <v>0</v>
      </c>
      <c r="R597" s="120" t="b">
        <v>0</v>
      </c>
      <c r="S597" s="95"/>
      <c r="U597" s="120" t="b">
        <v>0</v>
      </c>
      <c r="V597" s="93"/>
      <c r="W597" s="93"/>
      <c r="X597" s="93"/>
      <c r="Y597" s="93"/>
      <c r="AA597" s="95"/>
      <c r="AB597" s="121"/>
      <c r="AC597" s="29" t="str">
        <f t="shared" si="5"/>
        <v>Sim</v>
      </c>
      <c r="AD597" s="37" t="str">
        <f t="shared" si="1"/>
        <v>Não</v>
      </c>
      <c r="AE597" s="94"/>
      <c r="AF597" s="94"/>
      <c r="AG597" s="95"/>
    </row>
    <row r="598" hidden="1">
      <c r="A598" s="115"/>
      <c r="B598" s="93"/>
      <c r="C598" s="93"/>
      <c r="D598" s="93"/>
      <c r="E598" s="116"/>
      <c r="F598" s="95"/>
      <c r="G598" s="95"/>
      <c r="H598" s="94"/>
      <c r="I598" s="94"/>
      <c r="J598" s="117"/>
      <c r="K598" s="118"/>
      <c r="L598" s="119"/>
      <c r="M598" s="94"/>
      <c r="N598" s="94"/>
      <c r="O598" s="93"/>
      <c r="P598" s="120" t="b">
        <v>0</v>
      </c>
      <c r="Q598" s="120" t="b">
        <v>0</v>
      </c>
      <c r="R598" s="120" t="b">
        <v>0</v>
      </c>
      <c r="S598" s="95"/>
      <c r="U598" s="120" t="b">
        <v>0</v>
      </c>
      <c r="V598" s="93"/>
      <c r="W598" s="93"/>
      <c r="X598" s="93"/>
      <c r="Y598" s="93"/>
      <c r="AA598" s="95"/>
      <c r="AB598" s="121"/>
      <c r="AC598" s="29" t="str">
        <f t="shared" si="5"/>
        <v>Sim</v>
      </c>
      <c r="AD598" s="37" t="str">
        <f t="shared" si="1"/>
        <v>Não</v>
      </c>
      <c r="AE598" s="94"/>
      <c r="AF598" s="94"/>
      <c r="AG598" s="95"/>
    </row>
    <row r="599" hidden="1">
      <c r="A599" s="115"/>
      <c r="B599" s="93"/>
      <c r="C599" s="93"/>
      <c r="D599" s="93"/>
      <c r="E599" s="116"/>
      <c r="F599" s="95"/>
      <c r="G599" s="95"/>
      <c r="H599" s="94"/>
      <c r="I599" s="94"/>
      <c r="J599" s="117"/>
      <c r="K599" s="118"/>
      <c r="L599" s="119"/>
      <c r="M599" s="94"/>
      <c r="N599" s="94"/>
      <c r="O599" s="93"/>
      <c r="P599" s="120" t="b">
        <v>0</v>
      </c>
      <c r="Q599" s="120" t="b">
        <v>0</v>
      </c>
      <c r="R599" s="120" t="b">
        <v>0</v>
      </c>
      <c r="S599" s="95"/>
      <c r="U599" s="120" t="b">
        <v>0</v>
      </c>
      <c r="V599" s="93"/>
      <c r="W599" s="93"/>
      <c r="X599" s="93"/>
      <c r="Y599" s="93"/>
      <c r="AA599" s="95"/>
      <c r="AB599" s="121"/>
      <c r="AC599" s="29" t="str">
        <f t="shared" si="5"/>
        <v>Sim</v>
      </c>
      <c r="AD599" s="37" t="str">
        <f t="shared" si="1"/>
        <v>Não</v>
      </c>
      <c r="AE599" s="94"/>
      <c r="AF599" s="94"/>
      <c r="AG599" s="95"/>
    </row>
    <row r="600" hidden="1">
      <c r="A600" s="115"/>
      <c r="B600" s="93"/>
      <c r="C600" s="93"/>
      <c r="D600" s="93"/>
      <c r="E600" s="116"/>
      <c r="F600" s="95"/>
      <c r="G600" s="95"/>
      <c r="H600" s="94"/>
      <c r="I600" s="94"/>
      <c r="J600" s="117"/>
      <c r="K600" s="118"/>
      <c r="L600" s="119"/>
      <c r="M600" s="94"/>
      <c r="N600" s="94"/>
      <c r="O600" s="93"/>
      <c r="P600" s="120" t="b">
        <v>0</v>
      </c>
      <c r="Q600" s="120" t="b">
        <v>0</v>
      </c>
      <c r="R600" s="120" t="b">
        <v>0</v>
      </c>
      <c r="S600" s="95"/>
      <c r="U600" s="120" t="b">
        <v>0</v>
      </c>
      <c r="V600" s="93"/>
      <c r="W600" s="93"/>
      <c r="X600" s="93"/>
      <c r="Y600" s="93"/>
      <c r="AA600" s="95"/>
      <c r="AB600" s="121"/>
      <c r="AC600" s="29" t="str">
        <f t="shared" si="5"/>
        <v>Sim</v>
      </c>
      <c r="AD600" s="37" t="str">
        <f t="shared" si="1"/>
        <v>Não</v>
      </c>
      <c r="AE600" s="94"/>
      <c r="AF600" s="94"/>
      <c r="AG600" s="95"/>
    </row>
    <row r="601" hidden="1">
      <c r="A601" s="115"/>
      <c r="B601" s="93"/>
      <c r="C601" s="93"/>
      <c r="D601" s="93"/>
      <c r="E601" s="116"/>
      <c r="F601" s="95"/>
      <c r="G601" s="95"/>
      <c r="H601" s="94"/>
      <c r="I601" s="94"/>
      <c r="J601" s="117"/>
      <c r="K601" s="118"/>
      <c r="L601" s="119"/>
      <c r="M601" s="94"/>
      <c r="N601" s="94"/>
      <c r="O601" s="93"/>
      <c r="P601" s="120" t="b">
        <v>0</v>
      </c>
      <c r="Q601" s="120" t="b">
        <v>0</v>
      </c>
      <c r="R601" s="120" t="b">
        <v>0</v>
      </c>
      <c r="S601" s="95"/>
      <c r="U601" s="120" t="b">
        <v>0</v>
      </c>
      <c r="V601" s="93"/>
      <c r="W601" s="93"/>
      <c r="X601" s="93"/>
      <c r="Y601" s="93"/>
      <c r="AA601" s="95"/>
      <c r="AB601" s="121"/>
      <c r="AC601" s="29" t="str">
        <f t="shared" si="5"/>
        <v>Sim</v>
      </c>
      <c r="AD601" s="37" t="str">
        <f t="shared" si="1"/>
        <v>Não</v>
      </c>
      <c r="AE601" s="94"/>
      <c r="AF601" s="94"/>
      <c r="AG601" s="95"/>
    </row>
    <row r="602" hidden="1">
      <c r="A602" s="115"/>
      <c r="B602" s="93"/>
      <c r="C602" s="93"/>
      <c r="D602" s="93"/>
      <c r="E602" s="116"/>
      <c r="F602" s="95"/>
      <c r="G602" s="95"/>
      <c r="H602" s="94"/>
      <c r="I602" s="94"/>
      <c r="J602" s="117"/>
      <c r="K602" s="118"/>
      <c r="L602" s="119"/>
      <c r="M602" s="94"/>
      <c r="N602" s="94"/>
      <c r="O602" s="93"/>
      <c r="P602" s="120" t="b">
        <v>0</v>
      </c>
      <c r="Q602" s="120" t="b">
        <v>0</v>
      </c>
      <c r="R602" s="120" t="b">
        <v>0</v>
      </c>
      <c r="S602" s="95"/>
      <c r="U602" s="120" t="b">
        <v>0</v>
      </c>
      <c r="V602" s="93"/>
      <c r="W602" s="93"/>
      <c r="X602" s="93"/>
      <c r="Y602" s="93"/>
      <c r="AA602" s="95"/>
      <c r="AB602" s="121"/>
      <c r="AC602" s="29" t="str">
        <f t="shared" si="5"/>
        <v>Sim</v>
      </c>
      <c r="AD602" s="37" t="str">
        <f t="shared" si="1"/>
        <v>Não</v>
      </c>
      <c r="AE602" s="94"/>
      <c r="AF602" s="94"/>
      <c r="AG602" s="95"/>
    </row>
    <row r="603" hidden="1">
      <c r="A603" s="115"/>
      <c r="B603" s="93"/>
      <c r="C603" s="93"/>
      <c r="D603" s="93"/>
      <c r="E603" s="116"/>
      <c r="F603" s="95"/>
      <c r="G603" s="95"/>
      <c r="H603" s="94"/>
      <c r="I603" s="94"/>
      <c r="J603" s="117"/>
      <c r="K603" s="118"/>
      <c r="L603" s="119"/>
      <c r="M603" s="94"/>
      <c r="N603" s="94"/>
      <c r="O603" s="93"/>
      <c r="P603" s="120" t="b">
        <v>0</v>
      </c>
      <c r="Q603" s="120" t="b">
        <v>0</v>
      </c>
      <c r="R603" s="120" t="b">
        <v>0</v>
      </c>
      <c r="S603" s="95"/>
      <c r="U603" s="120" t="b">
        <v>0</v>
      </c>
      <c r="V603" s="93"/>
      <c r="W603" s="93"/>
      <c r="X603" s="93"/>
      <c r="Y603" s="93"/>
      <c r="AA603" s="95"/>
      <c r="AB603" s="121"/>
      <c r="AC603" s="29" t="str">
        <f t="shared" si="5"/>
        <v>Sim</v>
      </c>
      <c r="AD603" s="37" t="str">
        <f t="shared" si="1"/>
        <v>Não</v>
      </c>
      <c r="AE603" s="94"/>
      <c r="AF603" s="94"/>
      <c r="AG603" s="95"/>
    </row>
    <row r="604" hidden="1">
      <c r="A604" s="115"/>
      <c r="B604" s="93"/>
      <c r="C604" s="93"/>
      <c r="D604" s="93"/>
      <c r="E604" s="116"/>
      <c r="F604" s="95"/>
      <c r="G604" s="95"/>
      <c r="H604" s="94"/>
      <c r="I604" s="94"/>
      <c r="J604" s="117"/>
      <c r="K604" s="118"/>
      <c r="L604" s="119"/>
      <c r="M604" s="94"/>
      <c r="N604" s="94"/>
      <c r="O604" s="93"/>
      <c r="P604" s="120" t="b">
        <v>0</v>
      </c>
      <c r="Q604" s="120" t="b">
        <v>0</v>
      </c>
      <c r="R604" s="120" t="b">
        <v>0</v>
      </c>
      <c r="S604" s="95"/>
      <c r="U604" s="120" t="b">
        <v>0</v>
      </c>
      <c r="V604" s="93"/>
      <c r="W604" s="93"/>
      <c r="X604" s="93"/>
      <c r="Y604" s="93"/>
      <c r="AA604" s="95"/>
      <c r="AB604" s="121"/>
      <c r="AC604" s="29" t="str">
        <f t="shared" si="5"/>
        <v>Sim</v>
      </c>
      <c r="AD604" s="37" t="str">
        <f t="shared" si="1"/>
        <v>Não</v>
      </c>
      <c r="AE604" s="94"/>
      <c r="AF604" s="94"/>
      <c r="AG604" s="95"/>
    </row>
    <row r="605" hidden="1">
      <c r="A605" s="115"/>
      <c r="B605" s="93"/>
      <c r="C605" s="93"/>
      <c r="D605" s="93"/>
      <c r="E605" s="116"/>
      <c r="F605" s="95"/>
      <c r="G605" s="95"/>
      <c r="H605" s="94"/>
      <c r="I605" s="94"/>
      <c r="J605" s="117"/>
      <c r="K605" s="118"/>
      <c r="L605" s="119"/>
      <c r="M605" s="94"/>
      <c r="N605" s="94"/>
      <c r="O605" s="93"/>
      <c r="P605" s="120" t="b">
        <v>0</v>
      </c>
      <c r="Q605" s="120" t="b">
        <v>0</v>
      </c>
      <c r="R605" s="120" t="b">
        <v>0</v>
      </c>
      <c r="S605" s="95"/>
      <c r="U605" s="120" t="b">
        <v>0</v>
      </c>
      <c r="V605" s="93"/>
      <c r="W605" s="93"/>
      <c r="X605" s="93"/>
      <c r="Y605" s="93"/>
      <c r="AA605" s="95"/>
      <c r="AB605" s="121"/>
      <c r="AC605" s="29" t="str">
        <f t="shared" si="5"/>
        <v>Sim</v>
      </c>
      <c r="AD605" s="37" t="str">
        <f t="shared" si="1"/>
        <v>Não</v>
      </c>
      <c r="AE605" s="94"/>
      <c r="AF605" s="94"/>
      <c r="AG605" s="95"/>
    </row>
    <row r="606" hidden="1">
      <c r="A606" s="115"/>
      <c r="B606" s="93"/>
      <c r="C606" s="93"/>
      <c r="D606" s="93"/>
      <c r="E606" s="116"/>
      <c r="F606" s="95"/>
      <c r="G606" s="95"/>
      <c r="H606" s="94"/>
      <c r="I606" s="94"/>
      <c r="J606" s="117"/>
      <c r="K606" s="118"/>
      <c r="L606" s="119"/>
      <c r="M606" s="94"/>
      <c r="N606" s="94"/>
      <c r="O606" s="93"/>
      <c r="P606" s="120" t="b">
        <v>0</v>
      </c>
      <c r="Q606" s="120" t="b">
        <v>0</v>
      </c>
      <c r="R606" s="120" t="b">
        <v>0</v>
      </c>
      <c r="S606" s="95"/>
      <c r="U606" s="120" t="b">
        <v>0</v>
      </c>
      <c r="V606" s="93"/>
      <c r="W606" s="93"/>
      <c r="X606" s="93"/>
      <c r="Y606" s="93"/>
      <c r="AA606" s="95"/>
      <c r="AB606" s="121"/>
      <c r="AC606" s="29" t="str">
        <f t="shared" si="5"/>
        <v>Sim</v>
      </c>
      <c r="AD606" s="37" t="str">
        <f t="shared" si="1"/>
        <v>Não</v>
      </c>
      <c r="AE606" s="94"/>
      <c r="AF606" s="94"/>
      <c r="AG606" s="95"/>
    </row>
    <row r="607" hidden="1">
      <c r="A607" s="115"/>
      <c r="B607" s="93"/>
      <c r="C607" s="93"/>
      <c r="D607" s="93"/>
      <c r="E607" s="116"/>
      <c r="F607" s="95"/>
      <c r="G607" s="95"/>
      <c r="H607" s="94"/>
      <c r="I607" s="94"/>
      <c r="J607" s="117"/>
      <c r="K607" s="118"/>
      <c r="L607" s="119"/>
      <c r="M607" s="94"/>
      <c r="N607" s="94"/>
      <c r="O607" s="93"/>
      <c r="P607" s="120" t="b">
        <v>0</v>
      </c>
      <c r="Q607" s="120" t="b">
        <v>0</v>
      </c>
      <c r="R607" s="120" t="b">
        <v>0</v>
      </c>
      <c r="S607" s="95"/>
      <c r="U607" s="120" t="b">
        <v>0</v>
      </c>
      <c r="V607" s="93"/>
      <c r="W607" s="93"/>
      <c r="X607" s="93"/>
      <c r="Y607" s="93"/>
      <c r="AA607" s="95"/>
      <c r="AB607" s="121"/>
      <c r="AC607" s="29" t="str">
        <f t="shared" si="5"/>
        <v>Sim</v>
      </c>
      <c r="AD607" s="37" t="str">
        <f t="shared" si="1"/>
        <v>Não</v>
      </c>
      <c r="AE607" s="94"/>
      <c r="AF607" s="94"/>
      <c r="AG607" s="95"/>
    </row>
    <row r="608" hidden="1">
      <c r="A608" s="115"/>
      <c r="B608" s="93"/>
      <c r="C608" s="93"/>
      <c r="D608" s="93"/>
      <c r="E608" s="116"/>
      <c r="F608" s="95"/>
      <c r="G608" s="95"/>
      <c r="H608" s="94"/>
      <c r="I608" s="94"/>
      <c r="J608" s="117"/>
      <c r="K608" s="118"/>
      <c r="L608" s="119"/>
      <c r="M608" s="94"/>
      <c r="N608" s="94"/>
      <c r="O608" s="93"/>
      <c r="P608" s="120" t="b">
        <v>0</v>
      </c>
      <c r="Q608" s="120" t="b">
        <v>0</v>
      </c>
      <c r="R608" s="120" t="b">
        <v>0</v>
      </c>
      <c r="S608" s="95"/>
      <c r="U608" s="120" t="b">
        <v>0</v>
      </c>
      <c r="V608" s="93"/>
      <c r="W608" s="93"/>
      <c r="X608" s="93"/>
      <c r="Y608" s="93"/>
      <c r="AA608" s="95"/>
      <c r="AB608" s="121"/>
      <c r="AC608" s="29" t="str">
        <f t="shared" si="5"/>
        <v>Sim</v>
      </c>
      <c r="AD608" s="37" t="str">
        <f t="shared" si="1"/>
        <v>Não</v>
      </c>
      <c r="AE608" s="94"/>
      <c r="AF608" s="94"/>
      <c r="AG608" s="95"/>
    </row>
    <row r="609" hidden="1">
      <c r="A609" s="115"/>
      <c r="B609" s="93"/>
      <c r="C609" s="93"/>
      <c r="D609" s="93"/>
      <c r="E609" s="116"/>
      <c r="F609" s="95"/>
      <c r="G609" s="95"/>
      <c r="H609" s="94"/>
      <c r="I609" s="94"/>
      <c r="J609" s="117"/>
      <c r="K609" s="118"/>
      <c r="L609" s="119"/>
      <c r="M609" s="94"/>
      <c r="N609" s="94"/>
      <c r="O609" s="93"/>
      <c r="P609" s="120" t="b">
        <v>0</v>
      </c>
      <c r="Q609" s="120" t="b">
        <v>0</v>
      </c>
      <c r="R609" s="120" t="b">
        <v>0</v>
      </c>
      <c r="S609" s="95"/>
      <c r="U609" s="120" t="b">
        <v>0</v>
      </c>
      <c r="V609" s="93"/>
      <c r="W609" s="93"/>
      <c r="X609" s="93"/>
      <c r="Y609" s="93"/>
      <c r="AA609" s="95"/>
      <c r="AB609" s="121"/>
      <c r="AC609" s="29" t="str">
        <f t="shared" si="5"/>
        <v>Sim</v>
      </c>
      <c r="AD609" s="37" t="str">
        <f t="shared" si="1"/>
        <v>Não</v>
      </c>
      <c r="AE609" s="94"/>
      <c r="AF609" s="94"/>
      <c r="AG609" s="95"/>
    </row>
    <row r="610" hidden="1">
      <c r="A610" s="115"/>
      <c r="B610" s="93"/>
      <c r="C610" s="93"/>
      <c r="D610" s="93"/>
      <c r="E610" s="116"/>
      <c r="F610" s="95"/>
      <c r="G610" s="95"/>
      <c r="H610" s="94"/>
      <c r="I610" s="94"/>
      <c r="J610" s="117"/>
      <c r="K610" s="118"/>
      <c r="L610" s="119"/>
      <c r="M610" s="94"/>
      <c r="N610" s="94"/>
      <c r="O610" s="93"/>
      <c r="P610" s="120" t="b">
        <v>0</v>
      </c>
      <c r="Q610" s="120" t="b">
        <v>0</v>
      </c>
      <c r="R610" s="120" t="b">
        <v>0</v>
      </c>
      <c r="S610" s="95"/>
      <c r="U610" s="120" t="b">
        <v>0</v>
      </c>
      <c r="V610" s="93"/>
      <c r="W610" s="93"/>
      <c r="X610" s="93"/>
      <c r="Y610" s="93"/>
      <c r="AA610" s="95"/>
      <c r="AB610" s="121"/>
      <c r="AC610" s="29" t="str">
        <f t="shared" si="5"/>
        <v>Sim</v>
      </c>
      <c r="AD610" s="37" t="str">
        <f t="shared" si="1"/>
        <v>Não</v>
      </c>
      <c r="AE610" s="94"/>
      <c r="AF610" s="94"/>
      <c r="AG610" s="95"/>
    </row>
    <row r="611" hidden="1">
      <c r="A611" s="115"/>
      <c r="B611" s="93"/>
      <c r="C611" s="93"/>
      <c r="D611" s="93"/>
      <c r="E611" s="116"/>
      <c r="F611" s="95"/>
      <c r="G611" s="95"/>
      <c r="H611" s="94"/>
      <c r="I611" s="94"/>
      <c r="J611" s="117"/>
      <c r="K611" s="118"/>
      <c r="L611" s="119"/>
      <c r="M611" s="94"/>
      <c r="N611" s="94"/>
      <c r="O611" s="93"/>
      <c r="P611" s="120" t="b">
        <v>0</v>
      </c>
      <c r="Q611" s="120" t="b">
        <v>0</v>
      </c>
      <c r="R611" s="120" t="b">
        <v>0</v>
      </c>
      <c r="S611" s="95"/>
      <c r="U611" s="120" t="b">
        <v>0</v>
      </c>
      <c r="V611" s="93"/>
      <c r="W611" s="93"/>
      <c r="X611" s="93"/>
      <c r="Y611" s="93"/>
      <c r="AA611" s="95"/>
      <c r="AB611" s="121"/>
      <c r="AC611" s="29" t="str">
        <f t="shared" si="5"/>
        <v>Sim</v>
      </c>
      <c r="AD611" s="37" t="str">
        <f t="shared" si="1"/>
        <v>Não</v>
      </c>
      <c r="AE611" s="94"/>
      <c r="AF611" s="94"/>
      <c r="AG611" s="95"/>
    </row>
    <row r="612" hidden="1">
      <c r="A612" s="115"/>
      <c r="B612" s="93"/>
      <c r="C612" s="93"/>
      <c r="D612" s="93"/>
      <c r="E612" s="116"/>
      <c r="F612" s="95"/>
      <c r="G612" s="95"/>
      <c r="H612" s="94"/>
      <c r="I612" s="94"/>
      <c r="J612" s="117"/>
      <c r="K612" s="118"/>
      <c r="L612" s="119"/>
      <c r="M612" s="94"/>
      <c r="N612" s="94"/>
      <c r="O612" s="93"/>
      <c r="P612" s="120" t="b">
        <v>0</v>
      </c>
      <c r="Q612" s="120" t="b">
        <v>0</v>
      </c>
      <c r="R612" s="120" t="b">
        <v>0</v>
      </c>
      <c r="S612" s="95"/>
      <c r="U612" s="120" t="b">
        <v>0</v>
      </c>
      <c r="V612" s="93"/>
      <c r="W612" s="93"/>
      <c r="X612" s="93"/>
      <c r="Y612" s="93"/>
      <c r="AA612" s="95"/>
      <c r="AB612" s="121"/>
      <c r="AC612" s="29" t="str">
        <f t="shared" si="5"/>
        <v>Sim</v>
      </c>
      <c r="AD612" s="37" t="str">
        <f t="shared" si="1"/>
        <v>Não</v>
      </c>
      <c r="AE612" s="94"/>
      <c r="AF612" s="94"/>
      <c r="AG612" s="95"/>
    </row>
    <row r="613" hidden="1">
      <c r="A613" s="115"/>
      <c r="B613" s="93"/>
      <c r="C613" s="93"/>
      <c r="D613" s="93"/>
      <c r="E613" s="116"/>
      <c r="F613" s="95"/>
      <c r="G613" s="95"/>
      <c r="H613" s="94"/>
      <c r="I613" s="94"/>
      <c r="J613" s="117"/>
      <c r="K613" s="118"/>
      <c r="L613" s="119"/>
      <c r="M613" s="94"/>
      <c r="N613" s="94"/>
      <c r="O613" s="93"/>
      <c r="P613" s="120" t="b">
        <v>0</v>
      </c>
      <c r="Q613" s="120" t="b">
        <v>0</v>
      </c>
      <c r="R613" s="120" t="b">
        <v>0</v>
      </c>
      <c r="S613" s="95"/>
      <c r="U613" s="120" t="b">
        <v>0</v>
      </c>
      <c r="V613" s="93"/>
      <c r="W613" s="93"/>
      <c r="X613" s="93"/>
      <c r="Y613" s="93"/>
      <c r="AA613" s="95"/>
      <c r="AB613" s="121"/>
      <c r="AC613" s="29" t="str">
        <f t="shared" si="5"/>
        <v>Sim</v>
      </c>
      <c r="AD613" s="37" t="str">
        <f t="shared" si="1"/>
        <v>Não</v>
      </c>
      <c r="AE613" s="94"/>
      <c r="AF613" s="94"/>
      <c r="AG613" s="95"/>
    </row>
    <row r="614" hidden="1">
      <c r="A614" s="115"/>
      <c r="B614" s="93"/>
      <c r="C614" s="93"/>
      <c r="D614" s="93"/>
      <c r="E614" s="116"/>
      <c r="F614" s="95"/>
      <c r="G614" s="95"/>
      <c r="H614" s="94"/>
      <c r="I614" s="94"/>
      <c r="J614" s="117"/>
      <c r="K614" s="118"/>
      <c r="L614" s="119"/>
      <c r="M614" s="94"/>
      <c r="N614" s="94"/>
      <c r="O614" s="93"/>
      <c r="P614" s="120" t="b">
        <v>0</v>
      </c>
      <c r="Q614" s="120" t="b">
        <v>0</v>
      </c>
      <c r="R614" s="120" t="b">
        <v>0</v>
      </c>
      <c r="S614" s="95"/>
      <c r="U614" s="120" t="b">
        <v>0</v>
      </c>
      <c r="V614" s="93"/>
      <c r="W614" s="93"/>
      <c r="X614" s="93"/>
      <c r="Y614" s="93"/>
      <c r="AA614" s="95"/>
      <c r="AB614" s="121"/>
      <c r="AC614" s="29" t="str">
        <f t="shared" si="5"/>
        <v>Sim</v>
      </c>
      <c r="AD614" s="37" t="str">
        <f t="shared" si="1"/>
        <v>Não</v>
      </c>
      <c r="AE614" s="94"/>
      <c r="AF614" s="94"/>
      <c r="AG614" s="95"/>
    </row>
    <row r="615" hidden="1">
      <c r="A615" s="115"/>
      <c r="B615" s="93"/>
      <c r="C615" s="93"/>
      <c r="D615" s="93"/>
      <c r="E615" s="116"/>
      <c r="F615" s="95"/>
      <c r="G615" s="95"/>
      <c r="H615" s="94"/>
      <c r="I615" s="94"/>
      <c r="J615" s="117"/>
      <c r="K615" s="118"/>
      <c r="L615" s="119"/>
      <c r="M615" s="94"/>
      <c r="N615" s="94"/>
      <c r="O615" s="93"/>
      <c r="P615" s="120" t="b">
        <v>0</v>
      </c>
      <c r="Q615" s="120" t="b">
        <v>0</v>
      </c>
      <c r="R615" s="120" t="b">
        <v>0</v>
      </c>
      <c r="S615" s="95"/>
      <c r="U615" s="120" t="b">
        <v>0</v>
      </c>
      <c r="V615" s="93"/>
      <c r="W615" s="93"/>
      <c r="X615" s="93"/>
      <c r="Y615" s="93"/>
      <c r="AA615" s="95"/>
      <c r="AB615" s="121"/>
      <c r="AC615" s="29" t="str">
        <f t="shared" si="5"/>
        <v>Sim</v>
      </c>
      <c r="AD615" s="37" t="str">
        <f t="shared" si="1"/>
        <v>Não</v>
      </c>
      <c r="AE615" s="94"/>
      <c r="AF615" s="94"/>
      <c r="AG615" s="95"/>
    </row>
    <row r="616" hidden="1">
      <c r="A616" s="115"/>
      <c r="B616" s="93"/>
      <c r="C616" s="93"/>
      <c r="D616" s="93"/>
      <c r="E616" s="116"/>
      <c r="F616" s="95"/>
      <c r="G616" s="95"/>
      <c r="H616" s="94"/>
      <c r="I616" s="94"/>
      <c r="J616" s="117"/>
      <c r="K616" s="118"/>
      <c r="L616" s="119"/>
      <c r="M616" s="94"/>
      <c r="N616" s="94"/>
      <c r="O616" s="93"/>
      <c r="P616" s="120" t="b">
        <v>0</v>
      </c>
      <c r="Q616" s="120" t="b">
        <v>0</v>
      </c>
      <c r="R616" s="120" t="b">
        <v>0</v>
      </c>
      <c r="S616" s="95"/>
      <c r="U616" s="120" t="b">
        <v>0</v>
      </c>
      <c r="V616" s="93"/>
      <c r="W616" s="93"/>
      <c r="X616" s="93"/>
      <c r="Y616" s="93"/>
      <c r="AA616" s="95"/>
      <c r="AB616" s="121"/>
      <c r="AC616" s="29" t="str">
        <f t="shared" si="5"/>
        <v>Sim</v>
      </c>
      <c r="AD616" s="37" t="str">
        <f t="shared" si="1"/>
        <v>Não</v>
      </c>
      <c r="AE616" s="94"/>
      <c r="AF616" s="94"/>
      <c r="AG616" s="95"/>
    </row>
    <row r="617" hidden="1">
      <c r="A617" s="115"/>
      <c r="B617" s="93"/>
      <c r="C617" s="93"/>
      <c r="D617" s="93"/>
      <c r="E617" s="116"/>
      <c r="F617" s="95"/>
      <c r="G617" s="95"/>
      <c r="H617" s="94"/>
      <c r="I617" s="94"/>
      <c r="J617" s="117"/>
      <c r="K617" s="118"/>
      <c r="L617" s="119"/>
      <c r="M617" s="94"/>
      <c r="N617" s="94"/>
      <c r="O617" s="93"/>
      <c r="P617" s="120" t="b">
        <v>0</v>
      </c>
      <c r="Q617" s="120" t="b">
        <v>0</v>
      </c>
      <c r="R617" s="120" t="b">
        <v>0</v>
      </c>
      <c r="S617" s="95"/>
      <c r="U617" s="120" t="b">
        <v>0</v>
      </c>
      <c r="V617" s="93"/>
      <c r="W617" s="93"/>
      <c r="X617" s="93"/>
      <c r="Y617" s="93"/>
      <c r="AA617" s="95"/>
      <c r="AB617" s="121"/>
      <c r="AC617" s="29" t="str">
        <f t="shared" si="5"/>
        <v>Sim</v>
      </c>
      <c r="AD617" s="37" t="str">
        <f t="shared" si="1"/>
        <v>Não</v>
      </c>
      <c r="AE617" s="94"/>
      <c r="AF617" s="94"/>
      <c r="AG617" s="95"/>
    </row>
    <row r="618" hidden="1">
      <c r="A618" s="115"/>
      <c r="B618" s="93"/>
      <c r="C618" s="93"/>
      <c r="D618" s="93"/>
      <c r="E618" s="116"/>
      <c r="F618" s="95"/>
      <c r="G618" s="95"/>
      <c r="H618" s="94"/>
      <c r="I618" s="94"/>
      <c r="J618" s="117"/>
      <c r="K618" s="118"/>
      <c r="L618" s="119"/>
      <c r="M618" s="94"/>
      <c r="N618" s="94"/>
      <c r="O618" s="93"/>
      <c r="P618" s="120" t="b">
        <v>0</v>
      </c>
      <c r="Q618" s="120" t="b">
        <v>0</v>
      </c>
      <c r="R618" s="120" t="b">
        <v>0</v>
      </c>
      <c r="S618" s="95"/>
      <c r="U618" s="120" t="b">
        <v>0</v>
      </c>
      <c r="V618" s="93"/>
      <c r="W618" s="93"/>
      <c r="X618" s="93"/>
      <c r="Y618" s="93"/>
      <c r="AA618" s="95"/>
      <c r="AB618" s="121"/>
      <c r="AC618" s="29" t="str">
        <f t="shared" si="5"/>
        <v>Sim</v>
      </c>
      <c r="AD618" s="37" t="str">
        <f t="shared" si="1"/>
        <v>Não</v>
      </c>
      <c r="AE618" s="94"/>
      <c r="AF618" s="94"/>
      <c r="AG618" s="95"/>
    </row>
    <row r="619" hidden="1">
      <c r="A619" s="115"/>
      <c r="B619" s="93"/>
      <c r="C619" s="93"/>
      <c r="D619" s="93"/>
      <c r="E619" s="116"/>
      <c r="F619" s="95"/>
      <c r="G619" s="95"/>
      <c r="H619" s="94"/>
      <c r="I619" s="94"/>
      <c r="J619" s="117"/>
      <c r="K619" s="118"/>
      <c r="L619" s="119"/>
      <c r="M619" s="94"/>
      <c r="N619" s="94"/>
      <c r="O619" s="93"/>
      <c r="P619" s="120" t="b">
        <v>0</v>
      </c>
      <c r="Q619" s="120" t="b">
        <v>0</v>
      </c>
      <c r="R619" s="120" t="b">
        <v>0</v>
      </c>
      <c r="S619" s="95"/>
      <c r="U619" s="120" t="b">
        <v>0</v>
      </c>
      <c r="V619" s="93"/>
      <c r="W619" s="93"/>
      <c r="X619" s="93"/>
      <c r="Y619" s="93"/>
      <c r="AA619" s="95"/>
      <c r="AB619" s="121"/>
      <c r="AC619" s="29" t="str">
        <f t="shared" si="5"/>
        <v>Sim</v>
      </c>
      <c r="AD619" s="37" t="str">
        <f t="shared" si="1"/>
        <v>Não</v>
      </c>
      <c r="AE619" s="94"/>
      <c r="AF619" s="94"/>
      <c r="AG619" s="95"/>
    </row>
    <row r="620" hidden="1">
      <c r="A620" s="115"/>
      <c r="B620" s="93"/>
      <c r="C620" s="93"/>
      <c r="D620" s="93"/>
      <c r="E620" s="116"/>
      <c r="F620" s="95"/>
      <c r="G620" s="95"/>
      <c r="H620" s="94"/>
      <c r="I620" s="94"/>
      <c r="J620" s="117"/>
      <c r="K620" s="118"/>
      <c r="L620" s="119"/>
      <c r="M620" s="94"/>
      <c r="N620" s="94"/>
      <c r="O620" s="93"/>
      <c r="P620" s="120" t="b">
        <v>0</v>
      </c>
      <c r="Q620" s="120" t="b">
        <v>0</v>
      </c>
      <c r="R620" s="120" t="b">
        <v>0</v>
      </c>
      <c r="S620" s="95"/>
      <c r="U620" s="120" t="b">
        <v>0</v>
      </c>
      <c r="V620" s="93"/>
      <c r="W620" s="93"/>
      <c r="X620" s="93"/>
      <c r="Y620" s="93"/>
      <c r="AA620" s="95"/>
      <c r="AB620" s="121"/>
      <c r="AC620" s="29" t="str">
        <f t="shared" si="5"/>
        <v>Sim</v>
      </c>
      <c r="AD620" s="37" t="str">
        <f t="shared" si="1"/>
        <v>Não</v>
      </c>
      <c r="AE620" s="94"/>
      <c r="AF620" s="94"/>
      <c r="AG620" s="95"/>
    </row>
    <row r="621" hidden="1">
      <c r="A621" s="115"/>
      <c r="B621" s="93"/>
      <c r="C621" s="93"/>
      <c r="D621" s="93"/>
      <c r="E621" s="116"/>
      <c r="F621" s="95"/>
      <c r="G621" s="95"/>
      <c r="H621" s="94"/>
      <c r="I621" s="94"/>
      <c r="J621" s="117"/>
      <c r="K621" s="118"/>
      <c r="L621" s="119"/>
      <c r="M621" s="94"/>
      <c r="N621" s="94"/>
      <c r="O621" s="93"/>
      <c r="P621" s="120" t="b">
        <v>0</v>
      </c>
      <c r="Q621" s="120" t="b">
        <v>0</v>
      </c>
      <c r="R621" s="120" t="b">
        <v>0</v>
      </c>
      <c r="S621" s="95"/>
      <c r="U621" s="120" t="b">
        <v>0</v>
      </c>
      <c r="V621" s="93"/>
      <c r="W621" s="93"/>
      <c r="X621" s="93"/>
      <c r="Y621" s="93"/>
      <c r="AA621" s="95"/>
      <c r="AB621" s="121"/>
      <c r="AC621" s="29" t="str">
        <f t="shared" si="5"/>
        <v>Sim</v>
      </c>
      <c r="AD621" s="37" t="str">
        <f t="shared" si="1"/>
        <v>Não</v>
      </c>
      <c r="AE621" s="94"/>
      <c r="AF621" s="94"/>
      <c r="AG621" s="95"/>
    </row>
    <row r="622" hidden="1">
      <c r="A622" s="115"/>
      <c r="B622" s="93"/>
      <c r="C622" s="93"/>
      <c r="D622" s="93"/>
      <c r="E622" s="116"/>
      <c r="F622" s="95"/>
      <c r="G622" s="95"/>
      <c r="H622" s="94"/>
      <c r="I622" s="94"/>
      <c r="J622" s="117"/>
      <c r="K622" s="118"/>
      <c r="L622" s="119"/>
      <c r="M622" s="94"/>
      <c r="N622" s="94"/>
      <c r="O622" s="93"/>
      <c r="P622" s="120" t="b">
        <v>0</v>
      </c>
      <c r="Q622" s="120" t="b">
        <v>0</v>
      </c>
      <c r="R622" s="120" t="b">
        <v>0</v>
      </c>
      <c r="S622" s="95"/>
      <c r="U622" s="120" t="b">
        <v>0</v>
      </c>
      <c r="V622" s="93"/>
      <c r="W622" s="93"/>
      <c r="X622" s="93"/>
      <c r="Y622" s="93"/>
      <c r="AA622" s="95"/>
      <c r="AB622" s="121"/>
      <c r="AC622" s="29" t="str">
        <f t="shared" si="5"/>
        <v>Sim</v>
      </c>
      <c r="AD622" s="37" t="str">
        <f t="shared" si="1"/>
        <v>Não</v>
      </c>
      <c r="AE622" s="94"/>
      <c r="AF622" s="94"/>
      <c r="AG622" s="95"/>
    </row>
    <row r="623" hidden="1">
      <c r="A623" s="115"/>
      <c r="B623" s="93"/>
      <c r="C623" s="93"/>
      <c r="D623" s="93"/>
      <c r="E623" s="116"/>
      <c r="F623" s="95"/>
      <c r="G623" s="95"/>
      <c r="H623" s="94"/>
      <c r="I623" s="94"/>
      <c r="J623" s="117"/>
      <c r="K623" s="118"/>
      <c r="L623" s="119"/>
      <c r="M623" s="94"/>
      <c r="N623" s="94"/>
      <c r="O623" s="93"/>
      <c r="P623" s="120" t="b">
        <v>0</v>
      </c>
      <c r="Q623" s="120" t="b">
        <v>0</v>
      </c>
      <c r="R623" s="120" t="b">
        <v>0</v>
      </c>
      <c r="S623" s="95"/>
      <c r="U623" s="120" t="b">
        <v>0</v>
      </c>
      <c r="V623" s="93"/>
      <c r="W623" s="93"/>
      <c r="X623" s="93"/>
      <c r="Y623" s="93"/>
      <c r="AA623" s="95"/>
      <c r="AB623" s="121"/>
      <c r="AC623" s="29" t="str">
        <f t="shared" si="5"/>
        <v>Sim</v>
      </c>
      <c r="AD623" s="37" t="str">
        <f t="shared" si="1"/>
        <v>Não</v>
      </c>
      <c r="AE623" s="94"/>
      <c r="AF623" s="94"/>
      <c r="AG623" s="95"/>
    </row>
    <row r="624" hidden="1">
      <c r="A624" s="115"/>
      <c r="B624" s="93"/>
      <c r="C624" s="93"/>
      <c r="D624" s="93"/>
      <c r="E624" s="116"/>
      <c r="F624" s="95"/>
      <c r="G624" s="95"/>
      <c r="H624" s="94"/>
      <c r="I624" s="94"/>
      <c r="J624" s="117"/>
      <c r="K624" s="118"/>
      <c r="L624" s="119"/>
      <c r="M624" s="94"/>
      <c r="N624" s="94"/>
      <c r="O624" s="93"/>
      <c r="P624" s="120" t="b">
        <v>0</v>
      </c>
      <c r="Q624" s="120" t="b">
        <v>0</v>
      </c>
      <c r="R624" s="120" t="b">
        <v>0</v>
      </c>
      <c r="S624" s="95"/>
      <c r="U624" s="120" t="b">
        <v>0</v>
      </c>
      <c r="V624" s="93"/>
      <c r="W624" s="93"/>
      <c r="X624" s="93"/>
      <c r="Y624" s="93"/>
      <c r="AA624" s="95"/>
      <c r="AB624" s="121"/>
      <c r="AC624" s="29" t="str">
        <f t="shared" si="5"/>
        <v>Sim</v>
      </c>
      <c r="AD624" s="37" t="str">
        <f t="shared" si="1"/>
        <v>Não</v>
      </c>
      <c r="AE624" s="94"/>
      <c r="AF624" s="94"/>
      <c r="AG624" s="95"/>
    </row>
    <row r="625" hidden="1">
      <c r="A625" s="115"/>
      <c r="B625" s="93"/>
      <c r="C625" s="93"/>
      <c r="D625" s="93"/>
      <c r="E625" s="116"/>
      <c r="F625" s="95"/>
      <c r="G625" s="95"/>
      <c r="H625" s="94"/>
      <c r="I625" s="94"/>
      <c r="J625" s="117"/>
      <c r="K625" s="118"/>
      <c r="L625" s="119"/>
      <c r="M625" s="94"/>
      <c r="N625" s="94"/>
      <c r="O625" s="93"/>
      <c r="P625" s="120" t="b">
        <v>0</v>
      </c>
      <c r="Q625" s="120" t="b">
        <v>0</v>
      </c>
      <c r="R625" s="120" t="b">
        <v>0</v>
      </c>
      <c r="S625" s="95"/>
      <c r="U625" s="120" t="b">
        <v>0</v>
      </c>
      <c r="V625" s="93"/>
      <c r="W625" s="93"/>
      <c r="X625" s="93"/>
      <c r="Y625" s="93"/>
      <c r="AA625" s="95"/>
      <c r="AB625" s="121"/>
      <c r="AC625" s="29" t="str">
        <f t="shared" si="5"/>
        <v>Sim</v>
      </c>
      <c r="AD625" s="37" t="str">
        <f t="shared" si="1"/>
        <v>Não</v>
      </c>
      <c r="AE625" s="94"/>
      <c r="AF625" s="94"/>
      <c r="AG625" s="95"/>
    </row>
    <row r="626" hidden="1">
      <c r="A626" s="115"/>
      <c r="B626" s="93"/>
      <c r="C626" s="93"/>
      <c r="D626" s="93"/>
      <c r="E626" s="116"/>
      <c r="F626" s="95"/>
      <c r="G626" s="95"/>
      <c r="H626" s="94"/>
      <c r="I626" s="94"/>
      <c r="J626" s="117"/>
      <c r="K626" s="118"/>
      <c r="L626" s="119"/>
      <c r="M626" s="94"/>
      <c r="N626" s="94"/>
      <c r="O626" s="93"/>
      <c r="P626" s="120" t="b">
        <v>0</v>
      </c>
      <c r="Q626" s="120" t="b">
        <v>0</v>
      </c>
      <c r="R626" s="120" t="b">
        <v>0</v>
      </c>
      <c r="S626" s="95"/>
      <c r="U626" s="120" t="b">
        <v>0</v>
      </c>
      <c r="V626" s="93"/>
      <c r="W626" s="93"/>
      <c r="X626" s="93"/>
      <c r="Y626" s="93"/>
      <c r="AA626" s="95"/>
      <c r="AB626" s="121"/>
      <c r="AC626" s="29" t="str">
        <f t="shared" si="5"/>
        <v>Sim</v>
      </c>
      <c r="AD626" s="37" t="str">
        <f t="shared" si="1"/>
        <v>Não</v>
      </c>
      <c r="AE626" s="94"/>
      <c r="AF626" s="94"/>
      <c r="AG626" s="95"/>
    </row>
    <row r="627" hidden="1">
      <c r="A627" s="115"/>
      <c r="B627" s="93"/>
      <c r="C627" s="93"/>
      <c r="D627" s="93"/>
      <c r="E627" s="116"/>
      <c r="F627" s="95"/>
      <c r="G627" s="95"/>
      <c r="H627" s="94"/>
      <c r="I627" s="94"/>
      <c r="J627" s="117"/>
      <c r="K627" s="118"/>
      <c r="L627" s="119"/>
      <c r="M627" s="94"/>
      <c r="N627" s="94"/>
      <c r="O627" s="93"/>
      <c r="P627" s="120" t="b">
        <v>0</v>
      </c>
      <c r="Q627" s="120" t="b">
        <v>0</v>
      </c>
      <c r="R627" s="120" t="b">
        <v>0</v>
      </c>
      <c r="S627" s="95"/>
      <c r="U627" s="120" t="b">
        <v>0</v>
      </c>
      <c r="V627" s="93"/>
      <c r="W627" s="93"/>
      <c r="X627" s="93"/>
      <c r="Y627" s="93"/>
      <c r="AA627" s="95"/>
      <c r="AB627" s="121"/>
      <c r="AC627" s="29" t="str">
        <f t="shared" si="5"/>
        <v>Sim</v>
      </c>
      <c r="AD627" s="37" t="str">
        <f t="shared" si="1"/>
        <v>Não</v>
      </c>
      <c r="AE627" s="94"/>
      <c r="AF627" s="94"/>
      <c r="AG627" s="95"/>
    </row>
    <row r="628" hidden="1">
      <c r="A628" s="115"/>
      <c r="B628" s="93"/>
      <c r="C628" s="93"/>
      <c r="D628" s="93"/>
      <c r="E628" s="116"/>
      <c r="F628" s="95"/>
      <c r="G628" s="95"/>
      <c r="H628" s="94"/>
      <c r="I628" s="94"/>
      <c r="J628" s="117"/>
      <c r="K628" s="118"/>
      <c r="L628" s="119"/>
      <c r="M628" s="94"/>
      <c r="N628" s="94"/>
      <c r="O628" s="93"/>
      <c r="P628" s="120" t="b">
        <v>0</v>
      </c>
      <c r="Q628" s="120" t="b">
        <v>0</v>
      </c>
      <c r="R628" s="120" t="b">
        <v>0</v>
      </c>
      <c r="S628" s="95"/>
      <c r="U628" s="120" t="b">
        <v>0</v>
      </c>
      <c r="V628" s="93"/>
      <c r="W628" s="93"/>
      <c r="X628" s="93"/>
      <c r="Y628" s="93"/>
      <c r="AA628" s="95"/>
      <c r="AB628" s="121"/>
      <c r="AC628" s="29" t="str">
        <f t="shared" si="5"/>
        <v>Sim</v>
      </c>
      <c r="AD628" s="37" t="str">
        <f t="shared" si="1"/>
        <v>Não</v>
      </c>
      <c r="AE628" s="94"/>
      <c r="AF628" s="94"/>
      <c r="AG628" s="95"/>
    </row>
    <row r="629" hidden="1">
      <c r="A629" s="115"/>
      <c r="B629" s="93"/>
      <c r="C629" s="93"/>
      <c r="D629" s="93"/>
      <c r="E629" s="116"/>
      <c r="F629" s="95"/>
      <c r="G629" s="95"/>
      <c r="H629" s="94"/>
      <c r="I629" s="94"/>
      <c r="J629" s="117"/>
      <c r="K629" s="118"/>
      <c r="L629" s="119"/>
      <c r="M629" s="94"/>
      <c r="N629" s="94"/>
      <c r="O629" s="93"/>
      <c r="P629" s="120" t="b">
        <v>0</v>
      </c>
      <c r="Q629" s="120" t="b">
        <v>0</v>
      </c>
      <c r="R629" s="120" t="b">
        <v>0</v>
      </c>
      <c r="S629" s="95"/>
      <c r="U629" s="120" t="b">
        <v>0</v>
      </c>
      <c r="V629" s="93"/>
      <c r="W629" s="93"/>
      <c r="X629" s="93"/>
      <c r="Y629" s="93"/>
      <c r="AA629" s="95"/>
      <c r="AB629" s="121"/>
      <c r="AC629" s="29" t="str">
        <f t="shared" si="5"/>
        <v>Sim</v>
      </c>
      <c r="AD629" s="37" t="str">
        <f t="shared" si="1"/>
        <v>Não</v>
      </c>
      <c r="AE629" s="94"/>
      <c r="AF629" s="94"/>
      <c r="AG629" s="95"/>
    </row>
    <row r="630" hidden="1">
      <c r="A630" s="115"/>
      <c r="B630" s="93"/>
      <c r="C630" s="93"/>
      <c r="D630" s="93"/>
      <c r="E630" s="116"/>
      <c r="F630" s="95"/>
      <c r="G630" s="95"/>
      <c r="H630" s="94"/>
      <c r="I630" s="94"/>
      <c r="J630" s="117"/>
      <c r="K630" s="118"/>
      <c r="L630" s="119"/>
      <c r="M630" s="94"/>
      <c r="N630" s="94"/>
      <c r="O630" s="93"/>
      <c r="P630" s="120" t="b">
        <v>0</v>
      </c>
      <c r="Q630" s="120" t="b">
        <v>0</v>
      </c>
      <c r="R630" s="120" t="b">
        <v>0</v>
      </c>
      <c r="S630" s="95"/>
      <c r="U630" s="120" t="b">
        <v>0</v>
      </c>
      <c r="V630" s="93"/>
      <c r="W630" s="93"/>
      <c r="X630" s="93"/>
      <c r="Y630" s="93"/>
      <c r="AA630" s="95"/>
      <c r="AB630" s="121"/>
      <c r="AC630" s="29" t="str">
        <f t="shared" si="5"/>
        <v>Sim</v>
      </c>
      <c r="AD630" s="37" t="str">
        <f t="shared" si="1"/>
        <v>Não</v>
      </c>
      <c r="AE630" s="94"/>
      <c r="AF630" s="94"/>
      <c r="AG630" s="95"/>
    </row>
    <row r="631" hidden="1">
      <c r="A631" s="115"/>
      <c r="B631" s="93"/>
      <c r="C631" s="93"/>
      <c r="D631" s="93"/>
      <c r="E631" s="116"/>
      <c r="F631" s="95"/>
      <c r="G631" s="95"/>
      <c r="H631" s="94"/>
      <c r="I631" s="94"/>
      <c r="J631" s="117"/>
      <c r="K631" s="118"/>
      <c r="L631" s="119"/>
      <c r="M631" s="94"/>
      <c r="N631" s="94"/>
      <c r="O631" s="93"/>
      <c r="P631" s="120" t="b">
        <v>0</v>
      </c>
      <c r="Q631" s="120" t="b">
        <v>0</v>
      </c>
      <c r="R631" s="120" t="b">
        <v>0</v>
      </c>
      <c r="S631" s="95"/>
      <c r="U631" s="120" t="b">
        <v>0</v>
      </c>
      <c r="V631" s="93"/>
      <c r="W631" s="93"/>
      <c r="X631" s="93"/>
      <c r="Y631" s="93"/>
      <c r="AA631" s="95"/>
      <c r="AB631" s="121"/>
      <c r="AC631" s="29" t="str">
        <f t="shared" si="5"/>
        <v>Sim</v>
      </c>
      <c r="AD631" s="37" t="str">
        <f t="shared" si="1"/>
        <v>Não</v>
      </c>
      <c r="AE631" s="94"/>
      <c r="AF631" s="94"/>
      <c r="AG631" s="95"/>
    </row>
    <row r="632" hidden="1">
      <c r="A632" s="115"/>
      <c r="B632" s="93"/>
      <c r="C632" s="93"/>
      <c r="D632" s="93"/>
      <c r="E632" s="116"/>
      <c r="F632" s="95"/>
      <c r="G632" s="95"/>
      <c r="H632" s="94"/>
      <c r="I632" s="94"/>
      <c r="J632" s="117"/>
      <c r="K632" s="118"/>
      <c r="L632" s="119"/>
      <c r="M632" s="94"/>
      <c r="N632" s="94"/>
      <c r="O632" s="93"/>
      <c r="P632" s="120" t="b">
        <v>0</v>
      </c>
      <c r="Q632" s="120" t="b">
        <v>0</v>
      </c>
      <c r="R632" s="120" t="b">
        <v>0</v>
      </c>
      <c r="S632" s="95"/>
      <c r="U632" s="120" t="b">
        <v>0</v>
      </c>
      <c r="V632" s="93"/>
      <c r="W632" s="93"/>
      <c r="X632" s="93"/>
      <c r="Y632" s="93"/>
      <c r="AA632" s="95"/>
      <c r="AB632" s="121"/>
      <c r="AC632" s="29" t="str">
        <f t="shared" si="5"/>
        <v>Sim</v>
      </c>
      <c r="AD632" s="37" t="str">
        <f t="shared" si="1"/>
        <v>Não</v>
      </c>
      <c r="AE632" s="94"/>
      <c r="AF632" s="94"/>
      <c r="AG632" s="95"/>
    </row>
    <row r="633" hidden="1">
      <c r="A633" s="115"/>
      <c r="B633" s="93"/>
      <c r="C633" s="93"/>
      <c r="D633" s="93"/>
      <c r="E633" s="116"/>
      <c r="F633" s="95"/>
      <c r="G633" s="95"/>
      <c r="H633" s="94"/>
      <c r="I633" s="94"/>
      <c r="J633" s="117"/>
      <c r="K633" s="118"/>
      <c r="L633" s="119"/>
      <c r="M633" s="94"/>
      <c r="N633" s="94"/>
      <c r="O633" s="93"/>
      <c r="P633" s="120" t="b">
        <v>0</v>
      </c>
      <c r="Q633" s="120" t="b">
        <v>0</v>
      </c>
      <c r="R633" s="120" t="b">
        <v>0</v>
      </c>
      <c r="S633" s="95"/>
      <c r="U633" s="120" t="b">
        <v>0</v>
      </c>
      <c r="V633" s="93"/>
      <c r="W633" s="93"/>
      <c r="X633" s="93"/>
      <c r="Y633" s="93"/>
      <c r="AA633" s="95"/>
      <c r="AB633" s="121"/>
      <c r="AC633" s="29" t="str">
        <f t="shared" si="5"/>
        <v>Sim</v>
      </c>
      <c r="AD633" s="37" t="str">
        <f t="shared" si="1"/>
        <v>Não</v>
      </c>
      <c r="AE633" s="94"/>
      <c r="AF633" s="94"/>
      <c r="AG633" s="95"/>
    </row>
    <row r="634" hidden="1">
      <c r="A634" s="115"/>
      <c r="B634" s="93"/>
      <c r="C634" s="93"/>
      <c r="D634" s="93"/>
      <c r="E634" s="116"/>
      <c r="F634" s="95"/>
      <c r="G634" s="95"/>
      <c r="H634" s="94"/>
      <c r="I634" s="94"/>
      <c r="J634" s="117"/>
      <c r="K634" s="118"/>
      <c r="L634" s="119"/>
      <c r="M634" s="94"/>
      <c r="N634" s="94"/>
      <c r="O634" s="93"/>
      <c r="P634" s="120" t="b">
        <v>0</v>
      </c>
      <c r="Q634" s="120" t="b">
        <v>0</v>
      </c>
      <c r="R634" s="120" t="b">
        <v>0</v>
      </c>
      <c r="S634" s="95"/>
      <c r="U634" s="120" t="b">
        <v>0</v>
      </c>
      <c r="V634" s="93"/>
      <c r="W634" s="93"/>
      <c r="X634" s="93"/>
      <c r="Y634" s="93"/>
      <c r="AA634" s="95"/>
      <c r="AB634" s="121"/>
      <c r="AC634" s="29" t="str">
        <f t="shared" si="5"/>
        <v>Sim</v>
      </c>
      <c r="AD634" s="37" t="str">
        <f t="shared" si="1"/>
        <v>Não</v>
      </c>
      <c r="AE634" s="94"/>
      <c r="AF634" s="94"/>
      <c r="AG634" s="95"/>
    </row>
    <row r="635" hidden="1">
      <c r="A635" s="115"/>
      <c r="B635" s="93"/>
      <c r="C635" s="93"/>
      <c r="D635" s="93"/>
      <c r="E635" s="116"/>
      <c r="F635" s="95"/>
      <c r="G635" s="95"/>
      <c r="H635" s="94"/>
      <c r="I635" s="94"/>
      <c r="J635" s="117"/>
      <c r="K635" s="118"/>
      <c r="L635" s="119"/>
      <c r="M635" s="94"/>
      <c r="N635" s="94"/>
      <c r="O635" s="93"/>
      <c r="P635" s="120" t="b">
        <v>0</v>
      </c>
      <c r="Q635" s="120" t="b">
        <v>0</v>
      </c>
      <c r="R635" s="120" t="b">
        <v>0</v>
      </c>
      <c r="S635" s="95"/>
      <c r="U635" s="120" t="b">
        <v>0</v>
      </c>
      <c r="V635" s="93"/>
      <c r="W635" s="93"/>
      <c r="X635" s="93"/>
      <c r="Y635" s="93"/>
      <c r="AA635" s="95"/>
      <c r="AB635" s="121"/>
      <c r="AC635" s="29" t="str">
        <f t="shared" si="5"/>
        <v>Sim</v>
      </c>
      <c r="AD635" s="37" t="str">
        <f t="shared" si="1"/>
        <v>Não</v>
      </c>
      <c r="AE635" s="94"/>
      <c r="AF635" s="94"/>
      <c r="AG635" s="95"/>
    </row>
    <row r="636" hidden="1">
      <c r="A636" s="115"/>
      <c r="B636" s="93"/>
      <c r="C636" s="93"/>
      <c r="D636" s="93"/>
      <c r="E636" s="116"/>
      <c r="F636" s="95"/>
      <c r="G636" s="95"/>
      <c r="H636" s="94"/>
      <c r="I636" s="94"/>
      <c r="J636" s="117"/>
      <c r="K636" s="118"/>
      <c r="L636" s="119"/>
      <c r="M636" s="94"/>
      <c r="N636" s="94"/>
      <c r="O636" s="93"/>
      <c r="P636" s="120" t="b">
        <v>0</v>
      </c>
      <c r="Q636" s="120" t="b">
        <v>0</v>
      </c>
      <c r="R636" s="120" t="b">
        <v>0</v>
      </c>
      <c r="S636" s="95"/>
      <c r="U636" s="120" t="b">
        <v>0</v>
      </c>
      <c r="V636" s="93"/>
      <c r="W636" s="93"/>
      <c r="X636" s="93"/>
      <c r="Y636" s="93"/>
      <c r="AA636" s="95"/>
      <c r="AB636" s="121"/>
      <c r="AC636" s="29" t="str">
        <f t="shared" si="5"/>
        <v>Sim</v>
      </c>
      <c r="AD636" s="37" t="str">
        <f t="shared" si="1"/>
        <v>Não</v>
      </c>
      <c r="AE636" s="94"/>
      <c r="AF636" s="94"/>
      <c r="AG636" s="95"/>
    </row>
    <row r="637" hidden="1">
      <c r="A637" s="115"/>
      <c r="B637" s="93"/>
      <c r="C637" s="93"/>
      <c r="D637" s="93"/>
      <c r="E637" s="116"/>
      <c r="F637" s="95"/>
      <c r="G637" s="95"/>
      <c r="H637" s="94"/>
      <c r="I637" s="94"/>
      <c r="J637" s="117"/>
      <c r="K637" s="118"/>
      <c r="L637" s="119"/>
      <c r="M637" s="94"/>
      <c r="N637" s="94"/>
      <c r="O637" s="93"/>
      <c r="P637" s="120" t="b">
        <v>0</v>
      </c>
      <c r="Q637" s="120" t="b">
        <v>0</v>
      </c>
      <c r="R637" s="120" t="b">
        <v>0</v>
      </c>
      <c r="S637" s="95"/>
      <c r="U637" s="120" t="b">
        <v>0</v>
      </c>
      <c r="V637" s="93"/>
      <c r="W637" s="93"/>
      <c r="X637" s="93"/>
      <c r="Y637" s="93"/>
      <c r="AA637" s="95"/>
      <c r="AB637" s="121"/>
      <c r="AC637" s="29" t="str">
        <f t="shared" si="5"/>
        <v>Sim</v>
      </c>
      <c r="AD637" s="37" t="str">
        <f t="shared" si="1"/>
        <v>Não</v>
      </c>
      <c r="AE637" s="94"/>
      <c r="AF637" s="94"/>
      <c r="AG637" s="95"/>
    </row>
    <row r="638" hidden="1">
      <c r="A638" s="115"/>
      <c r="B638" s="93"/>
      <c r="C638" s="93"/>
      <c r="D638" s="93"/>
      <c r="E638" s="116"/>
      <c r="F638" s="95"/>
      <c r="G638" s="95"/>
      <c r="H638" s="94"/>
      <c r="I638" s="94"/>
      <c r="J638" s="117"/>
      <c r="K638" s="118"/>
      <c r="L638" s="119"/>
      <c r="M638" s="94"/>
      <c r="N638" s="94"/>
      <c r="O638" s="93"/>
      <c r="P638" s="120" t="b">
        <v>0</v>
      </c>
      <c r="Q638" s="120" t="b">
        <v>0</v>
      </c>
      <c r="R638" s="120" t="b">
        <v>0</v>
      </c>
      <c r="S638" s="95"/>
      <c r="U638" s="120" t="b">
        <v>0</v>
      </c>
      <c r="V638" s="93"/>
      <c r="W638" s="93"/>
      <c r="X638" s="93"/>
      <c r="Y638" s="93"/>
      <c r="AA638" s="95"/>
      <c r="AB638" s="121"/>
      <c r="AC638" s="29" t="str">
        <f t="shared" si="5"/>
        <v>Sim</v>
      </c>
      <c r="AD638" s="37" t="str">
        <f t="shared" si="1"/>
        <v>Não</v>
      </c>
      <c r="AE638" s="94"/>
      <c r="AF638" s="94"/>
      <c r="AG638" s="95"/>
    </row>
    <row r="639" hidden="1">
      <c r="A639" s="115"/>
      <c r="B639" s="93"/>
      <c r="C639" s="93"/>
      <c r="D639" s="93"/>
      <c r="E639" s="116"/>
      <c r="F639" s="95"/>
      <c r="G639" s="95"/>
      <c r="H639" s="94"/>
      <c r="I639" s="94"/>
      <c r="J639" s="117"/>
      <c r="K639" s="118"/>
      <c r="L639" s="119"/>
      <c r="M639" s="94"/>
      <c r="N639" s="94"/>
      <c r="O639" s="93"/>
      <c r="P639" s="120" t="b">
        <v>0</v>
      </c>
      <c r="Q639" s="120" t="b">
        <v>0</v>
      </c>
      <c r="R639" s="120" t="b">
        <v>0</v>
      </c>
      <c r="S639" s="95"/>
      <c r="U639" s="120" t="b">
        <v>0</v>
      </c>
      <c r="V639" s="93"/>
      <c r="W639" s="93"/>
      <c r="X639" s="93"/>
      <c r="Y639" s="93"/>
      <c r="AA639" s="95"/>
      <c r="AB639" s="121"/>
      <c r="AC639" s="29" t="str">
        <f t="shared" si="5"/>
        <v>Sim</v>
      </c>
      <c r="AD639" s="37" t="str">
        <f t="shared" si="1"/>
        <v>Não</v>
      </c>
      <c r="AE639" s="94"/>
      <c r="AF639" s="94"/>
      <c r="AG639" s="95"/>
    </row>
    <row r="640" hidden="1">
      <c r="A640" s="115"/>
      <c r="B640" s="93"/>
      <c r="C640" s="93"/>
      <c r="D640" s="93"/>
      <c r="E640" s="116"/>
      <c r="F640" s="95"/>
      <c r="G640" s="95"/>
      <c r="H640" s="94"/>
      <c r="I640" s="94"/>
      <c r="J640" s="117"/>
      <c r="K640" s="118"/>
      <c r="L640" s="119"/>
      <c r="M640" s="94"/>
      <c r="N640" s="94"/>
      <c r="O640" s="93"/>
      <c r="P640" s="120" t="b">
        <v>0</v>
      </c>
      <c r="Q640" s="120" t="b">
        <v>0</v>
      </c>
      <c r="R640" s="120" t="b">
        <v>0</v>
      </c>
      <c r="S640" s="95"/>
      <c r="U640" s="120" t="b">
        <v>0</v>
      </c>
      <c r="V640" s="93"/>
      <c r="W640" s="93"/>
      <c r="X640" s="93"/>
      <c r="Y640" s="93"/>
      <c r="AA640" s="95"/>
      <c r="AB640" s="121"/>
      <c r="AC640" s="29" t="str">
        <f t="shared" si="5"/>
        <v>Sim</v>
      </c>
      <c r="AD640" s="37" t="str">
        <f t="shared" si="1"/>
        <v>Não</v>
      </c>
      <c r="AE640" s="94"/>
      <c r="AF640" s="94"/>
      <c r="AG640" s="95"/>
    </row>
    <row r="641" hidden="1">
      <c r="A641" s="115"/>
      <c r="B641" s="93"/>
      <c r="C641" s="93"/>
      <c r="D641" s="93"/>
      <c r="E641" s="116"/>
      <c r="F641" s="95"/>
      <c r="G641" s="95"/>
      <c r="H641" s="94"/>
      <c r="I641" s="94"/>
      <c r="J641" s="117"/>
      <c r="K641" s="118"/>
      <c r="L641" s="119"/>
      <c r="M641" s="94"/>
      <c r="N641" s="94"/>
      <c r="O641" s="93"/>
      <c r="P641" s="120" t="b">
        <v>0</v>
      </c>
      <c r="Q641" s="120" t="b">
        <v>0</v>
      </c>
      <c r="R641" s="120" t="b">
        <v>0</v>
      </c>
      <c r="S641" s="95"/>
      <c r="U641" s="120" t="b">
        <v>0</v>
      </c>
      <c r="V641" s="93"/>
      <c r="W641" s="93"/>
      <c r="X641" s="93"/>
      <c r="Y641" s="93"/>
      <c r="AA641" s="95"/>
      <c r="AB641" s="121"/>
      <c r="AC641" s="29" t="str">
        <f t="shared" si="5"/>
        <v>Sim</v>
      </c>
      <c r="AD641" s="37" t="str">
        <f t="shared" si="1"/>
        <v>Não</v>
      </c>
      <c r="AE641" s="94"/>
      <c r="AF641" s="94"/>
      <c r="AG641" s="95"/>
    </row>
    <row r="642" hidden="1">
      <c r="A642" s="115"/>
      <c r="B642" s="93"/>
      <c r="C642" s="93"/>
      <c r="D642" s="93"/>
      <c r="E642" s="116"/>
      <c r="F642" s="95"/>
      <c r="G642" s="95"/>
      <c r="H642" s="94"/>
      <c r="I642" s="94"/>
      <c r="J642" s="117"/>
      <c r="K642" s="118"/>
      <c r="L642" s="119"/>
      <c r="M642" s="94"/>
      <c r="N642" s="94"/>
      <c r="O642" s="93"/>
      <c r="P642" s="120" t="b">
        <v>0</v>
      </c>
      <c r="Q642" s="120" t="b">
        <v>0</v>
      </c>
      <c r="R642" s="120" t="b">
        <v>0</v>
      </c>
      <c r="S642" s="95"/>
      <c r="U642" s="120" t="b">
        <v>0</v>
      </c>
      <c r="V642" s="93"/>
      <c r="W642" s="93"/>
      <c r="X642" s="93"/>
      <c r="Y642" s="93"/>
      <c r="AA642" s="95"/>
      <c r="AB642" s="121"/>
      <c r="AC642" s="29" t="str">
        <f t="shared" si="5"/>
        <v>Sim</v>
      </c>
      <c r="AD642" s="37" t="str">
        <f t="shared" si="1"/>
        <v>Não</v>
      </c>
      <c r="AE642" s="94"/>
      <c r="AF642" s="94"/>
      <c r="AG642" s="95"/>
    </row>
    <row r="643" hidden="1">
      <c r="A643" s="115"/>
      <c r="B643" s="93"/>
      <c r="C643" s="93"/>
      <c r="D643" s="93"/>
      <c r="E643" s="116"/>
      <c r="F643" s="95"/>
      <c r="G643" s="95"/>
      <c r="H643" s="94"/>
      <c r="I643" s="94"/>
      <c r="J643" s="117"/>
      <c r="K643" s="118"/>
      <c r="L643" s="119"/>
      <c r="M643" s="94"/>
      <c r="N643" s="94"/>
      <c r="O643" s="93"/>
      <c r="P643" s="120" t="b">
        <v>0</v>
      </c>
      <c r="Q643" s="120" t="b">
        <v>0</v>
      </c>
      <c r="R643" s="120" t="b">
        <v>0</v>
      </c>
      <c r="S643" s="95"/>
      <c r="U643" s="120" t="b">
        <v>0</v>
      </c>
      <c r="V643" s="93"/>
      <c r="W643" s="93"/>
      <c r="X643" s="93"/>
      <c r="Y643" s="93"/>
      <c r="AA643" s="95"/>
      <c r="AB643" s="121"/>
      <c r="AC643" s="29" t="str">
        <f t="shared" si="5"/>
        <v>Sim</v>
      </c>
      <c r="AD643" s="37" t="str">
        <f t="shared" si="1"/>
        <v>Não</v>
      </c>
      <c r="AE643" s="94"/>
      <c r="AF643" s="94"/>
      <c r="AG643" s="95"/>
    </row>
    <row r="644" hidden="1">
      <c r="A644" s="115"/>
      <c r="B644" s="93"/>
      <c r="C644" s="93"/>
      <c r="D644" s="93"/>
      <c r="E644" s="116"/>
      <c r="F644" s="95"/>
      <c r="G644" s="95"/>
      <c r="H644" s="94"/>
      <c r="I644" s="94"/>
      <c r="J644" s="117"/>
      <c r="K644" s="118"/>
      <c r="L644" s="119"/>
      <c r="M644" s="94"/>
      <c r="N644" s="94"/>
      <c r="O644" s="93"/>
      <c r="P644" s="120" t="b">
        <v>0</v>
      </c>
      <c r="Q644" s="120" t="b">
        <v>0</v>
      </c>
      <c r="R644" s="120" t="b">
        <v>0</v>
      </c>
      <c r="S644" s="95"/>
      <c r="U644" s="120" t="b">
        <v>0</v>
      </c>
      <c r="V644" s="93"/>
      <c r="W644" s="93"/>
      <c r="X644" s="93"/>
      <c r="Y644" s="93"/>
      <c r="AA644" s="95"/>
      <c r="AB644" s="121"/>
      <c r="AC644" s="29" t="str">
        <f t="shared" si="5"/>
        <v>Sim</v>
      </c>
      <c r="AD644" s="37" t="str">
        <f t="shared" si="1"/>
        <v>Não</v>
      </c>
      <c r="AE644" s="94"/>
      <c r="AF644" s="94"/>
      <c r="AG644" s="95"/>
    </row>
    <row r="645" hidden="1">
      <c r="A645" s="115"/>
      <c r="B645" s="93"/>
      <c r="C645" s="93"/>
      <c r="D645" s="93"/>
      <c r="E645" s="116"/>
      <c r="F645" s="95"/>
      <c r="G645" s="95"/>
      <c r="H645" s="94"/>
      <c r="I645" s="94"/>
      <c r="J645" s="117"/>
      <c r="K645" s="118"/>
      <c r="L645" s="119"/>
      <c r="M645" s="94"/>
      <c r="N645" s="94"/>
      <c r="O645" s="93"/>
      <c r="P645" s="120" t="b">
        <v>0</v>
      </c>
      <c r="Q645" s="120" t="b">
        <v>0</v>
      </c>
      <c r="R645" s="120" t="b">
        <v>0</v>
      </c>
      <c r="S645" s="95"/>
      <c r="U645" s="120" t="b">
        <v>0</v>
      </c>
      <c r="V645" s="93"/>
      <c r="W645" s="93"/>
      <c r="X645" s="93"/>
      <c r="Y645" s="93"/>
      <c r="AA645" s="95"/>
      <c r="AB645" s="121"/>
      <c r="AC645" s="29" t="str">
        <f t="shared" si="5"/>
        <v>Sim</v>
      </c>
      <c r="AD645" s="37" t="str">
        <f t="shared" si="1"/>
        <v>Não</v>
      </c>
      <c r="AE645" s="94"/>
      <c r="AF645" s="94"/>
      <c r="AG645" s="95"/>
    </row>
    <row r="646" hidden="1">
      <c r="A646" s="115"/>
      <c r="B646" s="93"/>
      <c r="C646" s="93"/>
      <c r="D646" s="93"/>
      <c r="E646" s="116"/>
      <c r="F646" s="95"/>
      <c r="G646" s="95"/>
      <c r="H646" s="94"/>
      <c r="I646" s="94"/>
      <c r="J646" s="117"/>
      <c r="K646" s="118"/>
      <c r="L646" s="119"/>
      <c r="M646" s="94"/>
      <c r="N646" s="94"/>
      <c r="O646" s="93"/>
      <c r="P646" s="120" t="b">
        <v>0</v>
      </c>
      <c r="Q646" s="120" t="b">
        <v>0</v>
      </c>
      <c r="R646" s="120" t="b">
        <v>0</v>
      </c>
      <c r="S646" s="95"/>
      <c r="U646" s="120" t="b">
        <v>0</v>
      </c>
      <c r="V646" s="93"/>
      <c r="W646" s="93"/>
      <c r="X646" s="93"/>
      <c r="Y646" s="93"/>
      <c r="AA646" s="95"/>
      <c r="AB646" s="121"/>
      <c r="AC646" s="29" t="str">
        <f t="shared" si="5"/>
        <v>Sim</v>
      </c>
      <c r="AD646" s="37" t="str">
        <f t="shared" si="1"/>
        <v>Não</v>
      </c>
      <c r="AE646" s="94"/>
      <c r="AF646" s="94"/>
      <c r="AG646" s="95"/>
    </row>
    <row r="647" hidden="1">
      <c r="A647" s="115"/>
      <c r="B647" s="93"/>
      <c r="C647" s="93"/>
      <c r="D647" s="93"/>
      <c r="E647" s="116"/>
      <c r="F647" s="95"/>
      <c r="G647" s="95"/>
      <c r="H647" s="94"/>
      <c r="I647" s="94"/>
      <c r="J647" s="117"/>
      <c r="K647" s="118"/>
      <c r="L647" s="119"/>
      <c r="M647" s="94"/>
      <c r="N647" s="94"/>
      <c r="O647" s="93"/>
      <c r="P647" s="120" t="b">
        <v>0</v>
      </c>
      <c r="Q647" s="120" t="b">
        <v>0</v>
      </c>
      <c r="R647" s="120" t="b">
        <v>0</v>
      </c>
      <c r="S647" s="95"/>
      <c r="U647" s="120" t="b">
        <v>0</v>
      </c>
      <c r="V647" s="93"/>
      <c r="W647" s="93"/>
      <c r="X647" s="93"/>
      <c r="Y647" s="93"/>
      <c r="AA647" s="95"/>
      <c r="AB647" s="121"/>
      <c r="AC647" s="29" t="str">
        <f t="shared" si="5"/>
        <v>Sim</v>
      </c>
      <c r="AD647" s="37" t="str">
        <f t="shared" si="1"/>
        <v>Não</v>
      </c>
      <c r="AE647" s="94"/>
      <c r="AF647" s="94"/>
      <c r="AG647" s="95"/>
    </row>
    <row r="648" hidden="1">
      <c r="A648" s="115"/>
      <c r="B648" s="93"/>
      <c r="C648" s="93"/>
      <c r="D648" s="93"/>
      <c r="E648" s="116"/>
      <c r="F648" s="95"/>
      <c r="G648" s="95"/>
      <c r="H648" s="94"/>
      <c r="I648" s="94"/>
      <c r="J648" s="117"/>
      <c r="K648" s="118"/>
      <c r="L648" s="119"/>
      <c r="M648" s="94"/>
      <c r="N648" s="94"/>
      <c r="O648" s="93"/>
      <c r="P648" s="120" t="b">
        <v>0</v>
      </c>
      <c r="Q648" s="120" t="b">
        <v>0</v>
      </c>
      <c r="R648" s="120" t="b">
        <v>0</v>
      </c>
      <c r="S648" s="95"/>
      <c r="U648" s="120" t="b">
        <v>0</v>
      </c>
      <c r="V648" s="93"/>
      <c r="W648" s="93"/>
      <c r="X648" s="93"/>
      <c r="Y648" s="93"/>
      <c r="AA648" s="95"/>
      <c r="AB648" s="121"/>
      <c r="AC648" s="29" t="str">
        <f t="shared" si="5"/>
        <v>Sim</v>
      </c>
      <c r="AD648" s="37" t="str">
        <f t="shared" si="1"/>
        <v>Não</v>
      </c>
      <c r="AE648" s="94"/>
      <c r="AF648" s="94"/>
      <c r="AG648" s="95"/>
    </row>
    <row r="649" hidden="1">
      <c r="A649" s="115"/>
      <c r="B649" s="93"/>
      <c r="C649" s="93"/>
      <c r="D649" s="93"/>
      <c r="E649" s="116"/>
      <c r="F649" s="95"/>
      <c r="G649" s="95"/>
      <c r="H649" s="94"/>
      <c r="I649" s="94"/>
      <c r="J649" s="117"/>
      <c r="K649" s="118"/>
      <c r="L649" s="119"/>
      <c r="M649" s="94"/>
      <c r="N649" s="94"/>
      <c r="O649" s="93"/>
      <c r="P649" s="120" t="b">
        <v>0</v>
      </c>
      <c r="Q649" s="120" t="b">
        <v>0</v>
      </c>
      <c r="R649" s="120" t="b">
        <v>0</v>
      </c>
      <c r="S649" s="95"/>
      <c r="U649" s="120" t="b">
        <v>0</v>
      </c>
      <c r="V649" s="93"/>
      <c r="W649" s="93"/>
      <c r="X649" s="93"/>
      <c r="Y649" s="93"/>
      <c r="AA649" s="95"/>
      <c r="AB649" s="121"/>
      <c r="AC649" s="29" t="str">
        <f t="shared" si="5"/>
        <v>Sim</v>
      </c>
      <c r="AD649" s="37" t="str">
        <f t="shared" si="1"/>
        <v>Não</v>
      </c>
      <c r="AE649" s="94"/>
      <c r="AF649" s="94"/>
      <c r="AG649" s="95"/>
    </row>
    <row r="650" hidden="1">
      <c r="A650" s="115"/>
      <c r="B650" s="93"/>
      <c r="C650" s="93"/>
      <c r="D650" s="93"/>
      <c r="E650" s="116"/>
      <c r="F650" s="95"/>
      <c r="G650" s="95"/>
      <c r="H650" s="94"/>
      <c r="I650" s="94"/>
      <c r="J650" s="117"/>
      <c r="K650" s="118"/>
      <c r="L650" s="119"/>
      <c r="M650" s="94"/>
      <c r="N650" s="94"/>
      <c r="O650" s="93"/>
      <c r="P650" s="120" t="b">
        <v>0</v>
      </c>
      <c r="Q650" s="120" t="b">
        <v>0</v>
      </c>
      <c r="R650" s="120" t="b">
        <v>0</v>
      </c>
      <c r="S650" s="95"/>
      <c r="U650" s="120" t="b">
        <v>0</v>
      </c>
      <c r="V650" s="93"/>
      <c r="W650" s="93"/>
      <c r="X650" s="93"/>
      <c r="Y650" s="93"/>
      <c r="AA650" s="95"/>
      <c r="AB650" s="121"/>
      <c r="AC650" s="29" t="str">
        <f t="shared" si="5"/>
        <v>Sim</v>
      </c>
      <c r="AD650" s="37" t="str">
        <f t="shared" si="1"/>
        <v>Não</v>
      </c>
      <c r="AE650" s="94"/>
      <c r="AF650" s="94"/>
      <c r="AG650" s="95"/>
    </row>
    <row r="651" hidden="1">
      <c r="A651" s="115"/>
      <c r="B651" s="93"/>
      <c r="C651" s="93"/>
      <c r="D651" s="93"/>
      <c r="E651" s="116"/>
      <c r="F651" s="95"/>
      <c r="G651" s="95"/>
      <c r="H651" s="94"/>
      <c r="I651" s="94"/>
      <c r="J651" s="117"/>
      <c r="K651" s="118"/>
      <c r="L651" s="119"/>
      <c r="M651" s="94"/>
      <c r="N651" s="94"/>
      <c r="O651" s="93"/>
      <c r="P651" s="120" t="b">
        <v>0</v>
      </c>
      <c r="Q651" s="120" t="b">
        <v>0</v>
      </c>
      <c r="R651" s="120" t="b">
        <v>0</v>
      </c>
      <c r="S651" s="95"/>
      <c r="U651" s="120" t="b">
        <v>0</v>
      </c>
      <c r="V651" s="93"/>
      <c r="W651" s="93"/>
      <c r="X651" s="93"/>
      <c r="Y651" s="93"/>
      <c r="AA651" s="95"/>
      <c r="AB651" s="121"/>
      <c r="AC651" s="29" t="str">
        <f t="shared" si="5"/>
        <v>Sim</v>
      </c>
      <c r="AD651" s="37" t="str">
        <f t="shared" si="1"/>
        <v>Não</v>
      </c>
      <c r="AE651" s="94"/>
      <c r="AF651" s="94"/>
      <c r="AG651" s="95"/>
    </row>
    <row r="652" hidden="1">
      <c r="A652" s="115"/>
      <c r="B652" s="93"/>
      <c r="C652" s="93"/>
      <c r="D652" s="93"/>
      <c r="E652" s="116"/>
      <c r="F652" s="95"/>
      <c r="G652" s="95"/>
      <c r="H652" s="94"/>
      <c r="I652" s="94"/>
      <c r="J652" s="117"/>
      <c r="K652" s="118"/>
      <c r="L652" s="119"/>
      <c r="M652" s="94"/>
      <c r="N652" s="94"/>
      <c r="O652" s="93"/>
      <c r="P652" s="120" t="b">
        <v>0</v>
      </c>
      <c r="Q652" s="120" t="b">
        <v>0</v>
      </c>
      <c r="R652" s="120" t="b">
        <v>0</v>
      </c>
      <c r="S652" s="95"/>
      <c r="U652" s="120" t="b">
        <v>0</v>
      </c>
      <c r="V652" s="93"/>
      <c r="W652" s="93"/>
      <c r="X652" s="93"/>
      <c r="Y652" s="93"/>
      <c r="AA652" s="95"/>
      <c r="AB652" s="121"/>
      <c r="AC652" s="29" t="str">
        <f t="shared" si="5"/>
        <v>Sim</v>
      </c>
      <c r="AD652" s="37" t="str">
        <f t="shared" si="1"/>
        <v>Não</v>
      </c>
      <c r="AE652" s="94"/>
      <c r="AF652" s="94"/>
      <c r="AG652" s="95"/>
    </row>
    <row r="653" hidden="1">
      <c r="A653" s="115"/>
      <c r="B653" s="93"/>
      <c r="C653" s="93"/>
      <c r="D653" s="93"/>
      <c r="E653" s="116"/>
      <c r="F653" s="95"/>
      <c r="G653" s="95"/>
      <c r="H653" s="94"/>
      <c r="I653" s="94"/>
      <c r="J653" s="117"/>
      <c r="K653" s="118"/>
      <c r="L653" s="119"/>
      <c r="M653" s="94"/>
      <c r="N653" s="94"/>
      <c r="O653" s="93"/>
      <c r="P653" s="120" t="b">
        <v>0</v>
      </c>
      <c r="Q653" s="120" t="b">
        <v>0</v>
      </c>
      <c r="R653" s="120" t="b">
        <v>0</v>
      </c>
      <c r="S653" s="95"/>
      <c r="U653" s="120" t="b">
        <v>0</v>
      </c>
      <c r="V653" s="93"/>
      <c r="W653" s="93"/>
      <c r="X653" s="93"/>
      <c r="Y653" s="93"/>
      <c r="AA653" s="95"/>
      <c r="AB653" s="121"/>
      <c r="AC653" s="29" t="str">
        <f t="shared" si="5"/>
        <v>Sim</v>
      </c>
      <c r="AD653" s="37" t="str">
        <f t="shared" si="1"/>
        <v>Não</v>
      </c>
      <c r="AE653" s="94"/>
      <c r="AF653" s="94"/>
      <c r="AG653" s="95"/>
    </row>
    <row r="654" hidden="1">
      <c r="A654" s="115"/>
      <c r="B654" s="93"/>
      <c r="C654" s="93"/>
      <c r="D654" s="93"/>
      <c r="E654" s="116"/>
      <c r="F654" s="95"/>
      <c r="G654" s="95"/>
      <c r="H654" s="94"/>
      <c r="I654" s="94"/>
      <c r="J654" s="117"/>
      <c r="K654" s="118"/>
      <c r="L654" s="119"/>
      <c r="M654" s="94"/>
      <c r="N654" s="94"/>
      <c r="O654" s="93"/>
      <c r="P654" s="120" t="b">
        <v>0</v>
      </c>
      <c r="Q654" s="120" t="b">
        <v>0</v>
      </c>
      <c r="R654" s="120" t="b">
        <v>0</v>
      </c>
      <c r="S654" s="95"/>
      <c r="U654" s="120" t="b">
        <v>0</v>
      </c>
      <c r="V654" s="93"/>
      <c r="W654" s="93"/>
      <c r="X654" s="93"/>
      <c r="Y654" s="93"/>
      <c r="AA654" s="95"/>
      <c r="AB654" s="121"/>
      <c r="AC654" s="29" t="str">
        <f t="shared" si="5"/>
        <v>Sim</v>
      </c>
      <c r="AD654" s="37" t="str">
        <f t="shared" si="1"/>
        <v>Não</v>
      </c>
      <c r="AE654" s="94"/>
      <c r="AF654" s="94"/>
      <c r="AG654" s="95"/>
    </row>
    <row r="655" hidden="1">
      <c r="A655" s="115"/>
      <c r="B655" s="93"/>
      <c r="C655" s="93"/>
      <c r="D655" s="93"/>
      <c r="E655" s="116"/>
      <c r="F655" s="95"/>
      <c r="G655" s="95"/>
      <c r="H655" s="94"/>
      <c r="I655" s="94"/>
      <c r="J655" s="117"/>
      <c r="K655" s="118"/>
      <c r="L655" s="119"/>
      <c r="M655" s="94"/>
      <c r="N655" s="94"/>
      <c r="O655" s="93"/>
      <c r="P655" s="120" t="b">
        <v>0</v>
      </c>
      <c r="Q655" s="120" t="b">
        <v>0</v>
      </c>
      <c r="R655" s="120" t="b">
        <v>0</v>
      </c>
      <c r="S655" s="95"/>
      <c r="U655" s="120" t="b">
        <v>0</v>
      </c>
      <c r="V655" s="93"/>
      <c r="W655" s="93"/>
      <c r="X655" s="93"/>
      <c r="Y655" s="93"/>
      <c r="AA655" s="95"/>
      <c r="AB655" s="121"/>
      <c r="AC655" s="29" t="str">
        <f t="shared" si="5"/>
        <v>Sim</v>
      </c>
      <c r="AD655" s="37" t="str">
        <f t="shared" si="1"/>
        <v>Não</v>
      </c>
      <c r="AE655" s="94"/>
      <c r="AF655" s="94"/>
      <c r="AG655" s="95"/>
    </row>
    <row r="656" hidden="1">
      <c r="A656" s="115"/>
      <c r="B656" s="93"/>
      <c r="C656" s="93"/>
      <c r="D656" s="93"/>
      <c r="E656" s="116"/>
      <c r="F656" s="95"/>
      <c r="G656" s="95"/>
      <c r="H656" s="94"/>
      <c r="I656" s="94"/>
      <c r="J656" s="117"/>
      <c r="K656" s="118"/>
      <c r="L656" s="119"/>
      <c r="M656" s="94"/>
      <c r="N656" s="94"/>
      <c r="O656" s="93"/>
      <c r="P656" s="120" t="b">
        <v>0</v>
      </c>
      <c r="Q656" s="120" t="b">
        <v>0</v>
      </c>
      <c r="R656" s="120" t="b">
        <v>0</v>
      </c>
      <c r="S656" s="95"/>
      <c r="U656" s="120" t="b">
        <v>0</v>
      </c>
      <c r="V656" s="93"/>
      <c r="W656" s="93"/>
      <c r="X656" s="93"/>
      <c r="Y656" s="93"/>
      <c r="AA656" s="95"/>
      <c r="AB656" s="121"/>
      <c r="AC656" s="29" t="str">
        <f t="shared" si="5"/>
        <v>Sim</v>
      </c>
      <c r="AD656" s="37" t="str">
        <f t="shared" si="1"/>
        <v>Não</v>
      </c>
      <c r="AE656" s="94"/>
      <c r="AF656" s="94"/>
      <c r="AG656" s="95"/>
    </row>
    <row r="657" hidden="1">
      <c r="A657" s="115"/>
      <c r="B657" s="93"/>
      <c r="C657" s="93"/>
      <c r="D657" s="93"/>
      <c r="E657" s="116"/>
      <c r="F657" s="95"/>
      <c r="G657" s="95"/>
      <c r="H657" s="94"/>
      <c r="I657" s="94"/>
      <c r="J657" s="117"/>
      <c r="K657" s="118"/>
      <c r="L657" s="119"/>
      <c r="M657" s="94"/>
      <c r="N657" s="94"/>
      <c r="O657" s="93"/>
      <c r="P657" s="120" t="b">
        <v>0</v>
      </c>
      <c r="Q657" s="120" t="b">
        <v>0</v>
      </c>
      <c r="R657" s="120" t="b">
        <v>0</v>
      </c>
      <c r="S657" s="95"/>
      <c r="U657" s="120" t="b">
        <v>0</v>
      </c>
      <c r="V657" s="93"/>
      <c r="W657" s="93"/>
      <c r="X657" s="93"/>
      <c r="Y657" s="93"/>
      <c r="AA657" s="95"/>
      <c r="AB657" s="121"/>
      <c r="AC657" s="29" t="str">
        <f t="shared" si="5"/>
        <v>Sim</v>
      </c>
      <c r="AD657" s="37" t="str">
        <f t="shared" si="1"/>
        <v>Não</v>
      </c>
      <c r="AE657" s="94"/>
      <c r="AF657" s="94"/>
      <c r="AG657" s="95"/>
    </row>
    <row r="658" hidden="1">
      <c r="A658" s="115"/>
      <c r="B658" s="93"/>
      <c r="C658" s="93"/>
      <c r="D658" s="93"/>
      <c r="E658" s="116"/>
      <c r="F658" s="95"/>
      <c r="G658" s="95"/>
      <c r="H658" s="94"/>
      <c r="I658" s="94"/>
      <c r="J658" s="117"/>
      <c r="K658" s="118"/>
      <c r="L658" s="119"/>
      <c r="M658" s="94"/>
      <c r="N658" s="94"/>
      <c r="O658" s="93"/>
      <c r="P658" s="120" t="b">
        <v>0</v>
      </c>
      <c r="Q658" s="120" t="b">
        <v>0</v>
      </c>
      <c r="R658" s="120" t="b">
        <v>0</v>
      </c>
      <c r="S658" s="95"/>
      <c r="U658" s="120" t="b">
        <v>0</v>
      </c>
      <c r="V658" s="93"/>
      <c r="W658" s="93"/>
      <c r="X658" s="93"/>
      <c r="Y658" s="93"/>
      <c r="AA658" s="95"/>
      <c r="AB658" s="121"/>
      <c r="AC658" s="29" t="str">
        <f t="shared" si="5"/>
        <v>Sim</v>
      </c>
      <c r="AD658" s="37" t="str">
        <f t="shared" si="1"/>
        <v>Não</v>
      </c>
      <c r="AE658" s="94"/>
      <c r="AF658" s="94"/>
      <c r="AG658" s="95"/>
    </row>
    <row r="659" hidden="1">
      <c r="A659" s="115"/>
      <c r="B659" s="93"/>
      <c r="C659" s="93"/>
      <c r="D659" s="93"/>
      <c r="E659" s="116"/>
      <c r="F659" s="95"/>
      <c r="G659" s="95"/>
      <c r="H659" s="94"/>
      <c r="I659" s="94"/>
      <c r="J659" s="117"/>
      <c r="K659" s="118"/>
      <c r="L659" s="119"/>
      <c r="M659" s="94"/>
      <c r="N659" s="94"/>
      <c r="O659" s="93"/>
      <c r="P659" s="120" t="b">
        <v>0</v>
      </c>
      <c r="Q659" s="120" t="b">
        <v>0</v>
      </c>
      <c r="R659" s="120" t="b">
        <v>0</v>
      </c>
      <c r="S659" s="95"/>
      <c r="U659" s="120" t="b">
        <v>0</v>
      </c>
      <c r="V659" s="93"/>
      <c r="W659" s="93"/>
      <c r="X659" s="93"/>
      <c r="Y659" s="93"/>
      <c r="AA659" s="95"/>
      <c r="AB659" s="121"/>
      <c r="AC659" s="29" t="str">
        <f t="shared" si="5"/>
        <v>Sim</v>
      </c>
      <c r="AD659" s="37" t="str">
        <f t="shared" si="1"/>
        <v>Não</v>
      </c>
      <c r="AE659" s="94"/>
      <c r="AF659" s="94"/>
      <c r="AG659" s="95"/>
    </row>
    <row r="660" hidden="1">
      <c r="A660" s="115"/>
      <c r="B660" s="93"/>
      <c r="C660" s="93"/>
      <c r="D660" s="93"/>
      <c r="E660" s="116"/>
      <c r="F660" s="95"/>
      <c r="G660" s="95"/>
      <c r="H660" s="94"/>
      <c r="I660" s="94"/>
      <c r="J660" s="117"/>
      <c r="K660" s="118"/>
      <c r="L660" s="119"/>
      <c r="M660" s="94"/>
      <c r="N660" s="94"/>
      <c r="O660" s="93"/>
      <c r="P660" s="120" t="b">
        <v>0</v>
      </c>
      <c r="Q660" s="120" t="b">
        <v>0</v>
      </c>
      <c r="R660" s="120" t="b">
        <v>0</v>
      </c>
      <c r="S660" s="95"/>
      <c r="U660" s="120" t="b">
        <v>0</v>
      </c>
      <c r="V660" s="93"/>
      <c r="W660" s="93"/>
      <c r="X660" s="93"/>
      <c r="Y660" s="93"/>
      <c r="AA660" s="95"/>
      <c r="AB660" s="121"/>
      <c r="AC660" s="29" t="str">
        <f t="shared" si="5"/>
        <v>Sim</v>
      </c>
      <c r="AD660" s="37" t="str">
        <f t="shared" si="1"/>
        <v>Não</v>
      </c>
      <c r="AE660" s="94"/>
      <c r="AF660" s="94"/>
      <c r="AG660" s="95"/>
    </row>
    <row r="661" hidden="1">
      <c r="A661" s="115"/>
      <c r="B661" s="93"/>
      <c r="C661" s="93"/>
      <c r="D661" s="93"/>
      <c r="E661" s="116"/>
      <c r="F661" s="95"/>
      <c r="G661" s="95"/>
      <c r="H661" s="94"/>
      <c r="I661" s="94"/>
      <c r="J661" s="117"/>
      <c r="K661" s="118"/>
      <c r="L661" s="119"/>
      <c r="M661" s="94"/>
      <c r="N661" s="94"/>
      <c r="O661" s="93"/>
      <c r="P661" s="120" t="b">
        <v>0</v>
      </c>
      <c r="Q661" s="120" t="b">
        <v>0</v>
      </c>
      <c r="R661" s="120" t="b">
        <v>0</v>
      </c>
      <c r="S661" s="95"/>
      <c r="U661" s="120" t="b">
        <v>0</v>
      </c>
      <c r="V661" s="93"/>
      <c r="W661" s="93"/>
      <c r="X661" s="93"/>
      <c r="Y661" s="93"/>
      <c r="AA661" s="95"/>
      <c r="AB661" s="121"/>
      <c r="AC661" s="29" t="str">
        <f t="shared" si="5"/>
        <v>Sim</v>
      </c>
      <c r="AD661" s="37" t="str">
        <f t="shared" si="1"/>
        <v>Não</v>
      </c>
      <c r="AE661" s="94"/>
      <c r="AF661" s="94"/>
      <c r="AG661" s="95"/>
    </row>
    <row r="662" hidden="1">
      <c r="A662" s="115"/>
      <c r="B662" s="93"/>
      <c r="C662" s="93"/>
      <c r="D662" s="93"/>
      <c r="E662" s="116"/>
      <c r="F662" s="95"/>
      <c r="G662" s="95"/>
      <c r="H662" s="94"/>
      <c r="I662" s="94"/>
      <c r="J662" s="117"/>
      <c r="K662" s="118"/>
      <c r="L662" s="119"/>
      <c r="M662" s="94"/>
      <c r="N662" s="94"/>
      <c r="O662" s="93"/>
      <c r="P662" s="120" t="b">
        <v>0</v>
      </c>
      <c r="Q662" s="120" t="b">
        <v>0</v>
      </c>
      <c r="R662" s="120" t="b">
        <v>0</v>
      </c>
      <c r="S662" s="95"/>
      <c r="U662" s="120" t="b">
        <v>0</v>
      </c>
      <c r="V662" s="93"/>
      <c r="W662" s="93"/>
      <c r="X662" s="93"/>
      <c r="Y662" s="93"/>
      <c r="AA662" s="95"/>
      <c r="AB662" s="121"/>
      <c r="AC662" s="29" t="str">
        <f t="shared" si="5"/>
        <v>Sim</v>
      </c>
      <c r="AD662" s="37" t="str">
        <f t="shared" si="1"/>
        <v>Não</v>
      </c>
      <c r="AE662" s="94"/>
      <c r="AF662" s="94"/>
      <c r="AG662" s="95"/>
    </row>
    <row r="663" hidden="1">
      <c r="A663" s="115"/>
      <c r="B663" s="93"/>
      <c r="C663" s="93"/>
      <c r="D663" s="93"/>
      <c r="E663" s="116"/>
      <c r="F663" s="95"/>
      <c r="G663" s="95"/>
      <c r="H663" s="94"/>
      <c r="I663" s="94"/>
      <c r="J663" s="117"/>
      <c r="K663" s="118"/>
      <c r="L663" s="119"/>
      <c r="M663" s="94"/>
      <c r="N663" s="94"/>
      <c r="O663" s="93"/>
      <c r="P663" s="120" t="b">
        <v>0</v>
      </c>
      <c r="Q663" s="120" t="b">
        <v>0</v>
      </c>
      <c r="R663" s="120" t="b">
        <v>0</v>
      </c>
      <c r="S663" s="95"/>
      <c r="U663" s="120" t="b">
        <v>0</v>
      </c>
      <c r="V663" s="93"/>
      <c r="W663" s="93"/>
      <c r="X663" s="93"/>
      <c r="Y663" s="93"/>
      <c r="AA663" s="95"/>
      <c r="AB663" s="121"/>
      <c r="AC663" s="29" t="str">
        <f t="shared" si="5"/>
        <v>Sim</v>
      </c>
      <c r="AD663" s="37" t="str">
        <f t="shared" si="1"/>
        <v>Não</v>
      </c>
      <c r="AE663" s="94"/>
      <c r="AF663" s="94"/>
      <c r="AG663" s="95"/>
    </row>
    <row r="664" hidden="1">
      <c r="A664" s="115"/>
      <c r="B664" s="93"/>
      <c r="C664" s="93"/>
      <c r="D664" s="93"/>
      <c r="E664" s="116"/>
      <c r="F664" s="95"/>
      <c r="G664" s="95"/>
      <c r="H664" s="94"/>
      <c r="I664" s="94"/>
      <c r="J664" s="117"/>
      <c r="K664" s="118"/>
      <c r="L664" s="119"/>
      <c r="M664" s="94"/>
      <c r="N664" s="94"/>
      <c r="O664" s="93"/>
      <c r="P664" s="120" t="b">
        <v>0</v>
      </c>
      <c r="Q664" s="120" t="b">
        <v>0</v>
      </c>
      <c r="R664" s="120" t="b">
        <v>0</v>
      </c>
      <c r="S664" s="95"/>
      <c r="U664" s="120" t="b">
        <v>0</v>
      </c>
      <c r="V664" s="93"/>
      <c r="W664" s="93"/>
      <c r="X664" s="93"/>
      <c r="Y664" s="93"/>
      <c r="AA664" s="95"/>
      <c r="AB664" s="121"/>
      <c r="AC664" s="29" t="str">
        <f t="shared" si="5"/>
        <v>Sim</v>
      </c>
      <c r="AD664" s="37" t="str">
        <f t="shared" si="1"/>
        <v>Não</v>
      </c>
      <c r="AE664" s="94"/>
      <c r="AF664" s="94"/>
      <c r="AG664" s="95"/>
    </row>
    <row r="665" hidden="1">
      <c r="A665" s="115"/>
      <c r="B665" s="93"/>
      <c r="C665" s="93"/>
      <c r="D665" s="93"/>
      <c r="E665" s="116"/>
      <c r="F665" s="95"/>
      <c r="G665" s="95"/>
      <c r="H665" s="94"/>
      <c r="I665" s="94"/>
      <c r="J665" s="117"/>
      <c r="K665" s="118"/>
      <c r="L665" s="119"/>
      <c r="M665" s="94"/>
      <c r="N665" s="94"/>
      <c r="O665" s="93"/>
      <c r="P665" s="120" t="b">
        <v>0</v>
      </c>
      <c r="Q665" s="120" t="b">
        <v>0</v>
      </c>
      <c r="R665" s="120" t="b">
        <v>0</v>
      </c>
      <c r="S665" s="95"/>
      <c r="U665" s="120" t="b">
        <v>0</v>
      </c>
      <c r="V665" s="93"/>
      <c r="W665" s="93"/>
      <c r="X665" s="93"/>
      <c r="Y665" s="93"/>
      <c r="AA665" s="95"/>
      <c r="AB665" s="121"/>
      <c r="AC665" s="29" t="str">
        <f t="shared" si="5"/>
        <v>Sim</v>
      </c>
      <c r="AD665" s="37" t="str">
        <f t="shared" si="1"/>
        <v>Não</v>
      </c>
      <c r="AE665" s="94"/>
      <c r="AF665" s="94"/>
      <c r="AG665" s="95"/>
    </row>
    <row r="666" hidden="1">
      <c r="A666" s="115"/>
      <c r="B666" s="93"/>
      <c r="C666" s="93"/>
      <c r="D666" s="93"/>
      <c r="E666" s="116"/>
      <c r="F666" s="95"/>
      <c r="G666" s="95"/>
      <c r="H666" s="94"/>
      <c r="I666" s="94"/>
      <c r="J666" s="117"/>
      <c r="K666" s="118"/>
      <c r="L666" s="119"/>
      <c r="M666" s="94"/>
      <c r="N666" s="94"/>
      <c r="O666" s="93"/>
      <c r="P666" s="120" t="b">
        <v>0</v>
      </c>
      <c r="Q666" s="120" t="b">
        <v>0</v>
      </c>
      <c r="R666" s="120" t="b">
        <v>0</v>
      </c>
      <c r="S666" s="95"/>
      <c r="U666" s="120" t="b">
        <v>0</v>
      </c>
      <c r="V666" s="93"/>
      <c r="W666" s="93"/>
      <c r="X666" s="93"/>
      <c r="Y666" s="93"/>
      <c r="AA666" s="95"/>
      <c r="AB666" s="121"/>
      <c r="AC666" s="29" t="str">
        <f t="shared" si="5"/>
        <v>Sim</v>
      </c>
      <c r="AD666" s="37" t="str">
        <f t="shared" si="1"/>
        <v>Não</v>
      </c>
      <c r="AE666" s="94"/>
      <c r="AF666" s="94"/>
      <c r="AG666" s="95"/>
    </row>
    <row r="667" hidden="1">
      <c r="A667" s="115"/>
      <c r="B667" s="93"/>
      <c r="C667" s="93"/>
      <c r="D667" s="93"/>
      <c r="E667" s="116"/>
      <c r="F667" s="95"/>
      <c r="G667" s="95"/>
      <c r="H667" s="94"/>
      <c r="I667" s="94"/>
      <c r="J667" s="117"/>
      <c r="K667" s="118"/>
      <c r="L667" s="119"/>
      <c r="M667" s="94"/>
      <c r="N667" s="94"/>
      <c r="O667" s="93"/>
      <c r="P667" s="120" t="b">
        <v>0</v>
      </c>
      <c r="Q667" s="120" t="b">
        <v>0</v>
      </c>
      <c r="R667" s="120" t="b">
        <v>0</v>
      </c>
      <c r="S667" s="95"/>
      <c r="U667" s="120" t="b">
        <v>0</v>
      </c>
      <c r="V667" s="93"/>
      <c r="W667" s="93"/>
      <c r="X667" s="93"/>
      <c r="Y667" s="93"/>
      <c r="AA667" s="95"/>
      <c r="AB667" s="121"/>
      <c r="AC667" s="29" t="str">
        <f t="shared" si="5"/>
        <v>Sim</v>
      </c>
      <c r="AD667" s="37" t="str">
        <f t="shared" si="1"/>
        <v>Não</v>
      </c>
      <c r="AE667" s="94"/>
      <c r="AF667" s="94"/>
      <c r="AG667" s="95"/>
    </row>
    <row r="668" hidden="1">
      <c r="A668" s="115"/>
      <c r="B668" s="93"/>
      <c r="C668" s="93"/>
      <c r="D668" s="93"/>
      <c r="E668" s="116"/>
      <c r="F668" s="95"/>
      <c r="G668" s="95"/>
      <c r="H668" s="94"/>
      <c r="I668" s="94"/>
      <c r="J668" s="117"/>
      <c r="K668" s="118"/>
      <c r="L668" s="119"/>
      <c r="M668" s="94"/>
      <c r="N668" s="94"/>
      <c r="O668" s="93"/>
      <c r="P668" s="120" t="b">
        <v>0</v>
      </c>
      <c r="Q668" s="120" t="b">
        <v>0</v>
      </c>
      <c r="R668" s="120" t="b">
        <v>0</v>
      </c>
      <c r="S668" s="95"/>
      <c r="U668" s="120" t="b">
        <v>0</v>
      </c>
      <c r="V668" s="93"/>
      <c r="W668" s="93"/>
      <c r="X668" s="93"/>
      <c r="Y668" s="93"/>
      <c r="AA668" s="95"/>
      <c r="AB668" s="121"/>
      <c r="AC668" s="29" t="str">
        <f t="shared" si="5"/>
        <v>Sim</v>
      </c>
      <c r="AD668" s="37" t="str">
        <f t="shared" si="1"/>
        <v>Não</v>
      </c>
      <c r="AE668" s="94"/>
      <c r="AF668" s="94"/>
      <c r="AG668" s="95"/>
    </row>
    <row r="669" hidden="1">
      <c r="A669" s="115"/>
      <c r="B669" s="93"/>
      <c r="C669" s="93"/>
      <c r="D669" s="93"/>
      <c r="E669" s="116"/>
      <c r="F669" s="95"/>
      <c r="G669" s="95"/>
      <c r="H669" s="94"/>
      <c r="I669" s="94"/>
      <c r="J669" s="117"/>
      <c r="K669" s="118"/>
      <c r="L669" s="119"/>
      <c r="M669" s="94"/>
      <c r="N669" s="94"/>
      <c r="O669" s="93"/>
      <c r="P669" s="120" t="b">
        <v>0</v>
      </c>
      <c r="Q669" s="120" t="b">
        <v>0</v>
      </c>
      <c r="R669" s="120" t="b">
        <v>0</v>
      </c>
      <c r="S669" s="95"/>
      <c r="U669" s="120" t="b">
        <v>0</v>
      </c>
      <c r="V669" s="93"/>
      <c r="W669" s="93"/>
      <c r="X669" s="93"/>
      <c r="Y669" s="93"/>
      <c r="AA669" s="95"/>
      <c r="AB669" s="121"/>
      <c r="AC669" s="29" t="str">
        <f t="shared" si="5"/>
        <v>Sim</v>
      </c>
      <c r="AD669" s="37" t="str">
        <f t="shared" si="1"/>
        <v>Não</v>
      </c>
      <c r="AE669" s="94"/>
      <c r="AF669" s="94"/>
      <c r="AG669" s="95"/>
    </row>
    <row r="670" hidden="1">
      <c r="A670" s="115"/>
      <c r="B670" s="93"/>
      <c r="C670" s="93"/>
      <c r="D670" s="93"/>
      <c r="E670" s="116"/>
      <c r="F670" s="95"/>
      <c r="G670" s="95"/>
      <c r="H670" s="94"/>
      <c r="I670" s="94"/>
      <c r="J670" s="117"/>
      <c r="K670" s="118"/>
      <c r="L670" s="119"/>
      <c r="M670" s="94"/>
      <c r="N670" s="94"/>
      <c r="O670" s="93"/>
      <c r="P670" s="120" t="b">
        <v>0</v>
      </c>
      <c r="Q670" s="120" t="b">
        <v>0</v>
      </c>
      <c r="R670" s="120" t="b">
        <v>0</v>
      </c>
      <c r="S670" s="95"/>
      <c r="U670" s="120" t="b">
        <v>0</v>
      </c>
      <c r="V670" s="93"/>
      <c r="W670" s="93"/>
      <c r="X670" s="93"/>
      <c r="Y670" s="93"/>
      <c r="AA670" s="95"/>
      <c r="AB670" s="121"/>
      <c r="AC670" s="29" t="str">
        <f t="shared" si="5"/>
        <v>Sim</v>
      </c>
      <c r="AD670" s="37" t="str">
        <f t="shared" si="1"/>
        <v>Não</v>
      </c>
      <c r="AE670" s="94"/>
      <c r="AF670" s="94"/>
      <c r="AG670" s="95"/>
    </row>
    <row r="671" hidden="1">
      <c r="A671" s="115"/>
      <c r="B671" s="93"/>
      <c r="C671" s="93"/>
      <c r="D671" s="93"/>
      <c r="E671" s="116"/>
      <c r="F671" s="95"/>
      <c r="G671" s="95"/>
      <c r="H671" s="94"/>
      <c r="I671" s="94"/>
      <c r="J671" s="117"/>
      <c r="K671" s="118"/>
      <c r="L671" s="119"/>
      <c r="M671" s="94"/>
      <c r="N671" s="94"/>
      <c r="O671" s="93"/>
      <c r="P671" s="120" t="b">
        <v>0</v>
      </c>
      <c r="Q671" s="120" t="b">
        <v>0</v>
      </c>
      <c r="R671" s="120" t="b">
        <v>0</v>
      </c>
      <c r="S671" s="95"/>
      <c r="U671" s="120" t="b">
        <v>0</v>
      </c>
      <c r="V671" s="93"/>
      <c r="W671" s="93"/>
      <c r="X671" s="93"/>
      <c r="Y671" s="93"/>
      <c r="AA671" s="95"/>
      <c r="AB671" s="121"/>
      <c r="AC671" s="29" t="str">
        <f t="shared" si="5"/>
        <v>Sim</v>
      </c>
      <c r="AD671" s="37" t="str">
        <f t="shared" si="1"/>
        <v>Não</v>
      </c>
      <c r="AE671" s="94"/>
      <c r="AF671" s="94"/>
      <c r="AG671" s="95"/>
    </row>
    <row r="672" hidden="1">
      <c r="A672" s="115"/>
      <c r="B672" s="93"/>
      <c r="C672" s="93"/>
      <c r="D672" s="93"/>
      <c r="E672" s="116"/>
      <c r="F672" s="95"/>
      <c r="G672" s="95"/>
      <c r="H672" s="94"/>
      <c r="I672" s="94"/>
      <c r="J672" s="117"/>
      <c r="K672" s="118"/>
      <c r="L672" s="119"/>
      <c r="M672" s="94"/>
      <c r="N672" s="94"/>
      <c r="O672" s="93"/>
      <c r="P672" s="120" t="b">
        <v>0</v>
      </c>
      <c r="Q672" s="120" t="b">
        <v>0</v>
      </c>
      <c r="R672" s="120" t="b">
        <v>0</v>
      </c>
      <c r="S672" s="95"/>
      <c r="U672" s="120" t="b">
        <v>0</v>
      </c>
      <c r="V672" s="93"/>
      <c r="W672" s="93"/>
      <c r="X672" s="93"/>
      <c r="Y672" s="93"/>
      <c r="AA672" s="95"/>
      <c r="AB672" s="121"/>
      <c r="AC672" s="29" t="str">
        <f t="shared" si="5"/>
        <v>Sim</v>
      </c>
      <c r="AD672" s="37" t="str">
        <f t="shared" si="1"/>
        <v>Não</v>
      </c>
      <c r="AE672" s="94"/>
      <c r="AF672" s="94"/>
      <c r="AG672" s="95"/>
    </row>
    <row r="673" hidden="1">
      <c r="A673" s="115"/>
      <c r="B673" s="93"/>
      <c r="C673" s="93"/>
      <c r="D673" s="93"/>
      <c r="E673" s="116"/>
      <c r="F673" s="95"/>
      <c r="G673" s="95"/>
      <c r="H673" s="94"/>
      <c r="I673" s="94"/>
      <c r="J673" s="117"/>
      <c r="K673" s="118"/>
      <c r="L673" s="119"/>
      <c r="M673" s="94"/>
      <c r="N673" s="94"/>
      <c r="O673" s="93"/>
      <c r="P673" s="120" t="b">
        <v>0</v>
      </c>
      <c r="Q673" s="120" t="b">
        <v>0</v>
      </c>
      <c r="R673" s="120" t="b">
        <v>0</v>
      </c>
      <c r="S673" s="95"/>
      <c r="U673" s="120" t="b">
        <v>0</v>
      </c>
      <c r="V673" s="93"/>
      <c r="W673" s="93"/>
      <c r="X673" s="93"/>
      <c r="Y673" s="93"/>
      <c r="AA673" s="95"/>
      <c r="AB673" s="121"/>
      <c r="AC673" s="29" t="str">
        <f t="shared" si="5"/>
        <v>Sim</v>
      </c>
      <c r="AD673" s="37" t="str">
        <f t="shared" si="1"/>
        <v>Não</v>
      </c>
      <c r="AE673" s="94"/>
      <c r="AF673" s="94"/>
      <c r="AG673" s="95"/>
    </row>
    <row r="674" hidden="1">
      <c r="A674" s="115"/>
      <c r="B674" s="93"/>
      <c r="C674" s="93"/>
      <c r="D674" s="93"/>
      <c r="E674" s="116"/>
      <c r="F674" s="95"/>
      <c r="G674" s="95"/>
      <c r="H674" s="94"/>
      <c r="I674" s="94"/>
      <c r="J674" s="117"/>
      <c r="K674" s="118"/>
      <c r="L674" s="119"/>
      <c r="M674" s="94"/>
      <c r="N674" s="94"/>
      <c r="O674" s="93"/>
      <c r="P674" s="120" t="b">
        <v>0</v>
      </c>
      <c r="Q674" s="120" t="b">
        <v>0</v>
      </c>
      <c r="R674" s="120" t="b">
        <v>0</v>
      </c>
      <c r="S674" s="95"/>
      <c r="U674" s="120" t="b">
        <v>0</v>
      </c>
      <c r="V674" s="93"/>
      <c r="W674" s="93"/>
      <c r="X674" s="93"/>
      <c r="Y674" s="93"/>
      <c r="AA674" s="95"/>
      <c r="AB674" s="121"/>
      <c r="AC674" s="29" t="str">
        <f t="shared" si="5"/>
        <v>Sim</v>
      </c>
      <c r="AD674" s="37" t="str">
        <f t="shared" si="1"/>
        <v>Não</v>
      </c>
      <c r="AE674" s="94"/>
      <c r="AF674" s="94"/>
      <c r="AG674" s="95"/>
    </row>
    <row r="675" hidden="1">
      <c r="A675" s="115"/>
      <c r="B675" s="93"/>
      <c r="C675" s="93"/>
      <c r="D675" s="93"/>
      <c r="E675" s="116"/>
      <c r="F675" s="95"/>
      <c r="G675" s="95"/>
      <c r="H675" s="94"/>
      <c r="I675" s="94"/>
      <c r="J675" s="117"/>
      <c r="K675" s="118"/>
      <c r="L675" s="119"/>
      <c r="M675" s="94"/>
      <c r="N675" s="94"/>
      <c r="O675" s="93"/>
      <c r="P675" s="120" t="b">
        <v>0</v>
      </c>
      <c r="Q675" s="120" t="b">
        <v>0</v>
      </c>
      <c r="R675" s="120" t="b">
        <v>0</v>
      </c>
      <c r="S675" s="95"/>
      <c r="U675" s="120" t="b">
        <v>0</v>
      </c>
      <c r="V675" s="93"/>
      <c r="W675" s="93"/>
      <c r="X675" s="93"/>
      <c r="Y675" s="93"/>
      <c r="AA675" s="95"/>
      <c r="AB675" s="121"/>
      <c r="AC675" s="29" t="str">
        <f t="shared" si="5"/>
        <v>Sim</v>
      </c>
      <c r="AD675" s="37" t="str">
        <f t="shared" si="1"/>
        <v>Não</v>
      </c>
      <c r="AE675" s="94"/>
      <c r="AF675" s="94"/>
      <c r="AG675" s="95"/>
    </row>
    <row r="676" hidden="1">
      <c r="A676" s="115"/>
      <c r="B676" s="93"/>
      <c r="C676" s="93"/>
      <c r="D676" s="93"/>
      <c r="E676" s="116"/>
      <c r="F676" s="95"/>
      <c r="G676" s="95"/>
      <c r="H676" s="94"/>
      <c r="I676" s="94"/>
      <c r="J676" s="117"/>
      <c r="K676" s="118"/>
      <c r="L676" s="119"/>
      <c r="M676" s="94"/>
      <c r="N676" s="94"/>
      <c r="O676" s="93"/>
      <c r="P676" s="120" t="b">
        <v>0</v>
      </c>
      <c r="Q676" s="120" t="b">
        <v>0</v>
      </c>
      <c r="R676" s="120" t="b">
        <v>0</v>
      </c>
      <c r="S676" s="95"/>
      <c r="U676" s="120" t="b">
        <v>0</v>
      </c>
      <c r="V676" s="93"/>
      <c r="W676" s="93"/>
      <c r="X676" s="93"/>
      <c r="Y676" s="93"/>
      <c r="AA676" s="95"/>
      <c r="AB676" s="121"/>
      <c r="AC676" s="29" t="str">
        <f t="shared" si="5"/>
        <v>Sim</v>
      </c>
      <c r="AD676" s="37" t="str">
        <f t="shared" si="1"/>
        <v>Não</v>
      </c>
      <c r="AE676" s="94"/>
      <c r="AF676" s="94"/>
      <c r="AG676" s="95"/>
    </row>
    <row r="677" hidden="1">
      <c r="A677" s="115"/>
      <c r="B677" s="93"/>
      <c r="C677" s="93"/>
      <c r="D677" s="93"/>
      <c r="E677" s="116"/>
      <c r="F677" s="95"/>
      <c r="G677" s="95"/>
      <c r="H677" s="94"/>
      <c r="I677" s="94"/>
      <c r="J677" s="117"/>
      <c r="K677" s="118"/>
      <c r="L677" s="119"/>
      <c r="M677" s="94"/>
      <c r="N677" s="94"/>
      <c r="O677" s="93"/>
      <c r="P677" s="120" t="b">
        <v>0</v>
      </c>
      <c r="Q677" s="120" t="b">
        <v>0</v>
      </c>
      <c r="R677" s="120" t="b">
        <v>0</v>
      </c>
      <c r="S677" s="95"/>
      <c r="U677" s="120" t="b">
        <v>0</v>
      </c>
      <c r="V677" s="93"/>
      <c r="W677" s="93"/>
      <c r="X677" s="93"/>
      <c r="Y677" s="93"/>
      <c r="AA677" s="95"/>
      <c r="AB677" s="121"/>
      <c r="AC677" s="29" t="str">
        <f t="shared" si="5"/>
        <v>Sim</v>
      </c>
      <c r="AD677" s="37" t="str">
        <f t="shared" si="1"/>
        <v>Não</v>
      </c>
      <c r="AE677" s="94"/>
      <c r="AF677" s="94"/>
      <c r="AG677" s="95"/>
    </row>
    <row r="678" hidden="1">
      <c r="A678" s="115"/>
      <c r="B678" s="93"/>
      <c r="C678" s="93"/>
      <c r="D678" s="93"/>
      <c r="E678" s="116"/>
      <c r="F678" s="95"/>
      <c r="G678" s="95"/>
      <c r="H678" s="94"/>
      <c r="I678" s="94"/>
      <c r="J678" s="117"/>
      <c r="K678" s="118"/>
      <c r="L678" s="119"/>
      <c r="M678" s="94"/>
      <c r="N678" s="94"/>
      <c r="O678" s="93"/>
      <c r="P678" s="120" t="b">
        <v>0</v>
      </c>
      <c r="Q678" s="120" t="b">
        <v>0</v>
      </c>
      <c r="R678" s="120" t="b">
        <v>0</v>
      </c>
      <c r="S678" s="95"/>
      <c r="U678" s="120" t="b">
        <v>0</v>
      </c>
      <c r="V678" s="93"/>
      <c r="W678" s="93"/>
      <c r="X678" s="93"/>
      <c r="Y678" s="93"/>
      <c r="AA678" s="95"/>
      <c r="AB678" s="121"/>
      <c r="AC678" s="29" t="str">
        <f t="shared" si="5"/>
        <v>Sim</v>
      </c>
      <c r="AD678" s="37" t="str">
        <f t="shared" si="1"/>
        <v>Não</v>
      </c>
      <c r="AE678" s="94"/>
      <c r="AF678" s="94"/>
      <c r="AG678" s="95"/>
    </row>
    <row r="679" hidden="1">
      <c r="A679" s="115"/>
      <c r="B679" s="93"/>
      <c r="C679" s="93"/>
      <c r="D679" s="93"/>
      <c r="E679" s="116"/>
      <c r="F679" s="95"/>
      <c r="G679" s="95"/>
      <c r="H679" s="94"/>
      <c r="I679" s="94"/>
      <c r="J679" s="117"/>
      <c r="K679" s="118"/>
      <c r="L679" s="119"/>
      <c r="M679" s="94"/>
      <c r="N679" s="94"/>
      <c r="O679" s="93"/>
      <c r="P679" s="120" t="b">
        <v>0</v>
      </c>
      <c r="Q679" s="120" t="b">
        <v>0</v>
      </c>
      <c r="R679" s="120" t="b">
        <v>0</v>
      </c>
      <c r="S679" s="95"/>
      <c r="U679" s="120" t="b">
        <v>0</v>
      </c>
      <c r="V679" s="93"/>
      <c r="W679" s="93"/>
      <c r="X679" s="93"/>
      <c r="Y679" s="93"/>
      <c r="AA679" s="95"/>
      <c r="AB679" s="121"/>
      <c r="AC679" s="29" t="str">
        <f t="shared" si="5"/>
        <v>Sim</v>
      </c>
      <c r="AD679" s="37" t="str">
        <f t="shared" si="1"/>
        <v>Não</v>
      </c>
      <c r="AE679" s="94"/>
      <c r="AF679" s="94"/>
      <c r="AG679" s="95"/>
    </row>
    <row r="680" hidden="1">
      <c r="A680" s="115"/>
      <c r="B680" s="93"/>
      <c r="C680" s="93"/>
      <c r="D680" s="93"/>
      <c r="E680" s="116"/>
      <c r="F680" s="95"/>
      <c r="G680" s="95"/>
      <c r="H680" s="94"/>
      <c r="I680" s="94"/>
      <c r="J680" s="117"/>
      <c r="K680" s="118"/>
      <c r="L680" s="119"/>
      <c r="M680" s="94"/>
      <c r="N680" s="94"/>
      <c r="O680" s="93"/>
      <c r="P680" s="120" t="b">
        <v>0</v>
      </c>
      <c r="Q680" s="120" t="b">
        <v>0</v>
      </c>
      <c r="R680" s="120" t="b">
        <v>0</v>
      </c>
      <c r="S680" s="95"/>
      <c r="U680" s="120" t="b">
        <v>0</v>
      </c>
      <c r="V680" s="93"/>
      <c r="W680" s="93"/>
      <c r="X680" s="93"/>
      <c r="Y680" s="93"/>
      <c r="AA680" s="95"/>
      <c r="AB680" s="121"/>
      <c r="AC680" s="29" t="str">
        <f t="shared" si="5"/>
        <v>Sim</v>
      </c>
      <c r="AD680" s="37" t="str">
        <f t="shared" si="1"/>
        <v>Não</v>
      </c>
      <c r="AE680" s="94"/>
      <c r="AF680" s="94"/>
      <c r="AG680" s="95"/>
    </row>
    <row r="681" hidden="1">
      <c r="A681" s="115"/>
      <c r="B681" s="93"/>
      <c r="C681" s="93"/>
      <c r="D681" s="93"/>
      <c r="E681" s="116"/>
      <c r="F681" s="95"/>
      <c r="G681" s="95"/>
      <c r="H681" s="94"/>
      <c r="I681" s="94"/>
      <c r="J681" s="117"/>
      <c r="K681" s="118"/>
      <c r="L681" s="119"/>
      <c r="M681" s="94"/>
      <c r="N681" s="94"/>
      <c r="O681" s="93"/>
      <c r="P681" s="120" t="b">
        <v>0</v>
      </c>
      <c r="Q681" s="120" t="b">
        <v>0</v>
      </c>
      <c r="R681" s="120" t="b">
        <v>0</v>
      </c>
      <c r="S681" s="95"/>
      <c r="U681" s="120" t="b">
        <v>0</v>
      </c>
      <c r="V681" s="93"/>
      <c r="W681" s="93"/>
      <c r="X681" s="93"/>
      <c r="Y681" s="93"/>
      <c r="AA681" s="95"/>
      <c r="AB681" s="121"/>
      <c r="AC681" s="29" t="str">
        <f t="shared" si="5"/>
        <v>Sim</v>
      </c>
      <c r="AD681" s="37" t="str">
        <f t="shared" si="1"/>
        <v>Não</v>
      </c>
      <c r="AE681" s="94"/>
      <c r="AF681" s="94"/>
      <c r="AG681" s="95"/>
    </row>
    <row r="682" hidden="1">
      <c r="A682" s="115"/>
      <c r="B682" s="93"/>
      <c r="C682" s="93"/>
      <c r="D682" s="93"/>
      <c r="E682" s="116"/>
      <c r="F682" s="95"/>
      <c r="G682" s="95"/>
      <c r="H682" s="94"/>
      <c r="I682" s="94"/>
      <c r="J682" s="117"/>
      <c r="K682" s="118"/>
      <c r="L682" s="119"/>
      <c r="M682" s="94"/>
      <c r="N682" s="94"/>
      <c r="O682" s="93"/>
      <c r="P682" s="120" t="b">
        <v>0</v>
      </c>
      <c r="Q682" s="120" t="b">
        <v>0</v>
      </c>
      <c r="R682" s="120" t="b">
        <v>0</v>
      </c>
      <c r="S682" s="95"/>
      <c r="U682" s="120" t="b">
        <v>0</v>
      </c>
      <c r="V682" s="93"/>
      <c r="W682" s="93"/>
      <c r="X682" s="93"/>
      <c r="Y682" s="93"/>
      <c r="AA682" s="95"/>
      <c r="AB682" s="121"/>
      <c r="AC682" s="29" t="str">
        <f t="shared" si="5"/>
        <v>Sim</v>
      </c>
      <c r="AD682" s="37" t="str">
        <f t="shared" si="1"/>
        <v>Não</v>
      </c>
      <c r="AE682" s="94"/>
      <c r="AF682" s="94"/>
      <c r="AG682" s="95"/>
    </row>
    <row r="683" hidden="1">
      <c r="A683" s="115"/>
      <c r="B683" s="93"/>
      <c r="C683" s="93"/>
      <c r="D683" s="93"/>
      <c r="E683" s="116"/>
      <c r="F683" s="95"/>
      <c r="G683" s="95"/>
      <c r="H683" s="94"/>
      <c r="I683" s="94"/>
      <c r="J683" s="117"/>
      <c r="K683" s="118"/>
      <c r="L683" s="119"/>
      <c r="M683" s="94"/>
      <c r="N683" s="94"/>
      <c r="O683" s="93"/>
      <c r="P683" s="120" t="b">
        <v>0</v>
      </c>
      <c r="Q683" s="120" t="b">
        <v>0</v>
      </c>
      <c r="R683" s="120" t="b">
        <v>0</v>
      </c>
      <c r="S683" s="95"/>
      <c r="U683" s="120" t="b">
        <v>0</v>
      </c>
      <c r="V683" s="93"/>
      <c r="W683" s="93"/>
      <c r="X683" s="93"/>
      <c r="Y683" s="93"/>
      <c r="AA683" s="95"/>
      <c r="AB683" s="121"/>
      <c r="AC683" s="29" t="str">
        <f t="shared" si="5"/>
        <v>Sim</v>
      </c>
      <c r="AD683" s="37" t="str">
        <f t="shared" si="1"/>
        <v>Não</v>
      </c>
      <c r="AE683" s="94"/>
      <c r="AF683" s="94"/>
      <c r="AG683" s="95"/>
    </row>
    <row r="684" hidden="1">
      <c r="A684" s="115"/>
      <c r="B684" s="93"/>
      <c r="C684" s="93"/>
      <c r="D684" s="93"/>
      <c r="E684" s="116"/>
      <c r="F684" s="95"/>
      <c r="G684" s="95"/>
      <c r="H684" s="94"/>
      <c r="I684" s="94"/>
      <c r="J684" s="117"/>
      <c r="K684" s="118"/>
      <c r="L684" s="119"/>
      <c r="M684" s="94"/>
      <c r="N684" s="94"/>
      <c r="O684" s="93"/>
      <c r="P684" s="120" t="b">
        <v>0</v>
      </c>
      <c r="Q684" s="120" t="b">
        <v>0</v>
      </c>
      <c r="R684" s="120" t="b">
        <v>0</v>
      </c>
      <c r="S684" s="95"/>
      <c r="U684" s="120" t="b">
        <v>0</v>
      </c>
      <c r="V684" s="93"/>
      <c r="W684" s="93"/>
      <c r="X684" s="93"/>
      <c r="Y684" s="93"/>
      <c r="AA684" s="95"/>
      <c r="AB684" s="121"/>
      <c r="AC684" s="29" t="str">
        <f t="shared" si="5"/>
        <v>Sim</v>
      </c>
      <c r="AD684" s="37" t="str">
        <f t="shared" si="1"/>
        <v>Não</v>
      </c>
      <c r="AE684" s="94"/>
      <c r="AF684" s="94"/>
      <c r="AG684" s="95"/>
    </row>
    <row r="685" hidden="1">
      <c r="A685" s="115"/>
      <c r="B685" s="93"/>
      <c r="C685" s="93"/>
      <c r="D685" s="93"/>
      <c r="E685" s="116"/>
      <c r="F685" s="95"/>
      <c r="G685" s="95"/>
      <c r="H685" s="94"/>
      <c r="I685" s="94"/>
      <c r="J685" s="117"/>
      <c r="K685" s="118"/>
      <c r="L685" s="119"/>
      <c r="M685" s="94"/>
      <c r="N685" s="94"/>
      <c r="O685" s="93"/>
      <c r="P685" s="120" t="b">
        <v>0</v>
      </c>
      <c r="Q685" s="120" t="b">
        <v>0</v>
      </c>
      <c r="R685" s="120" t="b">
        <v>0</v>
      </c>
      <c r="S685" s="95"/>
      <c r="U685" s="120" t="b">
        <v>0</v>
      </c>
      <c r="V685" s="93"/>
      <c r="W685" s="93"/>
      <c r="X685" s="93"/>
      <c r="Y685" s="93"/>
      <c r="AA685" s="95"/>
      <c r="AB685" s="121"/>
      <c r="AC685" s="29" t="str">
        <f t="shared" si="5"/>
        <v>Sim</v>
      </c>
      <c r="AD685" s="37" t="str">
        <f t="shared" si="1"/>
        <v>Não</v>
      </c>
      <c r="AE685" s="94"/>
      <c r="AF685" s="94"/>
      <c r="AG685" s="95"/>
    </row>
    <row r="686" hidden="1">
      <c r="A686" s="115"/>
      <c r="B686" s="93"/>
      <c r="C686" s="93"/>
      <c r="D686" s="93"/>
      <c r="E686" s="116"/>
      <c r="F686" s="95"/>
      <c r="G686" s="95"/>
      <c r="H686" s="94"/>
      <c r="I686" s="94"/>
      <c r="J686" s="117"/>
      <c r="K686" s="118"/>
      <c r="L686" s="119"/>
      <c r="M686" s="94"/>
      <c r="N686" s="94"/>
      <c r="O686" s="93"/>
      <c r="P686" s="120" t="b">
        <v>0</v>
      </c>
      <c r="Q686" s="120" t="b">
        <v>0</v>
      </c>
      <c r="R686" s="120" t="b">
        <v>0</v>
      </c>
      <c r="S686" s="95"/>
      <c r="U686" s="120" t="b">
        <v>0</v>
      </c>
      <c r="V686" s="93"/>
      <c r="W686" s="93"/>
      <c r="X686" s="93"/>
      <c r="Y686" s="93"/>
      <c r="AA686" s="95"/>
      <c r="AB686" s="121"/>
      <c r="AC686" s="29" t="str">
        <f t="shared" si="5"/>
        <v>Sim</v>
      </c>
      <c r="AD686" s="37" t="str">
        <f t="shared" si="1"/>
        <v>Não</v>
      </c>
      <c r="AE686" s="94"/>
      <c r="AF686" s="94"/>
      <c r="AG686" s="95"/>
    </row>
    <row r="687" hidden="1">
      <c r="A687" s="115"/>
      <c r="B687" s="93"/>
      <c r="C687" s="93"/>
      <c r="D687" s="93"/>
      <c r="E687" s="116"/>
      <c r="F687" s="95"/>
      <c r="G687" s="95"/>
      <c r="H687" s="94"/>
      <c r="I687" s="94"/>
      <c r="J687" s="117"/>
      <c r="K687" s="118"/>
      <c r="L687" s="119"/>
      <c r="M687" s="94"/>
      <c r="N687" s="94"/>
      <c r="O687" s="93"/>
      <c r="P687" s="120" t="b">
        <v>0</v>
      </c>
      <c r="Q687" s="120" t="b">
        <v>0</v>
      </c>
      <c r="R687" s="120" t="b">
        <v>0</v>
      </c>
      <c r="S687" s="95"/>
      <c r="U687" s="120" t="b">
        <v>0</v>
      </c>
      <c r="V687" s="93"/>
      <c r="W687" s="93"/>
      <c r="X687" s="93"/>
      <c r="Y687" s="93"/>
      <c r="AA687" s="95"/>
      <c r="AB687" s="121"/>
      <c r="AC687" s="29" t="str">
        <f t="shared" si="5"/>
        <v>Sim</v>
      </c>
      <c r="AD687" s="37" t="str">
        <f t="shared" si="1"/>
        <v>Não</v>
      </c>
      <c r="AE687" s="94"/>
      <c r="AF687" s="94"/>
      <c r="AG687" s="95"/>
    </row>
    <row r="688" hidden="1">
      <c r="A688" s="115"/>
      <c r="B688" s="93"/>
      <c r="C688" s="93"/>
      <c r="D688" s="93"/>
      <c r="E688" s="116"/>
      <c r="F688" s="95"/>
      <c r="G688" s="95"/>
      <c r="H688" s="94"/>
      <c r="I688" s="94"/>
      <c r="J688" s="117"/>
      <c r="K688" s="118"/>
      <c r="L688" s="119"/>
      <c r="M688" s="94"/>
      <c r="N688" s="94"/>
      <c r="O688" s="93"/>
      <c r="P688" s="120" t="b">
        <v>0</v>
      </c>
      <c r="Q688" s="120" t="b">
        <v>0</v>
      </c>
      <c r="R688" s="120" t="b">
        <v>0</v>
      </c>
      <c r="S688" s="95"/>
      <c r="U688" s="120" t="b">
        <v>0</v>
      </c>
      <c r="V688" s="93"/>
      <c r="W688" s="93"/>
      <c r="X688" s="93"/>
      <c r="Y688" s="93"/>
      <c r="AA688" s="95"/>
      <c r="AB688" s="121"/>
      <c r="AC688" s="29" t="str">
        <f t="shared" si="5"/>
        <v>Sim</v>
      </c>
      <c r="AD688" s="37" t="str">
        <f t="shared" si="1"/>
        <v>Não</v>
      </c>
      <c r="AE688" s="94"/>
      <c r="AF688" s="94"/>
      <c r="AG688" s="95"/>
    </row>
    <row r="689" hidden="1">
      <c r="A689" s="115"/>
      <c r="B689" s="93"/>
      <c r="C689" s="93"/>
      <c r="D689" s="93"/>
      <c r="E689" s="116"/>
      <c r="F689" s="95"/>
      <c r="G689" s="95"/>
      <c r="H689" s="94"/>
      <c r="I689" s="94"/>
      <c r="J689" s="117"/>
      <c r="K689" s="118"/>
      <c r="L689" s="119"/>
      <c r="M689" s="94"/>
      <c r="N689" s="94"/>
      <c r="O689" s="93"/>
      <c r="P689" s="120" t="b">
        <v>0</v>
      </c>
      <c r="Q689" s="120" t="b">
        <v>0</v>
      </c>
      <c r="R689" s="120" t="b">
        <v>0</v>
      </c>
      <c r="S689" s="95"/>
      <c r="U689" s="120" t="b">
        <v>0</v>
      </c>
      <c r="V689" s="93"/>
      <c r="W689" s="93"/>
      <c r="X689" s="93"/>
      <c r="Y689" s="93"/>
      <c r="AA689" s="95"/>
      <c r="AB689" s="121"/>
      <c r="AC689" s="29" t="str">
        <f t="shared" si="5"/>
        <v>Sim</v>
      </c>
      <c r="AD689" s="37" t="str">
        <f t="shared" si="1"/>
        <v>Não</v>
      </c>
      <c r="AE689" s="94"/>
      <c r="AF689" s="94"/>
      <c r="AG689" s="95"/>
    </row>
    <row r="690" hidden="1">
      <c r="A690" s="115"/>
      <c r="B690" s="93"/>
      <c r="C690" s="93"/>
      <c r="D690" s="93"/>
      <c r="E690" s="116"/>
      <c r="F690" s="95"/>
      <c r="G690" s="95"/>
      <c r="H690" s="94"/>
      <c r="I690" s="94"/>
      <c r="J690" s="117"/>
      <c r="K690" s="118"/>
      <c r="L690" s="119"/>
      <c r="M690" s="94"/>
      <c r="N690" s="94"/>
      <c r="O690" s="93"/>
      <c r="P690" s="120" t="b">
        <v>0</v>
      </c>
      <c r="Q690" s="120" t="b">
        <v>0</v>
      </c>
      <c r="R690" s="120" t="b">
        <v>0</v>
      </c>
      <c r="S690" s="95"/>
      <c r="U690" s="120" t="b">
        <v>0</v>
      </c>
      <c r="V690" s="93"/>
      <c r="W690" s="93"/>
      <c r="X690" s="93"/>
      <c r="Y690" s="93"/>
      <c r="AA690" s="95"/>
      <c r="AB690" s="121"/>
      <c r="AC690" s="29" t="str">
        <f t="shared" si="5"/>
        <v>Sim</v>
      </c>
      <c r="AD690" s="37" t="str">
        <f t="shared" si="1"/>
        <v>Não</v>
      </c>
      <c r="AE690" s="94"/>
      <c r="AF690" s="94"/>
      <c r="AG690" s="95"/>
    </row>
    <row r="691" hidden="1">
      <c r="A691" s="115"/>
      <c r="B691" s="93"/>
      <c r="C691" s="93"/>
      <c r="D691" s="93"/>
      <c r="E691" s="116"/>
      <c r="F691" s="95"/>
      <c r="G691" s="95"/>
      <c r="H691" s="94"/>
      <c r="I691" s="94"/>
      <c r="J691" s="117"/>
      <c r="K691" s="118"/>
      <c r="L691" s="119"/>
      <c r="M691" s="94"/>
      <c r="N691" s="94"/>
      <c r="O691" s="93"/>
      <c r="P691" s="120" t="b">
        <v>0</v>
      </c>
      <c r="Q691" s="120" t="b">
        <v>0</v>
      </c>
      <c r="R691" s="120" t="b">
        <v>0</v>
      </c>
      <c r="S691" s="95"/>
      <c r="U691" s="120" t="b">
        <v>0</v>
      </c>
      <c r="V691" s="93"/>
      <c r="W691" s="93"/>
      <c r="X691" s="93"/>
      <c r="Y691" s="93"/>
      <c r="AA691" s="95"/>
      <c r="AB691" s="121"/>
      <c r="AC691" s="29" t="str">
        <f t="shared" si="5"/>
        <v>Sim</v>
      </c>
      <c r="AD691" s="37" t="str">
        <f t="shared" si="1"/>
        <v>Não</v>
      </c>
      <c r="AE691" s="94"/>
      <c r="AF691" s="94"/>
      <c r="AG691" s="95"/>
    </row>
    <row r="692" hidden="1">
      <c r="A692" s="115"/>
      <c r="B692" s="93"/>
      <c r="C692" s="93"/>
      <c r="D692" s="93"/>
      <c r="E692" s="116"/>
      <c r="F692" s="95"/>
      <c r="G692" s="95"/>
      <c r="H692" s="94"/>
      <c r="I692" s="94"/>
      <c r="J692" s="117"/>
      <c r="K692" s="118"/>
      <c r="L692" s="119"/>
      <c r="M692" s="94"/>
      <c r="N692" s="94"/>
      <c r="O692" s="93"/>
      <c r="P692" s="120" t="b">
        <v>0</v>
      </c>
      <c r="Q692" s="120" t="b">
        <v>0</v>
      </c>
      <c r="R692" s="120" t="b">
        <v>0</v>
      </c>
      <c r="S692" s="95"/>
      <c r="U692" s="120" t="b">
        <v>0</v>
      </c>
      <c r="V692" s="93"/>
      <c r="W692" s="93"/>
      <c r="X692" s="93"/>
      <c r="Y692" s="93"/>
      <c r="AA692" s="95"/>
      <c r="AB692" s="121"/>
      <c r="AC692" s="29" t="str">
        <f t="shared" si="5"/>
        <v>Sim</v>
      </c>
      <c r="AD692" s="37" t="str">
        <f t="shared" si="1"/>
        <v>Não</v>
      </c>
      <c r="AE692" s="94"/>
      <c r="AF692" s="94"/>
      <c r="AG692" s="95"/>
    </row>
    <row r="693" hidden="1">
      <c r="A693" s="115"/>
      <c r="B693" s="93"/>
      <c r="C693" s="93"/>
      <c r="D693" s="93"/>
      <c r="E693" s="116"/>
      <c r="F693" s="95"/>
      <c r="G693" s="95"/>
      <c r="H693" s="94"/>
      <c r="I693" s="94"/>
      <c r="J693" s="117"/>
      <c r="K693" s="118"/>
      <c r="L693" s="119"/>
      <c r="M693" s="94"/>
      <c r="N693" s="94"/>
      <c r="O693" s="93"/>
      <c r="P693" s="120" t="b">
        <v>0</v>
      </c>
      <c r="Q693" s="120" t="b">
        <v>0</v>
      </c>
      <c r="R693" s="120" t="b">
        <v>0</v>
      </c>
      <c r="S693" s="95"/>
      <c r="U693" s="120" t="b">
        <v>0</v>
      </c>
      <c r="V693" s="93"/>
      <c r="W693" s="93"/>
      <c r="X693" s="93"/>
      <c r="Y693" s="93"/>
      <c r="AA693" s="95"/>
      <c r="AB693" s="121"/>
      <c r="AC693" s="29" t="str">
        <f t="shared" si="5"/>
        <v>Sim</v>
      </c>
      <c r="AD693" s="37" t="str">
        <f t="shared" si="1"/>
        <v>Não</v>
      </c>
      <c r="AE693" s="94"/>
      <c r="AF693" s="94"/>
      <c r="AG693" s="95"/>
    </row>
    <row r="694" hidden="1">
      <c r="A694" s="115"/>
      <c r="B694" s="93"/>
      <c r="C694" s="93"/>
      <c r="D694" s="93"/>
      <c r="E694" s="116"/>
      <c r="F694" s="95"/>
      <c r="G694" s="95"/>
      <c r="H694" s="94"/>
      <c r="I694" s="94"/>
      <c r="J694" s="117"/>
      <c r="K694" s="118"/>
      <c r="L694" s="119"/>
      <c r="M694" s="94"/>
      <c r="N694" s="94"/>
      <c r="O694" s="93"/>
      <c r="P694" s="120" t="b">
        <v>0</v>
      </c>
      <c r="Q694" s="120" t="b">
        <v>0</v>
      </c>
      <c r="R694" s="120" t="b">
        <v>0</v>
      </c>
      <c r="S694" s="95"/>
      <c r="U694" s="120" t="b">
        <v>0</v>
      </c>
      <c r="V694" s="93"/>
      <c r="W694" s="93"/>
      <c r="X694" s="93"/>
      <c r="Y694" s="93"/>
      <c r="AA694" s="95"/>
      <c r="AB694" s="121"/>
      <c r="AC694" s="29" t="str">
        <f t="shared" si="5"/>
        <v>Sim</v>
      </c>
      <c r="AD694" s="37" t="str">
        <f t="shared" si="1"/>
        <v>Não</v>
      </c>
      <c r="AE694" s="94"/>
      <c r="AF694" s="94"/>
      <c r="AG694" s="95"/>
    </row>
    <row r="695" hidden="1">
      <c r="A695" s="115"/>
      <c r="B695" s="93"/>
      <c r="C695" s="93"/>
      <c r="D695" s="93"/>
      <c r="E695" s="116"/>
      <c r="F695" s="95"/>
      <c r="G695" s="95"/>
      <c r="H695" s="94"/>
      <c r="I695" s="94"/>
      <c r="J695" s="117"/>
      <c r="K695" s="118"/>
      <c r="L695" s="119"/>
      <c r="M695" s="94"/>
      <c r="N695" s="94"/>
      <c r="O695" s="93"/>
      <c r="P695" s="120" t="b">
        <v>0</v>
      </c>
      <c r="Q695" s="120" t="b">
        <v>0</v>
      </c>
      <c r="R695" s="120" t="b">
        <v>0</v>
      </c>
      <c r="S695" s="95"/>
      <c r="U695" s="120" t="b">
        <v>0</v>
      </c>
      <c r="V695" s="93"/>
      <c r="W695" s="93"/>
      <c r="X695" s="93"/>
      <c r="Y695" s="93"/>
      <c r="AA695" s="95"/>
      <c r="AB695" s="121"/>
      <c r="AC695" s="29" t="str">
        <f t="shared" si="5"/>
        <v>Sim</v>
      </c>
      <c r="AD695" s="37" t="str">
        <f t="shared" si="1"/>
        <v>Não</v>
      </c>
      <c r="AE695" s="94"/>
      <c r="AF695" s="94"/>
      <c r="AG695" s="95"/>
    </row>
    <row r="696" hidden="1">
      <c r="A696" s="115"/>
      <c r="B696" s="93"/>
      <c r="C696" s="93"/>
      <c r="D696" s="93"/>
      <c r="E696" s="116"/>
      <c r="F696" s="95"/>
      <c r="G696" s="95"/>
      <c r="H696" s="94"/>
      <c r="I696" s="94"/>
      <c r="J696" s="117"/>
      <c r="K696" s="118"/>
      <c r="L696" s="119"/>
      <c r="M696" s="94"/>
      <c r="N696" s="94"/>
      <c r="O696" s="93"/>
      <c r="P696" s="120" t="b">
        <v>0</v>
      </c>
      <c r="Q696" s="120" t="b">
        <v>0</v>
      </c>
      <c r="R696" s="120" t="b">
        <v>0</v>
      </c>
      <c r="S696" s="95"/>
      <c r="U696" s="120" t="b">
        <v>0</v>
      </c>
      <c r="V696" s="93"/>
      <c r="W696" s="93"/>
      <c r="X696" s="93"/>
      <c r="Y696" s="93"/>
      <c r="AA696" s="95"/>
      <c r="AB696" s="121"/>
      <c r="AC696" s="29" t="str">
        <f t="shared" si="5"/>
        <v>Sim</v>
      </c>
      <c r="AD696" s="37" t="str">
        <f t="shared" si="1"/>
        <v>Não</v>
      </c>
      <c r="AE696" s="94"/>
      <c r="AF696" s="94"/>
      <c r="AG696" s="95"/>
    </row>
    <row r="697" hidden="1">
      <c r="A697" s="115"/>
      <c r="B697" s="93"/>
      <c r="C697" s="93"/>
      <c r="D697" s="93"/>
      <c r="E697" s="116"/>
      <c r="F697" s="95"/>
      <c r="G697" s="95"/>
      <c r="H697" s="94"/>
      <c r="I697" s="94"/>
      <c r="J697" s="117"/>
      <c r="K697" s="118"/>
      <c r="L697" s="119"/>
      <c r="M697" s="94"/>
      <c r="N697" s="94"/>
      <c r="O697" s="93"/>
      <c r="P697" s="120" t="b">
        <v>0</v>
      </c>
      <c r="Q697" s="120" t="b">
        <v>0</v>
      </c>
      <c r="R697" s="120" t="b">
        <v>0</v>
      </c>
      <c r="S697" s="95"/>
      <c r="U697" s="120" t="b">
        <v>0</v>
      </c>
      <c r="V697" s="93"/>
      <c r="W697" s="93"/>
      <c r="X697" s="93"/>
      <c r="Y697" s="93"/>
      <c r="AA697" s="95"/>
      <c r="AB697" s="121"/>
      <c r="AC697" s="29" t="str">
        <f t="shared" si="5"/>
        <v>Sim</v>
      </c>
      <c r="AD697" s="37" t="str">
        <f t="shared" si="1"/>
        <v>Não</v>
      </c>
      <c r="AE697" s="94"/>
      <c r="AF697" s="94"/>
      <c r="AG697" s="95"/>
    </row>
    <row r="698" hidden="1">
      <c r="A698" s="115"/>
      <c r="B698" s="93"/>
      <c r="C698" s="93"/>
      <c r="D698" s="93"/>
      <c r="E698" s="116"/>
      <c r="F698" s="95"/>
      <c r="G698" s="95"/>
      <c r="H698" s="94"/>
      <c r="I698" s="94"/>
      <c r="J698" s="117"/>
      <c r="K698" s="118"/>
      <c r="L698" s="119"/>
      <c r="M698" s="94"/>
      <c r="N698" s="94"/>
      <c r="O698" s="93"/>
      <c r="P698" s="120" t="b">
        <v>0</v>
      </c>
      <c r="Q698" s="120" t="b">
        <v>0</v>
      </c>
      <c r="R698" s="120" t="b">
        <v>0</v>
      </c>
      <c r="S698" s="95"/>
      <c r="U698" s="120" t="b">
        <v>0</v>
      </c>
      <c r="V698" s="93"/>
      <c r="W698" s="93"/>
      <c r="X698" s="93"/>
      <c r="Y698" s="93"/>
      <c r="AA698" s="95"/>
      <c r="AB698" s="121"/>
      <c r="AC698" s="29" t="str">
        <f t="shared" si="5"/>
        <v>Sim</v>
      </c>
      <c r="AD698" s="37" t="str">
        <f t="shared" si="1"/>
        <v>Não</v>
      </c>
      <c r="AE698" s="94"/>
      <c r="AF698" s="94"/>
      <c r="AG698" s="95"/>
    </row>
    <row r="699" hidden="1">
      <c r="A699" s="115"/>
      <c r="B699" s="93"/>
      <c r="C699" s="93"/>
      <c r="D699" s="93"/>
      <c r="E699" s="116"/>
      <c r="F699" s="95"/>
      <c r="G699" s="95"/>
      <c r="H699" s="94"/>
      <c r="I699" s="94"/>
      <c r="J699" s="117"/>
      <c r="K699" s="118"/>
      <c r="L699" s="119"/>
      <c r="M699" s="94"/>
      <c r="N699" s="94"/>
      <c r="O699" s="93"/>
      <c r="P699" s="120" t="b">
        <v>0</v>
      </c>
      <c r="Q699" s="120" t="b">
        <v>0</v>
      </c>
      <c r="R699" s="120" t="b">
        <v>0</v>
      </c>
      <c r="S699" s="95"/>
      <c r="U699" s="120" t="b">
        <v>0</v>
      </c>
      <c r="V699" s="93"/>
      <c r="W699" s="93"/>
      <c r="X699" s="93"/>
      <c r="Y699" s="93"/>
      <c r="AA699" s="95"/>
      <c r="AB699" s="121"/>
      <c r="AC699" s="29" t="str">
        <f t="shared" si="5"/>
        <v>Sim</v>
      </c>
      <c r="AD699" s="37" t="str">
        <f t="shared" si="1"/>
        <v>Não</v>
      </c>
      <c r="AE699" s="94"/>
      <c r="AF699" s="94"/>
      <c r="AG699" s="95"/>
    </row>
    <row r="700" hidden="1">
      <c r="A700" s="115"/>
      <c r="B700" s="93"/>
      <c r="C700" s="93"/>
      <c r="D700" s="93"/>
      <c r="E700" s="116"/>
      <c r="F700" s="95"/>
      <c r="G700" s="95"/>
      <c r="H700" s="94"/>
      <c r="I700" s="94"/>
      <c r="J700" s="117"/>
      <c r="K700" s="118"/>
      <c r="L700" s="119"/>
      <c r="M700" s="94"/>
      <c r="N700" s="94"/>
      <c r="O700" s="93"/>
      <c r="P700" s="120" t="b">
        <v>0</v>
      </c>
      <c r="Q700" s="120" t="b">
        <v>0</v>
      </c>
      <c r="R700" s="120" t="b">
        <v>0</v>
      </c>
      <c r="S700" s="95"/>
      <c r="U700" s="120" t="b">
        <v>0</v>
      </c>
      <c r="V700" s="93"/>
      <c r="W700" s="93"/>
      <c r="X700" s="93"/>
      <c r="Y700" s="93"/>
      <c r="AA700" s="95"/>
      <c r="AB700" s="121"/>
      <c r="AC700" s="29" t="str">
        <f t="shared" si="5"/>
        <v>Sim</v>
      </c>
      <c r="AD700" s="37" t="str">
        <f t="shared" si="1"/>
        <v>Não</v>
      </c>
      <c r="AE700" s="94"/>
      <c r="AF700" s="94"/>
      <c r="AG700" s="95"/>
    </row>
    <row r="701" hidden="1">
      <c r="A701" s="115"/>
      <c r="B701" s="93"/>
      <c r="C701" s="93"/>
      <c r="D701" s="93"/>
      <c r="E701" s="116"/>
      <c r="F701" s="95"/>
      <c r="G701" s="95"/>
      <c r="H701" s="94"/>
      <c r="I701" s="94"/>
      <c r="J701" s="117"/>
      <c r="K701" s="118"/>
      <c r="L701" s="119"/>
      <c r="M701" s="94"/>
      <c r="N701" s="94"/>
      <c r="O701" s="93"/>
      <c r="P701" s="120" t="b">
        <v>0</v>
      </c>
      <c r="Q701" s="120" t="b">
        <v>0</v>
      </c>
      <c r="R701" s="120" t="b">
        <v>0</v>
      </c>
      <c r="S701" s="95"/>
      <c r="U701" s="120" t="b">
        <v>0</v>
      </c>
      <c r="V701" s="93"/>
      <c r="W701" s="93"/>
      <c r="X701" s="93"/>
      <c r="Y701" s="93"/>
      <c r="AA701" s="95"/>
      <c r="AB701" s="121"/>
      <c r="AC701" s="29" t="str">
        <f t="shared" si="5"/>
        <v>Sim</v>
      </c>
      <c r="AD701" s="37" t="str">
        <f t="shared" si="1"/>
        <v>Não</v>
      </c>
      <c r="AE701" s="94"/>
      <c r="AF701" s="94"/>
      <c r="AG701" s="95"/>
    </row>
    <row r="702" hidden="1">
      <c r="A702" s="115"/>
      <c r="B702" s="93"/>
      <c r="C702" s="93"/>
      <c r="D702" s="93"/>
      <c r="E702" s="116"/>
      <c r="F702" s="95"/>
      <c r="G702" s="95"/>
      <c r="H702" s="94"/>
      <c r="I702" s="94"/>
      <c r="J702" s="117"/>
      <c r="K702" s="118"/>
      <c r="L702" s="119"/>
      <c r="M702" s="94"/>
      <c r="N702" s="94"/>
      <c r="O702" s="93"/>
      <c r="P702" s="120" t="b">
        <v>0</v>
      </c>
      <c r="Q702" s="120" t="b">
        <v>0</v>
      </c>
      <c r="R702" s="120" t="b">
        <v>0</v>
      </c>
      <c r="S702" s="95"/>
      <c r="U702" s="120" t="b">
        <v>0</v>
      </c>
      <c r="V702" s="93"/>
      <c r="W702" s="93"/>
      <c r="X702" s="93"/>
      <c r="Y702" s="93"/>
      <c r="AA702" s="95"/>
      <c r="AB702" s="121"/>
      <c r="AC702" s="29" t="str">
        <f t="shared" si="5"/>
        <v>Sim</v>
      </c>
      <c r="AD702" s="37" t="str">
        <f t="shared" si="1"/>
        <v>Não</v>
      </c>
      <c r="AE702" s="94"/>
      <c r="AF702" s="94"/>
      <c r="AG702" s="95"/>
    </row>
    <row r="703" hidden="1">
      <c r="A703" s="115"/>
      <c r="B703" s="93"/>
      <c r="C703" s="93"/>
      <c r="D703" s="93"/>
      <c r="E703" s="116"/>
      <c r="F703" s="95"/>
      <c r="G703" s="95"/>
      <c r="H703" s="94"/>
      <c r="I703" s="94"/>
      <c r="J703" s="117"/>
      <c r="K703" s="118"/>
      <c r="L703" s="119"/>
      <c r="M703" s="94"/>
      <c r="N703" s="94"/>
      <c r="O703" s="93"/>
      <c r="P703" s="120" t="b">
        <v>0</v>
      </c>
      <c r="Q703" s="120" t="b">
        <v>0</v>
      </c>
      <c r="R703" s="120" t="b">
        <v>0</v>
      </c>
      <c r="S703" s="95"/>
      <c r="U703" s="120" t="b">
        <v>0</v>
      </c>
      <c r="V703" s="93"/>
      <c r="W703" s="93"/>
      <c r="X703" s="93"/>
      <c r="Y703" s="93"/>
      <c r="AA703" s="95"/>
      <c r="AB703" s="121"/>
      <c r="AC703" s="29" t="str">
        <f t="shared" si="5"/>
        <v>Sim</v>
      </c>
      <c r="AD703" s="37" t="str">
        <f t="shared" si="1"/>
        <v>Não</v>
      </c>
      <c r="AE703" s="94"/>
      <c r="AF703" s="94"/>
      <c r="AG703" s="95"/>
    </row>
    <row r="704" hidden="1">
      <c r="A704" s="115"/>
      <c r="B704" s="93"/>
      <c r="C704" s="93"/>
      <c r="D704" s="93"/>
      <c r="E704" s="116"/>
      <c r="F704" s="95"/>
      <c r="G704" s="95"/>
      <c r="H704" s="94"/>
      <c r="I704" s="94"/>
      <c r="J704" s="117"/>
      <c r="K704" s="118"/>
      <c r="L704" s="119"/>
      <c r="M704" s="94"/>
      <c r="N704" s="94"/>
      <c r="O704" s="93"/>
      <c r="P704" s="120" t="b">
        <v>0</v>
      </c>
      <c r="Q704" s="120" t="b">
        <v>0</v>
      </c>
      <c r="R704" s="120" t="b">
        <v>0</v>
      </c>
      <c r="S704" s="95"/>
      <c r="U704" s="120" t="b">
        <v>0</v>
      </c>
      <c r="V704" s="93"/>
      <c r="W704" s="93"/>
      <c r="X704" s="93"/>
      <c r="Y704" s="93"/>
      <c r="AA704" s="95"/>
      <c r="AB704" s="121"/>
      <c r="AC704" s="29" t="str">
        <f t="shared" si="5"/>
        <v>Sim</v>
      </c>
      <c r="AD704" s="37" t="str">
        <f t="shared" si="1"/>
        <v>Não</v>
      </c>
      <c r="AE704" s="94"/>
      <c r="AF704" s="94"/>
      <c r="AG704" s="95"/>
    </row>
    <row r="705" hidden="1">
      <c r="A705" s="115"/>
      <c r="B705" s="93"/>
      <c r="C705" s="93"/>
      <c r="D705" s="93"/>
      <c r="E705" s="116"/>
      <c r="F705" s="95"/>
      <c r="G705" s="95"/>
      <c r="H705" s="94"/>
      <c r="I705" s="94"/>
      <c r="J705" s="117"/>
      <c r="K705" s="118"/>
      <c r="L705" s="119"/>
      <c r="M705" s="94"/>
      <c r="N705" s="94"/>
      <c r="O705" s="93"/>
      <c r="P705" s="120" t="b">
        <v>0</v>
      </c>
      <c r="Q705" s="120" t="b">
        <v>0</v>
      </c>
      <c r="R705" s="120" t="b">
        <v>0</v>
      </c>
      <c r="S705" s="95"/>
      <c r="U705" s="120" t="b">
        <v>0</v>
      </c>
      <c r="V705" s="93"/>
      <c r="W705" s="93"/>
      <c r="X705" s="93"/>
      <c r="Y705" s="93"/>
      <c r="AA705" s="95"/>
      <c r="AB705" s="121"/>
      <c r="AC705" s="29" t="str">
        <f t="shared" si="5"/>
        <v>Sim</v>
      </c>
      <c r="AD705" s="37" t="str">
        <f t="shared" si="1"/>
        <v>Não</v>
      </c>
      <c r="AE705" s="94"/>
      <c r="AF705" s="94"/>
      <c r="AG705" s="95"/>
    </row>
    <row r="706" hidden="1">
      <c r="A706" s="115"/>
      <c r="B706" s="93"/>
      <c r="C706" s="93"/>
      <c r="D706" s="93"/>
      <c r="E706" s="116"/>
      <c r="F706" s="95"/>
      <c r="G706" s="95"/>
      <c r="H706" s="94"/>
      <c r="I706" s="94"/>
      <c r="J706" s="117"/>
      <c r="K706" s="118"/>
      <c r="L706" s="119"/>
      <c r="M706" s="94"/>
      <c r="N706" s="94"/>
      <c r="O706" s="93"/>
      <c r="P706" s="120" t="b">
        <v>0</v>
      </c>
      <c r="Q706" s="120" t="b">
        <v>0</v>
      </c>
      <c r="R706" s="120" t="b">
        <v>0</v>
      </c>
      <c r="S706" s="95"/>
      <c r="U706" s="120" t="b">
        <v>0</v>
      </c>
      <c r="V706" s="93"/>
      <c r="W706" s="93"/>
      <c r="X706" s="93"/>
      <c r="Y706" s="93"/>
      <c r="AA706" s="95"/>
      <c r="AB706" s="121"/>
      <c r="AC706" s="29" t="str">
        <f t="shared" si="5"/>
        <v>Sim</v>
      </c>
      <c r="AD706" s="37" t="str">
        <f t="shared" si="1"/>
        <v>Não</v>
      </c>
      <c r="AE706" s="94"/>
      <c r="AF706" s="94"/>
      <c r="AG706" s="95"/>
    </row>
    <row r="707" hidden="1">
      <c r="A707" s="115"/>
      <c r="B707" s="93"/>
      <c r="C707" s="93"/>
      <c r="D707" s="93"/>
      <c r="E707" s="116"/>
      <c r="F707" s="95"/>
      <c r="G707" s="95"/>
      <c r="H707" s="94"/>
      <c r="I707" s="94"/>
      <c r="J707" s="117"/>
      <c r="K707" s="118"/>
      <c r="L707" s="119"/>
      <c r="M707" s="94"/>
      <c r="N707" s="94"/>
      <c r="O707" s="93"/>
      <c r="P707" s="120" t="b">
        <v>0</v>
      </c>
      <c r="Q707" s="120" t="b">
        <v>0</v>
      </c>
      <c r="R707" s="120" t="b">
        <v>0</v>
      </c>
      <c r="S707" s="95"/>
      <c r="U707" s="120" t="b">
        <v>0</v>
      </c>
      <c r="V707" s="93"/>
      <c r="W707" s="93"/>
      <c r="X707" s="93"/>
      <c r="Y707" s="93"/>
      <c r="AA707" s="95"/>
      <c r="AB707" s="121"/>
      <c r="AC707" s="29" t="str">
        <f t="shared" si="5"/>
        <v>Sim</v>
      </c>
      <c r="AD707" s="37" t="str">
        <f t="shared" si="1"/>
        <v>Não</v>
      </c>
      <c r="AE707" s="94"/>
      <c r="AF707" s="94"/>
      <c r="AG707" s="95"/>
    </row>
    <row r="708" hidden="1">
      <c r="A708" s="115"/>
      <c r="B708" s="93"/>
      <c r="C708" s="93"/>
      <c r="D708" s="93"/>
      <c r="E708" s="116"/>
      <c r="F708" s="95"/>
      <c r="G708" s="95"/>
      <c r="H708" s="94"/>
      <c r="I708" s="94"/>
      <c r="J708" s="117"/>
      <c r="K708" s="118"/>
      <c r="L708" s="119"/>
      <c r="M708" s="94"/>
      <c r="N708" s="94"/>
      <c r="O708" s="93"/>
      <c r="P708" s="120" t="b">
        <v>0</v>
      </c>
      <c r="Q708" s="120" t="b">
        <v>0</v>
      </c>
      <c r="R708" s="120" t="b">
        <v>0</v>
      </c>
      <c r="S708" s="95"/>
      <c r="U708" s="120" t="b">
        <v>0</v>
      </c>
      <c r="V708" s="93"/>
      <c r="W708" s="93"/>
      <c r="X708" s="93"/>
      <c r="Y708" s="93"/>
      <c r="AA708" s="95"/>
      <c r="AB708" s="121"/>
      <c r="AC708" s="29" t="str">
        <f t="shared" si="5"/>
        <v>Sim</v>
      </c>
      <c r="AD708" s="37" t="str">
        <f t="shared" si="1"/>
        <v>Não</v>
      </c>
      <c r="AE708" s="94"/>
      <c r="AF708" s="94"/>
      <c r="AG708" s="95"/>
    </row>
    <row r="709" hidden="1">
      <c r="A709" s="115"/>
      <c r="B709" s="93"/>
      <c r="C709" s="93"/>
      <c r="D709" s="93"/>
      <c r="E709" s="116"/>
      <c r="F709" s="95"/>
      <c r="G709" s="95"/>
      <c r="H709" s="94"/>
      <c r="I709" s="94"/>
      <c r="J709" s="117"/>
      <c r="K709" s="118"/>
      <c r="L709" s="119"/>
      <c r="M709" s="94"/>
      <c r="N709" s="94"/>
      <c r="O709" s="93"/>
      <c r="P709" s="120" t="b">
        <v>0</v>
      </c>
      <c r="Q709" s="120" t="b">
        <v>0</v>
      </c>
      <c r="R709" s="120" t="b">
        <v>0</v>
      </c>
      <c r="S709" s="95"/>
      <c r="U709" s="120" t="b">
        <v>0</v>
      </c>
      <c r="V709" s="93"/>
      <c r="W709" s="93"/>
      <c r="X709" s="93"/>
      <c r="Y709" s="93"/>
      <c r="AA709" s="95"/>
      <c r="AB709" s="121"/>
      <c r="AC709" s="29" t="str">
        <f t="shared" si="5"/>
        <v>Sim</v>
      </c>
      <c r="AD709" s="37" t="str">
        <f t="shared" si="1"/>
        <v>Não</v>
      </c>
      <c r="AE709" s="94"/>
      <c r="AF709" s="94"/>
      <c r="AG709" s="95"/>
    </row>
    <row r="710" hidden="1">
      <c r="A710" s="115"/>
      <c r="B710" s="93"/>
      <c r="C710" s="93"/>
      <c r="D710" s="93"/>
      <c r="E710" s="116"/>
      <c r="F710" s="95"/>
      <c r="G710" s="95"/>
      <c r="H710" s="94"/>
      <c r="I710" s="94"/>
      <c r="J710" s="117"/>
      <c r="K710" s="118"/>
      <c r="L710" s="119"/>
      <c r="M710" s="94"/>
      <c r="N710" s="94"/>
      <c r="O710" s="93"/>
      <c r="P710" s="120" t="b">
        <v>0</v>
      </c>
      <c r="Q710" s="120" t="b">
        <v>0</v>
      </c>
      <c r="R710" s="120" t="b">
        <v>0</v>
      </c>
      <c r="S710" s="95"/>
      <c r="U710" s="120" t="b">
        <v>0</v>
      </c>
      <c r="V710" s="93"/>
      <c r="W710" s="93"/>
      <c r="X710" s="93"/>
      <c r="Y710" s="93"/>
      <c r="AA710" s="95"/>
      <c r="AB710" s="121"/>
      <c r="AC710" s="29" t="str">
        <f t="shared" si="5"/>
        <v>Sim</v>
      </c>
      <c r="AD710" s="37" t="str">
        <f t="shared" si="1"/>
        <v>Não</v>
      </c>
      <c r="AE710" s="94"/>
      <c r="AF710" s="94"/>
      <c r="AG710" s="95"/>
    </row>
    <row r="711" hidden="1">
      <c r="A711" s="115"/>
      <c r="B711" s="93"/>
      <c r="C711" s="93"/>
      <c r="D711" s="93"/>
      <c r="E711" s="116"/>
      <c r="F711" s="95"/>
      <c r="G711" s="95"/>
      <c r="H711" s="94"/>
      <c r="I711" s="94"/>
      <c r="J711" s="117"/>
      <c r="K711" s="118"/>
      <c r="L711" s="119"/>
      <c r="M711" s="94"/>
      <c r="N711" s="94"/>
      <c r="O711" s="93"/>
      <c r="P711" s="120" t="b">
        <v>0</v>
      </c>
      <c r="Q711" s="120" t="b">
        <v>0</v>
      </c>
      <c r="R711" s="120" t="b">
        <v>0</v>
      </c>
      <c r="S711" s="95"/>
      <c r="U711" s="120" t="b">
        <v>0</v>
      </c>
      <c r="V711" s="93"/>
      <c r="W711" s="93"/>
      <c r="X711" s="93"/>
      <c r="Y711" s="93"/>
      <c r="AA711" s="95"/>
      <c r="AB711" s="121"/>
      <c r="AC711" s="29" t="str">
        <f t="shared" si="5"/>
        <v>Sim</v>
      </c>
      <c r="AD711" s="37" t="str">
        <f t="shared" si="1"/>
        <v>Não</v>
      </c>
      <c r="AE711" s="94"/>
      <c r="AF711" s="94"/>
      <c r="AG711" s="95"/>
    </row>
    <row r="712" hidden="1">
      <c r="A712" s="115"/>
      <c r="B712" s="93"/>
      <c r="C712" s="93"/>
      <c r="D712" s="93"/>
      <c r="E712" s="116"/>
      <c r="F712" s="95"/>
      <c r="G712" s="95"/>
      <c r="H712" s="94"/>
      <c r="I712" s="94"/>
      <c r="J712" s="117"/>
      <c r="K712" s="118"/>
      <c r="L712" s="119"/>
      <c r="M712" s="94"/>
      <c r="N712" s="94"/>
      <c r="O712" s="93"/>
      <c r="P712" s="120" t="b">
        <v>0</v>
      </c>
      <c r="Q712" s="120" t="b">
        <v>0</v>
      </c>
      <c r="R712" s="120" t="b">
        <v>0</v>
      </c>
      <c r="S712" s="95"/>
      <c r="U712" s="120" t="b">
        <v>0</v>
      </c>
      <c r="V712" s="93"/>
      <c r="W712" s="93"/>
      <c r="X712" s="93"/>
      <c r="Y712" s="93"/>
      <c r="AA712" s="95"/>
      <c r="AB712" s="121"/>
      <c r="AC712" s="29" t="str">
        <f t="shared" si="5"/>
        <v>Sim</v>
      </c>
      <c r="AD712" s="37" t="str">
        <f t="shared" si="1"/>
        <v>Não</v>
      </c>
      <c r="AE712" s="94"/>
      <c r="AF712" s="94"/>
      <c r="AG712" s="95"/>
    </row>
    <row r="713" hidden="1">
      <c r="A713" s="115"/>
      <c r="B713" s="93"/>
      <c r="C713" s="93"/>
      <c r="D713" s="93"/>
      <c r="E713" s="116"/>
      <c r="F713" s="95"/>
      <c r="G713" s="95"/>
      <c r="H713" s="94"/>
      <c r="I713" s="94"/>
      <c r="J713" s="117"/>
      <c r="K713" s="118"/>
      <c r="L713" s="119"/>
      <c r="M713" s="94"/>
      <c r="N713" s="94"/>
      <c r="O713" s="93"/>
      <c r="P713" s="120" t="b">
        <v>0</v>
      </c>
      <c r="Q713" s="120" t="b">
        <v>0</v>
      </c>
      <c r="R713" s="120" t="b">
        <v>0</v>
      </c>
      <c r="S713" s="95"/>
      <c r="U713" s="120" t="b">
        <v>0</v>
      </c>
      <c r="V713" s="93"/>
      <c r="W713" s="93"/>
      <c r="X713" s="93"/>
      <c r="Y713" s="93"/>
      <c r="AA713" s="95"/>
      <c r="AB713" s="121"/>
      <c r="AC713" s="29" t="str">
        <f t="shared" si="5"/>
        <v>Sim</v>
      </c>
      <c r="AD713" s="37" t="str">
        <f t="shared" si="1"/>
        <v>Não</v>
      </c>
      <c r="AE713" s="94"/>
      <c r="AF713" s="94"/>
      <c r="AG713" s="95"/>
    </row>
    <row r="714" hidden="1">
      <c r="A714" s="115"/>
      <c r="B714" s="93"/>
      <c r="C714" s="93"/>
      <c r="D714" s="93"/>
      <c r="E714" s="116"/>
      <c r="F714" s="95"/>
      <c r="G714" s="95"/>
      <c r="H714" s="94"/>
      <c r="I714" s="94"/>
      <c r="J714" s="117"/>
      <c r="K714" s="118"/>
      <c r="L714" s="119"/>
      <c r="M714" s="94"/>
      <c r="N714" s="94"/>
      <c r="O714" s="93"/>
      <c r="P714" s="120" t="b">
        <v>0</v>
      </c>
      <c r="Q714" s="120" t="b">
        <v>0</v>
      </c>
      <c r="R714" s="120" t="b">
        <v>0</v>
      </c>
      <c r="S714" s="95"/>
      <c r="U714" s="120" t="b">
        <v>0</v>
      </c>
      <c r="V714" s="93"/>
      <c r="W714" s="93"/>
      <c r="X714" s="93"/>
      <c r="Y714" s="93"/>
      <c r="AA714" s="95"/>
      <c r="AB714" s="121"/>
      <c r="AC714" s="29" t="str">
        <f t="shared" si="5"/>
        <v>Sim</v>
      </c>
      <c r="AD714" s="37" t="str">
        <f t="shared" si="1"/>
        <v>Não</v>
      </c>
      <c r="AE714" s="94"/>
      <c r="AF714" s="94"/>
      <c r="AG714" s="95"/>
    </row>
    <row r="715" hidden="1">
      <c r="A715" s="115"/>
      <c r="B715" s="93"/>
      <c r="C715" s="93"/>
      <c r="D715" s="93"/>
      <c r="E715" s="116"/>
      <c r="F715" s="95"/>
      <c r="G715" s="95"/>
      <c r="H715" s="94"/>
      <c r="I715" s="94"/>
      <c r="J715" s="117"/>
      <c r="K715" s="118"/>
      <c r="L715" s="119"/>
      <c r="M715" s="94"/>
      <c r="N715" s="94"/>
      <c r="O715" s="93"/>
      <c r="P715" s="120" t="b">
        <v>0</v>
      </c>
      <c r="Q715" s="120" t="b">
        <v>0</v>
      </c>
      <c r="R715" s="120" t="b">
        <v>0</v>
      </c>
      <c r="S715" s="95"/>
      <c r="U715" s="120" t="b">
        <v>0</v>
      </c>
      <c r="V715" s="93"/>
      <c r="W715" s="93"/>
      <c r="X715" s="93"/>
      <c r="Y715" s="93"/>
      <c r="AA715" s="95"/>
      <c r="AB715" s="121"/>
      <c r="AC715" s="29" t="str">
        <f t="shared" si="5"/>
        <v>Sim</v>
      </c>
      <c r="AD715" s="37" t="str">
        <f t="shared" si="1"/>
        <v>Não</v>
      </c>
      <c r="AE715" s="94"/>
      <c r="AF715" s="94"/>
      <c r="AG715" s="95"/>
    </row>
    <row r="716" hidden="1">
      <c r="A716" s="115"/>
      <c r="B716" s="93"/>
      <c r="C716" s="93"/>
      <c r="D716" s="93"/>
      <c r="E716" s="116"/>
      <c r="F716" s="95"/>
      <c r="G716" s="95"/>
      <c r="H716" s="94"/>
      <c r="I716" s="94"/>
      <c r="J716" s="117"/>
      <c r="K716" s="118"/>
      <c r="L716" s="119"/>
      <c r="M716" s="94"/>
      <c r="N716" s="94"/>
      <c r="O716" s="93"/>
      <c r="P716" s="120" t="b">
        <v>0</v>
      </c>
      <c r="Q716" s="120" t="b">
        <v>0</v>
      </c>
      <c r="R716" s="120" t="b">
        <v>0</v>
      </c>
      <c r="S716" s="95"/>
      <c r="U716" s="120" t="b">
        <v>0</v>
      </c>
      <c r="V716" s="93"/>
      <c r="W716" s="93"/>
      <c r="X716" s="93"/>
      <c r="Y716" s="93"/>
      <c r="AA716" s="95"/>
      <c r="AB716" s="121"/>
      <c r="AC716" s="29" t="str">
        <f t="shared" si="5"/>
        <v>Sim</v>
      </c>
      <c r="AD716" s="37" t="str">
        <f t="shared" si="1"/>
        <v>Não</v>
      </c>
      <c r="AE716" s="94"/>
      <c r="AF716" s="94"/>
      <c r="AG716" s="95"/>
    </row>
    <row r="717" hidden="1">
      <c r="A717" s="115"/>
      <c r="B717" s="93"/>
      <c r="C717" s="93"/>
      <c r="D717" s="93"/>
      <c r="E717" s="116"/>
      <c r="F717" s="95"/>
      <c r="G717" s="95"/>
      <c r="H717" s="94"/>
      <c r="I717" s="94"/>
      <c r="J717" s="117"/>
      <c r="K717" s="118"/>
      <c r="L717" s="119"/>
      <c r="M717" s="94"/>
      <c r="N717" s="94"/>
      <c r="O717" s="93"/>
      <c r="P717" s="120" t="b">
        <v>0</v>
      </c>
      <c r="Q717" s="120" t="b">
        <v>0</v>
      </c>
      <c r="R717" s="120" t="b">
        <v>0</v>
      </c>
      <c r="S717" s="95"/>
      <c r="U717" s="120" t="b">
        <v>0</v>
      </c>
      <c r="V717" s="93"/>
      <c r="W717" s="93"/>
      <c r="X717" s="93"/>
      <c r="Y717" s="93"/>
      <c r="AA717" s="95"/>
      <c r="AB717" s="121"/>
      <c r="AC717" s="29" t="str">
        <f t="shared" si="5"/>
        <v>Sim</v>
      </c>
      <c r="AD717" s="37" t="str">
        <f t="shared" si="1"/>
        <v>Não</v>
      </c>
      <c r="AE717" s="94"/>
      <c r="AF717" s="94"/>
      <c r="AG717" s="95"/>
    </row>
    <row r="718" hidden="1">
      <c r="A718" s="115"/>
      <c r="B718" s="93"/>
      <c r="C718" s="93"/>
      <c r="D718" s="93"/>
      <c r="E718" s="116"/>
      <c r="F718" s="95"/>
      <c r="G718" s="95"/>
      <c r="H718" s="94"/>
      <c r="I718" s="94"/>
      <c r="J718" s="117"/>
      <c r="K718" s="118"/>
      <c r="L718" s="119"/>
      <c r="M718" s="94"/>
      <c r="N718" s="94"/>
      <c r="O718" s="93"/>
      <c r="P718" s="120" t="b">
        <v>0</v>
      </c>
      <c r="Q718" s="120" t="b">
        <v>0</v>
      </c>
      <c r="R718" s="120" t="b">
        <v>0</v>
      </c>
      <c r="S718" s="95"/>
      <c r="U718" s="120" t="b">
        <v>0</v>
      </c>
      <c r="V718" s="93"/>
      <c r="W718" s="93"/>
      <c r="X718" s="93"/>
      <c r="Y718" s="93"/>
      <c r="AA718" s="95"/>
      <c r="AB718" s="121"/>
      <c r="AC718" s="29" t="str">
        <f t="shared" si="5"/>
        <v>Sim</v>
      </c>
      <c r="AD718" s="37" t="str">
        <f t="shared" si="1"/>
        <v>Não</v>
      </c>
      <c r="AE718" s="94"/>
      <c r="AF718" s="94"/>
      <c r="AG718" s="95"/>
    </row>
    <row r="719" hidden="1">
      <c r="A719" s="115"/>
      <c r="B719" s="93"/>
      <c r="C719" s="93"/>
      <c r="D719" s="93"/>
      <c r="E719" s="116"/>
      <c r="F719" s="95"/>
      <c r="G719" s="95"/>
      <c r="H719" s="94"/>
      <c r="I719" s="94"/>
      <c r="J719" s="117"/>
      <c r="K719" s="118"/>
      <c r="L719" s="119"/>
      <c r="M719" s="94"/>
      <c r="N719" s="94"/>
      <c r="O719" s="93"/>
      <c r="P719" s="120" t="b">
        <v>0</v>
      </c>
      <c r="Q719" s="120" t="b">
        <v>0</v>
      </c>
      <c r="R719" s="120" t="b">
        <v>0</v>
      </c>
      <c r="S719" s="95"/>
      <c r="U719" s="120" t="b">
        <v>0</v>
      </c>
      <c r="V719" s="93"/>
      <c r="W719" s="93"/>
      <c r="X719" s="93"/>
      <c r="Y719" s="93"/>
      <c r="AA719" s="95"/>
      <c r="AB719" s="121"/>
      <c r="AC719" s="29" t="str">
        <f t="shared" si="5"/>
        <v>Sim</v>
      </c>
      <c r="AD719" s="37" t="str">
        <f t="shared" si="1"/>
        <v>Não</v>
      </c>
      <c r="AE719" s="94"/>
      <c r="AF719" s="94"/>
      <c r="AG719" s="95"/>
    </row>
    <row r="720" hidden="1">
      <c r="A720" s="115"/>
      <c r="B720" s="93"/>
      <c r="C720" s="93"/>
      <c r="D720" s="93"/>
      <c r="E720" s="116"/>
      <c r="F720" s="95"/>
      <c r="G720" s="95"/>
      <c r="H720" s="94"/>
      <c r="I720" s="94"/>
      <c r="J720" s="117"/>
      <c r="K720" s="118"/>
      <c r="L720" s="119"/>
      <c r="M720" s="94"/>
      <c r="N720" s="94"/>
      <c r="O720" s="93"/>
      <c r="P720" s="120" t="b">
        <v>0</v>
      </c>
      <c r="Q720" s="120" t="b">
        <v>0</v>
      </c>
      <c r="R720" s="120" t="b">
        <v>0</v>
      </c>
      <c r="S720" s="95"/>
      <c r="U720" s="120" t="b">
        <v>0</v>
      </c>
      <c r="V720" s="93"/>
      <c r="W720" s="93"/>
      <c r="X720" s="93"/>
      <c r="Y720" s="93"/>
      <c r="AA720" s="95"/>
      <c r="AB720" s="121"/>
      <c r="AC720" s="29" t="str">
        <f t="shared" si="5"/>
        <v>Sim</v>
      </c>
      <c r="AD720" s="37" t="str">
        <f t="shared" si="1"/>
        <v>Não</v>
      </c>
      <c r="AE720" s="94"/>
      <c r="AF720" s="94"/>
      <c r="AG720" s="95"/>
    </row>
    <row r="721" hidden="1">
      <c r="A721" s="115"/>
      <c r="B721" s="93"/>
      <c r="C721" s="93"/>
      <c r="D721" s="93"/>
      <c r="E721" s="116"/>
      <c r="F721" s="95"/>
      <c r="G721" s="95"/>
      <c r="H721" s="94"/>
      <c r="I721" s="94"/>
      <c r="J721" s="117"/>
      <c r="K721" s="118"/>
      <c r="L721" s="119"/>
      <c r="M721" s="94"/>
      <c r="N721" s="94"/>
      <c r="O721" s="93"/>
      <c r="P721" s="120" t="b">
        <v>0</v>
      </c>
      <c r="Q721" s="120" t="b">
        <v>0</v>
      </c>
      <c r="R721" s="120" t="b">
        <v>0</v>
      </c>
      <c r="S721" s="95"/>
      <c r="U721" s="120" t="b">
        <v>0</v>
      </c>
      <c r="V721" s="93"/>
      <c r="W721" s="93"/>
      <c r="X721" s="93"/>
      <c r="Y721" s="93"/>
      <c r="AA721" s="95"/>
      <c r="AB721" s="121"/>
      <c r="AC721" s="29" t="str">
        <f t="shared" si="5"/>
        <v>Sim</v>
      </c>
      <c r="AD721" s="37" t="str">
        <f t="shared" si="1"/>
        <v>Não</v>
      </c>
      <c r="AE721" s="94"/>
      <c r="AF721" s="94"/>
      <c r="AG721" s="95"/>
    </row>
    <row r="722" hidden="1">
      <c r="A722" s="115"/>
      <c r="B722" s="93"/>
      <c r="C722" s="93"/>
      <c r="D722" s="93"/>
      <c r="E722" s="116"/>
      <c r="F722" s="95"/>
      <c r="G722" s="95"/>
      <c r="H722" s="94"/>
      <c r="I722" s="94"/>
      <c r="J722" s="117"/>
      <c r="K722" s="118"/>
      <c r="L722" s="119"/>
      <c r="M722" s="94"/>
      <c r="N722" s="94"/>
      <c r="O722" s="93"/>
      <c r="P722" s="120" t="b">
        <v>0</v>
      </c>
      <c r="Q722" s="120" t="b">
        <v>0</v>
      </c>
      <c r="R722" s="120" t="b">
        <v>0</v>
      </c>
      <c r="S722" s="95"/>
      <c r="U722" s="120" t="b">
        <v>0</v>
      </c>
      <c r="V722" s="93"/>
      <c r="W722" s="93"/>
      <c r="X722" s="93"/>
      <c r="Y722" s="93"/>
      <c r="AA722" s="95"/>
      <c r="AB722" s="121"/>
      <c r="AC722" s="29" t="str">
        <f t="shared" si="5"/>
        <v>Sim</v>
      </c>
      <c r="AD722" s="37" t="str">
        <f t="shared" si="1"/>
        <v>Não</v>
      </c>
      <c r="AE722" s="94"/>
      <c r="AF722" s="94"/>
      <c r="AG722" s="95"/>
    </row>
    <row r="723" hidden="1">
      <c r="A723" s="115"/>
      <c r="B723" s="93"/>
      <c r="C723" s="93"/>
      <c r="D723" s="93"/>
      <c r="E723" s="116"/>
      <c r="F723" s="95"/>
      <c r="G723" s="95"/>
      <c r="H723" s="94"/>
      <c r="I723" s="94"/>
      <c r="J723" s="117"/>
      <c r="K723" s="118"/>
      <c r="L723" s="119"/>
      <c r="M723" s="94"/>
      <c r="N723" s="94"/>
      <c r="O723" s="93"/>
      <c r="P723" s="120" t="b">
        <v>0</v>
      </c>
      <c r="Q723" s="120" t="b">
        <v>0</v>
      </c>
      <c r="R723" s="120" t="b">
        <v>0</v>
      </c>
      <c r="S723" s="95"/>
      <c r="U723" s="120" t="b">
        <v>0</v>
      </c>
      <c r="V723" s="93"/>
      <c r="W723" s="93"/>
      <c r="X723" s="93"/>
      <c r="Y723" s="93"/>
      <c r="AA723" s="95"/>
      <c r="AB723" s="121"/>
      <c r="AC723" s="29" t="str">
        <f t="shared" si="5"/>
        <v>Sim</v>
      </c>
      <c r="AD723" s="37" t="str">
        <f t="shared" si="1"/>
        <v>Não</v>
      </c>
      <c r="AE723" s="94"/>
      <c r="AF723" s="94"/>
      <c r="AG723" s="95"/>
    </row>
    <row r="724" hidden="1">
      <c r="A724" s="115"/>
      <c r="B724" s="93"/>
      <c r="C724" s="93"/>
      <c r="D724" s="93"/>
      <c r="E724" s="116"/>
      <c r="F724" s="95"/>
      <c r="G724" s="95"/>
      <c r="H724" s="94"/>
      <c r="I724" s="94"/>
      <c r="J724" s="117"/>
      <c r="K724" s="118"/>
      <c r="L724" s="119"/>
      <c r="M724" s="94"/>
      <c r="N724" s="94"/>
      <c r="O724" s="93"/>
      <c r="P724" s="120" t="b">
        <v>0</v>
      </c>
      <c r="Q724" s="120" t="b">
        <v>0</v>
      </c>
      <c r="R724" s="120" t="b">
        <v>0</v>
      </c>
      <c r="S724" s="95"/>
      <c r="U724" s="120" t="b">
        <v>0</v>
      </c>
      <c r="V724" s="93"/>
      <c r="W724" s="93"/>
      <c r="X724" s="93"/>
      <c r="Y724" s="93"/>
      <c r="AA724" s="95"/>
      <c r="AB724" s="121"/>
      <c r="AC724" s="29" t="str">
        <f t="shared" si="5"/>
        <v>Sim</v>
      </c>
      <c r="AD724" s="37" t="str">
        <f t="shared" si="1"/>
        <v>Não</v>
      </c>
      <c r="AE724" s="94"/>
      <c r="AF724" s="94"/>
      <c r="AG724" s="95"/>
    </row>
    <row r="725" hidden="1">
      <c r="A725" s="115"/>
      <c r="B725" s="93"/>
      <c r="C725" s="93"/>
      <c r="D725" s="93"/>
      <c r="E725" s="116"/>
      <c r="F725" s="95"/>
      <c r="G725" s="95"/>
      <c r="H725" s="94"/>
      <c r="I725" s="94"/>
      <c r="J725" s="117"/>
      <c r="K725" s="118"/>
      <c r="L725" s="119"/>
      <c r="M725" s="94"/>
      <c r="N725" s="94"/>
      <c r="O725" s="93"/>
      <c r="P725" s="120" t="b">
        <v>0</v>
      </c>
      <c r="Q725" s="120" t="b">
        <v>0</v>
      </c>
      <c r="R725" s="120" t="b">
        <v>0</v>
      </c>
      <c r="S725" s="95"/>
      <c r="U725" s="120" t="b">
        <v>0</v>
      </c>
      <c r="V725" s="93"/>
      <c r="W725" s="93"/>
      <c r="X725" s="93"/>
      <c r="Y725" s="93"/>
      <c r="AA725" s="95"/>
      <c r="AB725" s="121"/>
      <c r="AC725" s="29" t="str">
        <f t="shared" si="5"/>
        <v>Sim</v>
      </c>
      <c r="AD725" s="37" t="str">
        <f t="shared" si="1"/>
        <v>Não</v>
      </c>
      <c r="AE725" s="94"/>
      <c r="AF725" s="94"/>
      <c r="AG725" s="95"/>
    </row>
    <row r="726" hidden="1">
      <c r="A726" s="115"/>
      <c r="B726" s="93"/>
      <c r="C726" s="93"/>
      <c r="D726" s="93"/>
      <c r="E726" s="116"/>
      <c r="F726" s="95"/>
      <c r="G726" s="95"/>
      <c r="H726" s="94"/>
      <c r="I726" s="94"/>
      <c r="J726" s="117"/>
      <c r="K726" s="118"/>
      <c r="L726" s="119"/>
      <c r="M726" s="94"/>
      <c r="N726" s="94"/>
      <c r="O726" s="93"/>
      <c r="P726" s="120" t="b">
        <v>0</v>
      </c>
      <c r="Q726" s="120" t="b">
        <v>0</v>
      </c>
      <c r="R726" s="120" t="b">
        <v>0</v>
      </c>
      <c r="S726" s="95"/>
      <c r="U726" s="120" t="b">
        <v>0</v>
      </c>
      <c r="V726" s="93"/>
      <c r="W726" s="93"/>
      <c r="X726" s="93"/>
      <c r="Y726" s="93"/>
      <c r="AA726" s="95"/>
      <c r="AB726" s="121"/>
      <c r="AC726" s="29" t="str">
        <f t="shared" si="5"/>
        <v>Sim</v>
      </c>
      <c r="AD726" s="37" t="str">
        <f t="shared" si="1"/>
        <v>Não</v>
      </c>
      <c r="AE726" s="94"/>
      <c r="AF726" s="94"/>
      <c r="AG726" s="95"/>
    </row>
    <row r="727" hidden="1">
      <c r="A727" s="115"/>
      <c r="B727" s="93"/>
      <c r="C727" s="93"/>
      <c r="D727" s="93"/>
      <c r="E727" s="116"/>
      <c r="F727" s="95"/>
      <c r="G727" s="95"/>
      <c r="H727" s="94"/>
      <c r="I727" s="94"/>
      <c r="J727" s="117"/>
      <c r="K727" s="118"/>
      <c r="L727" s="119"/>
      <c r="M727" s="94"/>
      <c r="N727" s="94"/>
      <c r="O727" s="93"/>
      <c r="P727" s="120" t="b">
        <v>0</v>
      </c>
      <c r="Q727" s="120" t="b">
        <v>0</v>
      </c>
      <c r="R727" s="120" t="b">
        <v>0</v>
      </c>
      <c r="S727" s="95"/>
      <c r="U727" s="120" t="b">
        <v>0</v>
      </c>
      <c r="V727" s="93"/>
      <c r="W727" s="93"/>
      <c r="X727" s="93"/>
      <c r="Y727" s="93"/>
      <c r="AA727" s="95"/>
      <c r="AB727" s="121"/>
      <c r="AC727" s="29" t="str">
        <f t="shared" si="5"/>
        <v>Sim</v>
      </c>
      <c r="AD727" s="37" t="str">
        <f t="shared" si="1"/>
        <v>Não</v>
      </c>
      <c r="AE727" s="94"/>
      <c r="AF727" s="94"/>
      <c r="AG727" s="95"/>
    </row>
    <row r="728" hidden="1">
      <c r="A728" s="115"/>
      <c r="B728" s="93"/>
      <c r="C728" s="93"/>
      <c r="D728" s="93"/>
      <c r="E728" s="116"/>
      <c r="F728" s="95"/>
      <c r="G728" s="95"/>
      <c r="H728" s="94"/>
      <c r="I728" s="94"/>
      <c r="J728" s="117"/>
      <c r="K728" s="118"/>
      <c r="L728" s="119"/>
      <c r="M728" s="94"/>
      <c r="N728" s="94"/>
      <c r="O728" s="93"/>
      <c r="P728" s="120" t="b">
        <v>0</v>
      </c>
      <c r="Q728" s="120" t="b">
        <v>0</v>
      </c>
      <c r="R728" s="120" t="b">
        <v>0</v>
      </c>
      <c r="S728" s="95"/>
      <c r="U728" s="120" t="b">
        <v>0</v>
      </c>
      <c r="V728" s="93"/>
      <c r="W728" s="93"/>
      <c r="X728" s="93"/>
      <c r="Y728" s="93"/>
      <c r="AA728" s="95"/>
      <c r="AB728" s="121"/>
      <c r="AC728" s="29" t="str">
        <f t="shared" si="5"/>
        <v>Sim</v>
      </c>
      <c r="AD728" s="37" t="str">
        <f t="shared" si="1"/>
        <v>Não</v>
      </c>
      <c r="AE728" s="94"/>
      <c r="AF728" s="94"/>
      <c r="AG728" s="95"/>
    </row>
    <row r="729" hidden="1">
      <c r="A729" s="115"/>
      <c r="B729" s="93"/>
      <c r="C729" s="93"/>
      <c r="D729" s="93"/>
      <c r="E729" s="116"/>
      <c r="F729" s="95"/>
      <c r="G729" s="95"/>
      <c r="H729" s="94"/>
      <c r="I729" s="94"/>
      <c r="J729" s="117"/>
      <c r="K729" s="118"/>
      <c r="L729" s="119"/>
      <c r="M729" s="94"/>
      <c r="N729" s="94"/>
      <c r="O729" s="93"/>
      <c r="P729" s="120" t="b">
        <v>0</v>
      </c>
      <c r="Q729" s="120" t="b">
        <v>0</v>
      </c>
      <c r="R729" s="120" t="b">
        <v>0</v>
      </c>
      <c r="S729" s="95"/>
      <c r="U729" s="120" t="b">
        <v>0</v>
      </c>
      <c r="V729" s="93"/>
      <c r="W729" s="93"/>
      <c r="X729" s="93"/>
      <c r="Y729" s="93"/>
      <c r="AA729" s="95"/>
      <c r="AB729" s="121"/>
      <c r="AC729" s="29" t="str">
        <f t="shared" si="5"/>
        <v>Sim</v>
      </c>
      <c r="AD729" s="37" t="str">
        <f t="shared" si="1"/>
        <v>Não</v>
      </c>
      <c r="AE729" s="94"/>
      <c r="AF729" s="94"/>
      <c r="AG729" s="95"/>
    </row>
    <row r="730" hidden="1">
      <c r="A730" s="115"/>
      <c r="B730" s="93"/>
      <c r="C730" s="93"/>
      <c r="D730" s="93"/>
      <c r="E730" s="116"/>
      <c r="F730" s="95"/>
      <c r="G730" s="95"/>
      <c r="H730" s="94"/>
      <c r="I730" s="94"/>
      <c r="J730" s="117"/>
      <c r="K730" s="118"/>
      <c r="L730" s="119"/>
      <c r="M730" s="94"/>
      <c r="N730" s="94"/>
      <c r="O730" s="93"/>
      <c r="P730" s="120" t="b">
        <v>0</v>
      </c>
      <c r="Q730" s="120" t="b">
        <v>0</v>
      </c>
      <c r="R730" s="120" t="b">
        <v>0</v>
      </c>
      <c r="S730" s="95"/>
      <c r="U730" s="120" t="b">
        <v>0</v>
      </c>
      <c r="V730" s="93"/>
      <c r="W730" s="93"/>
      <c r="X730" s="93"/>
      <c r="Y730" s="93"/>
      <c r="AA730" s="95"/>
      <c r="AB730" s="121"/>
      <c r="AC730" s="29" t="str">
        <f t="shared" si="5"/>
        <v>Sim</v>
      </c>
      <c r="AD730" s="37" t="str">
        <f t="shared" si="1"/>
        <v>Não</v>
      </c>
      <c r="AE730" s="94"/>
      <c r="AF730" s="94"/>
      <c r="AG730" s="95"/>
    </row>
    <row r="731" hidden="1">
      <c r="A731" s="115"/>
      <c r="B731" s="93"/>
      <c r="C731" s="93"/>
      <c r="D731" s="93"/>
      <c r="E731" s="116"/>
      <c r="F731" s="95"/>
      <c r="G731" s="95"/>
      <c r="H731" s="94"/>
      <c r="I731" s="94"/>
      <c r="J731" s="117"/>
      <c r="K731" s="118"/>
      <c r="L731" s="119"/>
      <c r="M731" s="94"/>
      <c r="N731" s="94"/>
      <c r="O731" s="93"/>
      <c r="P731" s="120" t="b">
        <v>0</v>
      </c>
      <c r="Q731" s="120" t="b">
        <v>0</v>
      </c>
      <c r="R731" s="120" t="b">
        <v>0</v>
      </c>
      <c r="S731" s="95"/>
      <c r="U731" s="120" t="b">
        <v>0</v>
      </c>
      <c r="V731" s="93"/>
      <c r="W731" s="93"/>
      <c r="X731" s="93"/>
      <c r="Y731" s="93"/>
      <c r="AA731" s="95"/>
      <c r="AB731" s="121"/>
      <c r="AC731" s="29" t="str">
        <f t="shared" si="5"/>
        <v>Sim</v>
      </c>
      <c r="AD731" s="37" t="str">
        <f t="shared" si="1"/>
        <v>Não</v>
      </c>
      <c r="AE731" s="94"/>
      <c r="AF731" s="94"/>
      <c r="AG731" s="95"/>
    </row>
    <row r="732" hidden="1">
      <c r="A732" s="115"/>
      <c r="B732" s="93"/>
      <c r="C732" s="93"/>
      <c r="D732" s="93"/>
      <c r="E732" s="116"/>
      <c r="F732" s="95"/>
      <c r="G732" s="95"/>
      <c r="H732" s="94"/>
      <c r="I732" s="94"/>
      <c r="J732" s="117"/>
      <c r="K732" s="118"/>
      <c r="L732" s="119"/>
      <c r="M732" s="94"/>
      <c r="N732" s="94"/>
      <c r="O732" s="93"/>
      <c r="P732" s="120" t="b">
        <v>0</v>
      </c>
      <c r="Q732" s="120" t="b">
        <v>0</v>
      </c>
      <c r="R732" s="120" t="b">
        <v>0</v>
      </c>
      <c r="S732" s="95"/>
      <c r="U732" s="120" t="b">
        <v>0</v>
      </c>
      <c r="V732" s="93"/>
      <c r="W732" s="93"/>
      <c r="X732" s="93"/>
      <c r="Y732" s="93"/>
      <c r="AA732" s="95"/>
      <c r="AB732" s="121"/>
      <c r="AC732" s="29" t="str">
        <f t="shared" si="5"/>
        <v>Sim</v>
      </c>
      <c r="AD732" s="37" t="str">
        <f t="shared" si="1"/>
        <v>Não</v>
      </c>
      <c r="AE732" s="94"/>
      <c r="AF732" s="94"/>
      <c r="AG732" s="95"/>
    </row>
    <row r="733" hidden="1">
      <c r="A733" s="115"/>
      <c r="B733" s="93"/>
      <c r="C733" s="93"/>
      <c r="D733" s="93"/>
      <c r="E733" s="116"/>
      <c r="F733" s="95"/>
      <c r="G733" s="95"/>
      <c r="H733" s="94"/>
      <c r="I733" s="94"/>
      <c r="J733" s="117"/>
      <c r="K733" s="118"/>
      <c r="L733" s="119"/>
      <c r="M733" s="94"/>
      <c r="N733" s="94"/>
      <c r="O733" s="93"/>
      <c r="P733" s="120" t="b">
        <v>0</v>
      </c>
      <c r="Q733" s="120" t="b">
        <v>0</v>
      </c>
      <c r="R733" s="120" t="b">
        <v>0</v>
      </c>
      <c r="S733" s="95"/>
      <c r="U733" s="120" t="b">
        <v>0</v>
      </c>
      <c r="V733" s="93"/>
      <c r="W733" s="93"/>
      <c r="X733" s="93"/>
      <c r="Y733" s="93"/>
      <c r="AA733" s="95"/>
      <c r="AB733" s="121"/>
      <c r="AC733" s="29" t="str">
        <f t="shared" si="5"/>
        <v>Sim</v>
      </c>
      <c r="AD733" s="37" t="str">
        <f t="shared" si="1"/>
        <v>Não</v>
      </c>
      <c r="AE733" s="94"/>
      <c r="AF733" s="94"/>
      <c r="AG733" s="95"/>
    </row>
    <row r="734" hidden="1">
      <c r="A734" s="115"/>
      <c r="B734" s="93"/>
      <c r="C734" s="93"/>
      <c r="D734" s="93"/>
      <c r="E734" s="116"/>
      <c r="F734" s="95"/>
      <c r="G734" s="95"/>
      <c r="H734" s="94"/>
      <c r="I734" s="94"/>
      <c r="J734" s="117"/>
      <c r="K734" s="118"/>
      <c r="L734" s="119"/>
      <c r="M734" s="94"/>
      <c r="N734" s="94"/>
      <c r="O734" s="93"/>
      <c r="P734" s="120" t="b">
        <v>0</v>
      </c>
      <c r="Q734" s="120" t="b">
        <v>0</v>
      </c>
      <c r="R734" s="120" t="b">
        <v>0</v>
      </c>
      <c r="S734" s="95"/>
      <c r="U734" s="120" t="b">
        <v>0</v>
      </c>
      <c r="V734" s="93"/>
      <c r="W734" s="93"/>
      <c r="X734" s="93"/>
      <c r="Y734" s="93"/>
      <c r="AA734" s="95"/>
      <c r="AB734" s="121"/>
      <c r="AC734" s="29" t="str">
        <f t="shared" si="5"/>
        <v>Sim</v>
      </c>
      <c r="AD734" s="37" t="str">
        <f t="shared" si="1"/>
        <v>Não</v>
      </c>
      <c r="AE734" s="94"/>
      <c r="AF734" s="94"/>
      <c r="AG734" s="95"/>
    </row>
    <row r="735" hidden="1">
      <c r="A735" s="115"/>
      <c r="B735" s="93"/>
      <c r="C735" s="93"/>
      <c r="D735" s="93"/>
      <c r="E735" s="116"/>
      <c r="F735" s="95"/>
      <c r="G735" s="95"/>
      <c r="H735" s="94"/>
      <c r="I735" s="94"/>
      <c r="J735" s="117"/>
      <c r="K735" s="118"/>
      <c r="L735" s="119"/>
      <c r="M735" s="94"/>
      <c r="N735" s="94"/>
      <c r="O735" s="93"/>
      <c r="P735" s="120" t="b">
        <v>0</v>
      </c>
      <c r="Q735" s="120" t="b">
        <v>0</v>
      </c>
      <c r="R735" s="120" t="b">
        <v>0</v>
      </c>
      <c r="S735" s="95"/>
      <c r="U735" s="120" t="b">
        <v>0</v>
      </c>
      <c r="V735" s="93"/>
      <c r="W735" s="93"/>
      <c r="X735" s="93"/>
      <c r="Y735" s="93"/>
      <c r="AA735" s="95"/>
      <c r="AB735" s="121"/>
      <c r="AC735" s="29" t="str">
        <f t="shared" si="5"/>
        <v>Sim</v>
      </c>
      <c r="AD735" s="37" t="str">
        <f t="shared" si="1"/>
        <v>Não</v>
      </c>
      <c r="AE735" s="94"/>
      <c r="AF735" s="94"/>
      <c r="AG735" s="95"/>
    </row>
    <row r="736" hidden="1">
      <c r="A736" s="115"/>
      <c r="B736" s="93"/>
      <c r="C736" s="93"/>
      <c r="D736" s="93"/>
      <c r="E736" s="116"/>
      <c r="F736" s="95"/>
      <c r="G736" s="95"/>
      <c r="H736" s="94"/>
      <c r="I736" s="94"/>
      <c r="J736" s="117"/>
      <c r="K736" s="118"/>
      <c r="L736" s="119"/>
      <c r="M736" s="94"/>
      <c r="N736" s="94"/>
      <c r="O736" s="93"/>
      <c r="P736" s="120" t="b">
        <v>0</v>
      </c>
      <c r="Q736" s="120" t="b">
        <v>0</v>
      </c>
      <c r="R736" s="120" t="b">
        <v>0</v>
      </c>
      <c r="S736" s="95"/>
      <c r="U736" s="120" t="b">
        <v>0</v>
      </c>
      <c r="V736" s="93"/>
      <c r="W736" s="93"/>
      <c r="X736" s="93"/>
      <c r="Y736" s="93"/>
      <c r="AA736" s="95"/>
      <c r="AB736" s="121"/>
      <c r="AC736" s="29" t="str">
        <f t="shared" si="5"/>
        <v>Sim</v>
      </c>
      <c r="AD736" s="37" t="str">
        <f t="shared" si="1"/>
        <v>Não</v>
      </c>
      <c r="AE736" s="94"/>
      <c r="AF736" s="94"/>
      <c r="AG736" s="95"/>
    </row>
    <row r="737" hidden="1">
      <c r="A737" s="115"/>
      <c r="B737" s="93"/>
      <c r="C737" s="93"/>
      <c r="D737" s="93"/>
      <c r="E737" s="116"/>
      <c r="F737" s="95"/>
      <c r="G737" s="95"/>
      <c r="H737" s="94"/>
      <c r="I737" s="94"/>
      <c r="J737" s="117"/>
      <c r="K737" s="118"/>
      <c r="L737" s="119"/>
      <c r="M737" s="94"/>
      <c r="N737" s="94"/>
      <c r="O737" s="93"/>
      <c r="P737" s="120" t="b">
        <v>0</v>
      </c>
      <c r="Q737" s="120" t="b">
        <v>0</v>
      </c>
      <c r="R737" s="120" t="b">
        <v>0</v>
      </c>
      <c r="S737" s="95"/>
      <c r="U737" s="120" t="b">
        <v>0</v>
      </c>
      <c r="V737" s="93"/>
      <c r="W737" s="93"/>
      <c r="X737" s="93"/>
      <c r="Y737" s="93"/>
      <c r="AA737" s="95"/>
      <c r="AB737" s="121"/>
      <c r="AC737" s="29" t="str">
        <f t="shared" si="5"/>
        <v>Sim</v>
      </c>
      <c r="AD737" s="37" t="str">
        <f t="shared" si="1"/>
        <v>Não</v>
      </c>
      <c r="AE737" s="94"/>
      <c r="AF737" s="94"/>
      <c r="AG737" s="95"/>
    </row>
    <row r="738" hidden="1">
      <c r="A738" s="115"/>
      <c r="B738" s="93"/>
      <c r="C738" s="93"/>
      <c r="D738" s="93"/>
      <c r="E738" s="116"/>
      <c r="F738" s="95"/>
      <c r="G738" s="95"/>
      <c r="H738" s="94"/>
      <c r="I738" s="94"/>
      <c r="J738" s="117"/>
      <c r="K738" s="118"/>
      <c r="L738" s="119"/>
      <c r="M738" s="94"/>
      <c r="N738" s="94"/>
      <c r="O738" s="93"/>
      <c r="P738" s="120" t="b">
        <v>0</v>
      </c>
      <c r="Q738" s="120" t="b">
        <v>0</v>
      </c>
      <c r="R738" s="120" t="b">
        <v>0</v>
      </c>
      <c r="S738" s="95"/>
      <c r="U738" s="120" t="b">
        <v>0</v>
      </c>
      <c r="V738" s="93"/>
      <c r="W738" s="93"/>
      <c r="X738" s="93"/>
      <c r="Y738" s="93"/>
      <c r="AA738" s="95"/>
      <c r="AB738" s="121"/>
      <c r="AC738" s="29" t="str">
        <f t="shared" si="5"/>
        <v>Sim</v>
      </c>
      <c r="AD738" s="37" t="str">
        <f t="shared" si="1"/>
        <v>Não</v>
      </c>
      <c r="AE738" s="94"/>
      <c r="AF738" s="94"/>
      <c r="AG738" s="95"/>
    </row>
    <row r="739" hidden="1">
      <c r="A739" s="115"/>
      <c r="B739" s="93"/>
      <c r="C739" s="93"/>
      <c r="D739" s="93"/>
      <c r="E739" s="116"/>
      <c r="F739" s="95"/>
      <c r="G739" s="95"/>
      <c r="H739" s="94"/>
      <c r="I739" s="94"/>
      <c r="J739" s="117"/>
      <c r="K739" s="118"/>
      <c r="L739" s="119"/>
      <c r="M739" s="94"/>
      <c r="N739" s="94"/>
      <c r="O739" s="93"/>
      <c r="P739" s="120" t="b">
        <v>0</v>
      </c>
      <c r="Q739" s="120" t="b">
        <v>0</v>
      </c>
      <c r="R739" s="120" t="b">
        <v>0</v>
      </c>
      <c r="S739" s="95"/>
      <c r="U739" s="120" t="b">
        <v>0</v>
      </c>
      <c r="V739" s="93"/>
      <c r="W739" s="93"/>
      <c r="X739" s="93"/>
      <c r="Y739" s="93"/>
      <c r="AA739" s="95"/>
      <c r="AB739" s="121"/>
      <c r="AC739" s="29" t="str">
        <f t="shared" si="5"/>
        <v>Sim</v>
      </c>
      <c r="AD739" s="37" t="str">
        <f t="shared" si="1"/>
        <v>Não</v>
      </c>
      <c r="AE739" s="94"/>
      <c r="AF739" s="94"/>
      <c r="AG739" s="95"/>
    </row>
    <row r="740" hidden="1">
      <c r="A740" s="115"/>
      <c r="B740" s="93"/>
      <c r="C740" s="93"/>
      <c r="D740" s="93"/>
      <c r="E740" s="116"/>
      <c r="F740" s="95"/>
      <c r="G740" s="95"/>
      <c r="H740" s="94"/>
      <c r="I740" s="94"/>
      <c r="J740" s="117"/>
      <c r="K740" s="118"/>
      <c r="L740" s="119"/>
      <c r="M740" s="94"/>
      <c r="N740" s="94"/>
      <c r="O740" s="93"/>
      <c r="P740" s="120" t="b">
        <v>0</v>
      </c>
      <c r="Q740" s="120" t="b">
        <v>0</v>
      </c>
      <c r="R740" s="120" t="b">
        <v>0</v>
      </c>
      <c r="S740" s="95"/>
      <c r="U740" s="120" t="b">
        <v>0</v>
      </c>
      <c r="V740" s="93"/>
      <c r="W740" s="93"/>
      <c r="X740" s="93"/>
      <c r="Y740" s="93"/>
      <c r="AA740" s="95"/>
      <c r="AB740" s="121"/>
      <c r="AC740" s="29" t="str">
        <f t="shared" si="5"/>
        <v>Sim</v>
      </c>
      <c r="AD740" s="37" t="str">
        <f t="shared" si="1"/>
        <v>Não</v>
      </c>
      <c r="AE740" s="94"/>
      <c r="AF740" s="94"/>
      <c r="AG740" s="95"/>
    </row>
    <row r="741" hidden="1">
      <c r="A741" s="115"/>
      <c r="B741" s="93"/>
      <c r="C741" s="93"/>
      <c r="D741" s="93"/>
      <c r="E741" s="116"/>
      <c r="F741" s="95"/>
      <c r="G741" s="95"/>
      <c r="H741" s="94"/>
      <c r="I741" s="94"/>
      <c r="J741" s="117"/>
      <c r="K741" s="118"/>
      <c r="L741" s="119"/>
      <c r="M741" s="94"/>
      <c r="N741" s="94"/>
      <c r="O741" s="93"/>
      <c r="P741" s="120" t="b">
        <v>0</v>
      </c>
      <c r="Q741" s="120" t="b">
        <v>0</v>
      </c>
      <c r="R741" s="120" t="b">
        <v>0</v>
      </c>
      <c r="S741" s="95"/>
      <c r="U741" s="120" t="b">
        <v>0</v>
      </c>
      <c r="V741" s="93"/>
      <c r="W741" s="93"/>
      <c r="X741" s="93"/>
      <c r="Y741" s="93"/>
      <c r="AA741" s="95"/>
      <c r="AB741" s="121"/>
      <c r="AC741" s="29" t="str">
        <f t="shared" si="5"/>
        <v>Sim</v>
      </c>
      <c r="AD741" s="37" t="str">
        <f t="shared" si="1"/>
        <v>Não</v>
      </c>
      <c r="AE741" s="94"/>
      <c r="AF741" s="94"/>
      <c r="AG741" s="95"/>
    </row>
    <row r="742" hidden="1">
      <c r="A742" s="115"/>
      <c r="B742" s="93"/>
      <c r="C742" s="93"/>
      <c r="D742" s="93"/>
      <c r="E742" s="116"/>
      <c r="F742" s="95"/>
      <c r="G742" s="95"/>
      <c r="H742" s="94"/>
      <c r="I742" s="94"/>
      <c r="J742" s="117"/>
      <c r="K742" s="118"/>
      <c r="L742" s="119"/>
      <c r="M742" s="94"/>
      <c r="N742" s="94"/>
      <c r="O742" s="93"/>
      <c r="P742" s="120" t="b">
        <v>0</v>
      </c>
      <c r="Q742" s="120" t="b">
        <v>0</v>
      </c>
      <c r="R742" s="120" t="b">
        <v>0</v>
      </c>
      <c r="S742" s="95"/>
      <c r="U742" s="120" t="b">
        <v>0</v>
      </c>
      <c r="V742" s="93"/>
      <c r="W742" s="93"/>
      <c r="X742" s="93"/>
      <c r="Y742" s="93"/>
      <c r="AA742" s="95"/>
      <c r="AB742" s="121"/>
      <c r="AC742" s="29" t="str">
        <f t="shared" si="5"/>
        <v>Sim</v>
      </c>
      <c r="AD742" s="37" t="str">
        <f t="shared" si="1"/>
        <v>Não</v>
      </c>
      <c r="AE742" s="94"/>
      <c r="AF742" s="94"/>
      <c r="AG742" s="95"/>
    </row>
    <row r="743" hidden="1">
      <c r="A743" s="115"/>
      <c r="B743" s="93"/>
      <c r="C743" s="93"/>
      <c r="D743" s="93"/>
      <c r="E743" s="116"/>
      <c r="F743" s="95"/>
      <c r="G743" s="95"/>
      <c r="H743" s="94"/>
      <c r="I743" s="94"/>
      <c r="J743" s="117"/>
      <c r="K743" s="118"/>
      <c r="L743" s="119"/>
      <c r="M743" s="94"/>
      <c r="N743" s="94"/>
      <c r="O743" s="93"/>
      <c r="P743" s="120" t="b">
        <v>0</v>
      </c>
      <c r="Q743" s="120" t="b">
        <v>0</v>
      </c>
      <c r="R743" s="120" t="b">
        <v>0</v>
      </c>
      <c r="S743" s="95"/>
      <c r="U743" s="120" t="b">
        <v>0</v>
      </c>
      <c r="V743" s="93"/>
      <c r="W743" s="93"/>
      <c r="X743" s="93"/>
      <c r="Y743" s="93"/>
      <c r="AA743" s="95"/>
      <c r="AB743" s="121"/>
      <c r="AC743" s="29" t="str">
        <f t="shared" si="5"/>
        <v>Sim</v>
      </c>
      <c r="AD743" s="37" t="str">
        <f t="shared" si="1"/>
        <v>Não</v>
      </c>
      <c r="AE743" s="94"/>
      <c r="AF743" s="94"/>
      <c r="AG743" s="95"/>
    </row>
    <row r="744" hidden="1">
      <c r="A744" s="115"/>
      <c r="B744" s="93"/>
      <c r="C744" s="93"/>
      <c r="D744" s="93"/>
      <c r="E744" s="116"/>
      <c r="F744" s="95"/>
      <c r="G744" s="95"/>
      <c r="H744" s="94"/>
      <c r="I744" s="94"/>
      <c r="J744" s="117"/>
      <c r="K744" s="118"/>
      <c r="L744" s="119"/>
      <c r="M744" s="94"/>
      <c r="N744" s="94"/>
      <c r="O744" s="93"/>
      <c r="P744" s="120" t="b">
        <v>0</v>
      </c>
      <c r="Q744" s="120" t="b">
        <v>0</v>
      </c>
      <c r="R744" s="120" t="b">
        <v>0</v>
      </c>
      <c r="S744" s="95"/>
      <c r="U744" s="120" t="b">
        <v>0</v>
      </c>
      <c r="V744" s="93"/>
      <c r="W744" s="93"/>
      <c r="X744" s="93"/>
      <c r="Y744" s="93"/>
      <c r="AA744" s="95"/>
      <c r="AB744" s="121"/>
      <c r="AC744" s="29" t="str">
        <f t="shared" si="5"/>
        <v>Sim</v>
      </c>
      <c r="AD744" s="37" t="str">
        <f t="shared" si="1"/>
        <v>Não</v>
      </c>
      <c r="AE744" s="94"/>
      <c r="AF744" s="94"/>
      <c r="AG744" s="95"/>
    </row>
    <row r="745" hidden="1">
      <c r="A745" s="115"/>
      <c r="B745" s="93"/>
      <c r="C745" s="93"/>
      <c r="D745" s="93"/>
      <c r="E745" s="116"/>
      <c r="F745" s="95"/>
      <c r="G745" s="95"/>
      <c r="H745" s="94"/>
      <c r="I745" s="94"/>
      <c r="J745" s="117"/>
      <c r="K745" s="118"/>
      <c r="L745" s="119"/>
      <c r="M745" s="94"/>
      <c r="N745" s="94"/>
      <c r="O745" s="93"/>
      <c r="P745" s="120" t="b">
        <v>0</v>
      </c>
      <c r="Q745" s="120" t="b">
        <v>0</v>
      </c>
      <c r="R745" s="120" t="b">
        <v>0</v>
      </c>
      <c r="S745" s="95"/>
      <c r="U745" s="120" t="b">
        <v>0</v>
      </c>
      <c r="V745" s="93"/>
      <c r="W745" s="93"/>
      <c r="X745" s="93"/>
      <c r="Y745" s="93"/>
      <c r="AA745" s="95"/>
      <c r="AB745" s="121"/>
      <c r="AC745" s="29" t="str">
        <f t="shared" si="5"/>
        <v>Sim</v>
      </c>
      <c r="AD745" s="37" t="str">
        <f t="shared" si="1"/>
        <v>Não</v>
      </c>
      <c r="AE745" s="94"/>
      <c r="AF745" s="94"/>
      <c r="AG745" s="95"/>
    </row>
    <row r="746" hidden="1">
      <c r="A746" s="115"/>
      <c r="B746" s="93"/>
      <c r="C746" s="93"/>
      <c r="D746" s="93"/>
      <c r="E746" s="116"/>
      <c r="F746" s="95"/>
      <c r="G746" s="95"/>
      <c r="H746" s="94"/>
      <c r="I746" s="94"/>
      <c r="J746" s="117"/>
      <c r="K746" s="118"/>
      <c r="L746" s="119"/>
      <c r="M746" s="94"/>
      <c r="N746" s="94"/>
      <c r="O746" s="93"/>
      <c r="P746" s="120" t="b">
        <v>0</v>
      </c>
      <c r="Q746" s="120" t="b">
        <v>0</v>
      </c>
      <c r="R746" s="120" t="b">
        <v>0</v>
      </c>
      <c r="S746" s="95"/>
      <c r="U746" s="120" t="b">
        <v>0</v>
      </c>
      <c r="V746" s="93"/>
      <c r="W746" s="93"/>
      <c r="X746" s="93"/>
      <c r="Y746" s="93"/>
      <c r="AA746" s="95"/>
      <c r="AB746" s="121"/>
      <c r="AC746" s="29" t="str">
        <f t="shared" si="5"/>
        <v>Sim</v>
      </c>
      <c r="AD746" s="37" t="str">
        <f t="shared" si="1"/>
        <v>Não</v>
      </c>
      <c r="AE746" s="94"/>
      <c r="AF746" s="94"/>
      <c r="AG746" s="95"/>
    </row>
    <row r="747" hidden="1">
      <c r="A747" s="115"/>
      <c r="B747" s="93"/>
      <c r="C747" s="93"/>
      <c r="D747" s="93"/>
      <c r="E747" s="116"/>
      <c r="F747" s="95"/>
      <c r="G747" s="95"/>
      <c r="H747" s="94"/>
      <c r="I747" s="94"/>
      <c r="J747" s="117"/>
      <c r="K747" s="118"/>
      <c r="L747" s="119"/>
      <c r="M747" s="94"/>
      <c r="N747" s="94"/>
      <c r="O747" s="93"/>
      <c r="P747" s="120" t="b">
        <v>0</v>
      </c>
      <c r="Q747" s="120" t="b">
        <v>0</v>
      </c>
      <c r="R747" s="120" t="b">
        <v>0</v>
      </c>
      <c r="S747" s="95"/>
      <c r="U747" s="120" t="b">
        <v>0</v>
      </c>
      <c r="V747" s="93"/>
      <c r="W747" s="93"/>
      <c r="X747" s="93"/>
      <c r="Y747" s="93"/>
      <c r="AA747" s="95"/>
      <c r="AB747" s="121"/>
      <c r="AC747" s="29" t="str">
        <f t="shared" si="5"/>
        <v>Sim</v>
      </c>
      <c r="AD747" s="37" t="str">
        <f t="shared" si="1"/>
        <v>Não</v>
      </c>
      <c r="AE747" s="94"/>
      <c r="AF747" s="94"/>
      <c r="AG747" s="95"/>
    </row>
    <row r="748" hidden="1">
      <c r="A748" s="115"/>
      <c r="B748" s="93"/>
      <c r="C748" s="93"/>
      <c r="D748" s="93"/>
      <c r="E748" s="116"/>
      <c r="F748" s="95"/>
      <c r="G748" s="95"/>
      <c r="H748" s="94"/>
      <c r="I748" s="94"/>
      <c r="J748" s="117"/>
      <c r="K748" s="118"/>
      <c r="L748" s="119"/>
      <c r="M748" s="94"/>
      <c r="N748" s="94"/>
      <c r="O748" s="93"/>
      <c r="P748" s="120" t="b">
        <v>0</v>
      </c>
      <c r="Q748" s="120" t="b">
        <v>0</v>
      </c>
      <c r="R748" s="120" t="b">
        <v>0</v>
      </c>
      <c r="S748" s="95"/>
      <c r="U748" s="120" t="b">
        <v>0</v>
      </c>
      <c r="V748" s="93"/>
      <c r="W748" s="93"/>
      <c r="X748" s="93"/>
      <c r="Y748" s="93"/>
      <c r="AA748" s="95"/>
      <c r="AB748" s="121"/>
      <c r="AC748" s="29" t="str">
        <f t="shared" si="5"/>
        <v>Sim</v>
      </c>
      <c r="AD748" s="37" t="str">
        <f t="shared" si="1"/>
        <v>Não</v>
      </c>
      <c r="AE748" s="94"/>
      <c r="AF748" s="94"/>
      <c r="AG748" s="95"/>
    </row>
    <row r="749" hidden="1">
      <c r="A749" s="115"/>
      <c r="B749" s="93"/>
      <c r="C749" s="93"/>
      <c r="D749" s="93"/>
      <c r="E749" s="116"/>
      <c r="F749" s="95"/>
      <c r="G749" s="95"/>
      <c r="H749" s="94"/>
      <c r="I749" s="94"/>
      <c r="J749" s="117"/>
      <c r="K749" s="118"/>
      <c r="L749" s="119"/>
      <c r="M749" s="94"/>
      <c r="N749" s="94"/>
      <c r="O749" s="93"/>
      <c r="P749" s="120" t="b">
        <v>0</v>
      </c>
      <c r="Q749" s="120" t="b">
        <v>0</v>
      </c>
      <c r="R749" s="120" t="b">
        <v>0</v>
      </c>
      <c r="S749" s="95"/>
      <c r="U749" s="120" t="b">
        <v>0</v>
      </c>
      <c r="V749" s="93"/>
      <c r="W749" s="93"/>
      <c r="X749" s="93"/>
      <c r="Y749" s="93"/>
      <c r="AA749" s="95"/>
      <c r="AB749" s="121"/>
      <c r="AC749" s="29" t="str">
        <f t="shared" si="5"/>
        <v>Sim</v>
      </c>
      <c r="AD749" s="37" t="str">
        <f t="shared" si="1"/>
        <v>Não</v>
      </c>
      <c r="AE749" s="94"/>
      <c r="AF749" s="94"/>
      <c r="AG749" s="95"/>
    </row>
    <row r="750" hidden="1">
      <c r="A750" s="115"/>
      <c r="B750" s="93"/>
      <c r="C750" s="93"/>
      <c r="D750" s="93"/>
      <c r="E750" s="116"/>
      <c r="F750" s="95"/>
      <c r="G750" s="95"/>
      <c r="H750" s="94"/>
      <c r="I750" s="94"/>
      <c r="J750" s="117"/>
      <c r="K750" s="118"/>
      <c r="L750" s="119"/>
      <c r="M750" s="94"/>
      <c r="N750" s="94"/>
      <c r="O750" s="93"/>
      <c r="P750" s="120" t="b">
        <v>0</v>
      </c>
      <c r="Q750" s="120" t="b">
        <v>0</v>
      </c>
      <c r="R750" s="120" t="b">
        <v>0</v>
      </c>
      <c r="S750" s="95"/>
      <c r="U750" s="120" t="b">
        <v>0</v>
      </c>
      <c r="V750" s="93"/>
      <c r="W750" s="93"/>
      <c r="X750" s="93"/>
      <c r="Y750" s="93"/>
      <c r="AA750" s="95"/>
      <c r="AB750" s="121"/>
      <c r="AC750" s="29" t="str">
        <f t="shared" si="5"/>
        <v>Sim</v>
      </c>
      <c r="AD750" s="37" t="str">
        <f t="shared" si="1"/>
        <v>Não</v>
      </c>
      <c r="AE750" s="94"/>
      <c r="AF750" s="94"/>
      <c r="AG750" s="95"/>
    </row>
    <row r="751" hidden="1">
      <c r="A751" s="115"/>
      <c r="B751" s="93"/>
      <c r="C751" s="93"/>
      <c r="D751" s="93"/>
      <c r="E751" s="116"/>
      <c r="F751" s="95"/>
      <c r="G751" s="95"/>
      <c r="H751" s="94"/>
      <c r="I751" s="94"/>
      <c r="J751" s="117"/>
      <c r="K751" s="118"/>
      <c r="L751" s="119"/>
      <c r="M751" s="94"/>
      <c r="N751" s="94"/>
      <c r="O751" s="93"/>
      <c r="P751" s="120" t="b">
        <v>0</v>
      </c>
      <c r="Q751" s="120" t="b">
        <v>0</v>
      </c>
      <c r="R751" s="120" t="b">
        <v>0</v>
      </c>
      <c r="S751" s="95"/>
      <c r="U751" s="120" t="b">
        <v>0</v>
      </c>
      <c r="V751" s="93"/>
      <c r="W751" s="93"/>
      <c r="X751" s="93"/>
      <c r="Y751" s="93"/>
      <c r="AA751" s="95"/>
      <c r="AB751" s="121"/>
      <c r="AC751" s="29" t="str">
        <f t="shared" si="5"/>
        <v>Sim</v>
      </c>
      <c r="AD751" s="37" t="str">
        <f t="shared" si="1"/>
        <v>Não</v>
      </c>
      <c r="AE751" s="94"/>
      <c r="AF751" s="94"/>
      <c r="AG751" s="95"/>
    </row>
    <row r="752" hidden="1">
      <c r="A752" s="115"/>
      <c r="B752" s="93"/>
      <c r="C752" s="93"/>
      <c r="D752" s="93"/>
      <c r="E752" s="116"/>
      <c r="F752" s="95"/>
      <c r="G752" s="95"/>
      <c r="H752" s="94"/>
      <c r="I752" s="94"/>
      <c r="J752" s="117"/>
      <c r="K752" s="118"/>
      <c r="L752" s="119"/>
      <c r="M752" s="94"/>
      <c r="N752" s="94"/>
      <c r="O752" s="93"/>
      <c r="P752" s="120" t="b">
        <v>0</v>
      </c>
      <c r="Q752" s="120" t="b">
        <v>0</v>
      </c>
      <c r="R752" s="120" t="b">
        <v>0</v>
      </c>
      <c r="S752" s="95"/>
      <c r="U752" s="120" t="b">
        <v>0</v>
      </c>
      <c r="V752" s="93"/>
      <c r="W752" s="93"/>
      <c r="X752" s="93"/>
      <c r="Y752" s="93"/>
      <c r="AA752" s="95"/>
      <c r="AB752" s="121"/>
      <c r="AC752" s="29" t="str">
        <f t="shared" si="5"/>
        <v>Sim</v>
      </c>
      <c r="AD752" s="37" t="str">
        <f t="shared" si="1"/>
        <v>Não</v>
      </c>
      <c r="AE752" s="94"/>
      <c r="AF752" s="94"/>
      <c r="AG752" s="95"/>
    </row>
    <row r="753" hidden="1">
      <c r="A753" s="115"/>
      <c r="B753" s="93"/>
      <c r="C753" s="93"/>
      <c r="D753" s="93"/>
      <c r="E753" s="116"/>
      <c r="F753" s="95"/>
      <c r="G753" s="95"/>
      <c r="H753" s="94"/>
      <c r="I753" s="94"/>
      <c r="J753" s="117"/>
      <c r="K753" s="118"/>
      <c r="L753" s="119"/>
      <c r="M753" s="94"/>
      <c r="N753" s="94"/>
      <c r="O753" s="93"/>
      <c r="P753" s="120" t="b">
        <v>0</v>
      </c>
      <c r="Q753" s="120" t="b">
        <v>0</v>
      </c>
      <c r="R753" s="120" t="b">
        <v>0</v>
      </c>
      <c r="S753" s="95"/>
      <c r="U753" s="120" t="b">
        <v>0</v>
      </c>
      <c r="V753" s="93"/>
      <c r="W753" s="93"/>
      <c r="X753" s="93"/>
      <c r="Y753" s="93"/>
      <c r="AA753" s="95"/>
      <c r="AB753" s="121"/>
      <c r="AC753" s="29" t="str">
        <f t="shared" si="5"/>
        <v>Sim</v>
      </c>
      <c r="AD753" s="37" t="str">
        <f t="shared" si="1"/>
        <v>Não</v>
      </c>
      <c r="AE753" s="94"/>
      <c r="AF753" s="94"/>
      <c r="AG753" s="95"/>
    </row>
    <row r="754" hidden="1">
      <c r="A754" s="115"/>
      <c r="B754" s="93"/>
      <c r="C754" s="93"/>
      <c r="D754" s="93"/>
      <c r="E754" s="116"/>
      <c r="F754" s="95"/>
      <c r="G754" s="95"/>
      <c r="H754" s="94"/>
      <c r="I754" s="94"/>
      <c r="J754" s="117"/>
      <c r="K754" s="118"/>
      <c r="L754" s="119"/>
      <c r="M754" s="94"/>
      <c r="N754" s="94"/>
      <c r="O754" s="93"/>
      <c r="P754" s="120" t="b">
        <v>0</v>
      </c>
      <c r="Q754" s="120" t="b">
        <v>0</v>
      </c>
      <c r="R754" s="120" t="b">
        <v>0</v>
      </c>
      <c r="S754" s="95"/>
      <c r="U754" s="120" t="b">
        <v>0</v>
      </c>
      <c r="V754" s="93"/>
      <c r="W754" s="93"/>
      <c r="X754" s="93"/>
      <c r="Y754" s="93"/>
      <c r="AA754" s="95"/>
      <c r="AB754" s="121"/>
      <c r="AC754" s="29" t="str">
        <f t="shared" si="5"/>
        <v>Sim</v>
      </c>
      <c r="AD754" s="37" t="str">
        <f t="shared" si="1"/>
        <v>Não</v>
      </c>
      <c r="AE754" s="94"/>
      <c r="AF754" s="94"/>
      <c r="AG754" s="95"/>
    </row>
    <row r="755" hidden="1">
      <c r="A755" s="115"/>
      <c r="B755" s="93"/>
      <c r="C755" s="93"/>
      <c r="D755" s="93"/>
      <c r="E755" s="116"/>
      <c r="F755" s="95"/>
      <c r="G755" s="95"/>
      <c r="H755" s="94"/>
      <c r="I755" s="94"/>
      <c r="J755" s="117"/>
      <c r="K755" s="118"/>
      <c r="L755" s="119"/>
      <c r="M755" s="94"/>
      <c r="N755" s="94"/>
      <c r="O755" s="93"/>
      <c r="P755" s="120" t="b">
        <v>0</v>
      </c>
      <c r="Q755" s="120" t="b">
        <v>0</v>
      </c>
      <c r="R755" s="120" t="b">
        <v>0</v>
      </c>
      <c r="S755" s="95"/>
      <c r="U755" s="120" t="b">
        <v>0</v>
      </c>
      <c r="V755" s="93"/>
      <c r="W755" s="93"/>
      <c r="X755" s="93"/>
      <c r="Y755" s="93"/>
      <c r="AA755" s="95"/>
      <c r="AB755" s="121"/>
      <c r="AC755" s="29" t="str">
        <f t="shared" si="5"/>
        <v>Sim</v>
      </c>
      <c r="AD755" s="37" t="str">
        <f t="shared" si="1"/>
        <v>Não</v>
      </c>
      <c r="AE755" s="94"/>
      <c r="AF755" s="94"/>
      <c r="AG755" s="95"/>
    </row>
    <row r="756" hidden="1">
      <c r="A756" s="115"/>
      <c r="B756" s="93"/>
      <c r="C756" s="93"/>
      <c r="D756" s="93"/>
      <c r="E756" s="116"/>
      <c r="F756" s="95"/>
      <c r="G756" s="95"/>
      <c r="H756" s="94"/>
      <c r="I756" s="94"/>
      <c r="J756" s="117"/>
      <c r="K756" s="118"/>
      <c r="L756" s="119"/>
      <c r="M756" s="94"/>
      <c r="N756" s="94"/>
      <c r="O756" s="93"/>
      <c r="P756" s="120" t="b">
        <v>0</v>
      </c>
      <c r="Q756" s="120" t="b">
        <v>0</v>
      </c>
      <c r="R756" s="120" t="b">
        <v>0</v>
      </c>
      <c r="S756" s="95"/>
      <c r="U756" s="120" t="b">
        <v>0</v>
      </c>
      <c r="V756" s="93"/>
      <c r="W756" s="93"/>
      <c r="X756" s="93"/>
      <c r="Y756" s="93"/>
      <c r="AA756" s="95"/>
      <c r="AB756" s="121"/>
      <c r="AC756" s="29" t="str">
        <f t="shared" si="5"/>
        <v>Sim</v>
      </c>
      <c r="AD756" s="37" t="str">
        <f t="shared" si="1"/>
        <v>Não</v>
      </c>
      <c r="AE756" s="94"/>
      <c r="AF756" s="94"/>
      <c r="AG756" s="95"/>
    </row>
    <row r="757" hidden="1">
      <c r="A757" s="115"/>
      <c r="B757" s="93"/>
      <c r="C757" s="93"/>
      <c r="D757" s="93"/>
      <c r="E757" s="116"/>
      <c r="F757" s="95"/>
      <c r="G757" s="95"/>
      <c r="H757" s="94"/>
      <c r="I757" s="94"/>
      <c r="J757" s="117"/>
      <c r="K757" s="118"/>
      <c r="L757" s="119"/>
      <c r="M757" s="94"/>
      <c r="N757" s="94"/>
      <c r="O757" s="93"/>
      <c r="P757" s="120" t="b">
        <v>0</v>
      </c>
      <c r="Q757" s="120" t="b">
        <v>0</v>
      </c>
      <c r="R757" s="120" t="b">
        <v>0</v>
      </c>
      <c r="S757" s="95"/>
      <c r="U757" s="120" t="b">
        <v>0</v>
      </c>
      <c r="V757" s="93"/>
      <c r="W757" s="93"/>
      <c r="X757" s="93"/>
      <c r="Y757" s="93"/>
      <c r="AA757" s="95"/>
      <c r="AB757" s="121"/>
      <c r="AC757" s="29" t="str">
        <f t="shared" si="5"/>
        <v>Sim</v>
      </c>
      <c r="AD757" s="37" t="str">
        <f t="shared" si="1"/>
        <v>Não</v>
      </c>
      <c r="AE757" s="94"/>
      <c r="AF757" s="94"/>
      <c r="AG757" s="95"/>
    </row>
    <row r="758" hidden="1">
      <c r="A758" s="115"/>
      <c r="B758" s="93"/>
      <c r="C758" s="93"/>
      <c r="D758" s="93"/>
      <c r="E758" s="116"/>
      <c r="F758" s="95"/>
      <c r="G758" s="95"/>
      <c r="H758" s="94"/>
      <c r="I758" s="94"/>
      <c r="J758" s="117"/>
      <c r="K758" s="118"/>
      <c r="L758" s="119"/>
      <c r="M758" s="94"/>
      <c r="N758" s="94"/>
      <c r="O758" s="93"/>
      <c r="P758" s="120" t="b">
        <v>0</v>
      </c>
      <c r="Q758" s="120" t="b">
        <v>0</v>
      </c>
      <c r="R758" s="120" t="b">
        <v>0</v>
      </c>
      <c r="S758" s="95"/>
      <c r="U758" s="120" t="b">
        <v>0</v>
      </c>
      <c r="V758" s="93"/>
      <c r="W758" s="93"/>
      <c r="X758" s="93"/>
      <c r="Y758" s="93"/>
      <c r="AA758" s="95"/>
      <c r="AB758" s="121"/>
      <c r="AC758" s="29" t="str">
        <f t="shared" si="5"/>
        <v>Sim</v>
      </c>
      <c r="AD758" s="37" t="str">
        <f t="shared" si="1"/>
        <v>Não</v>
      </c>
      <c r="AE758" s="94"/>
      <c r="AF758" s="94"/>
      <c r="AG758" s="95"/>
    </row>
    <row r="759" hidden="1">
      <c r="A759" s="115"/>
      <c r="B759" s="93"/>
      <c r="C759" s="93"/>
      <c r="D759" s="93"/>
      <c r="E759" s="116"/>
      <c r="F759" s="95"/>
      <c r="G759" s="95"/>
      <c r="H759" s="94"/>
      <c r="I759" s="94"/>
      <c r="J759" s="117"/>
      <c r="K759" s="118"/>
      <c r="L759" s="119"/>
      <c r="M759" s="94"/>
      <c r="N759" s="94"/>
      <c r="O759" s="93"/>
      <c r="P759" s="120" t="b">
        <v>0</v>
      </c>
      <c r="Q759" s="120" t="b">
        <v>0</v>
      </c>
      <c r="R759" s="120" t="b">
        <v>0</v>
      </c>
      <c r="S759" s="95"/>
      <c r="U759" s="120" t="b">
        <v>0</v>
      </c>
      <c r="V759" s="93"/>
      <c r="W759" s="93"/>
      <c r="X759" s="93"/>
      <c r="Y759" s="93"/>
      <c r="AA759" s="95"/>
      <c r="AB759" s="121"/>
      <c r="AC759" s="29" t="str">
        <f t="shared" si="5"/>
        <v>Sim</v>
      </c>
      <c r="AD759" s="37" t="str">
        <f t="shared" si="1"/>
        <v>Não</v>
      </c>
      <c r="AE759" s="94"/>
      <c r="AF759" s="94"/>
      <c r="AG759" s="95"/>
    </row>
    <row r="760" hidden="1">
      <c r="A760" s="115"/>
      <c r="B760" s="93"/>
      <c r="C760" s="93"/>
      <c r="D760" s="93"/>
      <c r="E760" s="116"/>
      <c r="F760" s="95"/>
      <c r="G760" s="95"/>
      <c r="H760" s="94"/>
      <c r="I760" s="94"/>
      <c r="J760" s="117"/>
      <c r="K760" s="118"/>
      <c r="L760" s="119"/>
      <c r="M760" s="94"/>
      <c r="N760" s="94"/>
      <c r="O760" s="93"/>
      <c r="P760" s="120" t="b">
        <v>0</v>
      </c>
      <c r="Q760" s="120" t="b">
        <v>0</v>
      </c>
      <c r="R760" s="120" t="b">
        <v>0</v>
      </c>
      <c r="S760" s="95"/>
      <c r="U760" s="120" t="b">
        <v>0</v>
      </c>
      <c r="V760" s="93"/>
      <c r="W760" s="93"/>
      <c r="X760" s="93"/>
      <c r="Y760" s="93"/>
      <c r="AA760" s="95"/>
      <c r="AB760" s="121"/>
      <c r="AC760" s="29" t="str">
        <f t="shared" si="5"/>
        <v>Sim</v>
      </c>
      <c r="AD760" s="37" t="str">
        <f t="shared" si="1"/>
        <v>Não</v>
      </c>
      <c r="AE760" s="94"/>
      <c r="AF760" s="94"/>
      <c r="AG760" s="95"/>
    </row>
    <row r="761" hidden="1">
      <c r="A761" s="115"/>
      <c r="B761" s="93"/>
      <c r="C761" s="93"/>
      <c r="D761" s="93"/>
      <c r="E761" s="116"/>
      <c r="F761" s="95"/>
      <c r="G761" s="95"/>
      <c r="H761" s="94"/>
      <c r="I761" s="94"/>
      <c r="J761" s="117"/>
      <c r="K761" s="118"/>
      <c r="L761" s="119"/>
      <c r="M761" s="94"/>
      <c r="N761" s="94"/>
      <c r="O761" s="93"/>
      <c r="P761" s="120" t="b">
        <v>0</v>
      </c>
      <c r="Q761" s="120" t="b">
        <v>0</v>
      </c>
      <c r="R761" s="120" t="b">
        <v>0</v>
      </c>
      <c r="S761" s="95"/>
      <c r="U761" s="120" t="b">
        <v>0</v>
      </c>
      <c r="V761" s="93"/>
      <c r="W761" s="93"/>
      <c r="X761" s="93"/>
      <c r="Y761" s="93"/>
      <c r="AA761" s="95"/>
      <c r="AB761" s="121"/>
      <c r="AC761" s="29" t="str">
        <f t="shared" si="5"/>
        <v>Sim</v>
      </c>
      <c r="AD761" s="37" t="str">
        <f t="shared" si="1"/>
        <v>Não</v>
      </c>
      <c r="AE761" s="94"/>
      <c r="AF761" s="94"/>
      <c r="AG761" s="95"/>
    </row>
    <row r="762" hidden="1">
      <c r="A762" s="115"/>
      <c r="B762" s="93"/>
      <c r="C762" s="93"/>
      <c r="D762" s="93"/>
      <c r="E762" s="116"/>
      <c r="F762" s="95"/>
      <c r="G762" s="95"/>
      <c r="H762" s="94"/>
      <c r="I762" s="94"/>
      <c r="J762" s="117"/>
      <c r="K762" s="118"/>
      <c r="L762" s="119"/>
      <c r="M762" s="94"/>
      <c r="N762" s="94"/>
      <c r="O762" s="93"/>
      <c r="P762" s="120" t="b">
        <v>0</v>
      </c>
      <c r="Q762" s="120" t="b">
        <v>0</v>
      </c>
      <c r="R762" s="120" t="b">
        <v>0</v>
      </c>
      <c r="S762" s="95"/>
      <c r="U762" s="120" t="b">
        <v>0</v>
      </c>
      <c r="V762" s="93"/>
      <c r="W762" s="93"/>
      <c r="X762" s="93"/>
      <c r="Y762" s="93"/>
      <c r="AA762" s="95"/>
      <c r="AB762" s="121"/>
      <c r="AC762" s="29" t="str">
        <f t="shared" si="5"/>
        <v>Sim</v>
      </c>
      <c r="AD762" s="37" t="str">
        <f t="shared" si="1"/>
        <v>Não</v>
      </c>
      <c r="AE762" s="94"/>
      <c r="AF762" s="94"/>
      <c r="AG762" s="95"/>
    </row>
    <row r="763" hidden="1">
      <c r="A763" s="115"/>
      <c r="B763" s="93"/>
      <c r="C763" s="93"/>
      <c r="D763" s="93"/>
      <c r="E763" s="116"/>
      <c r="F763" s="95"/>
      <c r="G763" s="95"/>
      <c r="H763" s="94"/>
      <c r="I763" s="94"/>
      <c r="J763" s="117"/>
      <c r="K763" s="118"/>
      <c r="L763" s="119"/>
      <c r="M763" s="94"/>
      <c r="N763" s="94"/>
      <c r="O763" s="93"/>
      <c r="P763" s="120" t="b">
        <v>0</v>
      </c>
      <c r="Q763" s="120" t="b">
        <v>0</v>
      </c>
      <c r="R763" s="120" t="b">
        <v>0</v>
      </c>
      <c r="S763" s="95"/>
      <c r="U763" s="120" t="b">
        <v>0</v>
      </c>
      <c r="V763" s="93"/>
      <c r="W763" s="93"/>
      <c r="X763" s="93"/>
      <c r="Y763" s="93"/>
      <c r="AA763" s="95"/>
      <c r="AB763" s="121"/>
      <c r="AC763" s="29" t="str">
        <f t="shared" si="5"/>
        <v>Sim</v>
      </c>
      <c r="AD763" s="37" t="str">
        <f t="shared" si="1"/>
        <v>Não</v>
      </c>
      <c r="AE763" s="94"/>
      <c r="AF763" s="94"/>
      <c r="AG763" s="95"/>
    </row>
    <row r="764" hidden="1">
      <c r="A764" s="115"/>
      <c r="B764" s="93"/>
      <c r="C764" s="93"/>
      <c r="D764" s="93"/>
      <c r="E764" s="116"/>
      <c r="F764" s="95"/>
      <c r="G764" s="95"/>
      <c r="H764" s="94"/>
      <c r="I764" s="94"/>
      <c r="J764" s="117"/>
      <c r="K764" s="118"/>
      <c r="L764" s="119"/>
      <c r="M764" s="94"/>
      <c r="N764" s="94"/>
      <c r="O764" s="93"/>
      <c r="P764" s="120" t="b">
        <v>0</v>
      </c>
      <c r="Q764" s="120" t="b">
        <v>0</v>
      </c>
      <c r="R764" s="120" t="b">
        <v>0</v>
      </c>
      <c r="S764" s="95"/>
      <c r="U764" s="120" t="b">
        <v>0</v>
      </c>
      <c r="V764" s="93"/>
      <c r="W764" s="93"/>
      <c r="X764" s="93"/>
      <c r="Y764" s="93"/>
      <c r="AA764" s="95"/>
      <c r="AB764" s="121"/>
      <c r="AC764" s="29" t="str">
        <f t="shared" si="5"/>
        <v>Sim</v>
      </c>
      <c r="AD764" s="37" t="str">
        <f t="shared" si="1"/>
        <v>Não</v>
      </c>
      <c r="AE764" s="94"/>
      <c r="AF764" s="94"/>
      <c r="AG764" s="95"/>
    </row>
    <row r="765" hidden="1">
      <c r="A765" s="115"/>
      <c r="B765" s="93"/>
      <c r="C765" s="93"/>
      <c r="D765" s="93"/>
      <c r="E765" s="116"/>
      <c r="F765" s="95"/>
      <c r="G765" s="95"/>
      <c r="H765" s="94"/>
      <c r="I765" s="94"/>
      <c r="J765" s="117"/>
      <c r="K765" s="118"/>
      <c r="L765" s="119"/>
      <c r="M765" s="94"/>
      <c r="N765" s="94"/>
      <c r="O765" s="93"/>
      <c r="P765" s="120" t="b">
        <v>0</v>
      </c>
      <c r="Q765" s="120" t="b">
        <v>0</v>
      </c>
      <c r="R765" s="120" t="b">
        <v>0</v>
      </c>
      <c r="S765" s="95"/>
      <c r="U765" s="120" t="b">
        <v>0</v>
      </c>
      <c r="V765" s="93"/>
      <c r="W765" s="93"/>
      <c r="X765" s="93"/>
      <c r="Y765" s="93"/>
      <c r="AA765" s="95"/>
      <c r="AB765" s="121"/>
      <c r="AC765" s="29" t="str">
        <f t="shared" si="5"/>
        <v>Sim</v>
      </c>
      <c r="AD765" s="37" t="str">
        <f t="shared" si="1"/>
        <v>Não</v>
      </c>
      <c r="AE765" s="94"/>
      <c r="AF765" s="94"/>
      <c r="AG765" s="95"/>
    </row>
    <row r="766" hidden="1">
      <c r="A766" s="115"/>
      <c r="B766" s="93"/>
      <c r="C766" s="93"/>
      <c r="D766" s="93"/>
      <c r="E766" s="116"/>
      <c r="F766" s="95"/>
      <c r="G766" s="95"/>
      <c r="H766" s="94"/>
      <c r="I766" s="94"/>
      <c r="J766" s="117"/>
      <c r="K766" s="118"/>
      <c r="L766" s="119"/>
      <c r="M766" s="94"/>
      <c r="N766" s="94"/>
      <c r="O766" s="93"/>
      <c r="P766" s="120" t="b">
        <v>0</v>
      </c>
      <c r="Q766" s="120" t="b">
        <v>0</v>
      </c>
      <c r="R766" s="120" t="b">
        <v>0</v>
      </c>
      <c r="S766" s="95"/>
      <c r="U766" s="120" t="b">
        <v>0</v>
      </c>
      <c r="V766" s="93"/>
      <c r="W766" s="93"/>
      <c r="X766" s="93"/>
      <c r="Y766" s="93"/>
      <c r="AA766" s="95"/>
      <c r="AB766" s="121"/>
      <c r="AC766" s="29" t="str">
        <f t="shared" si="5"/>
        <v>Sim</v>
      </c>
      <c r="AD766" s="37" t="str">
        <f t="shared" si="1"/>
        <v>Não</v>
      </c>
      <c r="AE766" s="94"/>
      <c r="AF766" s="94"/>
      <c r="AG766" s="95"/>
    </row>
    <row r="767" hidden="1">
      <c r="A767" s="115"/>
      <c r="B767" s="93"/>
      <c r="C767" s="93"/>
      <c r="D767" s="93"/>
      <c r="E767" s="116"/>
      <c r="F767" s="95"/>
      <c r="G767" s="95"/>
      <c r="H767" s="94"/>
      <c r="I767" s="94"/>
      <c r="J767" s="117"/>
      <c r="K767" s="118"/>
      <c r="L767" s="119"/>
      <c r="M767" s="94"/>
      <c r="N767" s="94"/>
      <c r="O767" s="93"/>
      <c r="P767" s="120" t="b">
        <v>0</v>
      </c>
      <c r="Q767" s="120" t="b">
        <v>0</v>
      </c>
      <c r="R767" s="120" t="b">
        <v>0</v>
      </c>
      <c r="S767" s="95"/>
      <c r="U767" s="120" t="b">
        <v>0</v>
      </c>
      <c r="V767" s="93"/>
      <c r="W767" s="93"/>
      <c r="X767" s="93"/>
      <c r="Y767" s="93"/>
      <c r="AA767" s="95"/>
      <c r="AB767" s="121"/>
      <c r="AC767" s="29" t="str">
        <f t="shared" si="5"/>
        <v>Sim</v>
      </c>
      <c r="AD767" s="37" t="str">
        <f t="shared" si="1"/>
        <v>Não</v>
      </c>
      <c r="AE767" s="94"/>
      <c r="AF767" s="94"/>
      <c r="AG767" s="95"/>
    </row>
    <row r="768" hidden="1">
      <c r="A768" s="115"/>
      <c r="B768" s="93"/>
      <c r="C768" s="93"/>
      <c r="D768" s="93"/>
      <c r="E768" s="116"/>
      <c r="F768" s="95"/>
      <c r="G768" s="95"/>
      <c r="H768" s="94"/>
      <c r="I768" s="94"/>
      <c r="J768" s="117"/>
      <c r="K768" s="118"/>
      <c r="L768" s="119"/>
      <c r="M768" s="94"/>
      <c r="N768" s="94"/>
      <c r="O768" s="93"/>
      <c r="P768" s="120" t="b">
        <v>0</v>
      </c>
      <c r="Q768" s="120" t="b">
        <v>0</v>
      </c>
      <c r="R768" s="120" t="b">
        <v>0</v>
      </c>
      <c r="S768" s="95"/>
      <c r="U768" s="120" t="b">
        <v>0</v>
      </c>
      <c r="V768" s="93"/>
      <c r="W768" s="93"/>
      <c r="X768" s="93"/>
      <c r="Y768" s="93"/>
      <c r="AA768" s="95"/>
      <c r="AB768" s="121"/>
      <c r="AC768" s="29" t="str">
        <f t="shared" si="5"/>
        <v>Sim</v>
      </c>
      <c r="AD768" s="37" t="str">
        <f t="shared" si="1"/>
        <v>Não</v>
      </c>
      <c r="AE768" s="94"/>
      <c r="AF768" s="94"/>
      <c r="AG768" s="95"/>
    </row>
    <row r="769" hidden="1">
      <c r="A769" s="115"/>
      <c r="B769" s="93"/>
      <c r="C769" s="93"/>
      <c r="D769" s="93"/>
      <c r="E769" s="116"/>
      <c r="F769" s="95"/>
      <c r="G769" s="95"/>
      <c r="H769" s="94"/>
      <c r="I769" s="94"/>
      <c r="J769" s="117"/>
      <c r="K769" s="118"/>
      <c r="L769" s="119"/>
      <c r="M769" s="94"/>
      <c r="N769" s="94"/>
      <c r="O769" s="93"/>
      <c r="P769" s="120" t="b">
        <v>0</v>
      </c>
      <c r="Q769" s="120" t="b">
        <v>0</v>
      </c>
      <c r="R769" s="120" t="b">
        <v>0</v>
      </c>
      <c r="S769" s="95"/>
      <c r="U769" s="120" t="b">
        <v>0</v>
      </c>
      <c r="V769" s="93"/>
      <c r="W769" s="93"/>
      <c r="X769" s="93"/>
      <c r="Y769" s="93"/>
      <c r="AA769" s="95"/>
      <c r="AB769" s="121"/>
      <c r="AC769" s="29" t="str">
        <f t="shared" si="5"/>
        <v>Sim</v>
      </c>
      <c r="AD769" s="37" t="str">
        <f t="shared" si="1"/>
        <v>Não</v>
      </c>
      <c r="AE769" s="94"/>
      <c r="AF769" s="94"/>
      <c r="AG769" s="95"/>
    </row>
    <row r="770" hidden="1">
      <c r="A770" s="115"/>
      <c r="B770" s="93"/>
      <c r="C770" s="93"/>
      <c r="D770" s="93"/>
      <c r="E770" s="116"/>
      <c r="F770" s="95"/>
      <c r="G770" s="95"/>
      <c r="H770" s="94"/>
      <c r="I770" s="94"/>
      <c r="J770" s="117"/>
      <c r="K770" s="118"/>
      <c r="L770" s="119"/>
      <c r="M770" s="94"/>
      <c r="N770" s="94"/>
      <c r="O770" s="93"/>
      <c r="P770" s="120" t="b">
        <v>0</v>
      </c>
      <c r="Q770" s="120" t="b">
        <v>0</v>
      </c>
      <c r="R770" s="120" t="b">
        <v>0</v>
      </c>
      <c r="S770" s="95"/>
      <c r="U770" s="120" t="b">
        <v>0</v>
      </c>
      <c r="V770" s="93"/>
      <c r="W770" s="93"/>
      <c r="X770" s="93"/>
      <c r="Y770" s="93"/>
      <c r="AA770" s="95"/>
      <c r="AB770" s="121"/>
      <c r="AC770" s="29" t="str">
        <f t="shared" si="5"/>
        <v>Sim</v>
      </c>
      <c r="AD770" s="37" t="str">
        <f t="shared" si="1"/>
        <v>Não</v>
      </c>
      <c r="AE770" s="94"/>
      <c r="AF770" s="94"/>
      <c r="AG770" s="95"/>
    </row>
    <row r="771" hidden="1">
      <c r="A771" s="115"/>
      <c r="B771" s="93"/>
      <c r="C771" s="93"/>
      <c r="D771" s="93"/>
      <c r="E771" s="116"/>
      <c r="F771" s="95"/>
      <c r="G771" s="95"/>
      <c r="H771" s="94"/>
      <c r="I771" s="94"/>
      <c r="J771" s="117"/>
      <c r="K771" s="118"/>
      <c r="L771" s="119"/>
      <c r="M771" s="94"/>
      <c r="N771" s="94"/>
      <c r="O771" s="93"/>
      <c r="P771" s="120" t="b">
        <v>0</v>
      </c>
      <c r="Q771" s="120" t="b">
        <v>0</v>
      </c>
      <c r="R771" s="120" t="b">
        <v>0</v>
      </c>
      <c r="S771" s="95"/>
      <c r="U771" s="120" t="b">
        <v>0</v>
      </c>
      <c r="V771" s="93"/>
      <c r="W771" s="93"/>
      <c r="X771" s="93"/>
      <c r="Y771" s="93"/>
      <c r="AA771" s="95"/>
      <c r="AB771" s="121"/>
      <c r="AC771" s="29" t="str">
        <f t="shared" si="5"/>
        <v>Sim</v>
      </c>
      <c r="AD771" s="37" t="str">
        <f t="shared" si="1"/>
        <v>Não</v>
      </c>
      <c r="AE771" s="94"/>
      <c r="AF771" s="94"/>
      <c r="AG771" s="95"/>
    </row>
    <row r="772" hidden="1">
      <c r="A772" s="115"/>
      <c r="B772" s="93"/>
      <c r="C772" s="93"/>
      <c r="D772" s="93"/>
      <c r="E772" s="116"/>
      <c r="F772" s="95"/>
      <c r="G772" s="95"/>
      <c r="H772" s="94"/>
      <c r="I772" s="94"/>
      <c r="J772" s="117"/>
      <c r="K772" s="118"/>
      <c r="L772" s="119"/>
      <c r="M772" s="94"/>
      <c r="N772" s="94"/>
      <c r="O772" s="93"/>
      <c r="P772" s="120" t="b">
        <v>0</v>
      </c>
      <c r="Q772" s="120" t="b">
        <v>0</v>
      </c>
      <c r="R772" s="120" t="b">
        <v>0</v>
      </c>
      <c r="S772" s="95"/>
      <c r="U772" s="120" t="b">
        <v>0</v>
      </c>
      <c r="V772" s="93"/>
      <c r="W772" s="93"/>
      <c r="X772" s="93"/>
      <c r="Y772" s="93"/>
      <c r="AA772" s="95"/>
      <c r="AB772" s="121"/>
      <c r="AC772" s="29" t="str">
        <f t="shared" si="5"/>
        <v>Sim</v>
      </c>
      <c r="AD772" s="37" t="str">
        <f t="shared" si="1"/>
        <v>Não</v>
      </c>
      <c r="AE772" s="94"/>
      <c r="AF772" s="94"/>
      <c r="AG772" s="95"/>
    </row>
    <row r="773" hidden="1">
      <c r="A773" s="115"/>
      <c r="B773" s="93"/>
      <c r="C773" s="93"/>
      <c r="D773" s="93"/>
      <c r="E773" s="116"/>
      <c r="F773" s="95"/>
      <c r="G773" s="95"/>
      <c r="H773" s="94"/>
      <c r="I773" s="94"/>
      <c r="J773" s="117"/>
      <c r="K773" s="118"/>
      <c r="L773" s="119"/>
      <c r="M773" s="94"/>
      <c r="N773" s="94"/>
      <c r="O773" s="93"/>
      <c r="P773" s="120" t="b">
        <v>0</v>
      </c>
      <c r="Q773" s="120" t="b">
        <v>0</v>
      </c>
      <c r="R773" s="120" t="b">
        <v>0</v>
      </c>
      <c r="S773" s="95"/>
      <c r="U773" s="120" t="b">
        <v>0</v>
      </c>
      <c r="V773" s="93"/>
      <c r="W773" s="93"/>
      <c r="X773" s="93"/>
      <c r="Y773" s="93"/>
      <c r="AA773" s="95"/>
      <c r="AB773" s="121"/>
      <c r="AC773" s="29" t="str">
        <f t="shared" si="5"/>
        <v>Sim</v>
      </c>
      <c r="AD773" s="37" t="str">
        <f t="shared" si="1"/>
        <v>Não</v>
      </c>
      <c r="AE773" s="94"/>
      <c r="AF773" s="94"/>
      <c r="AG773" s="95"/>
    </row>
    <row r="774" hidden="1">
      <c r="A774" s="115"/>
      <c r="B774" s="93"/>
      <c r="C774" s="93"/>
      <c r="D774" s="93"/>
      <c r="E774" s="116"/>
      <c r="F774" s="95"/>
      <c r="G774" s="95"/>
      <c r="H774" s="94"/>
      <c r="I774" s="94"/>
      <c r="J774" s="117"/>
      <c r="K774" s="118"/>
      <c r="L774" s="119"/>
      <c r="M774" s="94"/>
      <c r="N774" s="94"/>
      <c r="O774" s="93"/>
      <c r="P774" s="120" t="b">
        <v>0</v>
      </c>
      <c r="Q774" s="120" t="b">
        <v>0</v>
      </c>
      <c r="R774" s="120" t="b">
        <v>0</v>
      </c>
      <c r="S774" s="95"/>
      <c r="U774" s="120" t="b">
        <v>0</v>
      </c>
      <c r="V774" s="93"/>
      <c r="W774" s="93"/>
      <c r="X774" s="93"/>
      <c r="Y774" s="93"/>
      <c r="AA774" s="95"/>
      <c r="AB774" s="121"/>
      <c r="AC774" s="29" t="str">
        <f t="shared" si="5"/>
        <v>Sim</v>
      </c>
      <c r="AD774" s="37" t="str">
        <f t="shared" si="1"/>
        <v>Não</v>
      </c>
      <c r="AE774" s="94"/>
      <c r="AF774" s="94"/>
      <c r="AG774" s="95"/>
    </row>
    <row r="775" hidden="1">
      <c r="A775" s="115"/>
      <c r="B775" s="93"/>
      <c r="C775" s="93"/>
      <c r="D775" s="93"/>
      <c r="E775" s="116"/>
      <c r="F775" s="95"/>
      <c r="G775" s="95"/>
      <c r="H775" s="94"/>
      <c r="I775" s="94"/>
      <c r="J775" s="117"/>
      <c r="K775" s="118"/>
      <c r="L775" s="119"/>
      <c r="M775" s="94"/>
      <c r="N775" s="94"/>
      <c r="O775" s="93"/>
      <c r="P775" s="120" t="b">
        <v>0</v>
      </c>
      <c r="Q775" s="120" t="b">
        <v>0</v>
      </c>
      <c r="R775" s="120" t="b">
        <v>0</v>
      </c>
      <c r="S775" s="95"/>
      <c r="U775" s="120" t="b">
        <v>0</v>
      </c>
      <c r="V775" s="93"/>
      <c r="W775" s="93"/>
      <c r="X775" s="93"/>
      <c r="Y775" s="93"/>
      <c r="AA775" s="95"/>
      <c r="AB775" s="121"/>
      <c r="AC775" s="29" t="str">
        <f t="shared" si="5"/>
        <v>Sim</v>
      </c>
      <c r="AD775" s="37" t="str">
        <f t="shared" si="1"/>
        <v>Não</v>
      </c>
      <c r="AE775" s="94"/>
      <c r="AF775" s="94"/>
      <c r="AG775" s="95"/>
    </row>
    <row r="776" hidden="1">
      <c r="A776" s="115"/>
      <c r="B776" s="93"/>
      <c r="C776" s="93"/>
      <c r="D776" s="93"/>
      <c r="E776" s="116"/>
      <c r="F776" s="95"/>
      <c r="G776" s="95"/>
      <c r="H776" s="94"/>
      <c r="I776" s="94"/>
      <c r="J776" s="117"/>
      <c r="K776" s="118"/>
      <c r="L776" s="119"/>
      <c r="M776" s="94"/>
      <c r="N776" s="94"/>
      <c r="O776" s="93"/>
      <c r="P776" s="120" t="b">
        <v>0</v>
      </c>
      <c r="Q776" s="120" t="b">
        <v>0</v>
      </c>
      <c r="R776" s="120" t="b">
        <v>0</v>
      </c>
      <c r="S776" s="95"/>
      <c r="U776" s="120" t="b">
        <v>0</v>
      </c>
      <c r="V776" s="93"/>
      <c r="W776" s="93"/>
      <c r="X776" s="93"/>
      <c r="Y776" s="93"/>
      <c r="AA776" s="95"/>
      <c r="AB776" s="121"/>
      <c r="AC776" s="29" t="str">
        <f t="shared" si="5"/>
        <v>Sim</v>
      </c>
      <c r="AD776" s="37" t="str">
        <f t="shared" si="1"/>
        <v>Não</v>
      </c>
      <c r="AE776" s="94"/>
      <c r="AF776" s="94"/>
      <c r="AG776" s="95"/>
    </row>
    <row r="777" hidden="1">
      <c r="A777" s="115"/>
      <c r="B777" s="93"/>
      <c r="C777" s="93"/>
      <c r="D777" s="93"/>
      <c r="E777" s="116"/>
      <c r="F777" s="95"/>
      <c r="G777" s="95"/>
      <c r="H777" s="94"/>
      <c r="I777" s="94"/>
      <c r="J777" s="117"/>
      <c r="K777" s="118"/>
      <c r="L777" s="119"/>
      <c r="M777" s="94"/>
      <c r="N777" s="94"/>
      <c r="O777" s="93"/>
      <c r="P777" s="120" t="b">
        <v>0</v>
      </c>
      <c r="Q777" s="120" t="b">
        <v>0</v>
      </c>
      <c r="R777" s="120" t="b">
        <v>0</v>
      </c>
      <c r="S777" s="95"/>
      <c r="U777" s="120" t="b">
        <v>0</v>
      </c>
      <c r="V777" s="93"/>
      <c r="W777" s="93"/>
      <c r="X777" s="93"/>
      <c r="Y777" s="93"/>
      <c r="AA777" s="95"/>
      <c r="AB777" s="121"/>
      <c r="AC777" s="29" t="str">
        <f t="shared" si="5"/>
        <v>Sim</v>
      </c>
      <c r="AD777" s="37" t="str">
        <f t="shared" si="1"/>
        <v>Não</v>
      </c>
      <c r="AE777" s="94"/>
      <c r="AF777" s="94"/>
      <c r="AG777" s="95"/>
    </row>
    <row r="778" hidden="1">
      <c r="A778" s="115"/>
      <c r="B778" s="93"/>
      <c r="C778" s="93"/>
      <c r="D778" s="93"/>
      <c r="E778" s="116"/>
      <c r="F778" s="95"/>
      <c r="G778" s="95"/>
      <c r="H778" s="94"/>
      <c r="I778" s="94"/>
      <c r="J778" s="117"/>
      <c r="K778" s="118"/>
      <c r="L778" s="119"/>
      <c r="M778" s="94"/>
      <c r="N778" s="94"/>
      <c r="O778" s="93"/>
      <c r="P778" s="120" t="b">
        <v>0</v>
      </c>
      <c r="Q778" s="120" t="b">
        <v>0</v>
      </c>
      <c r="R778" s="120" t="b">
        <v>0</v>
      </c>
      <c r="S778" s="95"/>
      <c r="U778" s="120" t="b">
        <v>0</v>
      </c>
      <c r="V778" s="93"/>
      <c r="W778" s="93"/>
      <c r="X778" s="93"/>
      <c r="Y778" s="93"/>
      <c r="AA778" s="95"/>
      <c r="AB778" s="121"/>
      <c r="AC778" s="29" t="str">
        <f t="shared" si="5"/>
        <v>Sim</v>
      </c>
      <c r="AD778" s="37" t="str">
        <f t="shared" si="1"/>
        <v>Não</v>
      </c>
      <c r="AE778" s="94"/>
      <c r="AF778" s="94"/>
      <c r="AG778" s="95"/>
    </row>
    <row r="779" hidden="1">
      <c r="A779" s="115"/>
      <c r="B779" s="93"/>
      <c r="C779" s="93"/>
      <c r="D779" s="93"/>
      <c r="E779" s="116"/>
      <c r="F779" s="95"/>
      <c r="G779" s="95"/>
      <c r="H779" s="94"/>
      <c r="I779" s="94"/>
      <c r="J779" s="117"/>
      <c r="K779" s="118"/>
      <c r="L779" s="119"/>
      <c r="M779" s="94"/>
      <c r="N779" s="94"/>
      <c r="O779" s="93"/>
      <c r="P779" s="120" t="b">
        <v>0</v>
      </c>
      <c r="Q779" s="120" t="b">
        <v>0</v>
      </c>
      <c r="R779" s="120" t="b">
        <v>0</v>
      </c>
      <c r="S779" s="95"/>
      <c r="U779" s="120" t="b">
        <v>0</v>
      </c>
      <c r="V779" s="93"/>
      <c r="W779" s="93"/>
      <c r="X779" s="93"/>
      <c r="Y779" s="93"/>
      <c r="AA779" s="95"/>
      <c r="AB779" s="121"/>
      <c r="AC779" s="29" t="str">
        <f t="shared" si="5"/>
        <v>Sim</v>
      </c>
      <c r="AD779" s="37" t="str">
        <f t="shared" si="1"/>
        <v>Não</v>
      </c>
      <c r="AE779" s="94"/>
      <c r="AF779" s="94"/>
      <c r="AG779" s="95"/>
    </row>
    <row r="780" hidden="1">
      <c r="A780" s="115"/>
      <c r="B780" s="93"/>
      <c r="C780" s="93"/>
      <c r="D780" s="93"/>
      <c r="E780" s="116"/>
      <c r="F780" s="95"/>
      <c r="G780" s="95"/>
      <c r="H780" s="94"/>
      <c r="I780" s="94"/>
      <c r="J780" s="117"/>
      <c r="K780" s="118"/>
      <c r="L780" s="119"/>
      <c r="M780" s="94"/>
      <c r="N780" s="94"/>
      <c r="O780" s="93"/>
      <c r="P780" s="120" t="b">
        <v>0</v>
      </c>
      <c r="Q780" s="120" t="b">
        <v>0</v>
      </c>
      <c r="R780" s="120" t="b">
        <v>0</v>
      </c>
      <c r="S780" s="95"/>
      <c r="U780" s="120" t="b">
        <v>0</v>
      </c>
      <c r="V780" s="93"/>
      <c r="W780" s="93"/>
      <c r="X780" s="93"/>
      <c r="Y780" s="93"/>
      <c r="AA780" s="95"/>
      <c r="AB780" s="121"/>
      <c r="AC780" s="29" t="str">
        <f t="shared" si="5"/>
        <v>Sim</v>
      </c>
      <c r="AD780" s="37" t="str">
        <f t="shared" si="1"/>
        <v>Não</v>
      </c>
      <c r="AE780" s="94"/>
      <c r="AF780" s="94"/>
      <c r="AG780" s="95"/>
    </row>
    <row r="781" hidden="1">
      <c r="A781" s="115"/>
      <c r="B781" s="93"/>
      <c r="C781" s="93"/>
      <c r="D781" s="93"/>
      <c r="E781" s="116"/>
      <c r="F781" s="95"/>
      <c r="G781" s="95"/>
      <c r="H781" s="94"/>
      <c r="I781" s="94"/>
      <c r="J781" s="117"/>
      <c r="K781" s="118"/>
      <c r="L781" s="119"/>
      <c r="M781" s="94"/>
      <c r="N781" s="94"/>
      <c r="O781" s="93"/>
      <c r="P781" s="120" t="b">
        <v>0</v>
      </c>
      <c r="Q781" s="120" t="b">
        <v>0</v>
      </c>
      <c r="R781" s="120" t="b">
        <v>0</v>
      </c>
      <c r="S781" s="95"/>
      <c r="U781" s="120" t="b">
        <v>0</v>
      </c>
      <c r="V781" s="93"/>
      <c r="W781" s="93"/>
      <c r="X781" s="93"/>
      <c r="Y781" s="93"/>
      <c r="AA781" s="95"/>
      <c r="AB781" s="121"/>
      <c r="AC781" s="29" t="str">
        <f t="shared" si="5"/>
        <v>Sim</v>
      </c>
      <c r="AD781" s="37" t="str">
        <f t="shared" si="1"/>
        <v>Não</v>
      </c>
      <c r="AE781" s="94"/>
      <c r="AF781" s="94"/>
      <c r="AG781" s="95"/>
    </row>
    <row r="782" hidden="1">
      <c r="A782" s="115"/>
      <c r="B782" s="93"/>
      <c r="C782" s="93"/>
      <c r="D782" s="93"/>
      <c r="E782" s="116"/>
      <c r="F782" s="95"/>
      <c r="G782" s="95"/>
      <c r="H782" s="94"/>
      <c r="I782" s="94"/>
      <c r="J782" s="117"/>
      <c r="K782" s="118"/>
      <c r="L782" s="119"/>
      <c r="M782" s="94"/>
      <c r="N782" s="94"/>
      <c r="O782" s="93"/>
      <c r="P782" s="120" t="b">
        <v>0</v>
      </c>
      <c r="Q782" s="120" t="b">
        <v>0</v>
      </c>
      <c r="R782" s="120" t="b">
        <v>0</v>
      </c>
      <c r="S782" s="95"/>
      <c r="U782" s="120" t="b">
        <v>0</v>
      </c>
      <c r="V782" s="93"/>
      <c r="W782" s="93"/>
      <c r="X782" s="93"/>
      <c r="Y782" s="93"/>
      <c r="AA782" s="95"/>
      <c r="AB782" s="121"/>
      <c r="AC782" s="29" t="str">
        <f t="shared" si="5"/>
        <v>Sim</v>
      </c>
      <c r="AD782" s="37" t="str">
        <f t="shared" si="1"/>
        <v>Não</v>
      </c>
      <c r="AE782" s="94"/>
      <c r="AF782" s="94"/>
      <c r="AG782" s="95"/>
    </row>
    <row r="783" hidden="1">
      <c r="A783" s="115"/>
      <c r="B783" s="93"/>
      <c r="C783" s="93"/>
      <c r="D783" s="93"/>
      <c r="E783" s="116"/>
      <c r="F783" s="95"/>
      <c r="G783" s="95"/>
      <c r="H783" s="94"/>
      <c r="I783" s="94"/>
      <c r="J783" s="117"/>
      <c r="K783" s="118"/>
      <c r="L783" s="119"/>
      <c r="M783" s="94"/>
      <c r="N783" s="94"/>
      <c r="O783" s="93"/>
      <c r="P783" s="120" t="b">
        <v>0</v>
      </c>
      <c r="Q783" s="120" t="b">
        <v>0</v>
      </c>
      <c r="R783" s="120" t="b">
        <v>0</v>
      </c>
      <c r="S783" s="95"/>
      <c r="U783" s="120" t="b">
        <v>0</v>
      </c>
      <c r="V783" s="93"/>
      <c r="W783" s="93"/>
      <c r="X783" s="93"/>
      <c r="Y783" s="93"/>
      <c r="AA783" s="95"/>
      <c r="AB783" s="121"/>
      <c r="AC783" s="29" t="str">
        <f t="shared" si="5"/>
        <v>Sim</v>
      </c>
      <c r="AD783" s="37" t="str">
        <f t="shared" si="1"/>
        <v>Não</v>
      </c>
      <c r="AE783" s="94"/>
      <c r="AF783" s="94"/>
      <c r="AG783" s="95"/>
    </row>
    <row r="784" hidden="1">
      <c r="A784" s="115"/>
      <c r="B784" s="93"/>
      <c r="C784" s="93"/>
      <c r="D784" s="93"/>
      <c r="E784" s="116"/>
      <c r="F784" s="95"/>
      <c r="G784" s="95"/>
      <c r="H784" s="94"/>
      <c r="I784" s="94"/>
      <c r="J784" s="117"/>
      <c r="K784" s="118"/>
      <c r="L784" s="119"/>
      <c r="M784" s="94"/>
      <c r="N784" s="94"/>
      <c r="O784" s="93"/>
      <c r="P784" s="120" t="b">
        <v>0</v>
      </c>
      <c r="Q784" s="120" t="b">
        <v>0</v>
      </c>
      <c r="R784" s="120" t="b">
        <v>0</v>
      </c>
      <c r="S784" s="95"/>
      <c r="U784" s="120" t="b">
        <v>0</v>
      </c>
      <c r="V784" s="93"/>
      <c r="W784" s="93"/>
      <c r="X784" s="93"/>
      <c r="Y784" s="93"/>
      <c r="AA784" s="95"/>
      <c r="AB784" s="121"/>
      <c r="AC784" s="29" t="str">
        <f t="shared" si="5"/>
        <v>Sim</v>
      </c>
      <c r="AD784" s="37" t="str">
        <f t="shared" si="1"/>
        <v>Não</v>
      </c>
      <c r="AE784" s="94"/>
      <c r="AF784" s="94"/>
      <c r="AG784" s="95"/>
    </row>
    <row r="785" hidden="1">
      <c r="A785" s="115"/>
      <c r="B785" s="93"/>
      <c r="C785" s="93"/>
      <c r="D785" s="93"/>
      <c r="E785" s="116"/>
      <c r="F785" s="95"/>
      <c r="G785" s="95"/>
      <c r="H785" s="94"/>
      <c r="I785" s="94"/>
      <c r="J785" s="117"/>
      <c r="K785" s="118"/>
      <c r="L785" s="119"/>
      <c r="M785" s="94"/>
      <c r="N785" s="94"/>
      <c r="O785" s="93"/>
      <c r="P785" s="120" t="b">
        <v>0</v>
      </c>
      <c r="Q785" s="120" t="b">
        <v>0</v>
      </c>
      <c r="R785" s="120" t="b">
        <v>0</v>
      </c>
      <c r="S785" s="95"/>
      <c r="U785" s="120" t="b">
        <v>0</v>
      </c>
      <c r="V785" s="93"/>
      <c r="W785" s="93"/>
      <c r="X785" s="93"/>
      <c r="Y785" s="93"/>
      <c r="AA785" s="95"/>
      <c r="AB785" s="121"/>
      <c r="AC785" s="29" t="str">
        <f t="shared" si="5"/>
        <v>Sim</v>
      </c>
      <c r="AD785" s="37" t="str">
        <f t="shared" si="1"/>
        <v>Não</v>
      </c>
      <c r="AE785" s="94"/>
      <c r="AF785" s="94"/>
      <c r="AG785" s="95"/>
    </row>
    <row r="786" hidden="1">
      <c r="A786" s="115"/>
      <c r="B786" s="93"/>
      <c r="C786" s="93"/>
      <c r="D786" s="93"/>
      <c r="E786" s="116"/>
      <c r="F786" s="95"/>
      <c r="G786" s="95"/>
      <c r="H786" s="94"/>
      <c r="I786" s="94"/>
      <c r="J786" s="117"/>
      <c r="K786" s="118"/>
      <c r="L786" s="119"/>
      <c r="M786" s="94"/>
      <c r="N786" s="94"/>
      <c r="O786" s="93"/>
      <c r="P786" s="120" t="b">
        <v>0</v>
      </c>
      <c r="Q786" s="120" t="b">
        <v>0</v>
      </c>
      <c r="R786" s="120" t="b">
        <v>0</v>
      </c>
      <c r="S786" s="95"/>
      <c r="U786" s="120" t="b">
        <v>0</v>
      </c>
      <c r="V786" s="93"/>
      <c r="W786" s="93"/>
      <c r="X786" s="93"/>
      <c r="Y786" s="93"/>
      <c r="AA786" s="95"/>
      <c r="AB786" s="121"/>
      <c r="AC786" s="29" t="str">
        <f t="shared" si="5"/>
        <v>Sim</v>
      </c>
      <c r="AD786" s="37" t="str">
        <f t="shared" si="1"/>
        <v>Não</v>
      </c>
      <c r="AE786" s="94"/>
      <c r="AF786" s="94"/>
      <c r="AG786" s="95"/>
    </row>
    <row r="787" hidden="1">
      <c r="A787" s="115"/>
      <c r="B787" s="93"/>
      <c r="C787" s="93"/>
      <c r="D787" s="93"/>
      <c r="E787" s="116"/>
      <c r="F787" s="95"/>
      <c r="G787" s="95"/>
      <c r="H787" s="94"/>
      <c r="I787" s="94"/>
      <c r="J787" s="117"/>
      <c r="K787" s="118"/>
      <c r="L787" s="119"/>
      <c r="M787" s="94"/>
      <c r="N787" s="94"/>
      <c r="O787" s="93"/>
      <c r="P787" s="120" t="b">
        <v>0</v>
      </c>
      <c r="Q787" s="120" t="b">
        <v>0</v>
      </c>
      <c r="R787" s="120" t="b">
        <v>0</v>
      </c>
      <c r="S787" s="95"/>
      <c r="U787" s="120" t="b">
        <v>0</v>
      </c>
      <c r="V787" s="93"/>
      <c r="W787" s="93"/>
      <c r="X787" s="93"/>
      <c r="Y787" s="93"/>
      <c r="AA787" s="95"/>
      <c r="AB787" s="121"/>
      <c r="AC787" s="29" t="str">
        <f t="shared" si="5"/>
        <v>Sim</v>
      </c>
      <c r="AD787" s="37" t="str">
        <f t="shared" si="1"/>
        <v>Não</v>
      </c>
      <c r="AE787" s="94"/>
      <c r="AF787" s="94"/>
      <c r="AG787" s="95"/>
    </row>
    <row r="788" hidden="1">
      <c r="A788" s="115"/>
      <c r="B788" s="93"/>
      <c r="C788" s="93"/>
      <c r="D788" s="93"/>
      <c r="E788" s="116"/>
      <c r="F788" s="95"/>
      <c r="G788" s="95"/>
      <c r="H788" s="94"/>
      <c r="I788" s="94"/>
      <c r="J788" s="117"/>
      <c r="K788" s="118"/>
      <c r="L788" s="119"/>
      <c r="M788" s="94"/>
      <c r="N788" s="94"/>
      <c r="O788" s="93"/>
      <c r="P788" s="120" t="b">
        <v>0</v>
      </c>
      <c r="Q788" s="120" t="b">
        <v>0</v>
      </c>
      <c r="R788" s="120" t="b">
        <v>0</v>
      </c>
      <c r="S788" s="95"/>
      <c r="U788" s="120" t="b">
        <v>0</v>
      </c>
      <c r="V788" s="93"/>
      <c r="W788" s="93"/>
      <c r="X788" s="93"/>
      <c r="Y788" s="93"/>
      <c r="AA788" s="95"/>
      <c r="AB788" s="121"/>
      <c r="AC788" s="29" t="str">
        <f t="shared" si="5"/>
        <v>Sim</v>
      </c>
      <c r="AD788" s="37" t="str">
        <f t="shared" si="1"/>
        <v>Não</v>
      </c>
      <c r="AE788" s="94"/>
      <c r="AF788" s="94"/>
      <c r="AG788" s="95"/>
    </row>
    <row r="789" hidden="1">
      <c r="A789" s="115"/>
      <c r="B789" s="93"/>
      <c r="C789" s="93"/>
      <c r="D789" s="93"/>
      <c r="E789" s="116"/>
      <c r="F789" s="95"/>
      <c r="G789" s="95"/>
      <c r="H789" s="94"/>
      <c r="I789" s="94"/>
      <c r="J789" s="117"/>
      <c r="K789" s="118"/>
      <c r="L789" s="119"/>
      <c r="M789" s="94"/>
      <c r="N789" s="94"/>
      <c r="O789" s="93"/>
      <c r="P789" s="120" t="b">
        <v>0</v>
      </c>
      <c r="Q789" s="120" t="b">
        <v>0</v>
      </c>
      <c r="R789" s="120" t="b">
        <v>0</v>
      </c>
      <c r="S789" s="95"/>
      <c r="U789" s="120" t="b">
        <v>0</v>
      </c>
      <c r="V789" s="93"/>
      <c r="W789" s="93"/>
      <c r="X789" s="93"/>
      <c r="Y789" s="93"/>
      <c r="AA789" s="95"/>
      <c r="AB789" s="121"/>
      <c r="AC789" s="29" t="str">
        <f t="shared" si="5"/>
        <v>Sim</v>
      </c>
      <c r="AD789" s="37" t="str">
        <f t="shared" si="1"/>
        <v>Não</v>
      </c>
      <c r="AE789" s="94"/>
      <c r="AF789" s="94"/>
      <c r="AG789" s="95"/>
    </row>
    <row r="790" hidden="1">
      <c r="A790" s="115"/>
      <c r="B790" s="93"/>
      <c r="C790" s="93"/>
      <c r="D790" s="93"/>
      <c r="E790" s="116"/>
      <c r="F790" s="95"/>
      <c r="G790" s="95"/>
      <c r="H790" s="94"/>
      <c r="I790" s="94"/>
      <c r="J790" s="117"/>
      <c r="K790" s="118"/>
      <c r="L790" s="119"/>
      <c r="M790" s="94"/>
      <c r="N790" s="94"/>
      <c r="O790" s="93"/>
      <c r="P790" s="120" t="b">
        <v>0</v>
      </c>
      <c r="Q790" s="120" t="b">
        <v>0</v>
      </c>
      <c r="R790" s="120" t="b">
        <v>0</v>
      </c>
      <c r="S790" s="95"/>
      <c r="U790" s="120" t="b">
        <v>0</v>
      </c>
      <c r="V790" s="93"/>
      <c r="W790" s="93"/>
      <c r="X790" s="93"/>
      <c r="Y790" s="93"/>
      <c r="AA790" s="95"/>
      <c r="AB790" s="121"/>
      <c r="AC790" s="29" t="str">
        <f t="shared" si="5"/>
        <v>Sim</v>
      </c>
      <c r="AD790" s="37" t="str">
        <f t="shared" si="1"/>
        <v>Não</v>
      </c>
      <c r="AE790" s="94"/>
      <c r="AF790" s="94"/>
      <c r="AG790" s="95"/>
    </row>
    <row r="791" hidden="1">
      <c r="A791" s="115"/>
      <c r="B791" s="93"/>
      <c r="C791" s="93"/>
      <c r="D791" s="93"/>
      <c r="E791" s="116"/>
      <c r="F791" s="95"/>
      <c r="G791" s="95"/>
      <c r="H791" s="94"/>
      <c r="I791" s="94"/>
      <c r="J791" s="117"/>
      <c r="K791" s="118"/>
      <c r="L791" s="119"/>
      <c r="M791" s="94"/>
      <c r="N791" s="94"/>
      <c r="O791" s="93"/>
      <c r="P791" s="120" t="b">
        <v>0</v>
      </c>
      <c r="Q791" s="120" t="b">
        <v>0</v>
      </c>
      <c r="R791" s="120" t="b">
        <v>0</v>
      </c>
      <c r="S791" s="95"/>
      <c r="U791" s="120" t="b">
        <v>0</v>
      </c>
      <c r="V791" s="93"/>
      <c r="W791" s="93"/>
      <c r="X791" s="93"/>
      <c r="Y791" s="93"/>
      <c r="AA791" s="95"/>
      <c r="AB791" s="121"/>
      <c r="AC791" s="29" t="str">
        <f t="shared" si="5"/>
        <v>Sim</v>
      </c>
      <c r="AD791" s="37" t="str">
        <f t="shared" si="1"/>
        <v>Não</v>
      </c>
      <c r="AE791" s="94"/>
      <c r="AF791" s="94"/>
      <c r="AG791" s="95"/>
    </row>
    <row r="792" hidden="1">
      <c r="A792" s="115"/>
      <c r="B792" s="93"/>
      <c r="C792" s="93"/>
      <c r="D792" s="93"/>
      <c r="E792" s="116"/>
      <c r="F792" s="95"/>
      <c r="G792" s="95"/>
      <c r="H792" s="94"/>
      <c r="I792" s="94"/>
      <c r="J792" s="117"/>
      <c r="K792" s="118"/>
      <c r="L792" s="119"/>
      <c r="M792" s="94"/>
      <c r="N792" s="94"/>
      <c r="O792" s="93"/>
      <c r="P792" s="120" t="b">
        <v>0</v>
      </c>
      <c r="Q792" s="120" t="b">
        <v>0</v>
      </c>
      <c r="R792" s="120" t="b">
        <v>0</v>
      </c>
      <c r="S792" s="95"/>
      <c r="U792" s="120" t="b">
        <v>0</v>
      </c>
      <c r="V792" s="93"/>
      <c r="W792" s="93"/>
      <c r="X792" s="93"/>
      <c r="Y792" s="93"/>
      <c r="AA792" s="95"/>
      <c r="AB792" s="121"/>
      <c r="AC792" s="29" t="str">
        <f t="shared" si="5"/>
        <v>Sim</v>
      </c>
      <c r="AD792" s="37" t="str">
        <f t="shared" si="1"/>
        <v>Não</v>
      </c>
      <c r="AE792" s="94"/>
      <c r="AF792" s="94"/>
      <c r="AG792" s="95"/>
    </row>
    <row r="793" hidden="1">
      <c r="A793" s="115"/>
      <c r="B793" s="93"/>
      <c r="C793" s="93"/>
      <c r="D793" s="93"/>
      <c r="E793" s="116"/>
      <c r="F793" s="95"/>
      <c r="G793" s="95"/>
      <c r="H793" s="94"/>
      <c r="I793" s="94"/>
      <c r="J793" s="117"/>
      <c r="K793" s="118"/>
      <c r="L793" s="119"/>
      <c r="M793" s="94"/>
      <c r="N793" s="94"/>
      <c r="O793" s="93"/>
      <c r="P793" s="120" t="b">
        <v>0</v>
      </c>
      <c r="Q793" s="120" t="b">
        <v>0</v>
      </c>
      <c r="R793" s="120" t="b">
        <v>0</v>
      </c>
      <c r="S793" s="95"/>
      <c r="U793" s="120" t="b">
        <v>0</v>
      </c>
      <c r="V793" s="93"/>
      <c r="W793" s="93"/>
      <c r="X793" s="93"/>
      <c r="Y793" s="93"/>
      <c r="AA793" s="95"/>
      <c r="AB793" s="121"/>
      <c r="AC793" s="29" t="str">
        <f t="shared" si="5"/>
        <v>Sim</v>
      </c>
      <c r="AD793" s="37" t="str">
        <f t="shared" si="1"/>
        <v>Não</v>
      </c>
      <c r="AE793" s="94"/>
      <c r="AF793" s="94"/>
      <c r="AG793" s="95"/>
    </row>
    <row r="794" hidden="1">
      <c r="A794" s="115"/>
      <c r="B794" s="93"/>
      <c r="C794" s="93"/>
      <c r="D794" s="93"/>
      <c r="E794" s="116"/>
      <c r="F794" s="95"/>
      <c r="G794" s="95"/>
      <c r="H794" s="94"/>
      <c r="I794" s="94"/>
      <c r="J794" s="117"/>
      <c r="K794" s="118"/>
      <c r="L794" s="119"/>
      <c r="M794" s="94"/>
      <c r="N794" s="94"/>
      <c r="O794" s="93"/>
      <c r="P794" s="120" t="b">
        <v>0</v>
      </c>
      <c r="Q794" s="120" t="b">
        <v>0</v>
      </c>
      <c r="R794" s="120" t="b">
        <v>0</v>
      </c>
      <c r="S794" s="95"/>
      <c r="U794" s="120" t="b">
        <v>0</v>
      </c>
      <c r="V794" s="93"/>
      <c r="W794" s="93"/>
      <c r="X794" s="93"/>
      <c r="Y794" s="93"/>
      <c r="AA794" s="95"/>
      <c r="AB794" s="121"/>
      <c r="AC794" s="29" t="str">
        <f t="shared" si="5"/>
        <v>Sim</v>
      </c>
      <c r="AD794" s="37" t="str">
        <f t="shared" si="1"/>
        <v>Não</v>
      </c>
      <c r="AE794" s="94"/>
      <c r="AF794" s="94"/>
      <c r="AG794" s="95"/>
    </row>
    <row r="795" hidden="1">
      <c r="A795" s="115"/>
      <c r="B795" s="93"/>
      <c r="C795" s="93"/>
      <c r="D795" s="93"/>
      <c r="E795" s="116"/>
      <c r="F795" s="95"/>
      <c r="G795" s="95"/>
      <c r="H795" s="94"/>
      <c r="I795" s="94"/>
      <c r="J795" s="117"/>
      <c r="K795" s="118"/>
      <c r="L795" s="119"/>
      <c r="M795" s="94"/>
      <c r="N795" s="94"/>
      <c r="O795" s="93"/>
      <c r="P795" s="120" t="b">
        <v>0</v>
      </c>
      <c r="Q795" s="120" t="b">
        <v>0</v>
      </c>
      <c r="R795" s="120" t="b">
        <v>0</v>
      </c>
      <c r="S795" s="95"/>
      <c r="U795" s="120" t="b">
        <v>0</v>
      </c>
      <c r="V795" s="93"/>
      <c r="W795" s="93"/>
      <c r="X795" s="93"/>
      <c r="Y795" s="93"/>
      <c r="AA795" s="95"/>
      <c r="AB795" s="121"/>
      <c r="AC795" s="29" t="str">
        <f t="shared" si="5"/>
        <v>Sim</v>
      </c>
      <c r="AD795" s="37" t="str">
        <f t="shared" si="1"/>
        <v>Não</v>
      </c>
      <c r="AE795" s="94"/>
      <c r="AF795" s="94"/>
      <c r="AG795" s="95"/>
    </row>
    <row r="796" hidden="1">
      <c r="A796" s="115"/>
      <c r="B796" s="93"/>
      <c r="C796" s="93"/>
      <c r="D796" s="93"/>
      <c r="E796" s="116"/>
      <c r="F796" s="95"/>
      <c r="G796" s="95"/>
      <c r="H796" s="94"/>
      <c r="I796" s="94"/>
      <c r="J796" s="117"/>
      <c r="K796" s="118"/>
      <c r="L796" s="119"/>
      <c r="M796" s="94"/>
      <c r="N796" s="94"/>
      <c r="O796" s="93"/>
      <c r="P796" s="120" t="b">
        <v>0</v>
      </c>
      <c r="Q796" s="120" t="b">
        <v>0</v>
      </c>
      <c r="R796" s="120" t="b">
        <v>0</v>
      </c>
      <c r="S796" s="95"/>
      <c r="U796" s="120" t="b">
        <v>0</v>
      </c>
      <c r="V796" s="93"/>
      <c r="W796" s="93"/>
      <c r="X796" s="93"/>
      <c r="Y796" s="93"/>
      <c r="AA796" s="95"/>
      <c r="AB796" s="121"/>
      <c r="AC796" s="29" t="str">
        <f t="shared" si="5"/>
        <v>Sim</v>
      </c>
      <c r="AD796" s="37" t="str">
        <f t="shared" si="1"/>
        <v>Não</v>
      </c>
      <c r="AE796" s="94"/>
      <c r="AF796" s="94"/>
      <c r="AG796" s="95"/>
    </row>
    <row r="797" hidden="1">
      <c r="A797" s="115"/>
      <c r="B797" s="93"/>
      <c r="C797" s="93"/>
      <c r="D797" s="93"/>
      <c r="E797" s="116"/>
      <c r="F797" s="95"/>
      <c r="G797" s="95"/>
      <c r="H797" s="94"/>
      <c r="I797" s="94"/>
      <c r="J797" s="117"/>
      <c r="K797" s="118"/>
      <c r="L797" s="119"/>
      <c r="M797" s="94"/>
      <c r="N797" s="94"/>
      <c r="O797" s="93"/>
      <c r="P797" s="120" t="b">
        <v>0</v>
      </c>
      <c r="Q797" s="120" t="b">
        <v>0</v>
      </c>
      <c r="R797" s="120" t="b">
        <v>0</v>
      </c>
      <c r="S797" s="95"/>
      <c r="U797" s="120" t="b">
        <v>0</v>
      </c>
      <c r="V797" s="93"/>
      <c r="W797" s="93"/>
      <c r="X797" s="93"/>
      <c r="Y797" s="93"/>
      <c r="AA797" s="95"/>
      <c r="AB797" s="121"/>
      <c r="AC797" s="29" t="str">
        <f t="shared" si="5"/>
        <v>Sim</v>
      </c>
      <c r="AD797" s="37" t="str">
        <f t="shared" si="1"/>
        <v>Não</v>
      </c>
      <c r="AE797" s="94"/>
      <c r="AF797" s="94"/>
      <c r="AG797" s="95"/>
    </row>
    <row r="798" hidden="1">
      <c r="A798" s="115"/>
      <c r="B798" s="93"/>
      <c r="C798" s="93"/>
      <c r="D798" s="93"/>
      <c r="E798" s="116"/>
      <c r="F798" s="95"/>
      <c r="G798" s="95"/>
      <c r="H798" s="94"/>
      <c r="I798" s="94"/>
      <c r="J798" s="117"/>
      <c r="K798" s="118"/>
      <c r="L798" s="119"/>
      <c r="M798" s="94"/>
      <c r="N798" s="94"/>
      <c r="O798" s="93"/>
      <c r="P798" s="120" t="b">
        <v>0</v>
      </c>
      <c r="Q798" s="120" t="b">
        <v>0</v>
      </c>
      <c r="R798" s="120" t="b">
        <v>0</v>
      </c>
      <c r="S798" s="95"/>
      <c r="U798" s="120" t="b">
        <v>0</v>
      </c>
      <c r="V798" s="93"/>
      <c r="W798" s="93"/>
      <c r="X798" s="93"/>
      <c r="Y798" s="93"/>
      <c r="AA798" s="95"/>
      <c r="AB798" s="121"/>
      <c r="AC798" s="29" t="str">
        <f t="shared" si="5"/>
        <v>Sim</v>
      </c>
      <c r="AD798" s="37" t="str">
        <f t="shared" si="1"/>
        <v>Não</v>
      </c>
      <c r="AE798" s="94"/>
      <c r="AF798" s="94"/>
      <c r="AG798" s="95"/>
    </row>
    <row r="799" hidden="1">
      <c r="A799" s="115"/>
      <c r="B799" s="93"/>
      <c r="C799" s="93"/>
      <c r="D799" s="93"/>
      <c r="E799" s="116"/>
      <c r="F799" s="95"/>
      <c r="G799" s="95"/>
      <c r="H799" s="94"/>
      <c r="I799" s="94"/>
      <c r="J799" s="117"/>
      <c r="K799" s="118"/>
      <c r="L799" s="119"/>
      <c r="M799" s="94"/>
      <c r="N799" s="94"/>
      <c r="O799" s="93"/>
      <c r="P799" s="120" t="b">
        <v>0</v>
      </c>
      <c r="Q799" s="120" t="b">
        <v>0</v>
      </c>
      <c r="R799" s="120" t="b">
        <v>0</v>
      </c>
      <c r="S799" s="95"/>
      <c r="U799" s="120" t="b">
        <v>0</v>
      </c>
      <c r="V799" s="93"/>
      <c r="W799" s="93"/>
      <c r="X799" s="93"/>
      <c r="Y799" s="93"/>
      <c r="AA799" s="95"/>
      <c r="AB799" s="121"/>
      <c r="AC799" s="29" t="str">
        <f t="shared" si="5"/>
        <v>Sim</v>
      </c>
      <c r="AD799" s="37" t="str">
        <f t="shared" si="1"/>
        <v>Não</v>
      </c>
      <c r="AE799" s="94"/>
      <c r="AF799" s="94"/>
      <c r="AG799" s="95"/>
    </row>
    <row r="800" hidden="1">
      <c r="A800" s="115"/>
      <c r="B800" s="93"/>
      <c r="C800" s="93"/>
      <c r="D800" s="93"/>
      <c r="E800" s="116"/>
      <c r="F800" s="95"/>
      <c r="G800" s="95"/>
      <c r="H800" s="94"/>
      <c r="I800" s="94"/>
      <c r="J800" s="117"/>
      <c r="K800" s="118"/>
      <c r="L800" s="119"/>
      <c r="M800" s="94"/>
      <c r="N800" s="94"/>
      <c r="O800" s="93"/>
      <c r="P800" s="120" t="b">
        <v>0</v>
      </c>
      <c r="Q800" s="120" t="b">
        <v>0</v>
      </c>
      <c r="R800" s="120" t="b">
        <v>0</v>
      </c>
      <c r="S800" s="95"/>
      <c r="U800" s="120" t="b">
        <v>0</v>
      </c>
      <c r="V800" s="93"/>
      <c r="W800" s="93"/>
      <c r="X800" s="93"/>
      <c r="Y800" s="93"/>
      <c r="AA800" s="95"/>
      <c r="AB800" s="121"/>
      <c r="AC800" s="29" t="str">
        <f t="shared" si="5"/>
        <v>Sim</v>
      </c>
      <c r="AD800" s="37" t="str">
        <f t="shared" si="1"/>
        <v>Não</v>
      </c>
      <c r="AE800" s="94"/>
      <c r="AF800" s="94"/>
      <c r="AG800" s="95"/>
    </row>
    <row r="801" hidden="1">
      <c r="A801" s="115"/>
      <c r="B801" s="93"/>
      <c r="C801" s="93"/>
      <c r="D801" s="93"/>
      <c r="E801" s="116"/>
      <c r="F801" s="95"/>
      <c r="G801" s="95"/>
      <c r="H801" s="94"/>
      <c r="I801" s="94"/>
      <c r="J801" s="117"/>
      <c r="K801" s="118"/>
      <c r="L801" s="119"/>
      <c r="M801" s="94"/>
      <c r="N801" s="94"/>
      <c r="O801" s="93"/>
      <c r="P801" s="120" t="b">
        <v>0</v>
      </c>
      <c r="Q801" s="120" t="b">
        <v>0</v>
      </c>
      <c r="R801" s="120" t="b">
        <v>0</v>
      </c>
      <c r="S801" s="95"/>
      <c r="U801" s="120" t="b">
        <v>0</v>
      </c>
      <c r="V801" s="93"/>
      <c r="W801" s="93"/>
      <c r="X801" s="93"/>
      <c r="Y801" s="93"/>
      <c r="AA801" s="95"/>
      <c r="AB801" s="121"/>
      <c r="AC801" s="29" t="str">
        <f t="shared" si="5"/>
        <v>Sim</v>
      </c>
      <c r="AD801" s="37" t="str">
        <f t="shared" si="1"/>
        <v>Não</v>
      </c>
      <c r="AE801" s="94"/>
      <c r="AF801" s="94"/>
      <c r="AG801" s="95"/>
    </row>
    <row r="802" hidden="1">
      <c r="A802" s="115"/>
      <c r="B802" s="93"/>
      <c r="C802" s="93"/>
      <c r="D802" s="93"/>
      <c r="E802" s="116"/>
      <c r="F802" s="95"/>
      <c r="G802" s="95"/>
      <c r="H802" s="94"/>
      <c r="I802" s="94"/>
      <c r="J802" s="117"/>
      <c r="K802" s="118"/>
      <c r="L802" s="119"/>
      <c r="M802" s="94"/>
      <c r="N802" s="94"/>
      <c r="O802" s="93"/>
      <c r="P802" s="120" t="b">
        <v>0</v>
      </c>
      <c r="Q802" s="120" t="b">
        <v>0</v>
      </c>
      <c r="R802" s="120" t="b">
        <v>0</v>
      </c>
      <c r="S802" s="95"/>
      <c r="U802" s="120" t="b">
        <v>0</v>
      </c>
      <c r="V802" s="93"/>
      <c r="W802" s="93"/>
      <c r="X802" s="93"/>
      <c r="Y802" s="93"/>
      <c r="AA802" s="95"/>
      <c r="AB802" s="121"/>
      <c r="AC802" s="29" t="str">
        <f t="shared" si="5"/>
        <v>Sim</v>
      </c>
      <c r="AD802" s="37" t="str">
        <f t="shared" si="1"/>
        <v>Não</v>
      </c>
      <c r="AE802" s="94"/>
      <c r="AF802" s="94"/>
      <c r="AG802" s="95"/>
    </row>
    <row r="803" hidden="1">
      <c r="A803" s="115"/>
      <c r="B803" s="93"/>
      <c r="C803" s="93"/>
      <c r="D803" s="93"/>
      <c r="E803" s="116"/>
      <c r="F803" s="95"/>
      <c r="G803" s="95"/>
      <c r="H803" s="94"/>
      <c r="I803" s="94"/>
      <c r="J803" s="117"/>
      <c r="K803" s="118"/>
      <c r="L803" s="119"/>
      <c r="M803" s="94"/>
      <c r="N803" s="94"/>
      <c r="O803" s="93"/>
      <c r="P803" s="120" t="b">
        <v>0</v>
      </c>
      <c r="Q803" s="120" t="b">
        <v>0</v>
      </c>
      <c r="R803" s="120" t="b">
        <v>0</v>
      </c>
      <c r="S803" s="95"/>
      <c r="U803" s="120" t="b">
        <v>0</v>
      </c>
      <c r="V803" s="93"/>
      <c r="W803" s="93"/>
      <c r="X803" s="93"/>
      <c r="Y803" s="93"/>
      <c r="AA803" s="95"/>
      <c r="AB803" s="121"/>
      <c r="AC803" s="29" t="str">
        <f t="shared" si="5"/>
        <v>Sim</v>
      </c>
      <c r="AD803" s="37" t="str">
        <f t="shared" si="1"/>
        <v>Não</v>
      </c>
      <c r="AE803" s="94"/>
      <c r="AF803" s="94"/>
      <c r="AG803" s="95"/>
    </row>
    <row r="804" hidden="1">
      <c r="A804" s="115"/>
      <c r="B804" s="93"/>
      <c r="C804" s="93"/>
      <c r="D804" s="93"/>
      <c r="E804" s="116"/>
      <c r="F804" s="95"/>
      <c r="G804" s="95"/>
      <c r="H804" s="94"/>
      <c r="I804" s="94"/>
      <c r="J804" s="117"/>
      <c r="K804" s="118"/>
      <c r="L804" s="119"/>
      <c r="M804" s="94"/>
      <c r="N804" s="94"/>
      <c r="O804" s="93"/>
      <c r="P804" s="120" t="b">
        <v>0</v>
      </c>
      <c r="Q804" s="120" t="b">
        <v>0</v>
      </c>
      <c r="R804" s="120" t="b">
        <v>0</v>
      </c>
      <c r="S804" s="95"/>
      <c r="U804" s="120" t="b">
        <v>0</v>
      </c>
      <c r="V804" s="93"/>
      <c r="W804" s="93"/>
      <c r="X804" s="93"/>
      <c r="Y804" s="93"/>
      <c r="AA804" s="95"/>
      <c r="AB804" s="121"/>
      <c r="AC804" s="29" t="str">
        <f t="shared" si="5"/>
        <v>Sim</v>
      </c>
      <c r="AD804" s="37" t="str">
        <f t="shared" si="1"/>
        <v>Não</v>
      </c>
      <c r="AE804" s="94"/>
      <c r="AF804" s="94"/>
      <c r="AG804" s="95"/>
    </row>
    <row r="805" hidden="1">
      <c r="A805" s="115"/>
      <c r="B805" s="93"/>
      <c r="C805" s="93"/>
      <c r="D805" s="93"/>
      <c r="E805" s="116"/>
      <c r="F805" s="95"/>
      <c r="G805" s="95"/>
      <c r="H805" s="94"/>
      <c r="I805" s="94"/>
      <c r="J805" s="117"/>
      <c r="K805" s="118"/>
      <c r="L805" s="119"/>
      <c r="M805" s="94"/>
      <c r="N805" s="94"/>
      <c r="O805" s="93"/>
      <c r="P805" s="120" t="b">
        <v>0</v>
      </c>
      <c r="Q805" s="120" t="b">
        <v>0</v>
      </c>
      <c r="R805" s="120" t="b">
        <v>0</v>
      </c>
      <c r="S805" s="95"/>
      <c r="U805" s="120" t="b">
        <v>0</v>
      </c>
      <c r="V805" s="93"/>
      <c r="W805" s="93"/>
      <c r="X805" s="93"/>
      <c r="Y805" s="93"/>
      <c r="AA805" s="95"/>
      <c r="AB805" s="121"/>
      <c r="AC805" s="29" t="str">
        <f t="shared" si="5"/>
        <v>Sim</v>
      </c>
      <c r="AD805" s="37" t="str">
        <f t="shared" si="1"/>
        <v>Não</v>
      </c>
      <c r="AE805" s="94"/>
      <c r="AF805" s="94"/>
      <c r="AG805" s="95"/>
    </row>
    <row r="806" hidden="1">
      <c r="A806" s="115"/>
      <c r="B806" s="93"/>
      <c r="C806" s="93"/>
      <c r="D806" s="93"/>
      <c r="E806" s="116"/>
      <c r="F806" s="95"/>
      <c r="G806" s="95"/>
      <c r="H806" s="94"/>
      <c r="I806" s="94"/>
      <c r="J806" s="117"/>
      <c r="K806" s="118"/>
      <c r="L806" s="119"/>
      <c r="M806" s="94"/>
      <c r="N806" s="94"/>
      <c r="O806" s="93"/>
      <c r="P806" s="120" t="b">
        <v>0</v>
      </c>
      <c r="Q806" s="120" t="b">
        <v>0</v>
      </c>
      <c r="R806" s="120" t="b">
        <v>0</v>
      </c>
      <c r="S806" s="95"/>
      <c r="U806" s="120" t="b">
        <v>0</v>
      </c>
      <c r="V806" s="93"/>
      <c r="W806" s="93"/>
      <c r="X806" s="93"/>
      <c r="Y806" s="93"/>
      <c r="AA806" s="95"/>
      <c r="AB806" s="121"/>
      <c r="AC806" s="29" t="str">
        <f t="shared" si="5"/>
        <v>Sim</v>
      </c>
      <c r="AD806" s="37" t="str">
        <f t="shared" si="1"/>
        <v>Não</v>
      </c>
      <c r="AE806" s="94"/>
      <c r="AF806" s="94"/>
      <c r="AG806" s="95"/>
    </row>
    <row r="807" hidden="1">
      <c r="A807" s="115"/>
      <c r="B807" s="93"/>
      <c r="C807" s="93"/>
      <c r="D807" s="93"/>
      <c r="E807" s="116"/>
      <c r="F807" s="95"/>
      <c r="G807" s="95"/>
      <c r="H807" s="94"/>
      <c r="I807" s="94"/>
      <c r="J807" s="117"/>
      <c r="K807" s="118"/>
      <c r="L807" s="119"/>
      <c r="M807" s="94"/>
      <c r="N807" s="94"/>
      <c r="O807" s="93"/>
      <c r="P807" s="120" t="b">
        <v>0</v>
      </c>
      <c r="Q807" s="120" t="b">
        <v>0</v>
      </c>
      <c r="R807" s="120" t="b">
        <v>0</v>
      </c>
      <c r="S807" s="95"/>
      <c r="U807" s="120" t="b">
        <v>0</v>
      </c>
      <c r="V807" s="93"/>
      <c r="W807" s="93"/>
      <c r="X807" s="93"/>
      <c r="Y807" s="93"/>
      <c r="AA807" s="95"/>
      <c r="AB807" s="121"/>
      <c r="AC807" s="29" t="str">
        <f t="shared" si="5"/>
        <v>Sim</v>
      </c>
      <c r="AD807" s="37" t="str">
        <f t="shared" si="1"/>
        <v>Não</v>
      </c>
      <c r="AE807" s="94"/>
      <c r="AF807" s="94"/>
      <c r="AG807" s="95"/>
    </row>
    <row r="808" hidden="1">
      <c r="A808" s="115"/>
      <c r="B808" s="93"/>
      <c r="C808" s="93"/>
      <c r="D808" s="93"/>
      <c r="E808" s="116"/>
      <c r="F808" s="95"/>
      <c r="G808" s="95"/>
      <c r="H808" s="94"/>
      <c r="I808" s="94"/>
      <c r="J808" s="117"/>
      <c r="K808" s="118"/>
      <c r="L808" s="119"/>
      <c r="M808" s="94"/>
      <c r="N808" s="94"/>
      <c r="O808" s="93"/>
      <c r="P808" s="120" t="b">
        <v>0</v>
      </c>
      <c r="Q808" s="120" t="b">
        <v>0</v>
      </c>
      <c r="R808" s="120" t="b">
        <v>0</v>
      </c>
      <c r="S808" s="95"/>
      <c r="U808" s="120" t="b">
        <v>0</v>
      </c>
      <c r="V808" s="93"/>
      <c r="W808" s="93"/>
      <c r="X808" s="93"/>
      <c r="Y808" s="93"/>
      <c r="AA808" s="95"/>
      <c r="AB808" s="121"/>
      <c r="AC808" s="29" t="str">
        <f t="shared" si="5"/>
        <v>Sim</v>
      </c>
      <c r="AD808" s="37" t="str">
        <f t="shared" si="1"/>
        <v>Não</v>
      </c>
      <c r="AE808" s="94"/>
      <c r="AF808" s="94"/>
      <c r="AG808" s="95"/>
    </row>
    <row r="809" hidden="1">
      <c r="A809" s="115"/>
      <c r="B809" s="93"/>
      <c r="C809" s="93"/>
      <c r="D809" s="93"/>
      <c r="E809" s="116"/>
      <c r="F809" s="95"/>
      <c r="G809" s="95"/>
      <c r="H809" s="94"/>
      <c r="I809" s="94"/>
      <c r="J809" s="117"/>
      <c r="K809" s="118"/>
      <c r="L809" s="119"/>
      <c r="M809" s="94"/>
      <c r="N809" s="94"/>
      <c r="O809" s="93"/>
      <c r="P809" s="120" t="b">
        <v>0</v>
      </c>
      <c r="Q809" s="120" t="b">
        <v>0</v>
      </c>
      <c r="R809" s="120" t="b">
        <v>0</v>
      </c>
      <c r="S809" s="95"/>
      <c r="U809" s="120" t="b">
        <v>0</v>
      </c>
      <c r="V809" s="93"/>
      <c r="W809" s="93"/>
      <c r="X809" s="93"/>
      <c r="Y809" s="93"/>
      <c r="AA809" s="95"/>
      <c r="AB809" s="121"/>
      <c r="AC809" s="29" t="str">
        <f t="shared" si="5"/>
        <v>Sim</v>
      </c>
      <c r="AD809" s="37" t="str">
        <f t="shared" si="1"/>
        <v>Não</v>
      </c>
      <c r="AE809" s="94"/>
      <c r="AF809" s="94"/>
      <c r="AG809" s="95"/>
    </row>
    <row r="810" hidden="1">
      <c r="A810" s="115"/>
      <c r="B810" s="93"/>
      <c r="C810" s="93"/>
      <c r="D810" s="93"/>
      <c r="E810" s="116"/>
      <c r="F810" s="95"/>
      <c r="G810" s="95"/>
      <c r="H810" s="94"/>
      <c r="I810" s="94"/>
      <c r="J810" s="117"/>
      <c r="K810" s="118"/>
      <c r="L810" s="119"/>
      <c r="M810" s="94"/>
      <c r="N810" s="94"/>
      <c r="O810" s="93"/>
      <c r="P810" s="120" t="b">
        <v>0</v>
      </c>
      <c r="Q810" s="120" t="b">
        <v>0</v>
      </c>
      <c r="R810" s="120" t="b">
        <v>0</v>
      </c>
      <c r="S810" s="95"/>
      <c r="U810" s="120" t="b">
        <v>0</v>
      </c>
      <c r="V810" s="93"/>
      <c r="W810" s="93"/>
      <c r="X810" s="93"/>
      <c r="Y810" s="93"/>
      <c r="AA810" s="95"/>
      <c r="AB810" s="121"/>
      <c r="AC810" s="29" t="str">
        <f t="shared" si="5"/>
        <v>Sim</v>
      </c>
      <c r="AD810" s="37" t="str">
        <f t="shared" si="1"/>
        <v>Não</v>
      </c>
      <c r="AE810" s="94"/>
      <c r="AF810" s="94"/>
      <c r="AG810" s="95"/>
    </row>
    <row r="811" hidden="1">
      <c r="A811" s="115"/>
      <c r="B811" s="93"/>
      <c r="C811" s="93"/>
      <c r="D811" s="93"/>
      <c r="E811" s="116"/>
      <c r="F811" s="95"/>
      <c r="G811" s="95"/>
      <c r="H811" s="94"/>
      <c r="I811" s="94"/>
      <c r="J811" s="117"/>
      <c r="K811" s="118"/>
      <c r="L811" s="119"/>
      <c r="M811" s="94"/>
      <c r="N811" s="94"/>
      <c r="O811" s="93"/>
      <c r="P811" s="120" t="b">
        <v>0</v>
      </c>
      <c r="Q811" s="120" t="b">
        <v>0</v>
      </c>
      <c r="R811" s="120" t="b">
        <v>0</v>
      </c>
      <c r="S811" s="95"/>
      <c r="U811" s="120" t="b">
        <v>0</v>
      </c>
      <c r="V811" s="93"/>
      <c r="W811" s="93"/>
      <c r="X811" s="93"/>
      <c r="Y811" s="93"/>
      <c r="AA811" s="95"/>
      <c r="AB811" s="121"/>
      <c r="AC811" s="29" t="str">
        <f t="shared" si="5"/>
        <v>Sim</v>
      </c>
      <c r="AD811" s="37" t="str">
        <f t="shared" si="1"/>
        <v>Não</v>
      </c>
      <c r="AE811" s="94"/>
      <c r="AF811" s="94"/>
      <c r="AG811" s="95"/>
    </row>
    <row r="812" hidden="1">
      <c r="A812" s="115"/>
      <c r="B812" s="93"/>
      <c r="C812" s="93"/>
      <c r="D812" s="93"/>
      <c r="E812" s="116"/>
      <c r="F812" s="95"/>
      <c r="G812" s="95"/>
      <c r="H812" s="94"/>
      <c r="I812" s="94"/>
      <c r="J812" s="117"/>
      <c r="K812" s="118"/>
      <c r="L812" s="119"/>
      <c r="M812" s="94"/>
      <c r="N812" s="94"/>
      <c r="O812" s="93"/>
      <c r="P812" s="120" t="b">
        <v>0</v>
      </c>
      <c r="Q812" s="120" t="b">
        <v>0</v>
      </c>
      <c r="R812" s="120" t="b">
        <v>0</v>
      </c>
      <c r="S812" s="95"/>
      <c r="U812" s="120" t="b">
        <v>0</v>
      </c>
      <c r="V812" s="93"/>
      <c r="W812" s="93"/>
      <c r="X812" s="93"/>
      <c r="Y812" s="93"/>
      <c r="AA812" s="95"/>
      <c r="AB812" s="121"/>
      <c r="AC812" s="29" t="str">
        <f t="shared" si="5"/>
        <v>Sim</v>
      </c>
      <c r="AD812" s="37" t="str">
        <f t="shared" si="1"/>
        <v>Não</v>
      </c>
      <c r="AE812" s="94"/>
      <c r="AF812" s="94"/>
      <c r="AG812" s="95"/>
    </row>
    <row r="813" hidden="1">
      <c r="A813" s="115"/>
      <c r="B813" s="93"/>
      <c r="C813" s="93"/>
      <c r="D813" s="93"/>
      <c r="E813" s="116"/>
      <c r="F813" s="95"/>
      <c r="G813" s="95"/>
      <c r="H813" s="94"/>
      <c r="I813" s="94"/>
      <c r="J813" s="117"/>
      <c r="K813" s="118"/>
      <c r="L813" s="119"/>
      <c r="M813" s="94"/>
      <c r="N813" s="94"/>
      <c r="O813" s="93"/>
      <c r="P813" s="120" t="b">
        <v>0</v>
      </c>
      <c r="Q813" s="120" t="b">
        <v>0</v>
      </c>
      <c r="R813" s="120" t="b">
        <v>0</v>
      </c>
      <c r="S813" s="95"/>
      <c r="U813" s="120" t="b">
        <v>0</v>
      </c>
      <c r="V813" s="93"/>
      <c r="W813" s="93"/>
      <c r="X813" s="93"/>
      <c r="Y813" s="93"/>
      <c r="AA813" s="95"/>
      <c r="AB813" s="121"/>
      <c r="AC813" s="29" t="str">
        <f t="shared" si="5"/>
        <v>Sim</v>
      </c>
      <c r="AD813" s="37" t="str">
        <f t="shared" si="1"/>
        <v>Não</v>
      </c>
      <c r="AE813" s="94"/>
      <c r="AF813" s="94"/>
      <c r="AG813" s="95"/>
    </row>
    <row r="814" hidden="1">
      <c r="A814" s="115"/>
      <c r="B814" s="93"/>
      <c r="C814" s="93"/>
      <c r="D814" s="93"/>
      <c r="E814" s="116"/>
      <c r="F814" s="95"/>
      <c r="G814" s="95"/>
      <c r="H814" s="94"/>
      <c r="I814" s="94"/>
      <c r="J814" s="117"/>
      <c r="K814" s="118"/>
      <c r="L814" s="119"/>
      <c r="M814" s="94"/>
      <c r="N814" s="94"/>
      <c r="O814" s="93"/>
      <c r="P814" s="120" t="b">
        <v>0</v>
      </c>
      <c r="Q814" s="120" t="b">
        <v>0</v>
      </c>
      <c r="R814" s="120" t="b">
        <v>0</v>
      </c>
      <c r="S814" s="95"/>
      <c r="U814" s="120" t="b">
        <v>0</v>
      </c>
      <c r="V814" s="93"/>
      <c r="W814" s="93"/>
      <c r="X814" s="93"/>
      <c r="Y814" s="93"/>
      <c r="AA814" s="95"/>
      <c r="AB814" s="121"/>
      <c r="AC814" s="29" t="str">
        <f t="shared" si="5"/>
        <v>Sim</v>
      </c>
      <c r="AD814" s="37" t="str">
        <f t="shared" si="1"/>
        <v>Não</v>
      </c>
      <c r="AE814" s="94"/>
      <c r="AF814" s="94"/>
      <c r="AG814" s="95"/>
    </row>
    <row r="815" hidden="1">
      <c r="A815" s="115"/>
      <c r="B815" s="93"/>
      <c r="C815" s="93"/>
      <c r="D815" s="93"/>
      <c r="E815" s="116"/>
      <c r="F815" s="95"/>
      <c r="G815" s="95"/>
      <c r="H815" s="94"/>
      <c r="I815" s="94"/>
      <c r="J815" s="117"/>
      <c r="K815" s="118"/>
      <c r="L815" s="119"/>
      <c r="M815" s="94"/>
      <c r="N815" s="94"/>
      <c r="O815" s="93"/>
      <c r="P815" s="120" t="b">
        <v>0</v>
      </c>
      <c r="Q815" s="120" t="b">
        <v>0</v>
      </c>
      <c r="R815" s="120" t="b">
        <v>0</v>
      </c>
      <c r="S815" s="95"/>
      <c r="U815" s="120" t="b">
        <v>0</v>
      </c>
      <c r="V815" s="93"/>
      <c r="W815" s="93"/>
      <c r="X815" s="93"/>
      <c r="Y815" s="93"/>
      <c r="AA815" s="95"/>
      <c r="AB815" s="121"/>
      <c r="AC815" s="29" t="str">
        <f t="shared" si="5"/>
        <v>Sim</v>
      </c>
      <c r="AD815" s="37" t="str">
        <f t="shared" si="1"/>
        <v>Não</v>
      </c>
      <c r="AE815" s="94"/>
      <c r="AF815" s="94"/>
      <c r="AG815" s="95"/>
    </row>
    <row r="816" hidden="1">
      <c r="A816" s="115"/>
      <c r="B816" s="93"/>
      <c r="C816" s="93"/>
      <c r="D816" s="93"/>
      <c r="E816" s="116"/>
      <c r="F816" s="95"/>
      <c r="G816" s="95"/>
      <c r="H816" s="94"/>
      <c r="I816" s="94"/>
      <c r="J816" s="117"/>
      <c r="K816" s="118"/>
      <c r="L816" s="119"/>
      <c r="M816" s="94"/>
      <c r="N816" s="94"/>
      <c r="O816" s="93"/>
      <c r="P816" s="120" t="b">
        <v>0</v>
      </c>
      <c r="Q816" s="120" t="b">
        <v>0</v>
      </c>
      <c r="R816" s="120" t="b">
        <v>0</v>
      </c>
      <c r="S816" s="95"/>
      <c r="U816" s="120" t="b">
        <v>0</v>
      </c>
      <c r="V816" s="93"/>
      <c r="W816" s="93"/>
      <c r="X816" s="93"/>
      <c r="Y816" s="93"/>
      <c r="AA816" s="95"/>
      <c r="AB816" s="121"/>
      <c r="AC816" s="29" t="str">
        <f t="shared" si="5"/>
        <v>Sim</v>
      </c>
      <c r="AD816" s="37" t="str">
        <f t="shared" si="1"/>
        <v>Não</v>
      </c>
      <c r="AE816" s="94"/>
      <c r="AF816" s="94"/>
      <c r="AG816" s="95"/>
    </row>
    <row r="817" hidden="1">
      <c r="A817" s="115"/>
      <c r="B817" s="93"/>
      <c r="C817" s="93"/>
      <c r="D817" s="93"/>
      <c r="E817" s="116"/>
      <c r="F817" s="95"/>
      <c r="G817" s="95"/>
      <c r="H817" s="94"/>
      <c r="I817" s="94"/>
      <c r="J817" s="117"/>
      <c r="K817" s="118"/>
      <c r="L817" s="119"/>
      <c r="M817" s="94"/>
      <c r="N817" s="94"/>
      <c r="O817" s="93"/>
      <c r="P817" s="120" t="b">
        <v>0</v>
      </c>
      <c r="Q817" s="120" t="b">
        <v>0</v>
      </c>
      <c r="R817" s="120" t="b">
        <v>0</v>
      </c>
      <c r="S817" s="95"/>
      <c r="U817" s="120" t="b">
        <v>0</v>
      </c>
      <c r="V817" s="93"/>
      <c r="W817" s="93"/>
      <c r="X817" s="93"/>
      <c r="Y817" s="93"/>
      <c r="AA817" s="95"/>
      <c r="AB817" s="121"/>
      <c r="AC817" s="29" t="str">
        <f t="shared" si="5"/>
        <v>Sim</v>
      </c>
      <c r="AD817" s="37" t="str">
        <f t="shared" si="1"/>
        <v>Não</v>
      </c>
      <c r="AE817" s="94"/>
      <c r="AF817" s="94"/>
      <c r="AG817" s="95"/>
    </row>
    <row r="818" hidden="1">
      <c r="A818" s="115"/>
      <c r="B818" s="93"/>
      <c r="C818" s="93"/>
      <c r="D818" s="93"/>
      <c r="E818" s="116"/>
      <c r="F818" s="95"/>
      <c r="G818" s="95"/>
      <c r="H818" s="94"/>
      <c r="I818" s="94"/>
      <c r="J818" s="117"/>
      <c r="K818" s="118"/>
      <c r="L818" s="119"/>
      <c r="M818" s="94"/>
      <c r="N818" s="94"/>
      <c r="O818" s="93"/>
      <c r="P818" s="120" t="b">
        <v>0</v>
      </c>
      <c r="Q818" s="120" t="b">
        <v>0</v>
      </c>
      <c r="R818" s="120" t="b">
        <v>0</v>
      </c>
      <c r="S818" s="95"/>
      <c r="U818" s="120" t="b">
        <v>0</v>
      </c>
      <c r="V818" s="93"/>
      <c r="W818" s="93"/>
      <c r="X818" s="93"/>
      <c r="Y818" s="93"/>
      <c r="AA818" s="95"/>
      <c r="AB818" s="121"/>
      <c r="AC818" s="29" t="str">
        <f t="shared" si="5"/>
        <v>Sim</v>
      </c>
      <c r="AD818" s="37" t="str">
        <f t="shared" si="1"/>
        <v>Não</v>
      </c>
      <c r="AE818" s="94"/>
      <c r="AF818" s="94"/>
      <c r="AG818" s="95"/>
    </row>
    <row r="819" hidden="1">
      <c r="A819" s="115"/>
      <c r="B819" s="93"/>
      <c r="C819" s="93"/>
      <c r="D819" s="93"/>
      <c r="E819" s="116"/>
      <c r="F819" s="95"/>
      <c r="G819" s="95"/>
      <c r="H819" s="94"/>
      <c r="I819" s="94"/>
      <c r="J819" s="117"/>
      <c r="K819" s="118"/>
      <c r="L819" s="119"/>
      <c r="M819" s="94"/>
      <c r="N819" s="94"/>
      <c r="O819" s="93"/>
      <c r="P819" s="120" t="b">
        <v>0</v>
      </c>
      <c r="Q819" s="120" t="b">
        <v>0</v>
      </c>
      <c r="R819" s="120" t="b">
        <v>0</v>
      </c>
      <c r="S819" s="95"/>
      <c r="U819" s="120" t="b">
        <v>0</v>
      </c>
      <c r="V819" s="93"/>
      <c r="W819" s="93"/>
      <c r="X819" s="93"/>
      <c r="Y819" s="93"/>
      <c r="AA819" s="95"/>
      <c r="AB819" s="121"/>
      <c r="AC819" s="29" t="str">
        <f t="shared" si="5"/>
        <v>Sim</v>
      </c>
      <c r="AD819" s="37" t="str">
        <f t="shared" si="1"/>
        <v>Não</v>
      </c>
      <c r="AE819" s="94"/>
      <c r="AF819" s="94"/>
      <c r="AG819" s="95"/>
    </row>
    <row r="820" hidden="1">
      <c r="A820" s="115"/>
      <c r="B820" s="93"/>
      <c r="C820" s="93"/>
      <c r="D820" s="93"/>
      <c r="E820" s="116"/>
      <c r="F820" s="95"/>
      <c r="G820" s="95"/>
      <c r="H820" s="94"/>
      <c r="I820" s="94"/>
      <c r="J820" s="117"/>
      <c r="K820" s="118"/>
      <c r="L820" s="119"/>
      <c r="M820" s="94"/>
      <c r="N820" s="94"/>
      <c r="O820" s="93"/>
      <c r="P820" s="120" t="b">
        <v>0</v>
      </c>
      <c r="Q820" s="120" t="b">
        <v>0</v>
      </c>
      <c r="R820" s="120" t="b">
        <v>0</v>
      </c>
      <c r="S820" s="95"/>
      <c r="U820" s="120" t="b">
        <v>0</v>
      </c>
      <c r="V820" s="93"/>
      <c r="W820" s="93"/>
      <c r="X820" s="93"/>
      <c r="Y820" s="93"/>
      <c r="AA820" s="95"/>
      <c r="AB820" s="121"/>
      <c r="AC820" s="29" t="str">
        <f t="shared" si="5"/>
        <v>Sim</v>
      </c>
      <c r="AD820" s="37" t="str">
        <f t="shared" si="1"/>
        <v>Não</v>
      </c>
      <c r="AE820" s="94"/>
      <c r="AF820" s="94"/>
      <c r="AG820" s="95"/>
    </row>
    <row r="821" hidden="1">
      <c r="A821" s="115"/>
      <c r="B821" s="93"/>
      <c r="C821" s="93"/>
      <c r="D821" s="93"/>
      <c r="E821" s="116"/>
      <c r="F821" s="95"/>
      <c r="G821" s="95"/>
      <c r="H821" s="94"/>
      <c r="I821" s="94"/>
      <c r="J821" s="117"/>
      <c r="K821" s="118"/>
      <c r="L821" s="119"/>
      <c r="M821" s="94"/>
      <c r="N821" s="94"/>
      <c r="O821" s="93"/>
      <c r="P821" s="120" t="b">
        <v>0</v>
      </c>
      <c r="Q821" s="120" t="b">
        <v>0</v>
      </c>
      <c r="R821" s="120" t="b">
        <v>0</v>
      </c>
      <c r="S821" s="95"/>
      <c r="U821" s="120" t="b">
        <v>0</v>
      </c>
      <c r="V821" s="93"/>
      <c r="W821" s="93"/>
      <c r="X821" s="93"/>
      <c r="Y821" s="93"/>
      <c r="AA821" s="95"/>
      <c r="AB821" s="121"/>
      <c r="AC821" s="29" t="str">
        <f t="shared" si="5"/>
        <v>Sim</v>
      </c>
      <c r="AD821" s="37" t="str">
        <f t="shared" si="1"/>
        <v>Não</v>
      </c>
      <c r="AE821" s="94"/>
      <c r="AF821" s="94"/>
      <c r="AG821" s="95"/>
    </row>
    <row r="822" hidden="1">
      <c r="A822" s="115"/>
      <c r="B822" s="93"/>
      <c r="C822" s="93"/>
      <c r="D822" s="93"/>
      <c r="E822" s="116"/>
      <c r="F822" s="95"/>
      <c r="G822" s="95"/>
      <c r="H822" s="94"/>
      <c r="I822" s="94"/>
      <c r="J822" s="117"/>
      <c r="K822" s="118"/>
      <c r="L822" s="119"/>
      <c r="M822" s="94"/>
      <c r="N822" s="94"/>
      <c r="O822" s="93"/>
      <c r="P822" s="120" t="b">
        <v>0</v>
      </c>
      <c r="Q822" s="120" t="b">
        <v>0</v>
      </c>
      <c r="R822" s="120" t="b">
        <v>0</v>
      </c>
      <c r="S822" s="95"/>
      <c r="U822" s="120" t="b">
        <v>0</v>
      </c>
      <c r="V822" s="93"/>
      <c r="W822" s="93"/>
      <c r="X822" s="93"/>
      <c r="Y822" s="93"/>
      <c r="AA822" s="95"/>
      <c r="AB822" s="121"/>
      <c r="AC822" s="29" t="str">
        <f t="shared" si="5"/>
        <v>Sim</v>
      </c>
      <c r="AD822" s="37" t="str">
        <f t="shared" si="1"/>
        <v>Não</v>
      </c>
      <c r="AE822" s="94"/>
      <c r="AF822" s="94"/>
      <c r="AG822" s="95"/>
    </row>
    <row r="823" hidden="1">
      <c r="A823" s="115"/>
      <c r="B823" s="93"/>
      <c r="C823" s="93"/>
      <c r="D823" s="93"/>
      <c r="E823" s="116"/>
      <c r="F823" s="95"/>
      <c r="G823" s="95"/>
      <c r="H823" s="94"/>
      <c r="I823" s="94"/>
      <c r="J823" s="117"/>
      <c r="K823" s="118"/>
      <c r="L823" s="119"/>
      <c r="M823" s="94"/>
      <c r="N823" s="94"/>
      <c r="O823" s="93"/>
      <c r="P823" s="120" t="b">
        <v>0</v>
      </c>
      <c r="Q823" s="120" t="b">
        <v>0</v>
      </c>
      <c r="R823" s="120" t="b">
        <v>0</v>
      </c>
      <c r="S823" s="95"/>
      <c r="U823" s="120" t="b">
        <v>0</v>
      </c>
      <c r="V823" s="93"/>
      <c r="W823" s="93"/>
      <c r="X823" s="93"/>
      <c r="Y823" s="93"/>
      <c r="AA823" s="95"/>
      <c r="AB823" s="121"/>
      <c r="AC823" s="29" t="str">
        <f t="shared" si="5"/>
        <v>Sim</v>
      </c>
      <c r="AD823" s="37" t="str">
        <f t="shared" si="1"/>
        <v>Não</v>
      </c>
      <c r="AE823" s="94"/>
      <c r="AF823" s="94"/>
      <c r="AG823" s="95"/>
    </row>
    <row r="824" hidden="1">
      <c r="A824" s="115"/>
      <c r="B824" s="93"/>
      <c r="C824" s="93"/>
      <c r="D824" s="93"/>
      <c r="E824" s="116"/>
      <c r="F824" s="95"/>
      <c r="G824" s="95"/>
      <c r="H824" s="94"/>
      <c r="I824" s="94"/>
      <c r="J824" s="117"/>
      <c r="K824" s="118"/>
      <c r="L824" s="119"/>
      <c r="M824" s="94"/>
      <c r="N824" s="94"/>
      <c r="O824" s="93"/>
      <c r="P824" s="120" t="b">
        <v>0</v>
      </c>
      <c r="Q824" s="120" t="b">
        <v>0</v>
      </c>
      <c r="R824" s="120" t="b">
        <v>0</v>
      </c>
      <c r="S824" s="95"/>
      <c r="U824" s="120" t="b">
        <v>0</v>
      </c>
      <c r="V824" s="93"/>
      <c r="W824" s="93"/>
      <c r="X824" s="93"/>
      <c r="Y824" s="93"/>
      <c r="AA824" s="95"/>
      <c r="AB824" s="121"/>
      <c r="AC824" s="29" t="str">
        <f t="shared" si="5"/>
        <v>Sim</v>
      </c>
      <c r="AD824" s="37" t="str">
        <f t="shared" si="1"/>
        <v>Não</v>
      </c>
      <c r="AE824" s="94"/>
      <c r="AF824" s="94"/>
      <c r="AG824" s="95"/>
    </row>
    <row r="825" hidden="1">
      <c r="A825" s="115"/>
      <c r="B825" s="93"/>
      <c r="C825" s="93"/>
      <c r="D825" s="93"/>
      <c r="E825" s="116"/>
      <c r="F825" s="95"/>
      <c r="G825" s="95"/>
      <c r="H825" s="94"/>
      <c r="I825" s="94"/>
      <c r="J825" s="117"/>
      <c r="K825" s="118"/>
      <c r="L825" s="119"/>
      <c r="M825" s="94"/>
      <c r="N825" s="94"/>
      <c r="O825" s="93"/>
      <c r="P825" s="120" t="b">
        <v>0</v>
      </c>
      <c r="Q825" s="120" t="b">
        <v>0</v>
      </c>
      <c r="R825" s="120" t="b">
        <v>0</v>
      </c>
      <c r="S825" s="95"/>
      <c r="U825" s="120" t="b">
        <v>0</v>
      </c>
      <c r="V825" s="93"/>
      <c r="W825" s="93"/>
      <c r="X825" s="93"/>
      <c r="Y825" s="93"/>
      <c r="AA825" s="95"/>
      <c r="AB825" s="121"/>
      <c r="AC825" s="29" t="str">
        <f t="shared" si="5"/>
        <v>Sim</v>
      </c>
      <c r="AD825" s="37" t="str">
        <f t="shared" si="1"/>
        <v>Não</v>
      </c>
      <c r="AE825" s="94"/>
      <c r="AF825" s="94"/>
      <c r="AG825" s="95"/>
    </row>
    <row r="826" hidden="1">
      <c r="A826" s="115"/>
      <c r="B826" s="93"/>
      <c r="C826" s="93"/>
      <c r="D826" s="93"/>
      <c r="E826" s="116"/>
      <c r="F826" s="95"/>
      <c r="G826" s="95"/>
      <c r="H826" s="94"/>
      <c r="I826" s="94"/>
      <c r="J826" s="117"/>
      <c r="K826" s="118"/>
      <c r="L826" s="119"/>
      <c r="M826" s="94"/>
      <c r="N826" s="94"/>
      <c r="O826" s="93"/>
      <c r="P826" s="120" t="b">
        <v>0</v>
      </c>
      <c r="Q826" s="120" t="b">
        <v>0</v>
      </c>
      <c r="R826" s="120" t="b">
        <v>0</v>
      </c>
      <c r="S826" s="95"/>
      <c r="U826" s="120" t="b">
        <v>0</v>
      </c>
      <c r="V826" s="93"/>
      <c r="W826" s="93"/>
      <c r="X826" s="93"/>
      <c r="Y826" s="93"/>
      <c r="AA826" s="95"/>
      <c r="AB826" s="121"/>
      <c r="AC826" s="29" t="str">
        <f t="shared" si="5"/>
        <v>Sim</v>
      </c>
      <c r="AD826" s="37" t="str">
        <f t="shared" si="1"/>
        <v>Não</v>
      </c>
      <c r="AE826" s="94"/>
      <c r="AF826" s="94"/>
      <c r="AG826" s="95"/>
    </row>
    <row r="827" hidden="1">
      <c r="A827" s="115"/>
      <c r="B827" s="93"/>
      <c r="C827" s="93"/>
      <c r="D827" s="93"/>
      <c r="E827" s="116"/>
      <c r="F827" s="95"/>
      <c r="G827" s="95"/>
      <c r="H827" s="94"/>
      <c r="I827" s="94"/>
      <c r="J827" s="117"/>
      <c r="K827" s="118"/>
      <c r="L827" s="119"/>
      <c r="M827" s="94"/>
      <c r="N827" s="94"/>
      <c r="O827" s="93"/>
      <c r="P827" s="120" t="b">
        <v>0</v>
      </c>
      <c r="Q827" s="120" t="b">
        <v>0</v>
      </c>
      <c r="R827" s="120" t="b">
        <v>0</v>
      </c>
      <c r="S827" s="95"/>
      <c r="U827" s="120" t="b">
        <v>0</v>
      </c>
      <c r="V827" s="93"/>
      <c r="W827" s="93"/>
      <c r="X827" s="93"/>
      <c r="Y827" s="93"/>
      <c r="AA827" s="95"/>
      <c r="AB827" s="121"/>
      <c r="AC827" s="29" t="str">
        <f t="shared" si="5"/>
        <v>Sim</v>
      </c>
      <c r="AD827" s="37" t="str">
        <f t="shared" si="1"/>
        <v>Não</v>
      </c>
      <c r="AE827" s="94"/>
      <c r="AF827" s="94"/>
      <c r="AG827" s="95"/>
    </row>
    <row r="828" hidden="1">
      <c r="A828" s="115"/>
      <c r="B828" s="93"/>
      <c r="C828" s="93"/>
      <c r="D828" s="93"/>
      <c r="E828" s="116"/>
      <c r="F828" s="95"/>
      <c r="G828" s="95"/>
      <c r="H828" s="94"/>
      <c r="I828" s="94"/>
      <c r="J828" s="117"/>
      <c r="K828" s="118"/>
      <c r="L828" s="119"/>
      <c r="M828" s="94"/>
      <c r="N828" s="94"/>
      <c r="O828" s="93"/>
      <c r="P828" s="120" t="b">
        <v>0</v>
      </c>
      <c r="Q828" s="120" t="b">
        <v>0</v>
      </c>
      <c r="R828" s="120" t="b">
        <v>0</v>
      </c>
      <c r="S828" s="95"/>
      <c r="U828" s="120" t="b">
        <v>0</v>
      </c>
      <c r="V828" s="93"/>
      <c r="W828" s="93"/>
      <c r="X828" s="93"/>
      <c r="Y828" s="93"/>
      <c r="AA828" s="95"/>
      <c r="AB828" s="121"/>
      <c r="AC828" s="29" t="str">
        <f t="shared" si="5"/>
        <v>Sim</v>
      </c>
      <c r="AD828" s="37" t="str">
        <f t="shared" si="1"/>
        <v>Não</v>
      </c>
      <c r="AE828" s="94"/>
      <c r="AF828" s="94"/>
      <c r="AG828" s="95"/>
    </row>
    <row r="829" hidden="1">
      <c r="A829" s="115"/>
      <c r="B829" s="93"/>
      <c r="C829" s="93"/>
      <c r="D829" s="93"/>
      <c r="E829" s="116"/>
      <c r="F829" s="95"/>
      <c r="G829" s="95"/>
      <c r="H829" s="94"/>
      <c r="I829" s="94"/>
      <c r="J829" s="117"/>
      <c r="K829" s="118"/>
      <c r="L829" s="119"/>
      <c r="M829" s="94"/>
      <c r="N829" s="94"/>
      <c r="O829" s="93"/>
      <c r="P829" s="120" t="b">
        <v>0</v>
      </c>
      <c r="Q829" s="120" t="b">
        <v>0</v>
      </c>
      <c r="R829" s="120" t="b">
        <v>0</v>
      </c>
      <c r="S829" s="95"/>
      <c r="U829" s="120" t="b">
        <v>0</v>
      </c>
      <c r="V829" s="93"/>
      <c r="W829" s="93"/>
      <c r="X829" s="93"/>
      <c r="Y829" s="93"/>
      <c r="AA829" s="95"/>
      <c r="AB829" s="121"/>
      <c r="AC829" s="29" t="str">
        <f t="shared" si="5"/>
        <v>Sim</v>
      </c>
      <c r="AD829" s="37" t="str">
        <f t="shared" si="1"/>
        <v>Não</v>
      </c>
      <c r="AE829" s="94"/>
      <c r="AF829" s="94"/>
      <c r="AG829" s="95"/>
    </row>
    <row r="830" hidden="1">
      <c r="A830" s="115"/>
      <c r="B830" s="93"/>
      <c r="C830" s="93"/>
      <c r="D830" s="93"/>
      <c r="E830" s="116"/>
      <c r="F830" s="95"/>
      <c r="G830" s="95"/>
      <c r="H830" s="94"/>
      <c r="I830" s="94"/>
      <c r="J830" s="117"/>
      <c r="K830" s="118"/>
      <c r="L830" s="119"/>
      <c r="M830" s="94"/>
      <c r="N830" s="94"/>
      <c r="O830" s="93"/>
      <c r="P830" s="120" t="b">
        <v>0</v>
      </c>
      <c r="Q830" s="120" t="b">
        <v>0</v>
      </c>
      <c r="R830" s="120" t="b">
        <v>0</v>
      </c>
      <c r="S830" s="95"/>
      <c r="U830" s="120" t="b">
        <v>0</v>
      </c>
      <c r="V830" s="93"/>
      <c r="W830" s="93"/>
      <c r="X830" s="93"/>
      <c r="Y830" s="93"/>
      <c r="AA830" s="95"/>
      <c r="AB830" s="121"/>
      <c r="AC830" s="29" t="str">
        <f t="shared" si="5"/>
        <v>Sim</v>
      </c>
      <c r="AD830" s="37" t="str">
        <f t="shared" si="1"/>
        <v>Não</v>
      </c>
      <c r="AE830" s="94"/>
      <c r="AF830" s="94"/>
      <c r="AG830" s="95"/>
    </row>
    <row r="831" hidden="1">
      <c r="A831" s="115"/>
      <c r="B831" s="93"/>
      <c r="C831" s="93"/>
      <c r="D831" s="93"/>
      <c r="E831" s="116"/>
      <c r="F831" s="95"/>
      <c r="G831" s="95"/>
      <c r="H831" s="94"/>
      <c r="I831" s="94"/>
      <c r="J831" s="117"/>
      <c r="K831" s="118"/>
      <c r="L831" s="119"/>
      <c r="M831" s="94"/>
      <c r="N831" s="94"/>
      <c r="O831" s="93"/>
      <c r="P831" s="120" t="b">
        <v>0</v>
      </c>
      <c r="Q831" s="120" t="b">
        <v>0</v>
      </c>
      <c r="R831" s="120" t="b">
        <v>0</v>
      </c>
      <c r="S831" s="95"/>
      <c r="U831" s="120" t="b">
        <v>0</v>
      </c>
      <c r="V831" s="93"/>
      <c r="W831" s="93"/>
      <c r="X831" s="93"/>
      <c r="Y831" s="93"/>
      <c r="AA831" s="95"/>
      <c r="AB831" s="121"/>
      <c r="AC831" s="29" t="str">
        <f t="shared" si="5"/>
        <v>Sim</v>
      </c>
      <c r="AD831" s="37" t="str">
        <f t="shared" si="1"/>
        <v>Não</v>
      </c>
      <c r="AE831" s="94"/>
      <c r="AF831" s="94"/>
      <c r="AG831" s="95"/>
    </row>
    <row r="832" hidden="1">
      <c r="A832" s="115"/>
      <c r="B832" s="93"/>
      <c r="C832" s="93"/>
      <c r="D832" s="93"/>
      <c r="E832" s="116"/>
      <c r="F832" s="95"/>
      <c r="G832" s="95"/>
      <c r="H832" s="94"/>
      <c r="I832" s="94"/>
      <c r="J832" s="117"/>
      <c r="K832" s="118"/>
      <c r="L832" s="119"/>
      <c r="M832" s="94"/>
      <c r="N832" s="94"/>
      <c r="O832" s="93"/>
      <c r="P832" s="120" t="b">
        <v>0</v>
      </c>
      <c r="Q832" s="120" t="b">
        <v>0</v>
      </c>
      <c r="R832" s="120" t="b">
        <v>0</v>
      </c>
      <c r="S832" s="95"/>
      <c r="U832" s="120" t="b">
        <v>0</v>
      </c>
      <c r="V832" s="93"/>
      <c r="W832" s="93"/>
      <c r="X832" s="93"/>
      <c r="Y832" s="93"/>
      <c r="AA832" s="95"/>
      <c r="AB832" s="121"/>
      <c r="AC832" s="29" t="str">
        <f t="shared" si="5"/>
        <v>Sim</v>
      </c>
      <c r="AD832" s="37" t="str">
        <f t="shared" si="1"/>
        <v>Não</v>
      </c>
      <c r="AE832" s="94"/>
      <c r="AF832" s="94"/>
      <c r="AG832" s="95"/>
    </row>
    <row r="833" hidden="1">
      <c r="A833" s="115"/>
      <c r="B833" s="93"/>
      <c r="C833" s="93"/>
      <c r="D833" s="93"/>
      <c r="E833" s="116"/>
      <c r="F833" s="95"/>
      <c r="G833" s="95"/>
      <c r="H833" s="94"/>
      <c r="I833" s="94"/>
      <c r="J833" s="117"/>
      <c r="K833" s="118"/>
      <c r="L833" s="119"/>
      <c r="M833" s="94"/>
      <c r="N833" s="94"/>
      <c r="O833" s="93"/>
      <c r="P833" s="120" t="b">
        <v>0</v>
      </c>
      <c r="Q833" s="120" t="b">
        <v>0</v>
      </c>
      <c r="R833" s="120" t="b">
        <v>0</v>
      </c>
      <c r="S833" s="95"/>
      <c r="U833" s="120" t="b">
        <v>0</v>
      </c>
      <c r="V833" s="93"/>
      <c r="W833" s="93"/>
      <c r="X833" s="93"/>
      <c r="Y833" s="93"/>
      <c r="AA833" s="95"/>
      <c r="AB833" s="121"/>
      <c r="AC833" s="29" t="str">
        <f t="shared" si="5"/>
        <v>Sim</v>
      </c>
      <c r="AD833" s="37" t="str">
        <f t="shared" si="1"/>
        <v>Não</v>
      </c>
      <c r="AE833" s="94"/>
      <c r="AF833" s="94"/>
      <c r="AG833" s="95"/>
    </row>
    <row r="834" hidden="1">
      <c r="A834" s="115"/>
      <c r="B834" s="93"/>
      <c r="C834" s="93"/>
      <c r="D834" s="93"/>
      <c r="E834" s="116"/>
      <c r="F834" s="95"/>
      <c r="G834" s="95"/>
      <c r="H834" s="94"/>
      <c r="I834" s="94"/>
      <c r="J834" s="117"/>
      <c r="K834" s="118"/>
      <c r="L834" s="119"/>
      <c r="M834" s="94"/>
      <c r="N834" s="94"/>
      <c r="O834" s="93"/>
      <c r="P834" s="120" t="b">
        <v>0</v>
      </c>
      <c r="Q834" s="120" t="b">
        <v>0</v>
      </c>
      <c r="R834" s="120" t="b">
        <v>0</v>
      </c>
      <c r="S834" s="95"/>
      <c r="U834" s="120" t="b">
        <v>0</v>
      </c>
      <c r="V834" s="93"/>
      <c r="W834" s="93"/>
      <c r="X834" s="93"/>
      <c r="Y834" s="93"/>
      <c r="AA834" s="95"/>
      <c r="AB834" s="121"/>
      <c r="AC834" s="29" t="str">
        <f t="shared" si="5"/>
        <v>Sim</v>
      </c>
      <c r="AD834" s="37" t="str">
        <f t="shared" si="1"/>
        <v>Não</v>
      </c>
      <c r="AE834" s="94"/>
      <c r="AF834" s="94"/>
      <c r="AG834" s="95"/>
    </row>
    <row r="835" hidden="1">
      <c r="A835" s="115"/>
      <c r="B835" s="93"/>
      <c r="C835" s="93"/>
      <c r="D835" s="93"/>
      <c r="E835" s="116"/>
      <c r="F835" s="95"/>
      <c r="G835" s="95"/>
      <c r="H835" s="94"/>
      <c r="I835" s="94"/>
      <c r="J835" s="117"/>
      <c r="K835" s="118"/>
      <c r="L835" s="119"/>
      <c r="M835" s="94"/>
      <c r="N835" s="94"/>
      <c r="O835" s="93"/>
      <c r="P835" s="120" t="b">
        <v>0</v>
      </c>
      <c r="Q835" s="120" t="b">
        <v>0</v>
      </c>
      <c r="R835" s="120" t="b">
        <v>0</v>
      </c>
      <c r="S835" s="95"/>
      <c r="U835" s="120" t="b">
        <v>0</v>
      </c>
      <c r="V835" s="93"/>
      <c r="W835" s="93"/>
      <c r="X835" s="93"/>
      <c r="Y835" s="93"/>
      <c r="AA835" s="95"/>
      <c r="AB835" s="121"/>
      <c r="AC835" s="29" t="str">
        <f t="shared" si="5"/>
        <v>Sim</v>
      </c>
      <c r="AD835" s="37" t="str">
        <f t="shared" si="1"/>
        <v>Não</v>
      </c>
      <c r="AE835" s="94"/>
      <c r="AF835" s="94"/>
      <c r="AG835" s="95"/>
    </row>
    <row r="836" hidden="1">
      <c r="A836" s="115"/>
      <c r="B836" s="93"/>
      <c r="C836" s="93"/>
      <c r="D836" s="93"/>
      <c r="E836" s="116"/>
      <c r="F836" s="95"/>
      <c r="G836" s="95"/>
      <c r="H836" s="94"/>
      <c r="I836" s="94"/>
      <c r="J836" s="117"/>
      <c r="K836" s="118"/>
      <c r="L836" s="119"/>
      <c r="M836" s="94"/>
      <c r="N836" s="94"/>
      <c r="O836" s="93"/>
      <c r="P836" s="120" t="b">
        <v>0</v>
      </c>
      <c r="Q836" s="120" t="b">
        <v>0</v>
      </c>
      <c r="R836" s="120" t="b">
        <v>0</v>
      </c>
      <c r="S836" s="95"/>
      <c r="U836" s="120" t="b">
        <v>0</v>
      </c>
      <c r="V836" s="93"/>
      <c r="W836" s="93"/>
      <c r="X836" s="93"/>
      <c r="Y836" s="93"/>
      <c r="AA836" s="95"/>
      <c r="AB836" s="121"/>
      <c r="AC836" s="29" t="str">
        <f t="shared" si="5"/>
        <v>Sim</v>
      </c>
      <c r="AD836" s="37" t="str">
        <f t="shared" si="1"/>
        <v>Não</v>
      </c>
      <c r="AE836" s="94"/>
      <c r="AF836" s="94"/>
      <c r="AG836" s="95"/>
    </row>
    <row r="837" hidden="1">
      <c r="A837" s="115"/>
      <c r="B837" s="93"/>
      <c r="C837" s="93"/>
      <c r="D837" s="93"/>
      <c r="E837" s="116"/>
      <c r="F837" s="95"/>
      <c r="G837" s="95"/>
      <c r="H837" s="94"/>
      <c r="I837" s="94"/>
      <c r="J837" s="117"/>
      <c r="K837" s="118"/>
      <c r="L837" s="119"/>
      <c r="M837" s="94"/>
      <c r="N837" s="94"/>
      <c r="O837" s="93"/>
      <c r="P837" s="120" t="b">
        <v>0</v>
      </c>
      <c r="Q837" s="120" t="b">
        <v>0</v>
      </c>
      <c r="R837" s="120" t="b">
        <v>0</v>
      </c>
      <c r="S837" s="95"/>
      <c r="U837" s="120" t="b">
        <v>0</v>
      </c>
      <c r="V837" s="93"/>
      <c r="W837" s="93"/>
      <c r="X837" s="93"/>
      <c r="Y837" s="93"/>
      <c r="AA837" s="95"/>
      <c r="AB837" s="121"/>
      <c r="AC837" s="29" t="str">
        <f t="shared" si="5"/>
        <v>Sim</v>
      </c>
      <c r="AD837" s="37" t="str">
        <f t="shared" si="1"/>
        <v>Não</v>
      </c>
      <c r="AE837" s="94"/>
      <c r="AF837" s="94"/>
      <c r="AG837" s="95"/>
    </row>
    <row r="838" hidden="1">
      <c r="A838" s="115"/>
      <c r="B838" s="93"/>
      <c r="C838" s="93"/>
      <c r="D838" s="93"/>
      <c r="E838" s="116"/>
      <c r="F838" s="95"/>
      <c r="G838" s="95"/>
      <c r="H838" s="94"/>
      <c r="I838" s="94"/>
      <c r="J838" s="117"/>
      <c r="K838" s="118"/>
      <c r="L838" s="119"/>
      <c r="M838" s="94"/>
      <c r="N838" s="94"/>
      <c r="O838" s="93"/>
      <c r="P838" s="120" t="b">
        <v>0</v>
      </c>
      <c r="Q838" s="120" t="b">
        <v>0</v>
      </c>
      <c r="R838" s="120" t="b">
        <v>0</v>
      </c>
      <c r="S838" s="95"/>
      <c r="U838" s="120" t="b">
        <v>0</v>
      </c>
      <c r="V838" s="93"/>
      <c r="W838" s="93"/>
      <c r="X838" s="93"/>
      <c r="Y838" s="93"/>
      <c r="AA838" s="95"/>
      <c r="AB838" s="121"/>
      <c r="AC838" s="29" t="str">
        <f t="shared" si="5"/>
        <v>Sim</v>
      </c>
      <c r="AD838" s="37" t="str">
        <f t="shared" si="1"/>
        <v>Não</v>
      </c>
      <c r="AE838" s="94"/>
      <c r="AF838" s="94"/>
      <c r="AG838" s="95"/>
    </row>
    <row r="839" hidden="1">
      <c r="A839" s="115"/>
      <c r="B839" s="93"/>
      <c r="C839" s="93"/>
      <c r="D839" s="93"/>
      <c r="E839" s="116"/>
      <c r="F839" s="95"/>
      <c r="G839" s="95"/>
      <c r="H839" s="94"/>
      <c r="I839" s="94"/>
      <c r="J839" s="117"/>
      <c r="K839" s="118"/>
      <c r="L839" s="119"/>
      <c r="M839" s="94"/>
      <c r="N839" s="94"/>
      <c r="O839" s="93"/>
      <c r="P839" s="120" t="b">
        <v>0</v>
      </c>
      <c r="Q839" s="120" t="b">
        <v>0</v>
      </c>
      <c r="R839" s="120" t="b">
        <v>0</v>
      </c>
      <c r="S839" s="95"/>
      <c r="U839" s="120" t="b">
        <v>0</v>
      </c>
      <c r="V839" s="93"/>
      <c r="W839" s="93"/>
      <c r="X839" s="93"/>
      <c r="Y839" s="93"/>
      <c r="AA839" s="95"/>
      <c r="AB839" s="121"/>
      <c r="AC839" s="29" t="str">
        <f t="shared" si="5"/>
        <v>Sim</v>
      </c>
      <c r="AD839" s="37" t="str">
        <f t="shared" si="1"/>
        <v>Não</v>
      </c>
      <c r="AE839" s="94"/>
      <c r="AF839" s="94"/>
      <c r="AG839" s="95"/>
    </row>
    <row r="840" hidden="1">
      <c r="A840" s="115"/>
      <c r="B840" s="93"/>
      <c r="C840" s="93"/>
      <c r="D840" s="93"/>
      <c r="E840" s="116"/>
      <c r="F840" s="95"/>
      <c r="G840" s="95"/>
      <c r="H840" s="94"/>
      <c r="I840" s="94"/>
      <c r="J840" s="117"/>
      <c r="K840" s="118"/>
      <c r="L840" s="119"/>
      <c r="M840" s="94"/>
      <c r="N840" s="94"/>
      <c r="O840" s="93"/>
      <c r="P840" s="120" t="b">
        <v>0</v>
      </c>
      <c r="Q840" s="120" t="b">
        <v>0</v>
      </c>
      <c r="R840" s="120" t="b">
        <v>0</v>
      </c>
      <c r="S840" s="95"/>
      <c r="U840" s="120" t="b">
        <v>0</v>
      </c>
      <c r="V840" s="93"/>
      <c r="W840" s="93"/>
      <c r="X840" s="93"/>
      <c r="Y840" s="93"/>
      <c r="AA840" s="95"/>
      <c r="AB840" s="121"/>
      <c r="AC840" s="29" t="str">
        <f t="shared" si="5"/>
        <v>Sim</v>
      </c>
      <c r="AD840" s="37" t="str">
        <f t="shared" si="1"/>
        <v>Não</v>
      </c>
      <c r="AE840" s="94"/>
      <c r="AF840" s="94"/>
      <c r="AG840" s="95"/>
    </row>
    <row r="841" hidden="1">
      <c r="A841" s="115"/>
      <c r="B841" s="93"/>
      <c r="C841" s="93"/>
      <c r="D841" s="93"/>
      <c r="E841" s="116"/>
      <c r="F841" s="95"/>
      <c r="G841" s="95"/>
      <c r="H841" s="94"/>
      <c r="I841" s="94"/>
      <c r="J841" s="117"/>
      <c r="K841" s="118"/>
      <c r="L841" s="119"/>
      <c r="M841" s="94"/>
      <c r="N841" s="94"/>
      <c r="O841" s="93"/>
      <c r="P841" s="120" t="b">
        <v>0</v>
      </c>
      <c r="Q841" s="120" t="b">
        <v>0</v>
      </c>
      <c r="R841" s="120" t="b">
        <v>0</v>
      </c>
      <c r="S841" s="95"/>
      <c r="U841" s="120" t="b">
        <v>0</v>
      </c>
      <c r="V841" s="93"/>
      <c r="W841" s="93"/>
      <c r="X841" s="93"/>
      <c r="Y841" s="93"/>
      <c r="AA841" s="95"/>
      <c r="AB841" s="121"/>
      <c r="AC841" s="29" t="str">
        <f t="shared" si="5"/>
        <v>Sim</v>
      </c>
      <c r="AD841" s="37" t="str">
        <f t="shared" si="1"/>
        <v>Não</v>
      </c>
      <c r="AE841" s="94"/>
      <c r="AF841" s="94"/>
      <c r="AG841" s="95"/>
    </row>
    <row r="842" hidden="1">
      <c r="A842" s="115"/>
      <c r="B842" s="93"/>
      <c r="C842" s="93"/>
      <c r="D842" s="93"/>
      <c r="E842" s="116"/>
      <c r="F842" s="95"/>
      <c r="G842" s="95"/>
      <c r="H842" s="94"/>
      <c r="I842" s="94"/>
      <c r="J842" s="117"/>
      <c r="K842" s="118"/>
      <c r="L842" s="119"/>
      <c r="M842" s="94"/>
      <c r="N842" s="94"/>
      <c r="O842" s="93"/>
      <c r="P842" s="120" t="b">
        <v>0</v>
      </c>
      <c r="Q842" s="120" t="b">
        <v>0</v>
      </c>
      <c r="R842" s="120" t="b">
        <v>0</v>
      </c>
      <c r="S842" s="95"/>
      <c r="U842" s="120" t="b">
        <v>0</v>
      </c>
      <c r="V842" s="93"/>
      <c r="W842" s="93"/>
      <c r="X842" s="93"/>
      <c r="Y842" s="93"/>
      <c r="AA842" s="95"/>
      <c r="AB842" s="121"/>
      <c r="AC842" s="29" t="str">
        <f t="shared" si="5"/>
        <v>Sim</v>
      </c>
      <c r="AD842" s="37" t="str">
        <f t="shared" si="1"/>
        <v>Não</v>
      </c>
      <c r="AE842" s="94"/>
      <c r="AF842" s="94"/>
      <c r="AG842" s="95"/>
    </row>
    <row r="843" hidden="1">
      <c r="A843" s="115"/>
      <c r="B843" s="93"/>
      <c r="C843" s="93"/>
      <c r="D843" s="93"/>
      <c r="E843" s="116"/>
      <c r="F843" s="95"/>
      <c r="G843" s="95"/>
      <c r="H843" s="94"/>
      <c r="I843" s="94"/>
      <c r="J843" s="117"/>
      <c r="K843" s="118"/>
      <c r="L843" s="119"/>
      <c r="M843" s="94"/>
      <c r="N843" s="94"/>
      <c r="O843" s="93"/>
      <c r="P843" s="120" t="b">
        <v>0</v>
      </c>
      <c r="Q843" s="120" t="b">
        <v>0</v>
      </c>
      <c r="R843" s="120" t="b">
        <v>0</v>
      </c>
      <c r="S843" s="95"/>
      <c r="U843" s="120" t="b">
        <v>0</v>
      </c>
      <c r="V843" s="93"/>
      <c r="W843" s="93"/>
      <c r="X843" s="93"/>
      <c r="Y843" s="93"/>
      <c r="AA843" s="95"/>
      <c r="AB843" s="121"/>
      <c r="AC843" s="29" t="str">
        <f t="shared" si="5"/>
        <v>Sim</v>
      </c>
      <c r="AD843" s="37" t="str">
        <f t="shared" si="1"/>
        <v>Não</v>
      </c>
      <c r="AE843" s="94"/>
      <c r="AF843" s="94"/>
      <c r="AG843" s="95"/>
    </row>
    <row r="844" hidden="1">
      <c r="A844" s="115"/>
      <c r="B844" s="93"/>
      <c r="C844" s="93"/>
      <c r="D844" s="93"/>
      <c r="E844" s="116"/>
      <c r="F844" s="95"/>
      <c r="G844" s="95"/>
      <c r="H844" s="94"/>
      <c r="I844" s="94"/>
      <c r="J844" s="117"/>
      <c r="K844" s="118"/>
      <c r="L844" s="119"/>
      <c r="M844" s="94"/>
      <c r="N844" s="94"/>
      <c r="O844" s="93"/>
      <c r="P844" s="120" t="b">
        <v>0</v>
      </c>
      <c r="Q844" s="120" t="b">
        <v>0</v>
      </c>
      <c r="R844" s="120" t="b">
        <v>0</v>
      </c>
      <c r="S844" s="95"/>
      <c r="U844" s="120" t="b">
        <v>0</v>
      </c>
      <c r="V844" s="93"/>
      <c r="W844" s="93"/>
      <c r="X844" s="93"/>
      <c r="Y844" s="93"/>
      <c r="AA844" s="95"/>
      <c r="AB844" s="121"/>
      <c r="AC844" s="29" t="str">
        <f t="shared" si="5"/>
        <v>Sim</v>
      </c>
      <c r="AD844" s="37" t="str">
        <f t="shared" si="1"/>
        <v>Não</v>
      </c>
      <c r="AE844" s="94"/>
      <c r="AF844" s="94"/>
      <c r="AG844" s="95"/>
    </row>
    <row r="845" hidden="1">
      <c r="A845" s="115"/>
      <c r="B845" s="93"/>
      <c r="C845" s="93"/>
      <c r="D845" s="93"/>
      <c r="E845" s="116"/>
      <c r="F845" s="95"/>
      <c r="G845" s="95"/>
      <c r="H845" s="94"/>
      <c r="I845" s="94"/>
      <c r="J845" s="117"/>
      <c r="K845" s="118"/>
      <c r="L845" s="119"/>
      <c r="M845" s="94"/>
      <c r="N845" s="94"/>
      <c r="O845" s="93"/>
      <c r="P845" s="120" t="b">
        <v>0</v>
      </c>
      <c r="Q845" s="120" t="b">
        <v>0</v>
      </c>
      <c r="R845" s="120" t="b">
        <v>0</v>
      </c>
      <c r="S845" s="95"/>
      <c r="U845" s="120" t="b">
        <v>0</v>
      </c>
      <c r="V845" s="93"/>
      <c r="W845" s="93"/>
      <c r="X845" s="93"/>
      <c r="Y845" s="93"/>
      <c r="AA845" s="95"/>
      <c r="AB845" s="121"/>
      <c r="AC845" s="29" t="str">
        <f t="shared" si="5"/>
        <v>Sim</v>
      </c>
      <c r="AD845" s="37" t="str">
        <f t="shared" si="1"/>
        <v>Não</v>
      </c>
      <c r="AE845" s="94"/>
      <c r="AF845" s="94"/>
      <c r="AG845" s="95"/>
    </row>
    <row r="846" hidden="1">
      <c r="A846" s="115"/>
      <c r="B846" s="93"/>
      <c r="C846" s="93"/>
      <c r="D846" s="93"/>
      <c r="E846" s="116"/>
      <c r="F846" s="95"/>
      <c r="G846" s="95"/>
      <c r="H846" s="94"/>
      <c r="I846" s="94"/>
      <c r="J846" s="117"/>
      <c r="K846" s="118"/>
      <c r="L846" s="119"/>
      <c r="M846" s="94"/>
      <c r="N846" s="94"/>
      <c r="O846" s="93"/>
      <c r="P846" s="120" t="b">
        <v>0</v>
      </c>
      <c r="Q846" s="120" t="b">
        <v>0</v>
      </c>
      <c r="R846" s="120" t="b">
        <v>0</v>
      </c>
      <c r="S846" s="95"/>
      <c r="U846" s="120" t="b">
        <v>0</v>
      </c>
      <c r="V846" s="93"/>
      <c r="W846" s="93"/>
      <c r="X846" s="93"/>
      <c r="Y846" s="93"/>
      <c r="AA846" s="95"/>
      <c r="AB846" s="121"/>
      <c r="AC846" s="29" t="str">
        <f t="shared" si="5"/>
        <v>Sim</v>
      </c>
      <c r="AD846" s="37" t="str">
        <f t="shared" si="1"/>
        <v>Não</v>
      </c>
      <c r="AE846" s="94"/>
      <c r="AF846" s="94"/>
      <c r="AG846" s="95"/>
    </row>
    <row r="847" hidden="1">
      <c r="A847" s="115"/>
      <c r="B847" s="93"/>
      <c r="C847" s="93"/>
      <c r="D847" s="93"/>
      <c r="E847" s="116"/>
      <c r="F847" s="95"/>
      <c r="G847" s="95"/>
      <c r="H847" s="94"/>
      <c r="I847" s="94"/>
      <c r="J847" s="117"/>
      <c r="K847" s="118"/>
      <c r="L847" s="119"/>
      <c r="M847" s="94"/>
      <c r="N847" s="94"/>
      <c r="O847" s="93"/>
      <c r="P847" s="120" t="b">
        <v>0</v>
      </c>
      <c r="Q847" s="120" t="b">
        <v>0</v>
      </c>
      <c r="R847" s="120" t="b">
        <v>0</v>
      </c>
      <c r="S847" s="95"/>
      <c r="U847" s="120" t="b">
        <v>0</v>
      </c>
      <c r="V847" s="93"/>
      <c r="W847" s="93"/>
      <c r="X847" s="93"/>
      <c r="Y847" s="93"/>
      <c r="AA847" s="95"/>
      <c r="AB847" s="121"/>
      <c r="AC847" s="29" t="str">
        <f t="shared" si="5"/>
        <v>Sim</v>
      </c>
      <c r="AD847" s="37" t="str">
        <f t="shared" si="1"/>
        <v>Não</v>
      </c>
      <c r="AE847" s="94"/>
      <c r="AF847" s="94"/>
      <c r="AG847" s="95"/>
    </row>
    <row r="848" hidden="1">
      <c r="A848" s="115"/>
      <c r="B848" s="93"/>
      <c r="C848" s="93"/>
      <c r="D848" s="93"/>
      <c r="E848" s="116"/>
      <c r="F848" s="95"/>
      <c r="G848" s="95"/>
      <c r="H848" s="94"/>
      <c r="I848" s="94"/>
      <c r="J848" s="117"/>
      <c r="K848" s="118"/>
      <c r="L848" s="119"/>
      <c r="M848" s="94"/>
      <c r="N848" s="94"/>
      <c r="O848" s="93"/>
      <c r="P848" s="120" t="b">
        <v>0</v>
      </c>
      <c r="Q848" s="120" t="b">
        <v>0</v>
      </c>
      <c r="R848" s="120" t="b">
        <v>0</v>
      </c>
      <c r="S848" s="95"/>
      <c r="U848" s="120" t="b">
        <v>0</v>
      </c>
      <c r="V848" s="93"/>
      <c r="W848" s="93"/>
      <c r="X848" s="93"/>
      <c r="Y848" s="93"/>
      <c r="AA848" s="95"/>
      <c r="AB848" s="121"/>
      <c r="AC848" s="29" t="str">
        <f t="shared" si="5"/>
        <v>Sim</v>
      </c>
      <c r="AD848" s="37" t="str">
        <f t="shared" si="1"/>
        <v>Não</v>
      </c>
      <c r="AE848" s="94"/>
      <c r="AF848" s="94"/>
      <c r="AG848" s="95"/>
    </row>
    <row r="849" hidden="1">
      <c r="A849" s="115"/>
      <c r="B849" s="93"/>
      <c r="C849" s="93"/>
      <c r="D849" s="93"/>
      <c r="E849" s="116"/>
      <c r="F849" s="95"/>
      <c r="G849" s="95"/>
      <c r="H849" s="94"/>
      <c r="I849" s="94"/>
      <c r="J849" s="117"/>
      <c r="K849" s="118"/>
      <c r="L849" s="119"/>
      <c r="M849" s="94"/>
      <c r="N849" s="94"/>
      <c r="O849" s="93"/>
      <c r="P849" s="120" t="b">
        <v>0</v>
      </c>
      <c r="Q849" s="120" t="b">
        <v>0</v>
      </c>
      <c r="R849" s="120" t="b">
        <v>0</v>
      </c>
      <c r="S849" s="95"/>
      <c r="U849" s="120" t="b">
        <v>0</v>
      </c>
      <c r="V849" s="93"/>
      <c r="W849" s="93"/>
      <c r="X849" s="93"/>
      <c r="Y849" s="93"/>
      <c r="AA849" s="95"/>
      <c r="AB849" s="121"/>
      <c r="AC849" s="29" t="str">
        <f t="shared" si="5"/>
        <v>Sim</v>
      </c>
      <c r="AD849" s="37" t="str">
        <f t="shared" si="1"/>
        <v>Não</v>
      </c>
      <c r="AE849" s="94"/>
      <c r="AF849" s="94"/>
      <c r="AG849" s="95"/>
    </row>
    <row r="850" hidden="1">
      <c r="A850" s="115"/>
      <c r="B850" s="93"/>
      <c r="C850" s="93"/>
      <c r="D850" s="93"/>
      <c r="E850" s="116"/>
      <c r="F850" s="95"/>
      <c r="G850" s="95"/>
      <c r="H850" s="94"/>
      <c r="I850" s="94"/>
      <c r="J850" s="117"/>
      <c r="K850" s="118"/>
      <c r="L850" s="119"/>
      <c r="M850" s="94"/>
      <c r="N850" s="94"/>
      <c r="O850" s="93"/>
      <c r="P850" s="120" t="b">
        <v>0</v>
      </c>
      <c r="Q850" s="120" t="b">
        <v>0</v>
      </c>
      <c r="R850" s="120" t="b">
        <v>0</v>
      </c>
      <c r="S850" s="95"/>
      <c r="U850" s="120" t="b">
        <v>0</v>
      </c>
      <c r="V850" s="93"/>
      <c r="W850" s="93"/>
      <c r="X850" s="93"/>
      <c r="Y850" s="93"/>
      <c r="AA850" s="95"/>
      <c r="AB850" s="121"/>
      <c r="AC850" s="29" t="str">
        <f t="shared" si="5"/>
        <v>Sim</v>
      </c>
      <c r="AD850" s="37" t="str">
        <f t="shared" si="1"/>
        <v>Não</v>
      </c>
      <c r="AE850" s="94"/>
      <c r="AF850" s="94"/>
      <c r="AG850" s="95"/>
    </row>
    <row r="851" hidden="1">
      <c r="A851" s="115"/>
      <c r="B851" s="93"/>
      <c r="C851" s="93"/>
      <c r="D851" s="93"/>
      <c r="E851" s="116"/>
      <c r="F851" s="95"/>
      <c r="G851" s="95"/>
      <c r="H851" s="94"/>
      <c r="I851" s="94"/>
      <c r="J851" s="117"/>
      <c r="K851" s="118"/>
      <c r="L851" s="119"/>
      <c r="M851" s="94"/>
      <c r="N851" s="94"/>
      <c r="O851" s="93"/>
      <c r="P851" s="120" t="b">
        <v>0</v>
      </c>
      <c r="Q851" s="120" t="b">
        <v>0</v>
      </c>
      <c r="R851" s="120" t="b">
        <v>0</v>
      </c>
      <c r="S851" s="95"/>
      <c r="U851" s="120" t="b">
        <v>0</v>
      </c>
      <c r="V851" s="93"/>
      <c r="W851" s="93"/>
      <c r="X851" s="93"/>
      <c r="Y851" s="93"/>
      <c r="AA851" s="95"/>
      <c r="AB851" s="121"/>
      <c r="AC851" s="29" t="str">
        <f t="shared" si="5"/>
        <v>Sim</v>
      </c>
      <c r="AD851" s="37" t="str">
        <f t="shared" si="1"/>
        <v>Não</v>
      </c>
      <c r="AE851" s="94"/>
      <c r="AF851" s="94"/>
      <c r="AG851" s="95"/>
    </row>
    <row r="852" hidden="1">
      <c r="A852" s="115"/>
      <c r="B852" s="93"/>
      <c r="C852" s="93"/>
      <c r="D852" s="93"/>
      <c r="E852" s="116"/>
      <c r="F852" s="95"/>
      <c r="G852" s="95"/>
      <c r="H852" s="94"/>
      <c r="I852" s="94"/>
      <c r="J852" s="117"/>
      <c r="K852" s="118"/>
      <c r="L852" s="119"/>
      <c r="M852" s="94"/>
      <c r="N852" s="94"/>
      <c r="O852" s="93"/>
      <c r="P852" s="120" t="b">
        <v>0</v>
      </c>
      <c r="Q852" s="120" t="b">
        <v>0</v>
      </c>
      <c r="R852" s="120" t="b">
        <v>0</v>
      </c>
      <c r="S852" s="95"/>
      <c r="U852" s="120" t="b">
        <v>0</v>
      </c>
      <c r="V852" s="93"/>
      <c r="W852" s="93"/>
      <c r="X852" s="93"/>
      <c r="Y852" s="93"/>
      <c r="AA852" s="95"/>
      <c r="AB852" s="121"/>
      <c r="AC852" s="29" t="str">
        <f t="shared" si="5"/>
        <v>Sim</v>
      </c>
      <c r="AD852" s="37" t="str">
        <f t="shared" si="1"/>
        <v>Não</v>
      </c>
      <c r="AE852" s="94"/>
      <c r="AF852" s="94"/>
      <c r="AG852" s="95"/>
    </row>
    <row r="853" hidden="1">
      <c r="A853" s="115"/>
      <c r="B853" s="93"/>
      <c r="C853" s="93"/>
      <c r="D853" s="93"/>
      <c r="E853" s="116"/>
      <c r="F853" s="95"/>
      <c r="G853" s="95"/>
      <c r="H853" s="94"/>
      <c r="I853" s="94"/>
      <c r="J853" s="117"/>
      <c r="K853" s="118"/>
      <c r="L853" s="119"/>
      <c r="M853" s="94"/>
      <c r="N853" s="94"/>
      <c r="O853" s="93"/>
      <c r="P853" s="120" t="b">
        <v>0</v>
      </c>
      <c r="Q853" s="120" t="b">
        <v>0</v>
      </c>
      <c r="R853" s="120" t="b">
        <v>0</v>
      </c>
      <c r="S853" s="95"/>
      <c r="U853" s="120" t="b">
        <v>0</v>
      </c>
      <c r="V853" s="93"/>
      <c r="W853" s="93"/>
      <c r="X853" s="93"/>
      <c r="Y853" s="93"/>
      <c r="AA853" s="95"/>
      <c r="AB853" s="121"/>
      <c r="AC853" s="29" t="str">
        <f t="shared" si="5"/>
        <v>Sim</v>
      </c>
      <c r="AD853" s="37" t="str">
        <f t="shared" si="1"/>
        <v>Não</v>
      </c>
      <c r="AE853" s="94"/>
      <c r="AF853" s="94"/>
      <c r="AG853" s="95"/>
    </row>
    <row r="854" hidden="1">
      <c r="A854" s="115"/>
      <c r="B854" s="93"/>
      <c r="C854" s="93"/>
      <c r="D854" s="93"/>
      <c r="E854" s="116"/>
      <c r="F854" s="95"/>
      <c r="G854" s="95"/>
      <c r="H854" s="94"/>
      <c r="I854" s="94"/>
      <c r="J854" s="117"/>
      <c r="K854" s="118"/>
      <c r="L854" s="119"/>
      <c r="M854" s="94"/>
      <c r="N854" s="94"/>
      <c r="O854" s="93"/>
      <c r="P854" s="120" t="b">
        <v>0</v>
      </c>
      <c r="Q854" s="120" t="b">
        <v>0</v>
      </c>
      <c r="R854" s="120" t="b">
        <v>0</v>
      </c>
      <c r="S854" s="95"/>
      <c r="U854" s="120" t="b">
        <v>0</v>
      </c>
      <c r="V854" s="93"/>
      <c r="W854" s="93"/>
      <c r="X854" s="93"/>
      <c r="Y854" s="93"/>
      <c r="AA854" s="95"/>
      <c r="AB854" s="121"/>
      <c r="AC854" s="29" t="str">
        <f t="shared" si="5"/>
        <v>Sim</v>
      </c>
      <c r="AD854" s="37" t="str">
        <f t="shared" si="1"/>
        <v>Não</v>
      </c>
      <c r="AE854" s="94"/>
      <c r="AF854" s="94"/>
      <c r="AG854" s="95"/>
    </row>
    <row r="855" hidden="1">
      <c r="A855" s="115"/>
      <c r="B855" s="93"/>
      <c r="C855" s="93"/>
      <c r="D855" s="93"/>
      <c r="E855" s="116"/>
      <c r="F855" s="95"/>
      <c r="G855" s="95"/>
      <c r="H855" s="94"/>
      <c r="I855" s="94"/>
      <c r="J855" s="117"/>
      <c r="K855" s="118"/>
      <c r="L855" s="119"/>
      <c r="M855" s="94"/>
      <c r="N855" s="94"/>
      <c r="O855" s="93"/>
      <c r="P855" s="120" t="b">
        <v>0</v>
      </c>
      <c r="Q855" s="120" t="b">
        <v>0</v>
      </c>
      <c r="R855" s="120" t="b">
        <v>0</v>
      </c>
      <c r="S855" s="95"/>
      <c r="U855" s="120" t="b">
        <v>0</v>
      </c>
      <c r="V855" s="93"/>
      <c r="W855" s="93"/>
      <c r="X855" s="93"/>
      <c r="Y855" s="93"/>
      <c r="AA855" s="95"/>
      <c r="AB855" s="121"/>
      <c r="AC855" s="29" t="str">
        <f t="shared" si="5"/>
        <v>Sim</v>
      </c>
      <c r="AD855" s="37" t="str">
        <f t="shared" si="1"/>
        <v>Não</v>
      </c>
      <c r="AE855" s="94"/>
      <c r="AF855" s="94"/>
      <c r="AG855" s="95"/>
    </row>
    <row r="856" hidden="1">
      <c r="A856" s="115"/>
      <c r="B856" s="93"/>
      <c r="C856" s="93"/>
      <c r="D856" s="93"/>
      <c r="E856" s="116"/>
      <c r="F856" s="95"/>
      <c r="G856" s="95"/>
      <c r="H856" s="94"/>
      <c r="I856" s="94"/>
      <c r="J856" s="117"/>
      <c r="K856" s="118"/>
      <c r="L856" s="119"/>
      <c r="M856" s="94"/>
      <c r="N856" s="94"/>
      <c r="O856" s="93"/>
      <c r="P856" s="120" t="b">
        <v>0</v>
      </c>
      <c r="Q856" s="120" t="b">
        <v>0</v>
      </c>
      <c r="R856" s="120" t="b">
        <v>0</v>
      </c>
      <c r="S856" s="95"/>
      <c r="U856" s="120" t="b">
        <v>0</v>
      </c>
      <c r="V856" s="93"/>
      <c r="W856" s="93"/>
      <c r="X856" s="93"/>
      <c r="Y856" s="93"/>
      <c r="AA856" s="95"/>
      <c r="AB856" s="121"/>
      <c r="AC856" s="29" t="str">
        <f t="shared" si="5"/>
        <v>Sim</v>
      </c>
      <c r="AD856" s="37" t="str">
        <f t="shared" si="1"/>
        <v>Não</v>
      </c>
      <c r="AE856" s="94"/>
      <c r="AF856" s="94"/>
      <c r="AG856" s="95"/>
    </row>
    <row r="857" hidden="1">
      <c r="A857" s="115"/>
      <c r="B857" s="93"/>
      <c r="C857" s="93"/>
      <c r="D857" s="93"/>
      <c r="E857" s="116"/>
      <c r="F857" s="95"/>
      <c r="G857" s="95"/>
      <c r="H857" s="94"/>
      <c r="I857" s="94"/>
      <c r="J857" s="117"/>
      <c r="K857" s="118"/>
      <c r="L857" s="119"/>
      <c r="M857" s="94"/>
      <c r="N857" s="94"/>
      <c r="O857" s="93"/>
      <c r="P857" s="120" t="b">
        <v>0</v>
      </c>
      <c r="Q857" s="120" t="b">
        <v>0</v>
      </c>
      <c r="R857" s="120" t="b">
        <v>0</v>
      </c>
      <c r="S857" s="95"/>
      <c r="U857" s="120" t="b">
        <v>0</v>
      </c>
      <c r="V857" s="93"/>
      <c r="W857" s="93"/>
      <c r="X857" s="93"/>
      <c r="Y857" s="93"/>
      <c r="AA857" s="95"/>
      <c r="AB857" s="121"/>
      <c r="AC857" s="29" t="str">
        <f t="shared" si="5"/>
        <v>Sim</v>
      </c>
      <c r="AD857" s="37" t="str">
        <f t="shared" si="1"/>
        <v>Não</v>
      </c>
      <c r="AE857" s="94"/>
      <c r="AF857" s="94"/>
      <c r="AG857" s="95"/>
    </row>
    <row r="858" hidden="1">
      <c r="A858" s="115"/>
      <c r="B858" s="93"/>
      <c r="C858" s="93"/>
      <c r="D858" s="93"/>
      <c r="E858" s="116"/>
      <c r="F858" s="95"/>
      <c r="G858" s="95"/>
      <c r="H858" s="94"/>
      <c r="I858" s="94"/>
      <c r="J858" s="117"/>
      <c r="K858" s="118"/>
      <c r="L858" s="119"/>
      <c r="M858" s="94"/>
      <c r="N858" s="94"/>
      <c r="O858" s="93"/>
      <c r="P858" s="120" t="b">
        <v>0</v>
      </c>
      <c r="Q858" s="120" t="b">
        <v>0</v>
      </c>
      <c r="R858" s="120" t="b">
        <v>0</v>
      </c>
      <c r="S858" s="95"/>
      <c r="U858" s="120" t="b">
        <v>0</v>
      </c>
      <c r="V858" s="93"/>
      <c r="W858" s="93"/>
      <c r="X858" s="93"/>
      <c r="Y858" s="93"/>
      <c r="AA858" s="95"/>
      <c r="AB858" s="121"/>
      <c r="AC858" s="29" t="str">
        <f t="shared" si="5"/>
        <v>Sim</v>
      </c>
      <c r="AD858" s="37" t="str">
        <f t="shared" si="1"/>
        <v>Não</v>
      </c>
      <c r="AE858" s="94"/>
      <c r="AF858" s="94"/>
      <c r="AG858" s="95"/>
    </row>
    <row r="859" hidden="1">
      <c r="A859" s="115"/>
      <c r="B859" s="93"/>
      <c r="C859" s="93"/>
      <c r="D859" s="93"/>
      <c r="E859" s="116"/>
      <c r="F859" s="95"/>
      <c r="G859" s="95"/>
      <c r="H859" s="94"/>
      <c r="I859" s="94"/>
      <c r="J859" s="117"/>
      <c r="K859" s="118"/>
      <c r="L859" s="119"/>
      <c r="M859" s="94"/>
      <c r="N859" s="94"/>
      <c r="O859" s="93"/>
      <c r="P859" s="120" t="b">
        <v>0</v>
      </c>
      <c r="Q859" s="120" t="b">
        <v>0</v>
      </c>
      <c r="R859" s="120" t="b">
        <v>0</v>
      </c>
      <c r="S859" s="95"/>
      <c r="U859" s="120" t="b">
        <v>0</v>
      </c>
      <c r="V859" s="93"/>
      <c r="W859" s="93"/>
      <c r="X859" s="93"/>
      <c r="Y859" s="93"/>
      <c r="AA859" s="95"/>
      <c r="AB859" s="121"/>
      <c r="AC859" s="29" t="str">
        <f t="shared" si="5"/>
        <v>Sim</v>
      </c>
      <c r="AD859" s="37" t="str">
        <f t="shared" si="1"/>
        <v>Não</v>
      </c>
      <c r="AE859" s="94"/>
      <c r="AF859" s="94"/>
      <c r="AG859" s="95"/>
    </row>
    <row r="860" hidden="1">
      <c r="A860" s="115"/>
      <c r="B860" s="93"/>
      <c r="C860" s="93"/>
      <c r="D860" s="93"/>
      <c r="E860" s="116"/>
      <c r="F860" s="95"/>
      <c r="G860" s="95"/>
      <c r="H860" s="94"/>
      <c r="I860" s="94"/>
      <c r="J860" s="117"/>
      <c r="K860" s="118"/>
      <c r="L860" s="119"/>
      <c r="M860" s="94"/>
      <c r="N860" s="94"/>
      <c r="O860" s="93"/>
      <c r="P860" s="120" t="b">
        <v>0</v>
      </c>
      <c r="Q860" s="120" t="b">
        <v>0</v>
      </c>
      <c r="R860" s="120" t="b">
        <v>0</v>
      </c>
      <c r="S860" s="95"/>
      <c r="U860" s="120" t="b">
        <v>0</v>
      </c>
      <c r="V860" s="93"/>
      <c r="W860" s="93"/>
      <c r="X860" s="93"/>
      <c r="Y860" s="93"/>
      <c r="AA860" s="95"/>
      <c r="AB860" s="121"/>
      <c r="AC860" s="29" t="str">
        <f t="shared" si="5"/>
        <v>Sim</v>
      </c>
      <c r="AD860" s="37" t="str">
        <f t="shared" si="1"/>
        <v>Não</v>
      </c>
      <c r="AE860" s="94"/>
      <c r="AF860" s="94"/>
      <c r="AG860" s="95"/>
    </row>
    <row r="861" hidden="1">
      <c r="A861" s="115"/>
      <c r="B861" s="93"/>
      <c r="C861" s="93"/>
      <c r="D861" s="93"/>
      <c r="E861" s="116"/>
      <c r="F861" s="95"/>
      <c r="G861" s="95"/>
      <c r="H861" s="94"/>
      <c r="I861" s="94"/>
      <c r="J861" s="117"/>
      <c r="K861" s="118"/>
      <c r="L861" s="119"/>
      <c r="M861" s="94"/>
      <c r="N861" s="94"/>
      <c r="O861" s="93"/>
      <c r="P861" s="120" t="b">
        <v>0</v>
      </c>
      <c r="Q861" s="120" t="b">
        <v>0</v>
      </c>
      <c r="R861" s="120" t="b">
        <v>0</v>
      </c>
      <c r="S861" s="95"/>
      <c r="U861" s="120" t="b">
        <v>0</v>
      </c>
      <c r="V861" s="93"/>
      <c r="W861" s="93"/>
      <c r="X861" s="93"/>
      <c r="Y861" s="93"/>
      <c r="AA861" s="95"/>
      <c r="AB861" s="121"/>
      <c r="AC861" s="29" t="str">
        <f t="shared" si="5"/>
        <v>Sim</v>
      </c>
      <c r="AD861" s="37" t="str">
        <f t="shared" si="1"/>
        <v>Não</v>
      </c>
      <c r="AE861" s="94"/>
      <c r="AF861" s="94"/>
      <c r="AG861" s="95"/>
    </row>
    <row r="862" hidden="1">
      <c r="A862" s="115"/>
      <c r="B862" s="93"/>
      <c r="C862" s="93"/>
      <c r="D862" s="93"/>
      <c r="E862" s="116"/>
      <c r="F862" s="95"/>
      <c r="G862" s="95"/>
      <c r="H862" s="94"/>
      <c r="I862" s="94"/>
      <c r="J862" s="117"/>
      <c r="K862" s="118"/>
      <c r="L862" s="119"/>
      <c r="M862" s="94"/>
      <c r="N862" s="94"/>
      <c r="O862" s="93"/>
      <c r="P862" s="120" t="b">
        <v>0</v>
      </c>
      <c r="Q862" s="120" t="b">
        <v>0</v>
      </c>
      <c r="R862" s="120" t="b">
        <v>0</v>
      </c>
      <c r="S862" s="95"/>
      <c r="U862" s="120" t="b">
        <v>0</v>
      </c>
      <c r="V862" s="93"/>
      <c r="W862" s="93"/>
      <c r="X862" s="93"/>
      <c r="Y862" s="93"/>
      <c r="AA862" s="95"/>
      <c r="AB862" s="121"/>
      <c r="AC862" s="29" t="str">
        <f t="shared" si="5"/>
        <v>Sim</v>
      </c>
      <c r="AD862" s="37" t="str">
        <f t="shared" si="1"/>
        <v>Não</v>
      </c>
      <c r="AE862" s="94"/>
      <c r="AF862" s="94"/>
      <c r="AG862" s="95"/>
    </row>
    <row r="863" hidden="1">
      <c r="A863" s="115"/>
      <c r="B863" s="93"/>
      <c r="C863" s="93"/>
      <c r="D863" s="93"/>
      <c r="E863" s="116"/>
      <c r="F863" s="95"/>
      <c r="G863" s="95"/>
      <c r="H863" s="94"/>
      <c r="I863" s="94"/>
      <c r="J863" s="117"/>
      <c r="K863" s="118"/>
      <c r="L863" s="119"/>
      <c r="M863" s="94"/>
      <c r="N863" s="94"/>
      <c r="O863" s="93"/>
      <c r="P863" s="120" t="b">
        <v>0</v>
      </c>
      <c r="Q863" s="120" t="b">
        <v>0</v>
      </c>
      <c r="R863" s="120" t="b">
        <v>0</v>
      </c>
      <c r="S863" s="95"/>
      <c r="U863" s="120" t="b">
        <v>0</v>
      </c>
      <c r="V863" s="93"/>
      <c r="W863" s="93"/>
      <c r="X863" s="93"/>
      <c r="Y863" s="93"/>
      <c r="AA863" s="95"/>
      <c r="AB863" s="121"/>
      <c r="AC863" s="29" t="str">
        <f t="shared" si="5"/>
        <v>Sim</v>
      </c>
      <c r="AD863" s="37" t="str">
        <f t="shared" si="1"/>
        <v>Não</v>
      </c>
      <c r="AE863" s="94"/>
      <c r="AF863" s="94"/>
      <c r="AG863" s="95"/>
    </row>
    <row r="864" hidden="1">
      <c r="A864" s="115"/>
      <c r="B864" s="93"/>
      <c r="C864" s="93"/>
      <c r="D864" s="93"/>
      <c r="E864" s="116"/>
      <c r="F864" s="95"/>
      <c r="G864" s="95"/>
      <c r="H864" s="94"/>
      <c r="I864" s="94"/>
      <c r="J864" s="117"/>
      <c r="K864" s="118"/>
      <c r="L864" s="119"/>
      <c r="M864" s="94"/>
      <c r="N864" s="94"/>
      <c r="O864" s="93"/>
      <c r="P864" s="120" t="b">
        <v>0</v>
      </c>
      <c r="Q864" s="120" t="b">
        <v>0</v>
      </c>
      <c r="R864" s="120" t="b">
        <v>0</v>
      </c>
      <c r="S864" s="95"/>
      <c r="U864" s="120" t="b">
        <v>0</v>
      </c>
      <c r="V864" s="93"/>
      <c r="W864" s="93"/>
      <c r="X864" s="93"/>
      <c r="Y864" s="93"/>
      <c r="AA864" s="95"/>
      <c r="AB864" s="121"/>
      <c r="AC864" s="29" t="str">
        <f t="shared" si="5"/>
        <v>Sim</v>
      </c>
      <c r="AD864" s="37" t="str">
        <f t="shared" si="1"/>
        <v>Não</v>
      </c>
      <c r="AE864" s="94"/>
      <c r="AF864" s="94"/>
      <c r="AG864" s="95"/>
    </row>
    <row r="865" hidden="1">
      <c r="A865" s="115"/>
      <c r="B865" s="93"/>
      <c r="C865" s="93"/>
      <c r="D865" s="93"/>
      <c r="E865" s="116"/>
      <c r="F865" s="95"/>
      <c r="G865" s="95"/>
      <c r="H865" s="94"/>
      <c r="I865" s="94"/>
      <c r="J865" s="117"/>
      <c r="K865" s="118"/>
      <c r="L865" s="119"/>
      <c r="M865" s="94"/>
      <c r="N865" s="94"/>
      <c r="O865" s="93"/>
      <c r="P865" s="120" t="b">
        <v>0</v>
      </c>
      <c r="Q865" s="120" t="b">
        <v>0</v>
      </c>
      <c r="R865" s="120" t="b">
        <v>0</v>
      </c>
      <c r="S865" s="95"/>
      <c r="U865" s="120" t="b">
        <v>0</v>
      </c>
      <c r="V865" s="93"/>
      <c r="W865" s="93"/>
      <c r="X865" s="93"/>
      <c r="Y865" s="93"/>
      <c r="AA865" s="95"/>
      <c r="AB865" s="121"/>
      <c r="AC865" s="29" t="str">
        <f t="shared" si="5"/>
        <v>Sim</v>
      </c>
      <c r="AD865" s="37" t="str">
        <f t="shared" si="1"/>
        <v>Não</v>
      </c>
      <c r="AE865" s="94"/>
      <c r="AF865" s="94"/>
      <c r="AG865" s="95"/>
    </row>
    <row r="866" hidden="1">
      <c r="A866" s="115"/>
      <c r="B866" s="93"/>
      <c r="C866" s="93"/>
      <c r="D866" s="93"/>
      <c r="E866" s="116"/>
      <c r="F866" s="95"/>
      <c r="G866" s="95"/>
      <c r="H866" s="94"/>
      <c r="I866" s="94"/>
      <c r="J866" s="117"/>
      <c r="K866" s="118"/>
      <c r="L866" s="119"/>
      <c r="M866" s="94"/>
      <c r="N866" s="94"/>
      <c r="O866" s="93"/>
      <c r="P866" s="120" t="b">
        <v>0</v>
      </c>
      <c r="Q866" s="120" t="b">
        <v>0</v>
      </c>
      <c r="R866" s="120" t="b">
        <v>0</v>
      </c>
      <c r="S866" s="95"/>
      <c r="U866" s="120" t="b">
        <v>0</v>
      </c>
      <c r="V866" s="93"/>
      <c r="W866" s="93"/>
      <c r="X866" s="93"/>
      <c r="Y866" s="93"/>
      <c r="AA866" s="95"/>
      <c r="AB866" s="121"/>
      <c r="AC866" s="29" t="str">
        <f t="shared" si="5"/>
        <v>Sim</v>
      </c>
      <c r="AD866" s="37" t="str">
        <f t="shared" si="1"/>
        <v>Não</v>
      </c>
      <c r="AE866" s="94"/>
      <c r="AF866" s="94"/>
      <c r="AG866" s="95"/>
    </row>
    <row r="867" hidden="1">
      <c r="A867" s="115"/>
      <c r="B867" s="93"/>
      <c r="C867" s="93"/>
      <c r="D867" s="93"/>
      <c r="E867" s="116"/>
      <c r="F867" s="95"/>
      <c r="G867" s="95"/>
      <c r="H867" s="94"/>
      <c r="I867" s="94"/>
      <c r="J867" s="117"/>
      <c r="K867" s="118"/>
      <c r="L867" s="119"/>
      <c r="M867" s="94"/>
      <c r="N867" s="94"/>
      <c r="O867" s="93"/>
      <c r="P867" s="120" t="b">
        <v>0</v>
      </c>
      <c r="Q867" s="120" t="b">
        <v>0</v>
      </c>
      <c r="R867" s="120" t="b">
        <v>0</v>
      </c>
      <c r="S867" s="95"/>
      <c r="U867" s="120" t="b">
        <v>0</v>
      </c>
      <c r="V867" s="93"/>
      <c r="W867" s="93"/>
      <c r="X867" s="93"/>
      <c r="Y867" s="93"/>
      <c r="AA867" s="95"/>
      <c r="AB867" s="121"/>
      <c r="AC867" s="29" t="str">
        <f t="shared" si="5"/>
        <v>Sim</v>
      </c>
      <c r="AD867" s="37" t="str">
        <f t="shared" si="1"/>
        <v>Não</v>
      </c>
      <c r="AE867" s="94"/>
      <c r="AF867" s="94"/>
      <c r="AG867" s="95"/>
    </row>
    <row r="868" hidden="1">
      <c r="A868" s="115"/>
      <c r="B868" s="93"/>
      <c r="C868" s="93"/>
      <c r="D868" s="93"/>
      <c r="E868" s="116"/>
      <c r="F868" s="95"/>
      <c r="G868" s="95"/>
      <c r="H868" s="94"/>
      <c r="I868" s="94"/>
      <c r="J868" s="117"/>
      <c r="K868" s="118"/>
      <c r="L868" s="119"/>
      <c r="M868" s="94"/>
      <c r="N868" s="94"/>
      <c r="O868" s="93"/>
      <c r="P868" s="120" t="b">
        <v>0</v>
      </c>
      <c r="Q868" s="120" t="b">
        <v>0</v>
      </c>
      <c r="R868" s="120" t="b">
        <v>0</v>
      </c>
      <c r="S868" s="95"/>
      <c r="U868" s="120" t="b">
        <v>0</v>
      </c>
      <c r="V868" s="93"/>
      <c r="W868" s="93"/>
      <c r="X868" s="93"/>
      <c r="Y868" s="93"/>
      <c r="AA868" s="95"/>
      <c r="AB868" s="121"/>
      <c r="AC868" s="29" t="str">
        <f t="shared" si="5"/>
        <v>Sim</v>
      </c>
      <c r="AD868" s="37" t="str">
        <f t="shared" si="1"/>
        <v>Não</v>
      </c>
      <c r="AE868" s="94"/>
      <c r="AF868" s="94"/>
      <c r="AG868" s="95"/>
    </row>
    <row r="869" hidden="1">
      <c r="A869" s="115"/>
      <c r="B869" s="93"/>
      <c r="C869" s="93"/>
      <c r="D869" s="93"/>
      <c r="E869" s="116"/>
      <c r="F869" s="95"/>
      <c r="G869" s="95"/>
      <c r="H869" s="94"/>
      <c r="I869" s="94"/>
      <c r="J869" s="117"/>
      <c r="K869" s="118"/>
      <c r="L869" s="119"/>
      <c r="M869" s="94"/>
      <c r="N869" s="94"/>
      <c r="O869" s="93"/>
      <c r="P869" s="120" t="b">
        <v>0</v>
      </c>
      <c r="Q869" s="120" t="b">
        <v>0</v>
      </c>
      <c r="R869" s="120" t="b">
        <v>0</v>
      </c>
      <c r="S869" s="95"/>
      <c r="U869" s="120" t="b">
        <v>0</v>
      </c>
      <c r="V869" s="93"/>
      <c r="W869" s="93"/>
      <c r="X869" s="93"/>
      <c r="Y869" s="93"/>
      <c r="AA869" s="95"/>
      <c r="AB869" s="121"/>
      <c r="AC869" s="29" t="str">
        <f t="shared" si="5"/>
        <v>Sim</v>
      </c>
      <c r="AD869" s="37" t="str">
        <f t="shared" si="1"/>
        <v>Não</v>
      </c>
      <c r="AE869" s="94"/>
      <c r="AF869" s="94"/>
      <c r="AG869" s="95"/>
    </row>
    <row r="870" hidden="1">
      <c r="A870" s="115"/>
      <c r="B870" s="93"/>
      <c r="C870" s="93"/>
      <c r="D870" s="93"/>
      <c r="E870" s="116"/>
      <c r="F870" s="95"/>
      <c r="G870" s="95"/>
      <c r="H870" s="94"/>
      <c r="I870" s="94"/>
      <c r="J870" s="117"/>
      <c r="K870" s="118"/>
      <c r="L870" s="119"/>
      <c r="M870" s="94"/>
      <c r="N870" s="94"/>
      <c r="O870" s="93"/>
      <c r="P870" s="120" t="b">
        <v>0</v>
      </c>
      <c r="Q870" s="120" t="b">
        <v>0</v>
      </c>
      <c r="R870" s="120" t="b">
        <v>0</v>
      </c>
      <c r="S870" s="95"/>
      <c r="U870" s="120" t="b">
        <v>0</v>
      </c>
      <c r="V870" s="93"/>
      <c r="W870" s="93"/>
      <c r="X870" s="93"/>
      <c r="Y870" s="93"/>
      <c r="AA870" s="95"/>
      <c r="AB870" s="121"/>
      <c r="AC870" s="29" t="str">
        <f t="shared" si="5"/>
        <v>Sim</v>
      </c>
      <c r="AD870" s="37" t="str">
        <f t="shared" si="1"/>
        <v>Não</v>
      </c>
      <c r="AE870" s="94"/>
      <c r="AF870" s="94"/>
      <c r="AG870" s="95"/>
    </row>
    <row r="871" hidden="1">
      <c r="A871" s="115"/>
      <c r="B871" s="93"/>
      <c r="C871" s="93"/>
      <c r="D871" s="93"/>
      <c r="E871" s="116"/>
      <c r="F871" s="95"/>
      <c r="G871" s="95"/>
      <c r="H871" s="94"/>
      <c r="I871" s="94"/>
      <c r="J871" s="117"/>
      <c r="K871" s="118"/>
      <c r="L871" s="119"/>
      <c r="M871" s="94"/>
      <c r="N871" s="94"/>
      <c r="O871" s="93"/>
      <c r="P871" s="120" t="b">
        <v>0</v>
      </c>
      <c r="Q871" s="120" t="b">
        <v>0</v>
      </c>
      <c r="R871" s="120" t="b">
        <v>0</v>
      </c>
      <c r="S871" s="95"/>
      <c r="U871" s="120" t="b">
        <v>0</v>
      </c>
      <c r="V871" s="93"/>
      <c r="W871" s="93"/>
      <c r="X871" s="93"/>
      <c r="Y871" s="93"/>
      <c r="AA871" s="95"/>
      <c r="AB871" s="121"/>
      <c r="AC871" s="29" t="str">
        <f t="shared" si="5"/>
        <v>Sim</v>
      </c>
      <c r="AD871" s="37" t="str">
        <f t="shared" si="1"/>
        <v>Não</v>
      </c>
      <c r="AE871" s="94"/>
      <c r="AF871" s="94"/>
      <c r="AG871" s="95"/>
    </row>
    <row r="872" hidden="1">
      <c r="A872" s="115"/>
      <c r="B872" s="93"/>
      <c r="C872" s="93"/>
      <c r="D872" s="93"/>
      <c r="E872" s="116"/>
      <c r="F872" s="95"/>
      <c r="G872" s="95"/>
      <c r="H872" s="94"/>
      <c r="I872" s="94"/>
      <c r="J872" s="117"/>
      <c r="K872" s="118"/>
      <c r="L872" s="119"/>
      <c r="M872" s="94"/>
      <c r="N872" s="94"/>
      <c r="O872" s="93"/>
      <c r="P872" s="120" t="b">
        <v>0</v>
      </c>
      <c r="Q872" s="120" t="b">
        <v>0</v>
      </c>
      <c r="R872" s="120" t="b">
        <v>0</v>
      </c>
      <c r="S872" s="95"/>
      <c r="U872" s="120" t="b">
        <v>0</v>
      </c>
      <c r="V872" s="93"/>
      <c r="W872" s="93"/>
      <c r="X872" s="93"/>
      <c r="Y872" s="93"/>
      <c r="AA872" s="95"/>
      <c r="AB872" s="121"/>
      <c r="AC872" s="29" t="str">
        <f t="shared" si="5"/>
        <v>Sim</v>
      </c>
      <c r="AD872" s="37" t="str">
        <f t="shared" si="1"/>
        <v>Não</v>
      </c>
      <c r="AE872" s="94"/>
      <c r="AF872" s="94"/>
      <c r="AG872" s="95"/>
    </row>
    <row r="873" hidden="1">
      <c r="A873" s="115"/>
      <c r="B873" s="93"/>
      <c r="C873" s="93"/>
      <c r="D873" s="93"/>
      <c r="E873" s="116"/>
      <c r="F873" s="95"/>
      <c r="G873" s="95"/>
      <c r="H873" s="94"/>
      <c r="I873" s="94"/>
      <c r="J873" s="117"/>
      <c r="K873" s="118"/>
      <c r="L873" s="119"/>
      <c r="M873" s="94"/>
      <c r="N873" s="94"/>
      <c r="O873" s="93"/>
      <c r="P873" s="120" t="b">
        <v>0</v>
      </c>
      <c r="Q873" s="120" t="b">
        <v>0</v>
      </c>
      <c r="R873" s="120" t="b">
        <v>0</v>
      </c>
      <c r="S873" s="95"/>
      <c r="U873" s="120" t="b">
        <v>0</v>
      </c>
      <c r="V873" s="93"/>
      <c r="W873" s="93"/>
      <c r="X873" s="93"/>
      <c r="Y873" s="93"/>
      <c r="AA873" s="95"/>
      <c r="AB873" s="121"/>
      <c r="AC873" s="29" t="str">
        <f t="shared" si="5"/>
        <v>Sim</v>
      </c>
      <c r="AD873" s="37" t="str">
        <f t="shared" si="1"/>
        <v>Não</v>
      </c>
      <c r="AE873" s="94"/>
      <c r="AF873" s="94"/>
      <c r="AG873" s="95"/>
    </row>
    <row r="874" hidden="1">
      <c r="A874" s="115"/>
      <c r="B874" s="93"/>
      <c r="C874" s="93"/>
      <c r="D874" s="93"/>
      <c r="E874" s="116"/>
      <c r="F874" s="95"/>
      <c r="G874" s="95"/>
      <c r="H874" s="94"/>
      <c r="I874" s="94"/>
      <c r="J874" s="117"/>
      <c r="K874" s="118"/>
      <c r="L874" s="119"/>
      <c r="M874" s="94"/>
      <c r="N874" s="94"/>
      <c r="O874" s="93"/>
      <c r="P874" s="120" t="b">
        <v>0</v>
      </c>
      <c r="Q874" s="120" t="b">
        <v>0</v>
      </c>
      <c r="R874" s="120" t="b">
        <v>0</v>
      </c>
      <c r="S874" s="95"/>
      <c r="U874" s="120" t="b">
        <v>0</v>
      </c>
      <c r="V874" s="93"/>
      <c r="W874" s="93"/>
      <c r="X874" s="93"/>
      <c r="Y874" s="93"/>
      <c r="AA874" s="95"/>
      <c r="AB874" s="121"/>
      <c r="AC874" s="29" t="str">
        <f t="shared" si="5"/>
        <v>Sim</v>
      </c>
      <c r="AD874" s="37" t="str">
        <f t="shared" si="1"/>
        <v>Não</v>
      </c>
      <c r="AE874" s="94"/>
      <c r="AF874" s="94"/>
      <c r="AG874" s="95"/>
    </row>
    <row r="875" hidden="1">
      <c r="A875" s="115"/>
      <c r="B875" s="93"/>
      <c r="C875" s="93"/>
      <c r="D875" s="93"/>
      <c r="E875" s="116"/>
      <c r="F875" s="95"/>
      <c r="G875" s="95"/>
      <c r="H875" s="94"/>
      <c r="I875" s="94"/>
      <c r="J875" s="117"/>
      <c r="K875" s="118"/>
      <c r="L875" s="119"/>
      <c r="M875" s="94"/>
      <c r="N875" s="94"/>
      <c r="O875" s="93"/>
      <c r="P875" s="120" t="b">
        <v>0</v>
      </c>
      <c r="Q875" s="120" t="b">
        <v>0</v>
      </c>
      <c r="R875" s="120" t="b">
        <v>0</v>
      </c>
      <c r="S875" s="95"/>
      <c r="U875" s="120" t="b">
        <v>0</v>
      </c>
      <c r="V875" s="93"/>
      <c r="W875" s="93"/>
      <c r="X875" s="93"/>
      <c r="Y875" s="93"/>
      <c r="AA875" s="95"/>
      <c r="AB875" s="121"/>
      <c r="AC875" s="29" t="str">
        <f t="shared" si="5"/>
        <v>Sim</v>
      </c>
      <c r="AD875" s="37" t="str">
        <f t="shared" si="1"/>
        <v>Não</v>
      </c>
      <c r="AE875" s="94"/>
      <c r="AF875" s="94"/>
      <c r="AG875" s="95"/>
    </row>
    <row r="876" hidden="1">
      <c r="A876" s="115"/>
      <c r="B876" s="93"/>
      <c r="C876" s="93"/>
      <c r="D876" s="93"/>
      <c r="E876" s="116"/>
      <c r="F876" s="95"/>
      <c r="G876" s="95"/>
      <c r="H876" s="94"/>
      <c r="I876" s="94"/>
      <c r="J876" s="117"/>
      <c r="K876" s="118"/>
      <c r="L876" s="119"/>
      <c r="M876" s="94"/>
      <c r="N876" s="94"/>
      <c r="O876" s="93"/>
      <c r="P876" s="120" t="b">
        <v>0</v>
      </c>
      <c r="Q876" s="120" t="b">
        <v>0</v>
      </c>
      <c r="R876" s="120" t="b">
        <v>0</v>
      </c>
      <c r="S876" s="95"/>
      <c r="U876" s="120" t="b">
        <v>0</v>
      </c>
      <c r="V876" s="93"/>
      <c r="W876" s="93"/>
      <c r="X876" s="93"/>
      <c r="Y876" s="93"/>
      <c r="AA876" s="95"/>
      <c r="AB876" s="121"/>
      <c r="AC876" s="29" t="str">
        <f t="shared" si="5"/>
        <v>Sim</v>
      </c>
      <c r="AD876" s="37" t="str">
        <f t="shared" si="1"/>
        <v>Não</v>
      </c>
      <c r="AE876" s="94"/>
      <c r="AF876" s="94"/>
      <c r="AG876" s="95"/>
    </row>
    <row r="877" hidden="1">
      <c r="A877" s="115"/>
      <c r="B877" s="93"/>
      <c r="C877" s="93"/>
      <c r="D877" s="93"/>
      <c r="E877" s="116"/>
      <c r="F877" s="95"/>
      <c r="G877" s="95"/>
      <c r="H877" s="94"/>
      <c r="I877" s="94"/>
      <c r="J877" s="117"/>
      <c r="K877" s="118"/>
      <c r="L877" s="119"/>
      <c r="M877" s="94"/>
      <c r="N877" s="94"/>
      <c r="O877" s="93"/>
      <c r="P877" s="120" t="b">
        <v>0</v>
      </c>
      <c r="Q877" s="120" t="b">
        <v>0</v>
      </c>
      <c r="R877" s="120" t="b">
        <v>0</v>
      </c>
      <c r="S877" s="95"/>
      <c r="U877" s="120" t="b">
        <v>0</v>
      </c>
      <c r="V877" s="93"/>
      <c r="W877" s="93"/>
      <c r="X877" s="93"/>
      <c r="Y877" s="93"/>
      <c r="AA877" s="95"/>
      <c r="AB877" s="121"/>
      <c r="AC877" s="29" t="str">
        <f t="shared" si="5"/>
        <v>Sim</v>
      </c>
      <c r="AD877" s="37" t="str">
        <f t="shared" si="1"/>
        <v>Não</v>
      </c>
      <c r="AE877" s="94"/>
      <c r="AF877" s="94"/>
      <c r="AG877" s="95"/>
    </row>
    <row r="878" hidden="1">
      <c r="A878" s="115"/>
      <c r="B878" s="93"/>
      <c r="C878" s="93"/>
      <c r="D878" s="93"/>
      <c r="E878" s="116"/>
      <c r="F878" s="95"/>
      <c r="G878" s="95"/>
      <c r="H878" s="94"/>
      <c r="I878" s="94"/>
      <c r="J878" s="117"/>
      <c r="K878" s="118"/>
      <c r="L878" s="119"/>
      <c r="M878" s="94"/>
      <c r="N878" s="94"/>
      <c r="O878" s="93"/>
      <c r="P878" s="120" t="b">
        <v>0</v>
      </c>
      <c r="Q878" s="120" t="b">
        <v>0</v>
      </c>
      <c r="R878" s="120" t="b">
        <v>0</v>
      </c>
      <c r="S878" s="95"/>
      <c r="U878" s="120" t="b">
        <v>0</v>
      </c>
      <c r="V878" s="93"/>
      <c r="W878" s="93"/>
      <c r="X878" s="93"/>
      <c r="Y878" s="93"/>
      <c r="AA878" s="95"/>
      <c r="AB878" s="121"/>
      <c r="AC878" s="29" t="str">
        <f t="shared" si="5"/>
        <v>Sim</v>
      </c>
      <c r="AD878" s="37" t="str">
        <f t="shared" si="1"/>
        <v>Não</v>
      </c>
      <c r="AE878" s="94"/>
      <c r="AF878" s="94"/>
      <c r="AG878" s="95"/>
    </row>
    <row r="879" hidden="1">
      <c r="A879" s="115"/>
      <c r="B879" s="93"/>
      <c r="C879" s="93"/>
      <c r="D879" s="93"/>
      <c r="E879" s="116"/>
      <c r="F879" s="95"/>
      <c r="G879" s="95"/>
      <c r="H879" s="94"/>
      <c r="I879" s="94"/>
      <c r="J879" s="117"/>
      <c r="K879" s="118"/>
      <c r="L879" s="119"/>
      <c r="M879" s="94"/>
      <c r="N879" s="94"/>
      <c r="O879" s="93"/>
      <c r="P879" s="120" t="b">
        <v>0</v>
      </c>
      <c r="Q879" s="120" t="b">
        <v>0</v>
      </c>
      <c r="R879" s="120" t="b">
        <v>0</v>
      </c>
      <c r="S879" s="95"/>
      <c r="U879" s="120" t="b">
        <v>0</v>
      </c>
      <c r="V879" s="93"/>
      <c r="W879" s="93"/>
      <c r="X879" s="93"/>
      <c r="Y879" s="93"/>
      <c r="AA879" s="95"/>
      <c r="AB879" s="121"/>
      <c r="AC879" s="29" t="str">
        <f t="shared" si="5"/>
        <v>Sim</v>
      </c>
      <c r="AD879" s="37" t="str">
        <f t="shared" si="1"/>
        <v>Não</v>
      </c>
      <c r="AE879" s="94"/>
      <c r="AF879" s="94"/>
      <c r="AG879" s="95"/>
    </row>
    <row r="880" hidden="1">
      <c r="A880" s="115"/>
      <c r="B880" s="93"/>
      <c r="C880" s="93"/>
      <c r="D880" s="93"/>
      <c r="E880" s="116"/>
      <c r="F880" s="95"/>
      <c r="G880" s="95"/>
      <c r="H880" s="94"/>
      <c r="I880" s="94"/>
      <c r="J880" s="117"/>
      <c r="K880" s="118"/>
      <c r="L880" s="119"/>
      <c r="M880" s="94"/>
      <c r="N880" s="94"/>
      <c r="O880" s="93"/>
      <c r="P880" s="120" t="b">
        <v>0</v>
      </c>
      <c r="Q880" s="120" t="b">
        <v>0</v>
      </c>
      <c r="R880" s="120" t="b">
        <v>0</v>
      </c>
      <c r="S880" s="95"/>
      <c r="U880" s="120" t="b">
        <v>0</v>
      </c>
      <c r="V880" s="93"/>
      <c r="W880" s="93"/>
      <c r="X880" s="93"/>
      <c r="Y880" s="93"/>
      <c r="AA880" s="95"/>
      <c r="AB880" s="121"/>
      <c r="AC880" s="29" t="str">
        <f t="shared" si="5"/>
        <v>Sim</v>
      </c>
      <c r="AD880" s="37" t="str">
        <f t="shared" si="1"/>
        <v>Não</v>
      </c>
      <c r="AE880" s="94"/>
      <c r="AF880" s="94"/>
      <c r="AG880" s="95"/>
    </row>
    <row r="881" hidden="1">
      <c r="A881" s="115"/>
      <c r="B881" s="93"/>
      <c r="C881" s="93"/>
      <c r="D881" s="93"/>
      <c r="E881" s="116"/>
      <c r="F881" s="95"/>
      <c r="G881" s="95"/>
      <c r="H881" s="94"/>
      <c r="I881" s="94"/>
      <c r="J881" s="117"/>
      <c r="K881" s="118"/>
      <c r="L881" s="119"/>
      <c r="M881" s="94"/>
      <c r="N881" s="94"/>
      <c r="O881" s="93"/>
      <c r="P881" s="120" t="b">
        <v>0</v>
      </c>
      <c r="Q881" s="120" t="b">
        <v>0</v>
      </c>
      <c r="R881" s="120" t="b">
        <v>0</v>
      </c>
      <c r="S881" s="95"/>
      <c r="U881" s="120" t="b">
        <v>0</v>
      </c>
      <c r="V881" s="93"/>
      <c r="W881" s="93"/>
      <c r="X881" s="93"/>
      <c r="Y881" s="93"/>
      <c r="AA881" s="95"/>
      <c r="AB881" s="121"/>
      <c r="AC881" s="29" t="str">
        <f t="shared" si="5"/>
        <v>Sim</v>
      </c>
      <c r="AD881" s="37" t="str">
        <f t="shared" si="1"/>
        <v>Não</v>
      </c>
      <c r="AE881" s="94"/>
      <c r="AF881" s="94"/>
      <c r="AG881" s="95"/>
    </row>
    <row r="882" hidden="1">
      <c r="A882" s="115"/>
      <c r="B882" s="93"/>
      <c r="C882" s="93"/>
      <c r="D882" s="93"/>
      <c r="E882" s="116"/>
      <c r="F882" s="95"/>
      <c r="G882" s="95"/>
      <c r="H882" s="94"/>
      <c r="I882" s="94"/>
      <c r="J882" s="117"/>
      <c r="K882" s="118"/>
      <c r="L882" s="119"/>
      <c r="M882" s="94"/>
      <c r="N882" s="94"/>
      <c r="O882" s="93"/>
      <c r="P882" s="120" t="b">
        <v>0</v>
      </c>
      <c r="Q882" s="120" t="b">
        <v>0</v>
      </c>
      <c r="R882" s="120" t="b">
        <v>0</v>
      </c>
      <c r="S882" s="95"/>
      <c r="U882" s="120" t="b">
        <v>0</v>
      </c>
      <c r="V882" s="93"/>
      <c r="W882" s="93"/>
      <c r="X882" s="93"/>
      <c r="Y882" s="93"/>
      <c r="AA882" s="95"/>
      <c r="AB882" s="121"/>
      <c r="AC882" s="29" t="str">
        <f t="shared" si="5"/>
        <v>Sim</v>
      </c>
      <c r="AD882" s="37" t="str">
        <f t="shared" si="1"/>
        <v>Não</v>
      </c>
      <c r="AE882" s="94"/>
      <c r="AF882" s="94"/>
      <c r="AG882" s="95"/>
    </row>
    <row r="883" hidden="1">
      <c r="A883" s="115"/>
      <c r="B883" s="93"/>
      <c r="C883" s="93"/>
      <c r="D883" s="93"/>
      <c r="E883" s="116"/>
      <c r="F883" s="95"/>
      <c r="G883" s="95"/>
      <c r="H883" s="94"/>
      <c r="I883" s="94"/>
      <c r="J883" s="117"/>
      <c r="K883" s="118"/>
      <c r="L883" s="119"/>
      <c r="M883" s="94"/>
      <c r="N883" s="94"/>
      <c r="O883" s="93"/>
      <c r="P883" s="120" t="b">
        <v>0</v>
      </c>
      <c r="Q883" s="120" t="b">
        <v>0</v>
      </c>
      <c r="R883" s="120" t="b">
        <v>0</v>
      </c>
      <c r="S883" s="95"/>
      <c r="U883" s="120" t="b">
        <v>0</v>
      </c>
      <c r="V883" s="93"/>
      <c r="W883" s="93"/>
      <c r="X883" s="93"/>
      <c r="Y883" s="93"/>
      <c r="AA883" s="95"/>
      <c r="AB883" s="121"/>
      <c r="AC883" s="29" t="str">
        <f t="shared" si="5"/>
        <v>Sim</v>
      </c>
      <c r="AD883" s="37" t="str">
        <f t="shared" si="1"/>
        <v>Não</v>
      </c>
      <c r="AE883" s="94"/>
      <c r="AF883" s="94"/>
      <c r="AG883" s="95"/>
    </row>
    <row r="884" hidden="1">
      <c r="A884" s="115"/>
      <c r="B884" s="93"/>
      <c r="C884" s="93"/>
      <c r="D884" s="93"/>
      <c r="E884" s="116"/>
      <c r="F884" s="95"/>
      <c r="G884" s="95"/>
      <c r="H884" s="94"/>
      <c r="I884" s="94"/>
      <c r="J884" s="117"/>
      <c r="K884" s="118"/>
      <c r="L884" s="119"/>
      <c r="M884" s="94"/>
      <c r="N884" s="94"/>
      <c r="O884" s="93"/>
      <c r="P884" s="120" t="b">
        <v>0</v>
      </c>
      <c r="Q884" s="120" t="b">
        <v>0</v>
      </c>
      <c r="R884" s="120" t="b">
        <v>0</v>
      </c>
      <c r="S884" s="95"/>
      <c r="U884" s="120" t="b">
        <v>0</v>
      </c>
      <c r="V884" s="93"/>
      <c r="W884" s="93"/>
      <c r="X884" s="93"/>
      <c r="Y884" s="93"/>
      <c r="AA884" s="95"/>
      <c r="AB884" s="121"/>
      <c r="AC884" s="29" t="str">
        <f t="shared" si="5"/>
        <v>Sim</v>
      </c>
      <c r="AD884" s="37" t="str">
        <f t="shared" si="1"/>
        <v>Não</v>
      </c>
      <c r="AE884" s="94"/>
      <c r="AF884" s="94"/>
      <c r="AG884" s="95"/>
    </row>
    <row r="885" hidden="1">
      <c r="A885" s="115"/>
      <c r="B885" s="93"/>
      <c r="C885" s="93"/>
      <c r="D885" s="93"/>
      <c r="E885" s="116"/>
      <c r="F885" s="95"/>
      <c r="G885" s="95"/>
      <c r="H885" s="94"/>
      <c r="I885" s="94"/>
      <c r="J885" s="117"/>
      <c r="K885" s="118"/>
      <c r="L885" s="119"/>
      <c r="M885" s="94"/>
      <c r="N885" s="94"/>
      <c r="O885" s="93"/>
      <c r="P885" s="120" t="b">
        <v>0</v>
      </c>
      <c r="Q885" s="120" t="b">
        <v>0</v>
      </c>
      <c r="R885" s="120" t="b">
        <v>0</v>
      </c>
      <c r="S885" s="95"/>
      <c r="U885" s="120" t="b">
        <v>0</v>
      </c>
      <c r="V885" s="93"/>
      <c r="W885" s="93"/>
      <c r="X885" s="93"/>
      <c r="Y885" s="93"/>
      <c r="AA885" s="95"/>
      <c r="AB885" s="121"/>
      <c r="AC885" s="29" t="str">
        <f t="shared" si="5"/>
        <v>Sim</v>
      </c>
      <c r="AD885" s="37" t="str">
        <f t="shared" si="1"/>
        <v>Não</v>
      </c>
      <c r="AE885" s="94"/>
      <c r="AF885" s="94"/>
      <c r="AG885" s="95"/>
    </row>
    <row r="886" hidden="1">
      <c r="A886" s="115"/>
      <c r="B886" s="93"/>
      <c r="E886" s="116"/>
      <c r="F886" s="95"/>
      <c r="G886" s="95"/>
      <c r="H886" s="94"/>
      <c r="I886" s="94"/>
      <c r="J886" s="117"/>
      <c r="K886" s="118"/>
      <c r="L886" s="119"/>
      <c r="M886" s="94"/>
      <c r="N886" s="94"/>
      <c r="O886" s="93"/>
      <c r="P886" s="120" t="b">
        <v>0</v>
      </c>
      <c r="Q886" s="120" t="b">
        <v>0</v>
      </c>
      <c r="R886" s="120" t="b">
        <v>0</v>
      </c>
      <c r="S886" s="95"/>
      <c r="U886" s="120" t="b">
        <v>0</v>
      </c>
      <c r="V886" s="93"/>
      <c r="W886" s="93"/>
      <c r="X886" s="93"/>
      <c r="Y886" s="93"/>
      <c r="AA886" s="95"/>
      <c r="AB886" s="121"/>
      <c r="AC886" s="29" t="str">
        <f t="shared" si="5"/>
        <v>Sim</v>
      </c>
      <c r="AD886" s="37" t="str">
        <f t="shared" si="1"/>
        <v>Não</v>
      </c>
      <c r="AE886" s="94"/>
      <c r="AF886" s="94"/>
      <c r="AG886" s="95"/>
    </row>
    <row r="887" hidden="1">
      <c r="A887" s="115"/>
      <c r="B887" s="93"/>
      <c r="E887" s="116"/>
      <c r="F887" s="95"/>
      <c r="G887" s="95"/>
      <c r="H887" s="94"/>
      <c r="I887" s="94"/>
      <c r="J887" s="117"/>
      <c r="K887" s="118"/>
      <c r="L887" s="119"/>
      <c r="M887" s="94"/>
      <c r="N887" s="94"/>
      <c r="O887" s="93"/>
      <c r="P887" s="120" t="b">
        <v>0</v>
      </c>
      <c r="Q887" s="120" t="b">
        <v>0</v>
      </c>
      <c r="R887" s="120" t="b">
        <v>0</v>
      </c>
      <c r="S887" s="95"/>
      <c r="U887" s="120" t="b">
        <v>0</v>
      </c>
      <c r="V887" s="93"/>
      <c r="W887" s="93"/>
      <c r="X887" s="93"/>
      <c r="Y887" s="93"/>
      <c r="AA887" s="95"/>
      <c r="AB887" s="121"/>
      <c r="AC887" s="29" t="str">
        <f t="shared" si="5"/>
        <v>Sim</v>
      </c>
      <c r="AD887" s="37" t="str">
        <f t="shared" si="1"/>
        <v>Não</v>
      </c>
      <c r="AE887" s="94"/>
      <c r="AF887" s="94"/>
      <c r="AG887" s="95"/>
    </row>
    <row r="888" hidden="1">
      <c r="A888" s="115"/>
      <c r="B888" s="93"/>
      <c r="E888" s="116"/>
      <c r="F888" s="95"/>
      <c r="G888" s="95"/>
      <c r="H888" s="94"/>
      <c r="I888" s="94"/>
      <c r="J888" s="117"/>
      <c r="K888" s="118"/>
      <c r="L888" s="119"/>
      <c r="M888" s="94"/>
      <c r="N888" s="94"/>
      <c r="O888" s="93"/>
      <c r="P888" s="120" t="b">
        <v>0</v>
      </c>
      <c r="Q888" s="120" t="b">
        <v>0</v>
      </c>
      <c r="R888" s="120" t="b">
        <v>0</v>
      </c>
      <c r="S888" s="95"/>
      <c r="U888" s="120" t="b">
        <v>0</v>
      </c>
      <c r="V888" s="93"/>
      <c r="W888" s="93"/>
      <c r="X888" s="93"/>
      <c r="Y888" s="93"/>
      <c r="AA888" s="95"/>
      <c r="AB888" s="121"/>
      <c r="AC888" s="29" t="str">
        <f t="shared" si="5"/>
        <v>Sim</v>
      </c>
      <c r="AD888" s="37" t="str">
        <f t="shared" si="1"/>
        <v>Não</v>
      </c>
      <c r="AE888" s="94"/>
      <c r="AF888" s="94"/>
      <c r="AG888" s="95"/>
    </row>
    <row r="889" hidden="1">
      <c r="A889" s="115"/>
      <c r="B889" s="93"/>
      <c r="E889" s="116"/>
      <c r="F889" s="95"/>
      <c r="G889" s="95"/>
      <c r="H889" s="94"/>
      <c r="I889" s="94"/>
      <c r="J889" s="117"/>
      <c r="K889" s="118"/>
      <c r="L889" s="119"/>
      <c r="M889" s="94"/>
      <c r="N889" s="94"/>
      <c r="O889" s="93"/>
      <c r="P889" s="120" t="b">
        <v>0</v>
      </c>
      <c r="Q889" s="120" t="b">
        <v>0</v>
      </c>
      <c r="R889" s="120" t="b">
        <v>0</v>
      </c>
      <c r="S889" s="95"/>
      <c r="U889" s="120" t="b">
        <v>0</v>
      </c>
      <c r="V889" s="93"/>
      <c r="W889" s="93"/>
      <c r="X889" s="93"/>
      <c r="Y889" s="93"/>
      <c r="AA889" s="95"/>
      <c r="AB889" s="121"/>
      <c r="AC889" s="29" t="str">
        <f t="shared" si="5"/>
        <v>Sim</v>
      </c>
      <c r="AD889" s="37" t="str">
        <f t="shared" si="1"/>
        <v>Não</v>
      </c>
      <c r="AE889" s="94"/>
      <c r="AF889" s="94"/>
      <c r="AG889" s="95"/>
    </row>
    <row r="890" hidden="1">
      <c r="A890" s="115"/>
      <c r="B890" s="93"/>
      <c r="E890" s="116"/>
      <c r="F890" s="95"/>
      <c r="G890" s="95"/>
      <c r="H890" s="94"/>
      <c r="I890" s="94"/>
      <c r="J890" s="117"/>
      <c r="K890" s="118"/>
      <c r="L890" s="119"/>
      <c r="M890" s="94"/>
      <c r="N890" s="94"/>
      <c r="O890" s="93"/>
      <c r="P890" s="120" t="b">
        <v>0</v>
      </c>
      <c r="Q890" s="120" t="b">
        <v>0</v>
      </c>
      <c r="R890" s="120" t="b">
        <v>0</v>
      </c>
      <c r="S890" s="95"/>
      <c r="U890" s="120" t="b">
        <v>0</v>
      </c>
      <c r="V890" s="93"/>
      <c r="W890" s="93"/>
      <c r="X890" s="93"/>
      <c r="Y890" s="93"/>
      <c r="AA890" s="95"/>
      <c r="AB890" s="121"/>
      <c r="AC890" s="29" t="str">
        <f t="shared" si="5"/>
        <v>Sim</v>
      </c>
      <c r="AD890" s="37" t="str">
        <f t="shared" si="1"/>
        <v>Não</v>
      </c>
      <c r="AE890" s="94"/>
      <c r="AF890" s="94"/>
      <c r="AG890" s="95"/>
    </row>
    <row r="891" hidden="1">
      <c r="A891" s="115"/>
      <c r="B891" s="93"/>
      <c r="E891" s="116"/>
      <c r="F891" s="95"/>
      <c r="G891" s="95"/>
      <c r="H891" s="94"/>
      <c r="I891" s="94"/>
      <c r="J891" s="117"/>
      <c r="K891" s="118"/>
      <c r="L891" s="119"/>
      <c r="M891" s="94"/>
      <c r="N891" s="94"/>
      <c r="O891" s="93"/>
      <c r="P891" s="120" t="b">
        <v>0</v>
      </c>
      <c r="Q891" s="120" t="b">
        <v>0</v>
      </c>
      <c r="R891" s="120" t="b">
        <v>0</v>
      </c>
      <c r="S891" s="95"/>
      <c r="U891" s="120" t="b">
        <v>0</v>
      </c>
      <c r="V891" s="93"/>
      <c r="W891" s="93"/>
      <c r="X891" s="93"/>
      <c r="Y891" s="93"/>
      <c r="AA891" s="95"/>
      <c r="AB891" s="121"/>
      <c r="AC891" s="29" t="str">
        <f t="shared" si="5"/>
        <v>Sim</v>
      </c>
      <c r="AD891" s="37" t="str">
        <f t="shared" si="1"/>
        <v>Não</v>
      </c>
      <c r="AE891" s="94"/>
      <c r="AF891" s="94"/>
      <c r="AG891" s="95"/>
    </row>
    <row r="892" hidden="1">
      <c r="A892" s="115"/>
      <c r="B892" s="93"/>
      <c r="E892" s="116"/>
      <c r="F892" s="95"/>
      <c r="G892" s="95"/>
      <c r="H892" s="94"/>
      <c r="I892" s="94"/>
      <c r="J892" s="117"/>
      <c r="K892" s="118"/>
      <c r="L892" s="119"/>
      <c r="M892" s="94"/>
      <c r="N892" s="94"/>
      <c r="O892" s="93"/>
      <c r="P892" s="120" t="b">
        <v>0</v>
      </c>
      <c r="Q892" s="120" t="b">
        <v>0</v>
      </c>
      <c r="R892" s="120" t="b">
        <v>0</v>
      </c>
      <c r="S892" s="95"/>
      <c r="U892" s="120" t="b">
        <v>0</v>
      </c>
      <c r="V892" s="93"/>
      <c r="W892" s="93"/>
      <c r="X892" s="93"/>
      <c r="Y892" s="93"/>
      <c r="AA892" s="95"/>
      <c r="AB892" s="121"/>
      <c r="AC892" s="29" t="str">
        <f t="shared" si="5"/>
        <v>Sim</v>
      </c>
      <c r="AD892" s="37" t="str">
        <f t="shared" si="1"/>
        <v>Não</v>
      </c>
      <c r="AE892" s="94"/>
      <c r="AF892" s="94"/>
      <c r="AG892" s="95"/>
    </row>
    <row r="893" hidden="1">
      <c r="A893" s="115"/>
      <c r="B893" s="93"/>
      <c r="E893" s="116"/>
      <c r="F893" s="95"/>
      <c r="G893" s="95"/>
      <c r="H893" s="94"/>
      <c r="I893" s="94"/>
      <c r="J893" s="117"/>
      <c r="K893" s="118"/>
      <c r="L893" s="119"/>
      <c r="M893" s="94"/>
      <c r="N893" s="94"/>
      <c r="O893" s="93"/>
      <c r="P893" s="120" t="b">
        <v>0</v>
      </c>
      <c r="Q893" s="120" t="b">
        <v>0</v>
      </c>
      <c r="R893" s="120" t="b">
        <v>0</v>
      </c>
      <c r="S893" s="95"/>
      <c r="U893" s="120" t="b">
        <v>0</v>
      </c>
      <c r="V893" s="93"/>
      <c r="W893" s="93"/>
      <c r="X893" s="93"/>
      <c r="Y893" s="93"/>
      <c r="AA893" s="95"/>
      <c r="AB893" s="121"/>
      <c r="AC893" s="29" t="str">
        <f t="shared" si="5"/>
        <v>Sim</v>
      </c>
      <c r="AD893" s="37" t="str">
        <f t="shared" si="1"/>
        <v>Não</v>
      </c>
      <c r="AE893" s="94"/>
      <c r="AF893" s="94"/>
      <c r="AG893" s="95"/>
    </row>
    <row r="894" hidden="1">
      <c r="A894" s="115"/>
      <c r="B894" s="93"/>
      <c r="E894" s="116"/>
      <c r="F894" s="95"/>
      <c r="G894" s="95"/>
      <c r="H894" s="94"/>
      <c r="I894" s="94"/>
      <c r="J894" s="117"/>
      <c r="K894" s="118"/>
      <c r="L894" s="119"/>
      <c r="M894" s="94"/>
      <c r="N894" s="94"/>
      <c r="O894" s="93"/>
      <c r="P894" s="120" t="b">
        <v>0</v>
      </c>
      <c r="Q894" s="120" t="b">
        <v>0</v>
      </c>
      <c r="R894" s="120" t="b">
        <v>0</v>
      </c>
      <c r="S894" s="95"/>
      <c r="U894" s="120" t="b">
        <v>0</v>
      </c>
      <c r="V894" s="93"/>
      <c r="W894" s="93"/>
      <c r="X894" s="93"/>
      <c r="Y894" s="93"/>
      <c r="AA894" s="95"/>
      <c r="AB894" s="121"/>
      <c r="AC894" s="29" t="str">
        <f t="shared" si="5"/>
        <v>Sim</v>
      </c>
      <c r="AD894" s="37" t="str">
        <f t="shared" si="1"/>
        <v>Não</v>
      </c>
      <c r="AE894" s="94"/>
      <c r="AF894" s="94"/>
      <c r="AG894" s="95"/>
    </row>
    <row r="895" hidden="1">
      <c r="A895" s="115"/>
      <c r="B895" s="93"/>
      <c r="E895" s="116"/>
      <c r="F895" s="95"/>
      <c r="G895" s="95"/>
      <c r="H895" s="94"/>
      <c r="I895" s="94"/>
      <c r="J895" s="117"/>
      <c r="K895" s="118"/>
      <c r="L895" s="119"/>
      <c r="M895" s="94"/>
      <c r="N895" s="94"/>
      <c r="O895" s="93"/>
      <c r="P895" s="120" t="b">
        <v>0</v>
      </c>
      <c r="Q895" s="120" t="b">
        <v>0</v>
      </c>
      <c r="R895" s="120" t="b">
        <v>0</v>
      </c>
      <c r="S895" s="95"/>
      <c r="U895" s="120" t="b">
        <v>0</v>
      </c>
      <c r="V895" s="93"/>
      <c r="W895" s="93"/>
      <c r="X895" s="93"/>
      <c r="Y895" s="93"/>
      <c r="AA895" s="95"/>
      <c r="AB895" s="121"/>
      <c r="AC895" s="29" t="str">
        <f t="shared" si="5"/>
        <v>Sim</v>
      </c>
      <c r="AD895" s="37" t="str">
        <f t="shared" si="1"/>
        <v>Não</v>
      </c>
      <c r="AE895" s="94"/>
      <c r="AF895" s="94"/>
      <c r="AG895" s="95"/>
    </row>
    <row r="896" hidden="1">
      <c r="A896" s="115"/>
      <c r="B896" s="93"/>
      <c r="E896" s="116"/>
      <c r="F896" s="95"/>
      <c r="G896" s="95"/>
      <c r="H896" s="94"/>
      <c r="I896" s="94"/>
      <c r="J896" s="117"/>
      <c r="K896" s="118"/>
      <c r="L896" s="119"/>
      <c r="M896" s="94"/>
      <c r="N896" s="94"/>
      <c r="O896" s="93"/>
      <c r="P896" s="120" t="b">
        <v>0</v>
      </c>
      <c r="Q896" s="120" t="b">
        <v>0</v>
      </c>
      <c r="R896" s="120" t="b">
        <v>0</v>
      </c>
      <c r="S896" s="95"/>
      <c r="U896" s="120" t="b">
        <v>0</v>
      </c>
      <c r="V896" s="93"/>
      <c r="W896" s="93"/>
      <c r="X896" s="93"/>
      <c r="Y896" s="93"/>
      <c r="AA896" s="95"/>
      <c r="AB896" s="121"/>
      <c r="AC896" s="29" t="str">
        <f t="shared" si="5"/>
        <v>Sim</v>
      </c>
      <c r="AD896" s="37" t="str">
        <f t="shared" si="1"/>
        <v>Não</v>
      </c>
      <c r="AE896" s="94"/>
      <c r="AF896" s="94"/>
      <c r="AG896" s="95"/>
    </row>
    <row r="897" hidden="1">
      <c r="A897" s="115"/>
      <c r="B897" s="93"/>
      <c r="E897" s="116"/>
      <c r="F897" s="95"/>
      <c r="G897" s="95"/>
      <c r="H897" s="94"/>
      <c r="I897" s="94"/>
      <c r="J897" s="117"/>
      <c r="K897" s="118"/>
      <c r="L897" s="119"/>
      <c r="M897" s="94"/>
      <c r="N897" s="94"/>
      <c r="O897" s="93"/>
      <c r="P897" s="120" t="b">
        <v>0</v>
      </c>
      <c r="Q897" s="120" t="b">
        <v>0</v>
      </c>
      <c r="R897" s="120" t="b">
        <v>0</v>
      </c>
      <c r="S897" s="95"/>
      <c r="U897" s="120" t="b">
        <v>0</v>
      </c>
      <c r="V897" s="93"/>
      <c r="W897" s="93"/>
      <c r="X897" s="93"/>
      <c r="Y897" s="93"/>
      <c r="AA897" s="95"/>
      <c r="AB897" s="121"/>
      <c r="AC897" s="29" t="str">
        <f t="shared" si="5"/>
        <v>Sim</v>
      </c>
      <c r="AD897" s="37" t="str">
        <f t="shared" si="1"/>
        <v>Não</v>
      </c>
      <c r="AE897" s="94"/>
      <c r="AF897" s="94"/>
      <c r="AG897" s="95"/>
    </row>
    <row r="898" hidden="1">
      <c r="A898" s="115"/>
      <c r="B898" s="93"/>
      <c r="E898" s="116"/>
      <c r="F898" s="95"/>
      <c r="G898" s="95"/>
      <c r="H898" s="94"/>
      <c r="I898" s="94"/>
      <c r="J898" s="117"/>
      <c r="K898" s="118"/>
      <c r="L898" s="119"/>
      <c r="M898" s="94"/>
      <c r="N898" s="94"/>
      <c r="O898" s="93"/>
      <c r="P898" s="120" t="b">
        <v>0</v>
      </c>
      <c r="Q898" s="120" t="b">
        <v>0</v>
      </c>
      <c r="R898" s="120" t="b">
        <v>0</v>
      </c>
      <c r="S898" s="95"/>
      <c r="U898" s="120" t="b">
        <v>0</v>
      </c>
      <c r="V898" s="93"/>
      <c r="W898" s="93"/>
      <c r="X898" s="93"/>
      <c r="Y898" s="93"/>
      <c r="AA898" s="95"/>
      <c r="AB898" s="121"/>
      <c r="AC898" s="29" t="str">
        <f t="shared" si="5"/>
        <v>Sim</v>
      </c>
      <c r="AD898" s="37" t="str">
        <f t="shared" si="1"/>
        <v>Não</v>
      </c>
      <c r="AE898" s="94"/>
      <c r="AF898" s="94"/>
      <c r="AG898" s="95"/>
    </row>
    <row r="899" hidden="1">
      <c r="A899" s="115"/>
      <c r="B899" s="93"/>
      <c r="E899" s="116"/>
      <c r="F899" s="95"/>
      <c r="G899" s="95"/>
      <c r="H899" s="94"/>
      <c r="I899" s="94"/>
      <c r="J899" s="117"/>
      <c r="K899" s="118"/>
      <c r="L899" s="119"/>
      <c r="M899" s="94"/>
      <c r="N899" s="94"/>
      <c r="O899" s="93"/>
      <c r="P899" s="120" t="b">
        <v>0</v>
      </c>
      <c r="Q899" s="120" t="b">
        <v>0</v>
      </c>
      <c r="R899" s="120" t="b">
        <v>0</v>
      </c>
      <c r="S899" s="95"/>
      <c r="U899" s="120" t="b">
        <v>0</v>
      </c>
      <c r="V899" s="93"/>
      <c r="W899" s="93"/>
      <c r="X899" s="93"/>
      <c r="Y899" s="93"/>
      <c r="AA899" s="95"/>
      <c r="AB899" s="121"/>
      <c r="AC899" s="29" t="str">
        <f t="shared" si="5"/>
        <v>Sim</v>
      </c>
      <c r="AD899" s="37" t="str">
        <f t="shared" si="1"/>
        <v>Não</v>
      </c>
      <c r="AE899" s="94"/>
      <c r="AF899" s="94"/>
      <c r="AG899" s="95"/>
    </row>
    <row r="900" hidden="1">
      <c r="A900" s="115"/>
      <c r="B900" s="93"/>
      <c r="E900" s="116"/>
      <c r="F900" s="95"/>
      <c r="G900" s="95"/>
      <c r="H900" s="94"/>
      <c r="I900" s="94"/>
      <c r="J900" s="117"/>
      <c r="K900" s="118"/>
      <c r="L900" s="119"/>
      <c r="M900" s="94"/>
      <c r="N900" s="94"/>
      <c r="O900" s="93"/>
      <c r="P900" s="120" t="b">
        <v>0</v>
      </c>
      <c r="Q900" s="120" t="b">
        <v>0</v>
      </c>
      <c r="R900" s="120" t="b">
        <v>0</v>
      </c>
      <c r="S900" s="95"/>
      <c r="U900" s="120" t="b">
        <v>0</v>
      </c>
      <c r="V900" s="93"/>
      <c r="W900" s="93"/>
      <c r="X900" s="93"/>
      <c r="Y900" s="93"/>
      <c r="AA900" s="95"/>
      <c r="AB900" s="121"/>
      <c r="AC900" s="29" t="str">
        <f t="shared" si="5"/>
        <v>Sim</v>
      </c>
      <c r="AD900" s="37" t="str">
        <f t="shared" si="1"/>
        <v>Não</v>
      </c>
      <c r="AE900" s="94"/>
      <c r="AF900" s="94"/>
      <c r="AG900" s="95"/>
    </row>
    <row r="901" hidden="1">
      <c r="A901" s="115"/>
      <c r="B901" s="93"/>
      <c r="E901" s="116"/>
      <c r="F901" s="95"/>
      <c r="G901" s="95"/>
      <c r="H901" s="94"/>
      <c r="I901" s="94"/>
      <c r="J901" s="117"/>
      <c r="K901" s="118"/>
      <c r="L901" s="119"/>
      <c r="M901" s="94"/>
      <c r="N901" s="94"/>
      <c r="O901" s="93"/>
      <c r="P901" s="120" t="b">
        <v>0</v>
      </c>
      <c r="Q901" s="120" t="b">
        <v>0</v>
      </c>
      <c r="R901" s="120" t="b">
        <v>0</v>
      </c>
      <c r="S901" s="95"/>
      <c r="U901" s="120" t="b">
        <v>0</v>
      </c>
      <c r="V901" s="93"/>
      <c r="W901" s="93"/>
      <c r="X901" s="93"/>
      <c r="Y901" s="93"/>
      <c r="AA901" s="95"/>
      <c r="AB901" s="121"/>
      <c r="AC901" s="29" t="str">
        <f t="shared" si="5"/>
        <v>Sim</v>
      </c>
      <c r="AD901" s="37" t="str">
        <f t="shared" si="1"/>
        <v>Não</v>
      </c>
      <c r="AE901" s="94"/>
      <c r="AF901" s="94"/>
      <c r="AG901" s="95"/>
    </row>
    <row r="902" hidden="1">
      <c r="A902" s="115"/>
      <c r="B902" s="93"/>
      <c r="E902" s="116"/>
      <c r="F902" s="95"/>
      <c r="G902" s="95"/>
      <c r="H902" s="94"/>
      <c r="I902" s="94"/>
      <c r="J902" s="117"/>
      <c r="K902" s="118"/>
      <c r="L902" s="119"/>
      <c r="M902" s="94"/>
      <c r="N902" s="94"/>
      <c r="O902" s="93"/>
      <c r="P902" s="120" t="b">
        <v>0</v>
      </c>
      <c r="Q902" s="120" t="b">
        <v>0</v>
      </c>
      <c r="R902" s="120" t="b">
        <v>0</v>
      </c>
      <c r="S902" s="95"/>
      <c r="U902" s="120" t="b">
        <v>0</v>
      </c>
      <c r="V902" s="93"/>
      <c r="W902" s="93"/>
      <c r="X902" s="93"/>
      <c r="Y902" s="93"/>
      <c r="AA902" s="95"/>
      <c r="AB902" s="121"/>
      <c r="AC902" s="29" t="str">
        <f t="shared" si="5"/>
        <v>Sim</v>
      </c>
      <c r="AD902" s="37" t="str">
        <f t="shared" si="1"/>
        <v>Não</v>
      </c>
      <c r="AE902" s="94"/>
      <c r="AF902" s="94"/>
      <c r="AG902" s="95"/>
    </row>
    <row r="903" hidden="1">
      <c r="A903" s="115"/>
      <c r="B903" s="93"/>
      <c r="E903" s="116"/>
      <c r="F903" s="95"/>
      <c r="G903" s="95"/>
      <c r="H903" s="94"/>
      <c r="I903" s="94"/>
      <c r="J903" s="117"/>
      <c r="K903" s="118"/>
      <c r="L903" s="119"/>
      <c r="M903" s="94"/>
      <c r="N903" s="94"/>
      <c r="O903" s="93"/>
      <c r="P903" s="120" t="b">
        <v>0</v>
      </c>
      <c r="Q903" s="120" t="b">
        <v>0</v>
      </c>
      <c r="R903" s="120" t="b">
        <v>0</v>
      </c>
      <c r="S903" s="95"/>
      <c r="U903" s="120" t="b">
        <v>0</v>
      </c>
      <c r="V903" s="93"/>
      <c r="W903" s="93"/>
      <c r="X903" s="93"/>
      <c r="Y903" s="93"/>
      <c r="AA903" s="95"/>
      <c r="AB903" s="121"/>
      <c r="AC903" s="29" t="str">
        <f t="shared" si="5"/>
        <v>Sim</v>
      </c>
      <c r="AD903" s="37" t="str">
        <f t="shared" si="1"/>
        <v>Não</v>
      </c>
      <c r="AE903" s="94"/>
      <c r="AF903" s="94"/>
      <c r="AG903" s="95"/>
    </row>
    <row r="904" hidden="1">
      <c r="A904" s="115"/>
      <c r="B904" s="93"/>
      <c r="E904" s="116"/>
      <c r="F904" s="95"/>
      <c r="G904" s="95"/>
      <c r="H904" s="94"/>
      <c r="I904" s="94"/>
      <c r="J904" s="117"/>
      <c r="K904" s="118"/>
      <c r="L904" s="119"/>
      <c r="M904" s="94"/>
      <c r="N904" s="94"/>
      <c r="O904" s="93"/>
      <c r="P904" s="120" t="b">
        <v>0</v>
      </c>
      <c r="Q904" s="120" t="b">
        <v>0</v>
      </c>
      <c r="R904" s="120" t="b">
        <v>0</v>
      </c>
      <c r="S904" s="95"/>
      <c r="U904" s="120" t="b">
        <v>0</v>
      </c>
      <c r="V904" s="93"/>
      <c r="W904" s="93"/>
      <c r="X904" s="93"/>
      <c r="Y904" s="93"/>
      <c r="AA904" s="95"/>
      <c r="AB904" s="121"/>
      <c r="AC904" s="29" t="str">
        <f t="shared" si="5"/>
        <v>Sim</v>
      </c>
      <c r="AD904" s="37" t="str">
        <f t="shared" si="1"/>
        <v>Não</v>
      </c>
      <c r="AE904" s="94"/>
      <c r="AF904" s="94"/>
      <c r="AG904" s="95"/>
    </row>
    <row r="905" hidden="1">
      <c r="A905" s="115"/>
      <c r="B905" s="93"/>
      <c r="E905" s="116"/>
      <c r="F905" s="95"/>
      <c r="G905" s="95"/>
      <c r="H905" s="94"/>
      <c r="I905" s="94"/>
      <c r="J905" s="117"/>
      <c r="K905" s="118"/>
      <c r="L905" s="119"/>
      <c r="M905" s="94"/>
      <c r="N905" s="94"/>
      <c r="O905" s="93"/>
      <c r="P905" s="120" t="b">
        <v>0</v>
      </c>
      <c r="Q905" s="120" t="b">
        <v>0</v>
      </c>
      <c r="R905" s="120" t="b">
        <v>0</v>
      </c>
      <c r="S905" s="95"/>
      <c r="U905" s="120" t="b">
        <v>0</v>
      </c>
      <c r="V905" s="93"/>
      <c r="W905" s="93"/>
      <c r="X905" s="93"/>
      <c r="Y905" s="93"/>
      <c r="AA905" s="95"/>
      <c r="AB905" s="121"/>
      <c r="AC905" s="29" t="str">
        <f t="shared" si="5"/>
        <v>Sim</v>
      </c>
      <c r="AD905" s="37" t="str">
        <f t="shared" si="1"/>
        <v>Não</v>
      </c>
      <c r="AE905" s="94"/>
      <c r="AF905" s="94"/>
      <c r="AG905" s="95"/>
    </row>
    <row r="906" hidden="1">
      <c r="A906" s="115"/>
      <c r="B906" s="93"/>
      <c r="E906" s="116"/>
      <c r="F906" s="95"/>
      <c r="G906" s="95"/>
      <c r="H906" s="94"/>
      <c r="I906" s="94"/>
      <c r="J906" s="117"/>
      <c r="K906" s="118"/>
      <c r="L906" s="119"/>
      <c r="M906" s="94"/>
      <c r="N906" s="94"/>
      <c r="O906" s="93"/>
      <c r="P906" s="120" t="b">
        <v>0</v>
      </c>
      <c r="Q906" s="120" t="b">
        <v>0</v>
      </c>
      <c r="R906" s="120" t="b">
        <v>0</v>
      </c>
      <c r="S906" s="95"/>
      <c r="U906" s="120" t="b">
        <v>0</v>
      </c>
      <c r="V906" s="93"/>
      <c r="W906" s="93"/>
      <c r="X906" s="93"/>
      <c r="Y906" s="93"/>
      <c r="AA906" s="95"/>
      <c r="AB906" s="121"/>
      <c r="AC906" s="29" t="str">
        <f t="shared" si="5"/>
        <v>Sim</v>
      </c>
      <c r="AD906" s="37" t="str">
        <f t="shared" si="1"/>
        <v>Não</v>
      </c>
      <c r="AE906" s="94"/>
      <c r="AF906" s="94"/>
      <c r="AG906" s="95"/>
    </row>
    <row r="907" hidden="1">
      <c r="A907" s="115"/>
      <c r="B907" s="93"/>
      <c r="E907" s="116"/>
      <c r="F907" s="95"/>
      <c r="G907" s="95"/>
      <c r="H907" s="94"/>
      <c r="I907" s="94"/>
      <c r="J907" s="117"/>
      <c r="K907" s="118"/>
      <c r="L907" s="119"/>
      <c r="M907" s="94"/>
      <c r="N907" s="94"/>
      <c r="O907" s="93"/>
      <c r="P907" s="120" t="b">
        <v>0</v>
      </c>
      <c r="Q907" s="120" t="b">
        <v>0</v>
      </c>
      <c r="R907" s="120" t="b">
        <v>0</v>
      </c>
      <c r="S907" s="95"/>
      <c r="U907" s="120" t="b">
        <v>0</v>
      </c>
      <c r="V907" s="93"/>
      <c r="W907" s="93"/>
      <c r="X907" s="93"/>
      <c r="Y907" s="93"/>
      <c r="AA907" s="95"/>
      <c r="AB907" s="121"/>
      <c r="AC907" s="29" t="str">
        <f t="shared" si="5"/>
        <v>Sim</v>
      </c>
      <c r="AD907" s="37" t="str">
        <f t="shared" si="1"/>
        <v>Não</v>
      </c>
      <c r="AE907" s="94"/>
      <c r="AF907" s="94"/>
      <c r="AG907" s="95"/>
    </row>
    <row r="908" hidden="1">
      <c r="A908" s="115"/>
      <c r="B908" s="93"/>
      <c r="E908" s="116"/>
      <c r="F908" s="95"/>
      <c r="G908" s="95"/>
      <c r="H908" s="94"/>
      <c r="I908" s="94"/>
      <c r="J908" s="117"/>
      <c r="K908" s="118"/>
      <c r="L908" s="119"/>
      <c r="M908" s="94"/>
      <c r="N908" s="94"/>
      <c r="O908" s="93"/>
      <c r="P908" s="120" t="b">
        <v>0</v>
      </c>
      <c r="Q908" s="120" t="b">
        <v>0</v>
      </c>
      <c r="R908" s="120" t="b">
        <v>0</v>
      </c>
      <c r="S908" s="95"/>
      <c r="U908" s="120" t="b">
        <v>0</v>
      </c>
      <c r="V908" s="93"/>
      <c r="W908" s="93"/>
      <c r="X908" s="93"/>
      <c r="Y908" s="93"/>
      <c r="AA908" s="95"/>
      <c r="AB908" s="121"/>
      <c r="AC908" s="29" t="str">
        <f t="shared" si="5"/>
        <v>Sim</v>
      </c>
      <c r="AD908" s="37" t="str">
        <f t="shared" si="1"/>
        <v>Não</v>
      </c>
      <c r="AE908" s="94"/>
      <c r="AF908" s="94"/>
      <c r="AG908" s="95"/>
    </row>
    <row r="909" hidden="1">
      <c r="A909" s="115"/>
      <c r="B909" s="93"/>
      <c r="E909" s="116"/>
      <c r="F909" s="95"/>
      <c r="G909" s="95"/>
      <c r="H909" s="94"/>
      <c r="I909" s="94"/>
      <c r="J909" s="117"/>
      <c r="K909" s="118"/>
      <c r="L909" s="119"/>
      <c r="M909" s="94"/>
      <c r="N909" s="94"/>
      <c r="O909" s="93"/>
      <c r="P909" s="120" t="b">
        <v>0</v>
      </c>
      <c r="Q909" s="120" t="b">
        <v>0</v>
      </c>
      <c r="R909" s="120" t="b">
        <v>0</v>
      </c>
      <c r="S909" s="95"/>
      <c r="U909" s="120" t="b">
        <v>0</v>
      </c>
      <c r="V909" s="93"/>
      <c r="W909" s="93"/>
      <c r="X909" s="93"/>
      <c r="Y909" s="93"/>
      <c r="AA909" s="95"/>
      <c r="AB909" s="121"/>
      <c r="AC909" s="29" t="str">
        <f t="shared" si="5"/>
        <v>Sim</v>
      </c>
      <c r="AD909" s="37" t="str">
        <f t="shared" si="1"/>
        <v>Não</v>
      </c>
      <c r="AE909" s="94"/>
      <c r="AF909" s="94"/>
      <c r="AG909" s="95"/>
    </row>
    <row r="910" hidden="1">
      <c r="A910" s="115"/>
      <c r="B910" s="93"/>
      <c r="E910" s="116"/>
      <c r="F910" s="95"/>
      <c r="G910" s="95"/>
      <c r="H910" s="94"/>
      <c r="I910" s="94"/>
      <c r="J910" s="117"/>
      <c r="K910" s="118"/>
      <c r="L910" s="119"/>
      <c r="M910" s="94"/>
      <c r="N910" s="94"/>
      <c r="O910" s="93"/>
      <c r="P910" s="120" t="b">
        <v>0</v>
      </c>
      <c r="Q910" s="120" t="b">
        <v>0</v>
      </c>
      <c r="R910" s="120" t="b">
        <v>0</v>
      </c>
      <c r="S910" s="95"/>
      <c r="U910" s="120" t="b">
        <v>0</v>
      </c>
      <c r="V910" s="93"/>
      <c r="W910" s="93"/>
      <c r="X910" s="93"/>
      <c r="Y910" s="93"/>
      <c r="AA910" s="95"/>
      <c r="AB910" s="121"/>
      <c r="AC910" s="29" t="str">
        <f t="shared" si="5"/>
        <v>Sim</v>
      </c>
      <c r="AD910" s="37" t="str">
        <f t="shared" si="1"/>
        <v>Não</v>
      </c>
      <c r="AE910" s="94"/>
      <c r="AF910" s="94"/>
      <c r="AG910" s="95"/>
    </row>
    <row r="911" hidden="1">
      <c r="A911" s="115"/>
      <c r="B911" s="93"/>
      <c r="E911" s="116"/>
      <c r="F911" s="95"/>
      <c r="G911" s="95"/>
      <c r="H911" s="94"/>
      <c r="I911" s="94"/>
      <c r="J911" s="117"/>
      <c r="K911" s="118"/>
      <c r="L911" s="119"/>
      <c r="M911" s="94"/>
      <c r="N911" s="94"/>
      <c r="O911" s="93"/>
      <c r="P911" s="120" t="b">
        <v>0</v>
      </c>
      <c r="Q911" s="120" t="b">
        <v>0</v>
      </c>
      <c r="R911" s="120" t="b">
        <v>0</v>
      </c>
      <c r="S911" s="95"/>
      <c r="U911" s="120" t="b">
        <v>0</v>
      </c>
      <c r="V911" s="93"/>
      <c r="W911" s="93"/>
      <c r="X911" s="93"/>
      <c r="Y911" s="93"/>
      <c r="AA911" s="95"/>
      <c r="AB911" s="121"/>
      <c r="AC911" s="29" t="str">
        <f t="shared" si="5"/>
        <v>Sim</v>
      </c>
      <c r="AD911" s="37" t="str">
        <f t="shared" si="1"/>
        <v>Não</v>
      </c>
      <c r="AE911" s="94"/>
      <c r="AF911" s="94"/>
      <c r="AG911" s="95"/>
    </row>
    <row r="912" hidden="1">
      <c r="A912" s="115"/>
      <c r="B912" s="93"/>
      <c r="E912" s="116"/>
      <c r="F912" s="95"/>
      <c r="G912" s="95"/>
      <c r="H912" s="94"/>
      <c r="I912" s="94"/>
      <c r="J912" s="117"/>
      <c r="K912" s="118"/>
      <c r="L912" s="119"/>
      <c r="M912" s="94"/>
      <c r="N912" s="94"/>
      <c r="O912" s="93"/>
      <c r="P912" s="120" t="b">
        <v>0</v>
      </c>
      <c r="Q912" s="120" t="b">
        <v>0</v>
      </c>
      <c r="R912" s="120" t="b">
        <v>0</v>
      </c>
      <c r="S912" s="95"/>
      <c r="U912" s="120" t="b">
        <v>0</v>
      </c>
      <c r="V912" s="93"/>
      <c r="W912" s="93"/>
      <c r="X912" s="93"/>
      <c r="Y912" s="93"/>
      <c r="AA912" s="95"/>
      <c r="AB912" s="121"/>
      <c r="AC912" s="29" t="str">
        <f t="shared" si="5"/>
        <v>Sim</v>
      </c>
      <c r="AD912" s="37" t="str">
        <f t="shared" si="1"/>
        <v>Não</v>
      </c>
      <c r="AE912" s="94"/>
      <c r="AF912" s="94"/>
      <c r="AG912" s="95"/>
    </row>
    <row r="913" hidden="1">
      <c r="A913" s="115"/>
      <c r="B913" s="93"/>
      <c r="E913" s="116"/>
      <c r="F913" s="95"/>
      <c r="G913" s="95"/>
      <c r="H913" s="94"/>
      <c r="I913" s="94"/>
      <c r="J913" s="117"/>
      <c r="K913" s="118"/>
      <c r="L913" s="119"/>
      <c r="M913" s="94"/>
      <c r="N913" s="94"/>
      <c r="O913" s="93"/>
      <c r="P913" s="120" t="b">
        <v>0</v>
      </c>
      <c r="Q913" s="120" t="b">
        <v>0</v>
      </c>
      <c r="R913" s="120" t="b">
        <v>0</v>
      </c>
      <c r="S913" s="95"/>
      <c r="U913" s="120" t="b">
        <v>0</v>
      </c>
      <c r="V913" s="93"/>
      <c r="W913" s="93"/>
      <c r="X913" s="93"/>
      <c r="Y913" s="93"/>
      <c r="AA913" s="95"/>
      <c r="AB913" s="121"/>
      <c r="AC913" s="29" t="str">
        <f t="shared" si="5"/>
        <v>Sim</v>
      </c>
      <c r="AD913" s="37" t="str">
        <f t="shared" si="1"/>
        <v>Não</v>
      </c>
      <c r="AE913" s="94"/>
      <c r="AF913" s="94"/>
      <c r="AG913" s="95"/>
    </row>
    <row r="914" hidden="1">
      <c r="A914" s="115"/>
      <c r="B914" s="93"/>
      <c r="E914" s="116"/>
      <c r="F914" s="95"/>
      <c r="G914" s="95"/>
      <c r="H914" s="94"/>
      <c r="I914" s="94"/>
      <c r="J914" s="117"/>
      <c r="K914" s="118"/>
      <c r="L914" s="119"/>
      <c r="M914" s="94"/>
      <c r="N914" s="94"/>
      <c r="O914" s="93"/>
      <c r="P914" s="120" t="b">
        <v>0</v>
      </c>
      <c r="Q914" s="120" t="b">
        <v>0</v>
      </c>
      <c r="R914" s="120" t="b">
        <v>0</v>
      </c>
      <c r="S914" s="95"/>
      <c r="U914" s="120" t="b">
        <v>0</v>
      </c>
      <c r="V914" s="93"/>
      <c r="W914" s="93"/>
      <c r="X914" s="93"/>
      <c r="Y914" s="93"/>
      <c r="AA914" s="95"/>
      <c r="AB914" s="121"/>
      <c r="AC914" s="29" t="str">
        <f t="shared" si="5"/>
        <v>Sim</v>
      </c>
      <c r="AD914" s="37" t="str">
        <f t="shared" si="1"/>
        <v>Não</v>
      </c>
      <c r="AE914" s="94"/>
      <c r="AF914" s="94"/>
      <c r="AG914" s="95"/>
    </row>
    <row r="915" hidden="1">
      <c r="A915" s="115"/>
      <c r="B915" s="93"/>
      <c r="E915" s="116"/>
      <c r="F915" s="95"/>
      <c r="G915" s="95"/>
      <c r="H915" s="94"/>
      <c r="I915" s="94"/>
      <c r="J915" s="117"/>
      <c r="K915" s="118"/>
      <c r="L915" s="119"/>
      <c r="M915" s="94"/>
      <c r="N915" s="94"/>
      <c r="O915" s="93"/>
      <c r="P915" s="120" t="b">
        <v>0</v>
      </c>
      <c r="Q915" s="120" t="b">
        <v>0</v>
      </c>
      <c r="R915" s="120" t="b">
        <v>0</v>
      </c>
      <c r="S915" s="95"/>
      <c r="U915" s="120" t="b">
        <v>0</v>
      </c>
      <c r="V915" s="93"/>
      <c r="W915" s="93"/>
      <c r="X915" s="93"/>
      <c r="Y915" s="93"/>
      <c r="AA915" s="95"/>
      <c r="AB915" s="121"/>
      <c r="AC915" s="29" t="str">
        <f t="shared" si="5"/>
        <v>Sim</v>
      </c>
      <c r="AD915" s="37" t="str">
        <f t="shared" si="1"/>
        <v>Não</v>
      </c>
      <c r="AE915" s="94"/>
      <c r="AF915" s="94"/>
      <c r="AG915" s="95"/>
    </row>
    <row r="916" hidden="1">
      <c r="A916" s="115"/>
      <c r="B916" s="93"/>
      <c r="E916" s="116"/>
      <c r="F916" s="95"/>
      <c r="G916" s="95"/>
      <c r="H916" s="94"/>
      <c r="I916" s="94"/>
      <c r="J916" s="117"/>
      <c r="K916" s="118"/>
      <c r="L916" s="119"/>
      <c r="M916" s="94"/>
      <c r="N916" s="94"/>
      <c r="O916" s="93"/>
      <c r="P916" s="120" t="b">
        <v>0</v>
      </c>
      <c r="Q916" s="120" t="b">
        <v>0</v>
      </c>
      <c r="R916" s="120" t="b">
        <v>0</v>
      </c>
      <c r="S916" s="95"/>
      <c r="U916" s="120" t="b">
        <v>0</v>
      </c>
      <c r="V916" s="93"/>
      <c r="W916" s="93"/>
      <c r="X916" s="93"/>
      <c r="Y916" s="93"/>
      <c r="AA916" s="95"/>
      <c r="AB916" s="121"/>
      <c r="AC916" s="29" t="str">
        <f t="shared" si="5"/>
        <v>Sim</v>
      </c>
      <c r="AD916" s="37" t="str">
        <f t="shared" si="1"/>
        <v>Não</v>
      </c>
      <c r="AE916" s="94"/>
      <c r="AF916" s="94"/>
      <c r="AG916" s="95"/>
    </row>
    <row r="917" hidden="1">
      <c r="A917" s="115"/>
      <c r="B917" s="93"/>
      <c r="E917" s="116"/>
      <c r="F917" s="95"/>
      <c r="G917" s="95"/>
      <c r="H917" s="94"/>
      <c r="I917" s="94"/>
      <c r="J917" s="117"/>
      <c r="K917" s="118"/>
      <c r="L917" s="119"/>
      <c r="M917" s="94"/>
      <c r="N917" s="94"/>
      <c r="O917" s="93"/>
      <c r="P917" s="120" t="b">
        <v>0</v>
      </c>
      <c r="Q917" s="120" t="b">
        <v>0</v>
      </c>
      <c r="R917" s="120" t="b">
        <v>0</v>
      </c>
      <c r="S917" s="95"/>
      <c r="U917" s="120" t="b">
        <v>0</v>
      </c>
      <c r="V917" s="93"/>
      <c r="W917" s="93"/>
      <c r="X917" s="93"/>
      <c r="Y917" s="93"/>
      <c r="AA917" s="95"/>
      <c r="AB917" s="121"/>
      <c r="AC917" s="29" t="str">
        <f t="shared" si="5"/>
        <v>Sim</v>
      </c>
      <c r="AD917" s="37" t="str">
        <f t="shared" si="1"/>
        <v>Não</v>
      </c>
      <c r="AE917" s="94"/>
      <c r="AF917" s="94"/>
      <c r="AG917" s="95"/>
    </row>
    <row r="918" hidden="1">
      <c r="A918" s="115"/>
      <c r="B918" s="93"/>
      <c r="E918" s="116"/>
      <c r="F918" s="95"/>
      <c r="G918" s="95"/>
      <c r="H918" s="94"/>
      <c r="I918" s="94"/>
      <c r="J918" s="117"/>
      <c r="K918" s="118"/>
      <c r="L918" s="119"/>
      <c r="M918" s="94"/>
      <c r="N918" s="94"/>
      <c r="O918" s="93"/>
      <c r="P918" s="120" t="b">
        <v>0</v>
      </c>
      <c r="Q918" s="120" t="b">
        <v>0</v>
      </c>
      <c r="R918" s="120" t="b">
        <v>0</v>
      </c>
      <c r="S918" s="95"/>
      <c r="U918" s="120" t="b">
        <v>0</v>
      </c>
      <c r="V918" s="93"/>
      <c r="W918" s="93"/>
      <c r="X918" s="93"/>
      <c r="Y918" s="93"/>
      <c r="AA918" s="95"/>
      <c r="AB918" s="121"/>
      <c r="AC918" s="29" t="str">
        <f t="shared" si="5"/>
        <v>Sim</v>
      </c>
      <c r="AD918" s="37" t="str">
        <f t="shared" si="1"/>
        <v>Não</v>
      </c>
      <c r="AE918" s="94"/>
      <c r="AF918" s="94"/>
      <c r="AG918" s="95"/>
    </row>
    <row r="919" hidden="1">
      <c r="A919" s="115"/>
      <c r="B919" s="93"/>
      <c r="E919" s="116"/>
      <c r="F919" s="95"/>
      <c r="G919" s="95"/>
      <c r="H919" s="94"/>
      <c r="I919" s="94"/>
      <c r="J919" s="117"/>
      <c r="K919" s="118"/>
      <c r="L919" s="119"/>
      <c r="M919" s="94"/>
      <c r="N919" s="94"/>
      <c r="O919" s="93"/>
      <c r="P919" s="120" t="b">
        <v>0</v>
      </c>
      <c r="Q919" s="120" t="b">
        <v>0</v>
      </c>
      <c r="R919" s="120" t="b">
        <v>0</v>
      </c>
      <c r="S919" s="95"/>
      <c r="U919" s="120" t="b">
        <v>0</v>
      </c>
      <c r="V919" s="93"/>
      <c r="W919" s="93"/>
      <c r="X919" s="93"/>
      <c r="Y919" s="93"/>
      <c r="AA919" s="95"/>
      <c r="AB919" s="121"/>
      <c r="AC919" s="29" t="str">
        <f t="shared" si="5"/>
        <v>Sim</v>
      </c>
      <c r="AD919" s="37" t="str">
        <f t="shared" si="1"/>
        <v>Não</v>
      </c>
      <c r="AE919" s="94"/>
      <c r="AF919" s="94"/>
      <c r="AG919" s="95"/>
    </row>
    <row r="920" hidden="1">
      <c r="A920" s="115"/>
      <c r="B920" s="93"/>
      <c r="E920" s="116"/>
      <c r="F920" s="95"/>
      <c r="G920" s="95"/>
      <c r="H920" s="94"/>
      <c r="I920" s="94"/>
      <c r="J920" s="117"/>
      <c r="K920" s="118"/>
      <c r="L920" s="119"/>
      <c r="M920" s="94"/>
      <c r="N920" s="94"/>
      <c r="O920" s="93"/>
      <c r="P920" s="120" t="b">
        <v>0</v>
      </c>
      <c r="Q920" s="120" t="b">
        <v>0</v>
      </c>
      <c r="R920" s="120" t="b">
        <v>0</v>
      </c>
      <c r="S920" s="95"/>
      <c r="U920" s="120" t="b">
        <v>0</v>
      </c>
      <c r="V920" s="93"/>
      <c r="W920" s="93"/>
      <c r="X920" s="93"/>
      <c r="Y920" s="93"/>
      <c r="AA920" s="95"/>
      <c r="AB920" s="121"/>
      <c r="AC920" s="29" t="str">
        <f t="shared" si="5"/>
        <v>Sim</v>
      </c>
      <c r="AD920" s="37" t="str">
        <f t="shared" si="1"/>
        <v>Não</v>
      </c>
      <c r="AE920" s="94"/>
      <c r="AF920" s="94"/>
      <c r="AG920" s="95"/>
    </row>
    <row r="921" hidden="1">
      <c r="A921" s="115"/>
      <c r="B921" s="93"/>
      <c r="E921" s="116"/>
      <c r="F921" s="95"/>
      <c r="G921" s="95"/>
      <c r="H921" s="94"/>
      <c r="I921" s="94"/>
      <c r="J921" s="117"/>
      <c r="K921" s="118"/>
      <c r="L921" s="119"/>
      <c r="M921" s="94"/>
      <c r="N921" s="94"/>
      <c r="O921" s="93"/>
      <c r="P921" s="120" t="b">
        <v>0</v>
      </c>
      <c r="Q921" s="120" t="b">
        <v>0</v>
      </c>
      <c r="R921" s="120" t="b">
        <v>0</v>
      </c>
      <c r="S921" s="95"/>
      <c r="U921" s="120" t="b">
        <v>0</v>
      </c>
      <c r="V921" s="93"/>
      <c r="W921" s="93"/>
      <c r="X921" s="93"/>
      <c r="Y921" s="93"/>
      <c r="AA921" s="95"/>
      <c r="AB921" s="121"/>
      <c r="AC921" s="29" t="str">
        <f t="shared" si="5"/>
        <v>Sim</v>
      </c>
      <c r="AD921" s="37" t="str">
        <f t="shared" si="1"/>
        <v>Não</v>
      </c>
      <c r="AE921" s="94"/>
      <c r="AF921" s="94"/>
      <c r="AG921" s="95"/>
    </row>
    <row r="922" hidden="1">
      <c r="A922" s="115"/>
      <c r="B922" s="93"/>
      <c r="E922" s="116"/>
      <c r="F922" s="95"/>
      <c r="G922" s="95"/>
      <c r="H922" s="94"/>
      <c r="I922" s="94"/>
      <c r="J922" s="117"/>
      <c r="K922" s="118"/>
      <c r="L922" s="119"/>
      <c r="M922" s="94"/>
      <c r="N922" s="94"/>
      <c r="O922" s="93"/>
      <c r="P922" s="120" t="b">
        <v>0</v>
      </c>
      <c r="Q922" s="120" t="b">
        <v>0</v>
      </c>
      <c r="R922" s="120" t="b">
        <v>0</v>
      </c>
      <c r="S922" s="95"/>
      <c r="U922" s="120" t="b">
        <v>0</v>
      </c>
      <c r="V922" s="93"/>
      <c r="W922" s="93"/>
      <c r="X922" s="93"/>
      <c r="Y922" s="93"/>
      <c r="AA922" s="95"/>
      <c r="AB922" s="121"/>
      <c r="AC922" s="29" t="str">
        <f t="shared" si="5"/>
        <v>Sim</v>
      </c>
      <c r="AD922" s="37" t="str">
        <f t="shared" si="1"/>
        <v>Não</v>
      </c>
      <c r="AE922" s="94"/>
      <c r="AF922" s="94"/>
      <c r="AG922" s="95"/>
    </row>
    <row r="923" hidden="1">
      <c r="A923" s="115"/>
      <c r="B923" s="93"/>
      <c r="E923" s="116"/>
      <c r="F923" s="95"/>
      <c r="G923" s="95"/>
      <c r="H923" s="94"/>
      <c r="I923" s="94"/>
      <c r="J923" s="117"/>
      <c r="K923" s="118"/>
      <c r="L923" s="119"/>
      <c r="M923" s="94"/>
      <c r="N923" s="94"/>
      <c r="O923" s="93"/>
      <c r="P923" s="120" t="b">
        <v>0</v>
      </c>
      <c r="Q923" s="120" t="b">
        <v>0</v>
      </c>
      <c r="R923" s="120" t="b">
        <v>0</v>
      </c>
      <c r="S923" s="95"/>
      <c r="U923" s="120" t="b">
        <v>0</v>
      </c>
      <c r="V923" s="93"/>
      <c r="W923" s="93"/>
      <c r="X923" s="93"/>
      <c r="Y923" s="93"/>
      <c r="AA923" s="95"/>
      <c r="AB923" s="121"/>
      <c r="AC923" s="29" t="str">
        <f t="shared" si="5"/>
        <v>Sim</v>
      </c>
      <c r="AD923" s="37" t="str">
        <f t="shared" si="1"/>
        <v>Não</v>
      </c>
      <c r="AE923" s="94"/>
      <c r="AF923" s="94"/>
      <c r="AG923" s="95"/>
    </row>
    <row r="924" hidden="1">
      <c r="A924" s="115"/>
      <c r="B924" s="93"/>
      <c r="E924" s="116"/>
      <c r="F924" s="95"/>
      <c r="G924" s="95"/>
      <c r="H924" s="94"/>
      <c r="I924" s="94"/>
      <c r="J924" s="117"/>
      <c r="K924" s="118"/>
      <c r="L924" s="119"/>
      <c r="M924" s="94"/>
      <c r="N924" s="94"/>
      <c r="O924" s="93"/>
      <c r="P924" s="120" t="b">
        <v>0</v>
      </c>
      <c r="Q924" s="120" t="b">
        <v>0</v>
      </c>
      <c r="R924" s="120" t="b">
        <v>0</v>
      </c>
      <c r="S924" s="95"/>
      <c r="U924" s="120" t="b">
        <v>0</v>
      </c>
      <c r="V924" s="93"/>
      <c r="W924" s="93"/>
      <c r="X924" s="93"/>
      <c r="Y924" s="93"/>
      <c r="AA924" s="95"/>
      <c r="AB924" s="121"/>
      <c r="AC924" s="29" t="str">
        <f t="shared" si="5"/>
        <v>Sim</v>
      </c>
      <c r="AD924" s="37" t="str">
        <f t="shared" si="1"/>
        <v>Não</v>
      </c>
      <c r="AE924" s="94"/>
      <c r="AF924" s="94"/>
      <c r="AG924" s="95"/>
    </row>
    <row r="925" hidden="1">
      <c r="A925" s="115"/>
      <c r="B925" s="93"/>
      <c r="E925" s="116"/>
      <c r="F925" s="95"/>
      <c r="G925" s="95"/>
      <c r="H925" s="94"/>
      <c r="I925" s="94"/>
      <c r="J925" s="117"/>
      <c r="K925" s="118"/>
      <c r="L925" s="119"/>
      <c r="M925" s="94"/>
      <c r="N925" s="94"/>
      <c r="O925" s="93"/>
      <c r="P925" s="120" t="b">
        <v>0</v>
      </c>
      <c r="Q925" s="120" t="b">
        <v>0</v>
      </c>
      <c r="R925" s="120" t="b">
        <v>0</v>
      </c>
      <c r="S925" s="95"/>
      <c r="U925" s="120" t="b">
        <v>0</v>
      </c>
      <c r="V925" s="93"/>
      <c r="W925" s="93"/>
      <c r="X925" s="93"/>
      <c r="Y925" s="93"/>
      <c r="AA925" s="95"/>
      <c r="AB925" s="121"/>
      <c r="AC925" s="29" t="str">
        <f t="shared" si="5"/>
        <v>Sim</v>
      </c>
      <c r="AD925" s="37" t="str">
        <f t="shared" si="1"/>
        <v>Não</v>
      </c>
      <c r="AE925" s="94"/>
      <c r="AF925" s="94"/>
      <c r="AG925" s="95"/>
    </row>
    <row r="926" hidden="1">
      <c r="A926" s="115"/>
      <c r="B926" s="93"/>
      <c r="E926" s="116"/>
      <c r="F926" s="95"/>
      <c r="G926" s="95"/>
      <c r="H926" s="94"/>
      <c r="I926" s="94"/>
      <c r="J926" s="117"/>
      <c r="K926" s="118"/>
      <c r="L926" s="119"/>
      <c r="M926" s="94"/>
      <c r="N926" s="94"/>
      <c r="O926" s="93"/>
      <c r="P926" s="120" t="b">
        <v>0</v>
      </c>
      <c r="Q926" s="120" t="b">
        <v>0</v>
      </c>
      <c r="R926" s="120" t="b">
        <v>0</v>
      </c>
      <c r="S926" s="95"/>
      <c r="U926" s="120" t="b">
        <v>0</v>
      </c>
      <c r="V926" s="93"/>
      <c r="W926" s="93"/>
      <c r="X926" s="93"/>
      <c r="Y926" s="93"/>
      <c r="AA926" s="95"/>
      <c r="AB926" s="121"/>
      <c r="AC926" s="29" t="str">
        <f t="shared" si="5"/>
        <v>Sim</v>
      </c>
      <c r="AD926" s="37" t="str">
        <f t="shared" si="1"/>
        <v>Não</v>
      </c>
      <c r="AE926" s="94"/>
      <c r="AF926" s="94"/>
      <c r="AG926" s="95"/>
    </row>
    <row r="927" hidden="1">
      <c r="A927" s="115"/>
      <c r="B927" s="93"/>
      <c r="E927" s="116"/>
      <c r="F927" s="95"/>
      <c r="G927" s="95"/>
      <c r="H927" s="94"/>
      <c r="I927" s="94"/>
      <c r="J927" s="117"/>
      <c r="K927" s="118"/>
      <c r="L927" s="119"/>
      <c r="M927" s="94"/>
      <c r="N927" s="94"/>
      <c r="O927" s="93"/>
      <c r="P927" s="120" t="b">
        <v>0</v>
      </c>
      <c r="Q927" s="120" t="b">
        <v>0</v>
      </c>
      <c r="R927" s="120" t="b">
        <v>0</v>
      </c>
      <c r="S927" s="95"/>
      <c r="U927" s="120" t="b">
        <v>0</v>
      </c>
      <c r="V927" s="93"/>
      <c r="W927" s="93"/>
      <c r="X927" s="93"/>
      <c r="Y927" s="93"/>
      <c r="AA927" s="95"/>
      <c r="AB927" s="121"/>
      <c r="AC927" s="29" t="str">
        <f t="shared" si="5"/>
        <v>Sim</v>
      </c>
      <c r="AD927" s="37" t="str">
        <f t="shared" si="1"/>
        <v>Não</v>
      </c>
      <c r="AE927" s="94"/>
      <c r="AF927" s="94"/>
      <c r="AG927" s="95"/>
    </row>
    <row r="928" hidden="1">
      <c r="A928" s="115"/>
      <c r="B928" s="93"/>
      <c r="E928" s="116"/>
      <c r="F928" s="95"/>
      <c r="G928" s="95"/>
      <c r="H928" s="94"/>
      <c r="I928" s="94"/>
      <c r="J928" s="117"/>
      <c r="K928" s="118"/>
      <c r="L928" s="119"/>
      <c r="M928" s="94"/>
      <c r="N928" s="94"/>
      <c r="O928" s="93"/>
      <c r="P928" s="120" t="b">
        <v>0</v>
      </c>
      <c r="Q928" s="120" t="b">
        <v>0</v>
      </c>
      <c r="R928" s="120" t="b">
        <v>0</v>
      </c>
      <c r="S928" s="95"/>
      <c r="U928" s="120" t="b">
        <v>0</v>
      </c>
      <c r="V928" s="93"/>
      <c r="W928" s="93"/>
      <c r="X928" s="93"/>
      <c r="Y928" s="93"/>
      <c r="AA928" s="95"/>
      <c r="AB928" s="121"/>
      <c r="AC928" s="29" t="str">
        <f t="shared" si="5"/>
        <v>Sim</v>
      </c>
      <c r="AD928" s="37" t="str">
        <f t="shared" si="1"/>
        <v>Não</v>
      </c>
      <c r="AE928" s="94"/>
      <c r="AF928" s="94"/>
      <c r="AG928" s="95"/>
    </row>
    <row r="929" hidden="1">
      <c r="A929" s="115"/>
      <c r="B929" s="93"/>
      <c r="E929" s="116"/>
      <c r="F929" s="95"/>
      <c r="G929" s="95"/>
      <c r="H929" s="94"/>
      <c r="I929" s="94"/>
      <c r="J929" s="117"/>
      <c r="K929" s="118"/>
      <c r="L929" s="119"/>
      <c r="M929" s="94"/>
      <c r="N929" s="94"/>
      <c r="O929" s="93"/>
      <c r="P929" s="120" t="b">
        <v>0</v>
      </c>
      <c r="Q929" s="120" t="b">
        <v>0</v>
      </c>
      <c r="R929" s="120" t="b">
        <v>0</v>
      </c>
      <c r="S929" s="95"/>
      <c r="U929" s="120" t="b">
        <v>0</v>
      </c>
      <c r="V929" s="93"/>
      <c r="W929" s="93"/>
      <c r="X929" s="93"/>
      <c r="Y929" s="93"/>
      <c r="AA929" s="95"/>
      <c r="AB929" s="121"/>
      <c r="AC929" s="29" t="str">
        <f t="shared" si="5"/>
        <v>Sim</v>
      </c>
      <c r="AD929" s="37" t="str">
        <f t="shared" si="1"/>
        <v>Não</v>
      </c>
      <c r="AE929" s="94"/>
      <c r="AF929" s="94"/>
      <c r="AG929" s="95"/>
    </row>
    <row r="930" hidden="1">
      <c r="A930" s="115"/>
      <c r="B930" s="93"/>
      <c r="E930" s="116"/>
      <c r="F930" s="95"/>
      <c r="G930" s="95"/>
      <c r="H930" s="94"/>
      <c r="I930" s="94"/>
      <c r="J930" s="117"/>
      <c r="K930" s="118"/>
      <c r="L930" s="119"/>
      <c r="M930" s="94"/>
      <c r="N930" s="94"/>
      <c r="O930" s="93"/>
      <c r="P930" s="120" t="b">
        <v>0</v>
      </c>
      <c r="Q930" s="120" t="b">
        <v>0</v>
      </c>
      <c r="R930" s="120" t="b">
        <v>0</v>
      </c>
      <c r="S930" s="95"/>
      <c r="U930" s="120" t="b">
        <v>0</v>
      </c>
      <c r="V930" s="93"/>
      <c r="W930" s="93"/>
      <c r="X930" s="93"/>
      <c r="Y930" s="93"/>
      <c r="AA930" s="95"/>
      <c r="AB930" s="121"/>
      <c r="AC930" s="29" t="str">
        <f t="shared" si="5"/>
        <v>Sim</v>
      </c>
      <c r="AD930" s="37" t="str">
        <f t="shared" si="1"/>
        <v>Não</v>
      </c>
      <c r="AE930" s="94"/>
      <c r="AF930" s="94"/>
      <c r="AG930" s="95"/>
    </row>
    <row r="931" hidden="1">
      <c r="A931" s="115"/>
      <c r="B931" s="93"/>
      <c r="E931" s="116"/>
      <c r="F931" s="95"/>
      <c r="G931" s="95"/>
      <c r="H931" s="94"/>
      <c r="I931" s="94"/>
      <c r="J931" s="117"/>
      <c r="K931" s="118"/>
      <c r="L931" s="119"/>
      <c r="M931" s="94"/>
      <c r="N931" s="94"/>
      <c r="O931" s="93"/>
      <c r="P931" s="120" t="b">
        <v>0</v>
      </c>
      <c r="Q931" s="120" t="b">
        <v>0</v>
      </c>
      <c r="R931" s="120" t="b">
        <v>0</v>
      </c>
      <c r="S931" s="95"/>
      <c r="U931" s="120" t="b">
        <v>0</v>
      </c>
      <c r="V931" s="93"/>
      <c r="W931" s="93"/>
      <c r="X931" s="93"/>
      <c r="Y931" s="93"/>
      <c r="AA931" s="95"/>
      <c r="AB931" s="121"/>
      <c r="AC931" s="29" t="str">
        <f t="shared" si="5"/>
        <v>Sim</v>
      </c>
      <c r="AD931" s="37" t="str">
        <f t="shared" si="1"/>
        <v>Não</v>
      </c>
      <c r="AE931" s="94"/>
      <c r="AF931" s="94"/>
      <c r="AG931" s="95"/>
    </row>
    <row r="932" hidden="1">
      <c r="A932" s="115"/>
      <c r="B932" s="93"/>
      <c r="E932" s="116"/>
      <c r="F932" s="95"/>
      <c r="G932" s="95"/>
      <c r="H932" s="94"/>
      <c r="I932" s="94"/>
      <c r="J932" s="117"/>
      <c r="K932" s="118"/>
      <c r="L932" s="119"/>
      <c r="M932" s="94"/>
      <c r="N932" s="94"/>
      <c r="O932" s="93"/>
      <c r="P932" s="120" t="b">
        <v>0</v>
      </c>
      <c r="Q932" s="120" t="b">
        <v>0</v>
      </c>
      <c r="R932" s="120" t="b">
        <v>0</v>
      </c>
      <c r="S932" s="95"/>
      <c r="U932" s="120" t="b">
        <v>0</v>
      </c>
      <c r="V932" s="93"/>
      <c r="W932" s="93"/>
      <c r="X932" s="93"/>
      <c r="Y932" s="93"/>
      <c r="AA932" s="95"/>
      <c r="AB932" s="121"/>
      <c r="AC932" s="29" t="str">
        <f t="shared" si="5"/>
        <v>Sim</v>
      </c>
      <c r="AD932" s="37" t="str">
        <f t="shared" si="1"/>
        <v>Não</v>
      </c>
      <c r="AE932" s="94"/>
      <c r="AF932" s="94"/>
      <c r="AG932" s="95"/>
    </row>
    <row r="933" hidden="1">
      <c r="A933" s="115"/>
      <c r="B933" s="93"/>
      <c r="E933" s="116"/>
      <c r="F933" s="95"/>
      <c r="G933" s="95"/>
      <c r="H933" s="94"/>
      <c r="I933" s="94"/>
      <c r="J933" s="117"/>
      <c r="K933" s="118"/>
      <c r="L933" s="119"/>
      <c r="M933" s="94"/>
      <c r="N933" s="94"/>
      <c r="O933" s="93"/>
      <c r="P933" s="120" t="b">
        <v>0</v>
      </c>
      <c r="Q933" s="120" t="b">
        <v>0</v>
      </c>
      <c r="R933" s="120" t="b">
        <v>0</v>
      </c>
      <c r="S933" s="95"/>
      <c r="U933" s="120" t="b">
        <v>0</v>
      </c>
      <c r="V933" s="93"/>
      <c r="W933" s="93"/>
      <c r="X933" s="93"/>
      <c r="Y933" s="93"/>
      <c r="AA933" s="95"/>
      <c r="AB933" s="121"/>
      <c r="AC933" s="29" t="str">
        <f t="shared" si="5"/>
        <v>Sim</v>
      </c>
      <c r="AD933" s="37" t="str">
        <f t="shared" si="1"/>
        <v>Não</v>
      </c>
      <c r="AE933" s="94"/>
      <c r="AF933" s="94"/>
      <c r="AG933" s="95"/>
    </row>
    <row r="934" hidden="1">
      <c r="A934" s="115"/>
      <c r="B934" s="93"/>
      <c r="E934" s="116"/>
      <c r="F934" s="95"/>
      <c r="G934" s="95"/>
      <c r="H934" s="94"/>
      <c r="I934" s="94"/>
      <c r="J934" s="117"/>
      <c r="K934" s="118"/>
      <c r="L934" s="119"/>
      <c r="M934" s="94"/>
      <c r="N934" s="94"/>
      <c r="O934" s="93"/>
      <c r="P934" s="120" t="b">
        <v>0</v>
      </c>
      <c r="Q934" s="120" t="b">
        <v>0</v>
      </c>
      <c r="R934" s="120" t="b">
        <v>0</v>
      </c>
      <c r="S934" s="95"/>
      <c r="U934" s="120" t="b">
        <v>0</v>
      </c>
      <c r="V934" s="93"/>
      <c r="W934" s="93"/>
      <c r="X934" s="93"/>
      <c r="Y934" s="93"/>
      <c r="AA934" s="95"/>
      <c r="AB934" s="121"/>
      <c r="AC934" s="29" t="str">
        <f t="shared" si="5"/>
        <v>Sim</v>
      </c>
      <c r="AD934" s="37" t="str">
        <f t="shared" si="1"/>
        <v>Não</v>
      </c>
      <c r="AE934" s="94"/>
      <c r="AF934" s="94"/>
      <c r="AG934" s="95"/>
    </row>
    <row r="935" hidden="1">
      <c r="A935" s="115"/>
      <c r="B935" s="93"/>
      <c r="E935" s="116"/>
      <c r="F935" s="95"/>
      <c r="G935" s="95"/>
      <c r="H935" s="94"/>
      <c r="I935" s="94"/>
      <c r="J935" s="117"/>
      <c r="K935" s="118"/>
      <c r="L935" s="119"/>
      <c r="M935" s="94"/>
      <c r="N935" s="94"/>
      <c r="O935" s="93"/>
      <c r="P935" s="120" t="b">
        <v>0</v>
      </c>
      <c r="Q935" s="120" t="b">
        <v>0</v>
      </c>
      <c r="R935" s="120" t="b">
        <v>0</v>
      </c>
      <c r="S935" s="95"/>
      <c r="U935" s="120" t="b">
        <v>0</v>
      </c>
      <c r="V935" s="93"/>
      <c r="W935" s="93"/>
      <c r="X935" s="93"/>
      <c r="Y935" s="93"/>
      <c r="AA935" s="95"/>
      <c r="AB935" s="121"/>
      <c r="AC935" s="29" t="str">
        <f t="shared" si="5"/>
        <v>Sim</v>
      </c>
      <c r="AD935" s="37" t="str">
        <f t="shared" si="1"/>
        <v>Não</v>
      </c>
      <c r="AE935" s="94"/>
      <c r="AF935" s="94"/>
      <c r="AG935" s="95"/>
    </row>
    <row r="936" hidden="1">
      <c r="A936" s="115"/>
      <c r="B936" s="93"/>
      <c r="E936" s="116"/>
      <c r="F936" s="95"/>
      <c r="G936" s="95"/>
      <c r="H936" s="94"/>
      <c r="I936" s="94"/>
      <c r="J936" s="117"/>
      <c r="K936" s="118"/>
      <c r="L936" s="119"/>
      <c r="M936" s="94"/>
      <c r="N936" s="94"/>
      <c r="O936" s="93"/>
      <c r="P936" s="120" t="b">
        <v>0</v>
      </c>
      <c r="Q936" s="120" t="b">
        <v>0</v>
      </c>
      <c r="R936" s="120" t="b">
        <v>0</v>
      </c>
      <c r="S936" s="95"/>
      <c r="U936" s="120" t="b">
        <v>0</v>
      </c>
      <c r="V936" s="93"/>
      <c r="W936" s="93"/>
      <c r="X936" s="93"/>
      <c r="Y936" s="93"/>
      <c r="AA936" s="95"/>
      <c r="AB936" s="121"/>
      <c r="AC936" s="29" t="str">
        <f t="shared" si="5"/>
        <v>Sim</v>
      </c>
      <c r="AD936" s="37" t="str">
        <f t="shared" si="1"/>
        <v>Não</v>
      </c>
      <c r="AE936" s="94"/>
      <c r="AF936" s="94"/>
      <c r="AG936" s="95"/>
    </row>
    <row r="937" hidden="1">
      <c r="A937" s="115"/>
      <c r="B937" s="93"/>
      <c r="E937" s="116"/>
      <c r="F937" s="95"/>
      <c r="G937" s="95"/>
      <c r="H937" s="94"/>
      <c r="I937" s="94"/>
      <c r="J937" s="117"/>
      <c r="K937" s="118"/>
      <c r="L937" s="119"/>
      <c r="M937" s="94"/>
      <c r="N937" s="94"/>
      <c r="O937" s="93"/>
      <c r="P937" s="120" t="b">
        <v>0</v>
      </c>
      <c r="Q937" s="120" t="b">
        <v>0</v>
      </c>
      <c r="R937" s="120" t="b">
        <v>0</v>
      </c>
      <c r="S937" s="95"/>
      <c r="U937" s="120" t="b">
        <v>0</v>
      </c>
      <c r="V937" s="93"/>
      <c r="W937" s="93"/>
      <c r="X937" s="93"/>
      <c r="Y937" s="93"/>
      <c r="AA937" s="95"/>
      <c r="AB937" s="121"/>
      <c r="AC937" s="29" t="str">
        <f t="shared" si="5"/>
        <v>Sim</v>
      </c>
      <c r="AD937" s="37" t="str">
        <f t="shared" si="1"/>
        <v>Não</v>
      </c>
      <c r="AE937" s="94"/>
      <c r="AF937" s="94"/>
      <c r="AG937" s="95"/>
    </row>
    <row r="938" hidden="1">
      <c r="A938" s="115"/>
      <c r="B938" s="93"/>
      <c r="E938" s="116"/>
      <c r="F938" s="95"/>
      <c r="G938" s="95"/>
      <c r="H938" s="94"/>
      <c r="I938" s="94"/>
      <c r="J938" s="117"/>
      <c r="K938" s="118"/>
      <c r="L938" s="119"/>
      <c r="M938" s="94"/>
      <c r="N938" s="94"/>
      <c r="O938" s="93"/>
      <c r="P938" s="120" t="b">
        <v>0</v>
      </c>
      <c r="Q938" s="120" t="b">
        <v>0</v>
      </c>
      <c r="R938" s="120" t="b">
        <v>0</v>
      </c>
      <c r="S938" s="95"/>
      <c r="U938" s="120" t="b">
        <v>0</v>
      </c>
      <c r="V938" s="93"/>
      <c r="W938" s="93"/>
      <c r="X938" s="93"/>
      <c r="Y938" s="93"/>
      <c r="AA938" s="95"/>
      <c r="AB938" s="121"/>
      <c r="AC938" s="29" t="str">
        <f t="shared" si="5"/>
        <v>Sim</v>
      </c>
      <c r="AD938" s="37" t="str">
        <f t="shared" si="1"/>
        <v>Não</v>
      </c>
      <c r="AE938" s="94"/>
      <c r="AF938" s="94"/>
      <c r="AG938" s="95"/>
    </row>
    <row r="939" hidden="1">
      <c r="A939" s="115"/>
      <c r="B939" s="93"/>
      <c r="E939" s="116"/>
      <c r="F939" s="95"/>
      <c r="G939" s="95"/>
      <c r="H939" s="94"/>
      <c r="I939" s="94"/>
      <c r="J939" s="117"/>
      <c r="K939" s="118"/>
      <c r="L939" s="119"/>
      <c r="M939" s="94"/>
      <c r="N939" s="94"/>
      <c r="O939" s="93"/>
      <c r="P939" s="120" t="b">
        <v>0</v>
      </c>
      <c r="Q939" s="120" t="b">
        <v>0</v>
      </c>
      <c r="R939" s="120" t="b">
        <v>0</v>
      </c>
      <c r="S939" s="95"/>
      <c r="U939" s="120" t="b">
        <v>0</v>
      </c>
      <c r="V939" s="93"/>
      <c r="W939" s="93"/>
      <c r="X939" s="93"/>
      <c r="Y939" s="93"/>
      <c r="AA939" s="95"/>
      <c r="AB939" s="121"/>
      <c r="AC939" s="29" t="str">
        <f t="shared" si="5"/>
        <v>Sim</v>
      </c>
      <c r="AD939" s="37" t="str">
        <f t="shared" si="1"/>
        <v>Não</v>
      </c>
      <c r="AE939" s="94"/>
      <c r="AF939" s="94"/>
      <c r="AG939" s="95"/>
    </row>
    <row r="940" hidden="1">
      <c r="A940" s="115"/>
      <c r="B940" s="93"/>
      <c r="E940" s="116"/>
      <c r="F940" s="95"/>
      <c r="G940" s="95"/>
      <c r="H940" s="94"/>
      <c r="I940" s="94"/>
      <c r="J940" s="117"/>
      <c r="K940" s="118"/>
      <c r="L940" s="119"/>
      <c r="M940" s="94"/>
      <c r="N940" s="94"/>
      <c r="O940" s="93"/>
      <c r="P940" s="120" t="b">
        <v>0</v>
      </c>
      <c r="Q940" s="120" t="b">
        <v>0</v>
      </c>
      <c r="R940" s="120" t="b">
        <v>0</v>
      </c>
      <c r="S940" s="95"/>
      <c r="U940" s="120" t="b">
        <v>0</v>
      </c>
      <c r="V940" s="93"/>
      <c r="W940" s="93"/>
      <c r="X940" s="93"/>
      <c r="Y940" s="93"/>
      <c r="AA940" s="95"/>
      <c r="AB940" s="121"/>
      <c r="AC940" s="29" t="str">
        <f t="shared" si="5"/>
        <v>Sim</v>
      </c>
      <c r="AD940" s="37" t="str">
        <f t="shared" si="1"/>
        <v>Não</v>
      </c>
      <c r="AE940" s="94"/>
      <c r="AF940" s="94"/>
      <c r="AG940" s="95"/>
    </row>
    <row r="941" hidden="1">
      <c r="A941" s="115"/>
      <c r="B941" s="93"/>
      <c r="E941" s="116"/>
      <c r="F941" s="95"/>
      <c r="G941" s="95"/>
      <c r="H941" s="94"/>
      <c r="I941" s="94"/>
      <c r="J941" s="117"/>
      <c r="K941" s="118"/>
      <c r="L941" s="119"/>
      <c r="M941" s="94"/>
      <c r="N941" s="94"/>
      <c r="O941" s="93"/>
      <c r="P941" s="120" t="b">
        <v>0</v>
      </c>
      <c r="Q941" s="120" t="b">
        <v>0</v>
      </c>
      <c r="R941" s="120" t="b">
        <v>0</v>
      </c>
      <c r="S941" s="95"/>
      <c r="U941" s="120" t="b">
        <v>0</v>
      </c>
      <c r="V941" s="93"/>
      <c r="W941" s="93"/>
      <c r="X941" s="93"/>
      <c r="Y941" s="93"/>
      <c r="AA941" s="95"/>
      <c r="AB941" s="121"/>
      <c r="AC941" s="29" t="str">
        <f t="shared" si="5"/>
        <v>Sim</v>
      </c>
      <c r="AD941" s="37" t="str">
        <f t="shared" si="1"/>
        <v>Não</v>
      </c>
      <c r="AE941" s="94"/>
      <c r="AF941" s="94"/>
      <c r="AG941" s="95"/>
    </row>
    <row r="942" hidden="1">
      <c r="A942" s="115"/>
      <c r="B942" s="93"/>
      <c r="E942" s="116"/>
      <c r="F942" s="95"/>
      <c r="G942" s="95"/>
      <c r="H942" s="94"/>
      <c r="I942" s="94"/>
      <c r="J942" s="117"/>
      <c r="K942" s="118"/>
      <c r="L942" s="119"/>
      <c r="M942" s="94"/>
      <c r="N942" s="94"/>
      <c r="O942" s="93"/>
      <c r="P942" s="120" t="b">
        <v>0</v>
      </c>
      <c r="Q942" s="120" t="b">
        <v>0</v>
      </c>
      <c r="R942" s="120" t="b">
        <v>0</v>
      </c>
      <c r="S942" s="95"/>
      <c r="U942" s="120" t="b">
        <v>0</v>
      </c>
      <c r="V942" s="93"/>
      <c r="W942" s="93"/>
      <c r="X942" s="93"/>
      <c r="Y942" s="93"/>
      <c r="AA942" s="95"/>
      <c r="AB942" s="121"/>
      <c r="AC942" s="29" t="str">
        <f t="shared" si="5"/>
        <v>Sim</v>
      </c>
      <c r="AD942" s="37" t="str">
        <f t="shared" si="1"/>
        <v>Não</v>
      </c>
      <c r="AE942" s="94"/>
      <c r="AF942" s="94"/>
      <c r="AG942" s="95"/>
    </row>
    <row r="943" hidden="1">
      <c r="A943" s="115"/>
      <c r="B943" s="93"/>
      <c r="E943" s="116"/>
      <c r="F943" s="95"/>
      <c r="G943" s="95"/>
      <c r="H943" s="94"/>
      <c r="I943" s="94"/>
      <c r="J943" s="117"/>
      <c r="K943" s="118"/>
      <c r="L943" s="119"/>
      <c r="M943" s="94"/>
      <c r="N943" s="94"/>
      <c r="O943" s="93"/>
      <c r="P943" s="120" t="b">
        <v>0</v>
      </c>
      <c r="Q943" s="120" t="b">
        <v>0</v>
      </c>
      <c r="R943" s="120" t="b">
        <v>0</v>
      </c>
      <c r="S943" s="95"/>
      <c r="U943" s="120" t="b">
        <v>0</v>
      </c>
      <c r="V943" s="93"/>
      <c r="W943" s="93"/>
      <c r="X943" s="93"/>
      <c r="Y943" s="93"/>
      <c r="AA943" s="95"/>
      <c r="AB943" s="121"/>
      <c r="AC943" s="29" t="str">
        <f t="shared" si="5"/>
        <v>Sim</v>
      </c>
      <c r="AD943" s="37" t="str">
        <f t="shared" si="1"/>
        <v>Não</v>
      </c>
      <c r="AE943" s="94"/>
      <c r="AF943" s="94"/>
      <c r="AG943" s="95"/>
    </row>
    <row r="944" hidden="1">
      <c r="A944" s="115"/>
      <c r="B944" s="93"/>
      <c r="E944" s="116"/>
      <c r="F944" s="95"/>
      <c r="G944" s="95"/>
      <c r="H944" s="94"/>
      <c r="I944" s="94"/>
      <c r="J944" s="117"/>
      <c r="K944" s="118"/>
      <c r="L944" s="119"/>
      <c r="M944" s="94"/>
      <c r="N944" s="94"/>
      <c r="O944" s="93"/>
      <c r="P944" s="120" t="b">
        <v>0</v>
      </c>
      <c r="Q944" s="120" t="b">
        <v>0</v>
      </c>
      <c r="R944" s="120" t="b">
        <v>0</v>
      </c>
      <c r="S944" s="95"/>
      <c r="U944" s="120" t="b">
        <v>0</v>
      </c>
      <c r="V944" s="93"/>
      <c r="W944" s="93"/>
      <c r="X944" s="93"/>
      <c r="Y944" s="93"/>
      <c r="AA944" s="95"/>
      <c r="AB944" s="121"/>
      <c r="AC944" s="29" t="str">
        <f t="shared" si="5"/>
        <v>Sim</v>
      </c>
      <c r="AD944" s="37" t="str">
        <f t="shared" si="1"/>
        <v>Não</v>
      </c>
      <c r="AE944" s="94"/>
      <c r="AF944" s="94"/>
      <c r="AG944" s="95"/>
    </row>
    <row r="945" hidden="1">
      <c r="A945" s="115"/>
      <c r="B945" s="93"/>
      <c r="E945" s="116"/>
      <c r="F945" s="95"/>
      <c r="G945" s="95"/>
      <c r="H945" s="94"/>
      <c r="I945" s="94"/>
      <c r="J945" s="117"/>
      <c r="K945" s="118"/>
      <c r="L945" s="119"/>
      <c r="M945" s="94"/>
      <c r="N945" s="94"/>
      <c r="O945" s="93"/>
      <c r="P945" s="120" t="b">
        <v>0</v>
      </c>
      <c r="Q945" s="120" t="b">
        <v>0</v>
      </c>
      <c r="R945" s="120" t="b">
        <v>0</v>
      </c>
      <c r="S945" s="95"/>
      <c r="U945" s="120" t="b">
        <v>0</v>
      </c>
      <c r="V945" s="93"/>
      <c r="W945" s="93"/>
      <c r="X945" s="93"/>
      <c r="Y945" s="93"/>
      <c r="AA945" s="95"/>
      <c r="AB945" s="121"/>
      <c r="AC945" s="29" t="str">
        <f t="shared" si="5"/>
        <v>Sim</v>
      </c>
      <c r="AD945" s="37" t="str">
        <f t="shared" si="1"/>
        <v>Não</v>
      </c>
      <c r="AE945" s="94"/>
      <c r="AF945" s="94"/>
      <c r="AG945" s="95"/>
    </row>
    <row r="946" hidden="1">
      <c r="A946" s="115"/>
      <c r="B946" s="93"/>
      <c r="E946" s="116"/>
      <c r="F946" s="95"/>
      <c r="G946" s="95"/>
      <c r="H946" s="94"/>
      <c r="I946" s="94"/>
      <c r="J946" s="117"/>
      <c r="K946" s="118"/>
      <c r="L946" s="119"/>
      <c r="M946" s="94"/>
      <c r="N946" s="94"/>
      <c r="O946" s="93"/>
      <c r="P946" s="120" t="b">
        <v>0</v>
      </c>
      <c r="Q946" s="120" t="b">
        <v>0</v>
      </c>
      <c r="R946" s="120" t="b">
        <v>0</v>
      </c>
      <c r="S946" s="95"/>
      <c r="U946" s="120" t="b">
        <v>0</v>
      </c>
      <c r="V946" s="93"/>
      <c r="W946" s="93"/>
      <c r="X946" s="93"/>
      <c r="Y946" s="93"/>
      <c r="AA946" s="95"/>
      <c r="AB946" s="121"/>
      <c r="AC946" s="29" t="str">
        <f t="shared" si="5"/>
        <v>Sim</v>
      </c>
      <c r="AD946" s="37" t="str">
        <f t="shared" si="1"/>
        <v>Não</v>
      </c>
      <c r="AE946" s="94"/>
      <c r="AF946" s="94"/>
      <c r="AG946" s="95"/>
    </row>
    <row r="947" hidden="1">
      <c r="A947" s="115"/>
      <c r="B947" s="93"/>
      <c r="E947" s="116"/>
      <c r="F947" s="95"/>
      <c r="G947" s="95"/>
      <c r="H947" s="94"/>
      <c r="I947" s="94"/>
      <c r="J947" s="117"/>
      <c r="K947" s="118"/>
      <c r="L947" s="119"/>
      <c r="M947" s="94"/>
      <c r="N947" s="94"/>
      <c r="O947" s="93"/>
      <c r="P947" s="120" t="b">
        <v>0</v>
      </c>
      <c r="Q947" s="120" t="b">
        <v>0</v>
      </c>
      <c r="R947" s="120" t="b">
        <v>0</v>
      </c>
      <c r="S947" s="95"/>
      <c r="U947" s="120" t="b">
        <v>0</v>
      </c>
      <c r="V947" s="93"/>
      <c r="W947" s="93"/>
      <c r="X947" s="93"/>
      <c r="Y947" s="93"/>
      <c r="AA947" s="95"/>
      <c r="AB947" s="121"/>
      <c r="AC947" s="29" t="str">
        <f t="shared" si="5"/>
        <v>Sim</v>
      </c>
      <c r="AD947" s="37" t="str">
        <f t="shared" si="1"/>
        <v>Não</v>
      </c>
      <c r="AE947" s="94"/>
      <c r="AF947" s="94"/>
      <c r="AG947" s="95"/>
    </row>
    <row r="948" hidden="1">
      <c r="A948" s="115"/>
      <c r="B948" s="93"/>
      <c r="E948" s="116"/>
      <c r="F948" s="95"/>
      <c r="G948" s="95"/>
      <c r="H948" s="94"/>
      <c r="I948" s="94"/>
      <c r="J948" s="117"/>
      <c r="K948" s="118"/>
      <c r="L948" s="119"/>
      <c r="M948" s="94"/>
      <c r="N948" s="94"/>
      <c r="O948" s="93"/>
      <c r="P948" s="120" t="b">
        <v>0</v>
      </c>
      <c r="Q948" s="120" t="b">
        <v>0</v>
      </c>
      <c r="R948" s="120" t="b">
        <v>0</v>
      </c>
      <c r="S948" s="95"/>
      <c r="U948" s="120" t="b">
        <v>0</v>
      </c>
      <c r="V948" s="93"/>
      <c r="W948" s="93"/>
      <c r="X948" s="93"/>
      <c r="Y948" s="93"/>
      <c r="AA948" s="95"/>
      <c r="AB948" s="121"/>
      <c r="AC948" s="29" t="str">
        <f t="shared" si="5"/>
        <v>Sim</v>
      </c>
      <c r="AD948" s="37" t="str">
        <f t="shared" si="1"/>
        <v>Não</v>
      </c>
      <c r="AE948" s="94"/>
      <c r="AF948" s="94"/>
      <c r="AG948" s="95"/>
    </row>
    <row r="949" hidden="1">
      <c r="A949" s="115"/>
      <c r="B949" s="93"/>
      <c r="E949" s="116"/>
      <c r="F949" s="95"/>
      <c r="G949" s="95"/>
      <c r="H949" s="94"/>
      <c r="I949" s="94"/>
      <c r="J949" s="117"/>
      <c r="K949" s="118"/>
      <c r="L949" s="119"/>
      <c r="M949" s="94"/>
      <c r="N949" s="94"/>
      <c r="O949" s="93"/>
      <c r="P949" s="120" t="b">
        <v>0</v>
      </c>
      <c r="Q949" s="120" t="b">
        <v>0</v>
      </c>
      <c r="R949" s="120" t="b">
        <v>0</v>
      </c>
      <c r="S949" s="95"/>
      <c r="U949" s="120" t="b">
        <v>0</v>
      </c>
      <c r="V949" s="93"/>
      <c r="W949" s="93"/>
      <c r="X949" s="93"/>
      <c r="Y949" s="93"/>
      <c r="AA949" s="95"/>
      <c r="AB949" s="121"/>
      <c r="AC949" s="29" t="str">
        <f t="shared" si="5"/>
        <v>Sim</v>
      </c>
      <c r="AD949" s="37" t="str">
        <f t="shared" si="1"/>
        <v>Não</v>
      </c>
      <c r="AE949" s="94"/>
      <c r="AF949" s="94"/>
      <c r="AG949" s="95"/>
    </row>
    <row r="950" hidden="1">
      <c r="A950" s="115"/>
      <c r="B950" s="93"/>
      <c r="E950" s="116"/>
      <c r="F950" s="95"/>
      <c r="G950" s="95"/>
      <c r="H950" s="94"/>
      <c r="I950" s="94"/>
      <c r="J950" s="117"/>
      <c r="K950" s="118"/>
      <c r="L950" s="119"/>
      <c r="M950" s="94"/>
      <c r="N950" s="94"/>
      <c r="O950" s="93"/>
      <c r="P950" s="120" t="b">
        <v>0</v>
      </c>
      <c r="Q950" s="120" t="b">
        <v>0</v>
      </c>
      <c r="R950" s="120" t="b">
        <v>0</v>
      </c>
      <c r="S950" s="95"/>
      <c r="U950" s="120" t="b">
        <v>0</v>
      </c>
      <c r="V950" s="93"/>
      <c r="W950" s="93"/>
      <c r="X950" s="93"/>
      <c r="Y950" s="93"/>
      <c r="AA950" s="95"/>
      <c r="AB950" s="121"/>
      <c r="AC950" s="29" t="str">
        <f t="shared" si="5"/>
        <v>Sim</v>
      </c>
      <c r="AD950" s="37" t="str">
        <f t="shared" si="1"/>
        <v>Não</v>
      </c>
      <c r="AE950" s="94"/>
      <c r="AF950" s="94"/>
      <c r="AG950" s="95"/>
    </row>
    <row r="951" hidden="1">
      <c r="A951" s="115"/>
      <c r="B951" s="93"/>
      <c r="E951" s="116"/>
      <c r="F951" s="95"/>
      <c r="G951" s="95"/>
      <c r="H951" s="94"/>
      <c r="I951" s="94"/>
      <c r="J951" s="117"/>
      <c r="K951" s="118"/>
      <c r="L951" s="119"/>
      <c r="M951" s="94"/>
      <c r="N951" s="94"/>
      <c r="O951" s="93"/>
      <c r="P951" s="120" t="b">
        <v>0</v>
      </c>
      <c r="Q951" s="120" t="b">
        <v>0</v>
      </c>
      <c r="R951" s="120" t="b">
        <v>0</v>
      </c>
      <c r="S951" s="95"/>
      <c r="U951" s="120" t="b">
        <v>0</v>
      </c>
      <c r="V951" s="93"/>
      <c r="W951" s="93"/>
      <c r="X951" s="93"/>
      <c r="Y951" s="93"/>
      <c r="AA951" s="95"/>
      <c r="AB951" s="121"/>
      <c r="AC951" s="29" t="str">
        <f t="shared" si="5"/>
        <v>Sim</v>
      </c>
      <c r="AD951" s="37" t="str">
        <f t="shared" si="1"/>
        <v>Não</v>
      </c>
      <c r="AE951" s="94"/>
      <c r="AF951" s="94"/>
      <c r="AG951" s="95"/>
    </row>
    <row r="952" hidden="1">
      <c r="A952" s="115"/>
      <c r="B952" s="93"/>
      <c r="E952" s="116"/>
      <c r="F952" s="95"/>
      <c r="G952" s="95"/>
      <c r="H952" s="94"/>
      <c r="I952" s="94"/>
      <c r="J952" s="117"/>
      <c r="K952" s="118"/>
      <c r="L952" s="119"/>
      <c r="M952" s="94"/>
      <c r="N952" s="94"/>
      <c r="O952" s="93"/>
      <c r="P952" s="120" t="b">
        <v>0</v>
      </c>
      <c r="Q952" s="120" t="b">
        <v>0</v>
      </c>
      <c r="R952" s="120" t="b">
        <v>0</v>
      </c>
      <c r="S952" s="95"/>
      <c r="U952" s="120" t="b">
        <v>0</v>
      </c>
      <c r="V952" s="93"/>
      <c r="W952" s="93"/>
      <c r="X952" s="93"/>
      <c r="Y952" s="93"/>
      <c r="AA952" s="95"/>
      <c r="AB952" s="121"/>
      <c r="AC952" s="29" t="str">
        <f t="shared" si="5"/>
        <v>Sim</v>
      </c>
      <c r="AD952" s="37" t="str">
        <f t="shared" si="1"/>
        <v>Não</v>
      </c>
      <c r="AE952" s="94"/>
      <c r="AF952" s="94"/>
      <c r="AG952" s="95"/>
    </row>
    <row r="953" hidden="1">
      <c r="A953" s="115"/>
      <c r="B953" s="93"/>
      <c r="E953" s="116"/>
      <c r="F953" s="95"/>
      <c r="G953" s="95"/>
      <c r="H953" s="94"/>
      <c r="I953" s="94"/>
      <c r="J953" s="117"/>
      <c r="K953" s="118"/>
      <c r="L953" s="119"/>
      <c r="M953" s="94"/>
      <c r="N953" s="94"/>
      <c r="O953" s="93"/>
      <c r="P953" s="120" t="b">
        <v>0</v>
      </c>
      <c r="Q953" s="120" t="b">
        <v>0</v>
      </c>
      <c r="R953" s="120" t="b">
        <v>0</v>
      </c>
      <c r="S953" s="95"/>
      <c r="U953" s="120" t="b">
        <v>0</v>
      </c>
      <c r="V953" s="93"/>
      <c r="W953" s="93"/>
      <c r="X953" s="93"/>
      <c r="Y953" s="93"/>
      <c r="AA953" s="95"/>
      <c r="AB953" s="121"/>
      <c r="AC953" s="29" t="str">
        <f t="shared" si="5"/>
        <v>Sim</v>
      </c>
      <c r="AD953" s="37" t="str">
        <f t="shared" si="1"/>
        <v>Não</v>
      </c>
      <c r="AE953" s="94"/>
      <c r="AF953" s="94"/>
      <c r="AG953" s="95"/>
    </row>
    <row r="954" hidden="1">
      <c r="A954" s="115"/>
      <c r="B954" s="93"/>
      <c r="E954" s="116"/>
      <c r="F954" s="95"/>
      <c r="G954" s="95"/>
      <c r="H954" s="94"/>
      <c r="I954" s="94"/>
      <c r="J954" s="117"/>
      <c r="K954" s="118"/>
      <c r="L954" s="119"/>
      <c r="M954" s="94"/>
      <c r="N954" s="94"/>
      <c r="O954" s="93"/>
      <c r="P954" s="120" t="b">
        <v>0</v>
      </c>
      <c r="Q954" s="120" t="b">
        <v>0</v>
      </c>
      <c r="R954" s="120" t="b">
        <v>0</v>
      </c>
      <c r="S954" s="95"/>
      <c r="U954" s="120" t="b">
        <v>0</v>
      </c>
      <c r="V954" s="93"/>
      <c r="W954" s="93"/>
      <c r="X954" s="93"/>
      <c r="Y954" s="93"/>
      <c r="AA954" s="95"/>
      <c r="AB954" s="121"/>
      <c r="AC954" s="29" t="str">
        <f t="shared" si="5"/>
        <v>Sim</v>
      </c>
      <c r="AD954" s="37" t="str">
        <f t="shared" si="1"/>
        <v>Não</v>
      </c>
      <c r="AE954" s="94"/>
      <c r="AF954" s="94"/>
      <c r="AG954" s="95"/>
    </row>
    <row r="955" hidden="1">
      <c r="A955" s="115"/>
      <c r="B955" s="93"/>
      <c r="E955" s="116"/>
      <c r="F955" s="95"/>
      <c r="G955" s="95"/>
      <c r="H955" s="94"/>
      <c r="I955" s="94"/>
      <c r="J955" s="117"/>
      <c r="K955" s="118"/>
      <c r="L955" s="119"/>
      <c r="M955" s="94"/>
      <c r="N955" s="94"/>
      <c r="O955" s="93"/>
      <c r="P955" s="120" t="b">
        <v>0</v>
      </c>
      <c r="Q955" s="120" t="b">
        <v>0</v>
      </c>
      <c r="R955" s="120" t="b">
        <v>0</v>
      </c>
      <c r="S955" s="95"/>
      <c r="U955" s="120" t="b">
        <v>0</v>
      </c>
      <c r="V955" s="93"/>
      <c r="W955" s="93"/>
      <c r="X955" s="93"/>
      <c r="Y955" s="93"/>
      <c r="AA955" s="95"/>
      <c r="AB955" s="121"/>
      <c r="AC955" s="29" t="str">
        <f t="shared" si="5"/>
        <v>Sim</v>
      </c>
      <c r="AD955" s="37" t="str">
        <f t="shared" si="1"/>
        <v>Não</v>
      </c>
      <c r="AE955" s="94"/>
      <c r="AF955" s="94"/>
      <c r="AG955" s="95"/>
    </row>
    <row r="956" hidden="1">
      <c r="A956" s="115"/>
      <c r="B956" s="93"/>
      <c r="E956" s="116"/>
      <c r="F956" s="95"/>
      <c r="G956" s="95"/>
      <c r="H956" s="94"/>
      <c r="I956" s="94"/>
      <c r="J956" s="117"/>
      <c r="K956" s="118"/>
      <c r="L956" s="119"/>
      <c r="M956" s="94"/>
      <c r="N956" s="94"/>
      <c r="O956" s="93"/>
      <c r="P956" s="120" t="b">
        <v>0</v>
      </c>
      <c r="Q956" s="120" t="b">
        <v>0</v>
      </c>
      <c r="R956" s="120" t="b">
        <v>0</v>
      </c>
      <c r="S956" s="95"/>
      <c r="U956" s="120" t="b">
        <v>0</v>
      </c>
      <c r="V956" s="93"/>
      <c r="W956" s="93"/>
      <c r="X956" s="93"/>
      <c r="Y956" s="93"/>
      <c r="AA956" s="95"/>
      <c r="AB956" s="121"/>
      <c r="AC956" s="29" t="str">
        <f t="shared" si="5"/>
        <v>Sim</v>
      </c>
      <c r="AD956" s="37" t="str">
        <f t="shared" si="1"/>
        <v>Não</v>
      </c>
      <c r="AE956" s="94"/>
      <c r="AF956" s="94"/>
      <c r="AG956" s="95"/>
    </row>
    <row r="957" hidden="1">
      <c r="A957" s="115"/>
      <c r="B957" s="93"/>
      <c r="E957" s="116"/>
      <c r="F957" s="95"/>
      <c r="G957" s="95"/>
      <c r="H957" s="94"/>
      <c r="I957" s="94"/>
      <c r="J957" s="117"/>
      <c r="K957" s="118"/>
      <c r="L957" s="119"/>
      <c r="M957" s="94"/>
      <c r="N957" s="94"/>
      <c r="O957" s="93"/>
      <c r="P957" s="120" t="b">
        <v>0</v>
      </c>
      <c r="Q957" s="120" t="b">
        <v>0</v>
      </c>
      <c r="R957" s="120" t="b">
        <v>0</v>
      </c>
      <c r="S957" s="95"/>
      <c r="U957" s="120" t="b">
        <v>0</v>
      </c>
      <c r="V957" s="93"/>
      <c r="W957" s="93"/>
      <c r="X957" s="93"/>
      <c r="Y957" s="93"/>
      <c r="AA957" s="95"/>
      <c r="AB957" s="121"/>
      <c r="AC957" s="29" t="str">
        <f t="shared" si="5"/>
        <v>Sim</v>
      </c>
      <c r="AD957" s="37" t="str">
        <f t="shared" si="1"/>
        <v>Não</v>
      </c>
      <c r="AE957" s="94"/>
      <c r="AF957" s="94"/>
      <c r="AG957" s="95"/>
    </row>
    <row r="958" hidden="1">
      <c r="A958" s="115"/>
      <c r="B958" s="93"/>
      <c r="E958" s="116"/>
      <c r="F958" s="95"/>
      <c r="G958" s="95"/>
      <c r="H958" s="94"/>
      <c r="I958" s="94"/>
      <c r="J958" s="117"/>
      <c r="K958" s="118"/>
      <c r="L958" s="119"/>
      <c r="M958" s="94"/>
      <c r="N958" s="94"/>
      <c r="O958" s="93"/>
      <c r="P958" s="120" t="b">
        <v>0</v>
      </c>
      <c r="Q958" s="120" t="b">
        <v>0</v>
      </c>
      <c r="R958" s="120" t="b">
        <v>0</v>
      </c>
      <c r="S958" s="95"/>
      <c r="U958" s="120" t="b">
        <v>0</v>
      </c>
      <c r="V958" s="93"/>
      <c r="W958" s="93"/>
      <c r="X958" s="93"/>
      <c r="Y958" s="93"/>
      <c r="AA958" s="95"/>
      <c r="AB958" s="121"/>
      <c r="AC958" s="29" t="str">
        <f t="shared" si="5"/>
        <v>Sim</v>
      </c>
      <c r="AD958" s="37" t="str">
        <f t="shared" si="1"/>
        <v>Não</v>
      </c>
      <c r="AE958" s="94"/>
      <c r="AF958" s="94"/>
      <c r="AG958" s="95"/>
    </row>
    <row r="959" hidden="1">
      <c r="A959" s="115"/>
      <c r="B959" s="93"/>
      <c r="E959" s="116"/>
      <c r="F959" s="95"/>
      <c r="G959" s="95"/>
      <c r="H959" s="94"/>
      <c r="I959" s="94"/>
      <c r="J959" s="117"/>
      <c r="K959" s="118"/>
      <c r="L959" s="119"/>
      <c r="M959" s="94"/>
      <c r="N959" s="94"/>
      <c r="O959" s="93"/>
      <c r="P959" s="120" t="b">
        <v>0</v>
      </c>
      <c r="Q959" s="120" t="b">
        <v>0</v>
      </c>
      <c r="R959" s="120" t="b">
        <v>0</v>
      </c>
      <c r="S959" s="95"/>
      <c r="U959" s="120" t="b">
        <v>0</v>
      </c>
      <c r="V959" s="93"/>
      <c r="W959" s="93"/>
      <c r="X959" s="93"/>
      <c r="Y959" s="93"/>
      <c r="AA959" s="95"/>
      <c r="AB959" s="121"/>
      <c r="AC959" s="29" t="str">
        <f t="shared" si="5"/>
        <v>Sim</v>
      </c>
      <c r="AD959" s="37" t="str">
        <f t="shared" si="1"/>
        <v>Não</v>
      </c>
      <c r="AE959" s="94"/>
      <c r="AF959" s="94"/>
      <c r="AG959" s="95"/>
    </row>
    <row r="960" hidden="1">
      <c r="A960" s="115"/>
      <c r="B960" s="93"/>
      <c r="E960" s="116"/>
      <c r="F960" s="95"/>
      <c r="G960" s="95"/>
      <c r="H960" s="94"/>
      <c r="I960" s="94"/>
      <c r="J960" s="117"/>
      <c r="K960" s="118"/>
      <c r="L960" s="119"/>
      <c r="M960" s="94"/>
      <c r="N960" s="94"/>
      <c r="O960" s="93"/>
      <c r="P960" s="120" t="b">
        <v>0</v>
      </c>
      <c r="Q960" s="120" t="b">
        <v>0</v>
      </c>
      <c r="R960" s="120" t="b">
        <v>0</v>
      </c>
      <c r="S960" s="95"/>
      <c r="U960" s="120" t="b">
        <v>0</v>
      </c>
      <c r="V960" s="93"/>
      <c r="W960" s="93"/>
      <c r="X960" s="93"/>
      <c r="Y960" s="93"/>
      <c r="AA960" s="95"/>
      <c r="AB960" s="121"/>
      <c r="AC960" s="29" t="str">
        <f t="shared" si="5"/>
        <v>Sim</v>
      </c>
      <c r="AD960" s="37" t="str">
        <f t="shared" si="1"/>
        <v>Não</v>
      </c>
      <c r="AE960" s="94"/>
      <c r="AF960" s="94"/>
      <c r="AG960" s="95"/>
    </row>
    <row r="961" hidden="1">
      <c r="A961" s="115"/>
      <c r="B961" s="93"/>
      <c r="E961" s="116"/>
      <c r="F961" s="95"/>
      <c r="G961" s="95"/>
      <c r="H961" s="94"/>
      <c r="I961" s="94"/>
      <c r="J961" s="117"/>
      <c r="K961" s="118"/>
      <c r="L961" s="119"/>
      <c r="M961" s="94"/>
      <c r="N961" s="94"/>
      <c r="O961" s="93"/>
      <c r="P961" s="120" t="b">
        <v>0</v>
      </c>
      <c r="Q961" s="120" t="b">
        <v>0</v>
      </c>
      <c r="R961" s="120" t="b">
        <v>0</v>
      </c>
      <c r="S961" s="95"/>
      <c r="U961" s="120" t="b">
        <v>0</v>
      </c>
      <c r="V961" s="93"/>
      <c r="W961" s="93"/>
      <c r="X961" s="93"/>
      <c r="Y961" s="93"/>
      <c r="AA961" s="95"/>
      <c r="AB961" s="121"/>
      <c r="AC961" s="29" t="str">
        <f t="shared" si="5"/>
        <v>Sim</v>
      </c>
      <c r="AD961" s="37" t="str">
        <f t="shared" si="1"/>
        <v>Não</v>
      </c>
      <c r="AE961" s="94"/>
      <c r="AF961" s="94"/>
      <c r="AG961" s="95"/>
    </row>
    <row r="962" hidden="1">
      <c r="A962" s="115"/>
      <c r="B962" s="93"/>
      <c r="E962" s="116"/>
      <c r="F962" s="95"/>
      <c r="G962" s="95"/>
      <c r="H962" s="94"/>
      <c r="I962" s="94"/>
      <c r="J962" s="117"/>
      <c r="K962" s="118"/>
      <c r="L962" s="119"/>
      <c r="M962" s="94"/>
      <c r="N962" s="94"/>
      <c r="O962" s="93"/>
      <c r="P962" s="120" t="b">
        <v>0</v>
      </c>
      <c r="Q962" s="120" t="b">
        <v>0</v>
      </c>
      <c r="R962" s="120" t="b">
        <v>0</v>
      </c>
      <c r="S962" s="95"/>
      <c r="U962" s="120" t="b">
        <v>0</v>
      </c>
      <c r="V962" s="93"/>
      <c r="W962" s="93"/>
      <c r="X962" s="93"/>
      <c r="Y962" s="93"/>
      <c r="AA962" s="95"/>
      <c r="AB962" s="121"/>
      <c r="AC962" s="29" t="str">
        <f t="shared" si="5"/>
        <v>Sim</v>
      </c>
      <c r="AD962" s="37" t="str">
        <f t="shared" si="1"/>
        <v>Não</v>
      </c>
      <c r="AE962" s="94"/>
      <c r="AF962" s="94"/>
      <c r="AG962" s="95"/>
    </row>
    <row r="963" hidden="1">
      <c r="A963" s="115"/>
      <c r="B963" s="93"/>
      <c r="E963" s="116"/>
      <c r="F963" s="95"/>
      <c r="G963" s="95"/>
      <c r="H963" s="94"/>
      <c r="I963" s="94"/>
      <c r="J963" s="117"/>
      <c r="K963" s="118"/>
      <c r="L963" s="119"/>
      <c r="M963" s="94"/>
      <c r="N963" s="94"/>
      <c r="O963" s="93"/>
      <c r="P963" s="120" t="b">
        <v>0</v>
      </c>
      <c r="Q963" s="120" t="b">
        <v>0</v>
      </c>
      <c r="R963" s="120" t="b">
        <v>0</v>
      </c>
      <c r="S963" s="95"/>
      <c r="U963" s="120" t="b">
        <v>0</v>
      </c>
      <c r="V963" s="93"/>
      <c r="W963" s="93"/>
      <c r="X963" s="93"/>
      <c r="Y963" s="93"/>
      <c r="AA963" s="95"/>
      <c r="AB963" s="121"/>
      <c r="AC963" s="29" t="str">
        <f t="shared" si="5"/>
        <v>Sim</v>
      </c>
      <c r="AD963" s="37" t="str">
        <f t="shared" si="1"/>
        <v>Não</v>
      </c>
      <c r="AE963" s="94"/>
      <c r="AF963" s="94"/>
      <c r="AG963" s="95"/>
    </row>
    <row r="964" hidden="1">
      <c r="A964" s="115"/>
      <c r="B964" s="93"/>
      <c r="E964" s="116"/>
      <c r="F964" s="95"/>
      <c r="G964" s="95"/>
      <c r="H964" s="94"/>
      <c r="I964" s="94"/>
      <c r="J964" s="117"/>
      <c r="K964" s="118"/>
      <c r="L964" s="119"/>
      <c r="M964" s="94"/>
      <c r="N964" s="94"/>
      <c r="O964" s="93"/>
      <c r="P964" s="120" t="b">
        <v>0</v>
      </c>
      <c r="Q964" s="120" t="b">
        <v>0</v>
      </c>
      <c r="R964" s="120" t="b">
        <v>0</v>
      </c>
      <c r="S964" s="95"/>
      <c r="U964" s="120" t="b">
        <v>0</v>
      </c>
      <c r="V964" s="93"/>
      <c r="W964" s="93"/>
      <c r="X964" s="93"/>
      <c r="Y964" s="93"/>
      <c r="AA964" s="95"/>
      <c r="AB964" s="121"/>
      <c r="AC964" s="29" t="str">
        <f t="shared" si="5"/>
        <v>Sim</v>
      </c>
      <c r="AD964" s="37" t="str">
        <f t="shared" si="1"/>
        <v>Não</v>
      </c>
      <c r="AE964" s="94"/>
      <c r="AF964" s="94"/>
      <c r="AG964" s="95"/>
    </row>
    <row r="965" hidden="1">
      <c r="A965" s="115"/>
      <c r="B965" s="93"/>
      <c r="E965" s="116"/>
      <c r="F965" s="95"/>
      <c r="G965" s="95"/>
      <c r="H965" s="94"/>
      <c r="I965" s="94"/>
      <c r="J965" s="117"/>
      <c r="K965" s="118"/>
      <c r="L965" s="119"/>
      <c r="M965" s="94"/>
      <c r="N965" s="94"/>
      <c r="O965" s="93"/>
      <c r="P965" s="120" t="b">
        <v>0</v>
      </c>
      <c r="Q965" s="120" t="b">
        <v>0</v>
      </c>
      <c r="R965" s="120" t="b">
        <v>0</v>
      </c>
      <c r="S965" s="95"/>
      <c r="U965" s="120" t="b">
        <v>0</v>
      </c>
      <c r="V965" s="93"/>
      <c r="W965" s="93"/>
      <c r="X965" s="93"/>
      <c r="Y965" s="93"/>
      <c r="AA965" s="95"/>
      <c r="AB965" s="121"/>
      <c r="AC965" s="29" t="str">
        <f t="shared" si="5"/>
        <v>Sim</v>
      </c>
      <c r="AD965" s="37" t="str">
        <f t="shared" si="1"/>
        <v>Não</v>
      </c>
      <c r="AE965" s="94"/>
      <c r="AF965" s="94"/>
      <c r="AG965" s="95"/>
    </row>
    <row r="966" hidden="1">
      <c r="A966" s="115"/>
      <c r="B966" s="93"/>
      <c r="E966" s="116"/>
      <c r="F966" s="95"/>
      <c r="G966" s="95"/>
      <c r="H966" s="94"/>
      <c r="I966" s="94"/>
      <c r="J966" s="117"/>
      <c r="K966" s="118"/>
      <c r="L966" s="119"/>
      <c r="M966" s="94"/>
      <c r="N966" s="94"/>
      <c r="O966" s="93"/>
      <c r="P966" s="120" t="b">
        <v>0</v>
      </c>
      <c r="Q966" s="120" t="b">
        <v>0</v>
      </c>
      <c r="R966" s="120" t="b">
        <v>0</v>
      </c>
      <c r="S966" s="95"/>
      <c r="U966" s="120" t="b">
        <v>0</v>
      </c>
      <c r="V966" s="93"/>
      <c r="W966" s="93"/>
      <c r="X966" s="93"/>
      <c r="Y966" s="93"/>
      <c r="AA966" s="95"/>
      <c r="AB966" s="121"/>
      <c r="AC966" s="29" t="str">
        <f t="shared" si="5"/>
        <v>Sim</v>
      </c>
      <c r="AD966" s="37" t="str">
        <f t="shared" si="1"/>
        <v>Não</v>
      </c>
      <c r="AE966" s="94"/>
      <c r="AF966" s="94"/>
      <c r="AG966" s="95"/>
    </row>
    <row r="967" hidden="1">
      <c r="A967" s="115"/>
      <c r="B967" s="93"/>
      <c r="E967" s="116"/>
      <c r="F967" s="95"/>
      <c r="G967" s="95"/>
      <c r="H967" s="94"/>
      <c r="I967" s="94"/>
      <c r="J967" s="117"/>
      <c r="K967" s="118"/>
      <c r="L967" s="119"/>
      <c r="M967" s="94"/>
      <c r="N967" s="94"/>
      <c r="O967" s="93"/>
      <c r="P967" s="120" t="b">
        <v>0</v>
      </c>
      <c r="Q967" s="120" t="b">
        <v>0</v>
      </c>
      <c r="R967" s="120" t="b">
        <v>0</v>
      </c>
      <c r="S967" s="95"/>
      <c r="U967" s="120" t="b">
        <v>0</v>
      </c>
      <c r="V967" s="93"/>
      <c r="W967" s="93"/>
      <c r="X967" s="93"/>
      <c r="Y967" s="93"/>
      <c r="AA967" s="95"/>
      <c r="AB967" s="121"/>
      <c r="AC967" s="29" t="str">
        <f t="shared" si="5"/>
        <v>Sim</v>
      </c>
      <c r="AD967" s="37" t="str">
        <f t="shared" si="1"/>
        <v>Não</v>
      </c>
      <c r="AE967" s="94"/>
      <c r="AF967" s="94"/>
      <c r="AG967" s="95"/>
    </row>
    <row r="968" hidden="1">
      <c r="A968" s="115"/>
      <c r="B968" s="93"/>
      <c r="E968" s="116"/>
      <c r="F968" s="95"/>
      <c r="G968" s="95"/>
      <c r="H968" s="94"/>
      <c r="I968" s="94"/>
      <c r="J968" s="117"/>
      <c r="K968" s="118"/>
      <c r="L968" s="119"/>
      <c r="M968" s="94"/>
      <c r="N968" s="94"/>
      <c r="O968" s="93"/>
      <c r="P968" s="120" t="b">
        <v>0</v>
      </c>
      <c r="Q968" s="120" t="b">
        <v>0</v>
      </c>
      <c r="R968" s="120" t="b">
        <v>0</v>
      </c>
      <c r="S968" s="95"/>
      <c r="U968" s="120" t="b">
        <v>0</v>
      </c>
      <c r="V968" s="93"/>
      <c r="W968" s="93"/>
      <c r="X968" s="93"/>
      <c r="Y968" s="93"/>
      <c r="AA968" s="95"/>
      <c r="AB968" s="121"/>
      <c r="AC968" s="29" t="str">
        <f t="shared" si="5"/>
        <v>Sim</v>
      </c>
      <c r="AD968" s="37" t="str">
        <f t="shared" si="1"/>
        <v>Não</v>
      </c>
      <c r="AE968" s="94"/>
      <c r="AF968" s="94"/>
      <c r="AG968" s="95"/>
    </row>
    <row r="969" hidden="1">
      <c r="A969" s="115"/>
      <c r="B969" s="93"/>
      <c r="E969" s="116"/>
      <c r="F969" s="95"/>
      <c r="G969" s="95"/>
      <c r="H969" s="94"/>
      <c r="I969" s="94"/>
      <c r="J969" s="117"/>
      <c r="K969" s="118"/>
      <c r="L969" s="119"/>
      <c r="M969" s="94"/>
      <c r="N969" s="94"/>
      <c r="O969" s="93"/>
      <c r="P969" s="120" t="b">
        <v>0</v>
      </c>
      <c r="Q969" s="120" t="b">
        <v>0</v>
      </c>
      <c r="R969" s="120" t="b">
        <v>0</v>
      </c>
      <c r="S969" s="95"/>
      <c r="U969" s="120" t="b">
        <v>0</v>
      </c>
      <c r="V969" s="93"/>
      <c r="W969" s="93"/>
      <c r="X969" s="93"/>
      <c r="Y969" s="93"/>
      <c r="AA969" s="95"/>
      <c r="AB969" s="121"/>
      <c r="AC969" s="29" t="str">
        <f t="shared" si="5"/>
        <v>Sim</v>
      </c>
      <c r="AD969" s="37" t="str">
        <f t="shared" si="1"/>
        <v>Não</v>
      </c>
      <c r="AE969" s="94"/>
      <c r="AF969" s="94"/>
      <c r="AG969" s="95"/>
    </row>
    <row r="970" hidden="1">
      <c r="A970" s="115"/>
      <c r="B970" s="93"/>
      <c r="E970" s="116"/>
      <c r="F970" s="95"/>
      <c r="G970" s="95"/>
      <c r="H970" s="94"/>
      <c r="I970" s="94"/>
      <c r="J970" s="117"/>
      <c r="K970" s="118"/>
      <c r="L970" s="119"/>
      <c r="M970" s="94"/>
      <c r="N970" s="94"/>
      <c r="O970" s="93"/>
      <c r="P970" s="120" t="b">
        <v>0</v>
      </c>
      <c r="Q970" s="120" t="b">
        <v>0</v>
      </c>
      <c r="R970" s="120" t="b">
        <v>0</v>
      </c>
      <c r="S970" s="95"/>
      <c r="U970" s="120" t="b">
        <v>0</v>
      </c>
      <c r="V970" s="93"/>
      <c r="W970" s="93"/>
      <c r="X970" s="93"/>
      <c r="Y970" s="93"/>
      <c r="AA970" s="95"/>
      <c r="AB970" s="121"/>
      <c r="AC970" s="29" t="str">
        <f t="shared" si="5"/>
        <v>Sim</v>
      </c>
      <c r="AD970" s="37" t="str">
        <f t="shared" si="1"/>
        <v>Não</v>
      </c>
      <c r="AE970" s="94"/>
      <c r="AF970" s="94"/>
      <c r="AG970" s="95"/>
    </row>
    <row r="971" hidden="1">
      <c r="A971" s="115"/>
      <c r="B971" s="93"/>
      <c r="E971" s="116"/>
      <c r="F971" s="95"/>
      <c r="G971" s="95"/>
      <c r="H971" s="94"/>
      <c r="I971" s="94"/>
      <c r="J971" s="117"/>
      <c r="K971" s="118"/>
      <c r="L971" s="119"/>
      <c r="M971" s="94"/>
      <c r="N971" s="94"/>
      <c r="O971" s="93"/>
      <c r="P971" s="120" t="b">
        <v>0</v>
      </c>
      <c r="Q971" s="120" t="b">
        <v>0</v>
      </c>
      <c r="R971" s="120" t="b">
        <v>0</v>
      </c>
      <c r="S971" s="95"/>
      <c r="U971" s="120" t="b">
        <v>0</v>
      </c>
      <c r="V971" s="93"/>
      <c r="W971" s="93"/>
      <c r="X971" s="93"/>
      <c r="Y971" s="93"/>
      <c r="AA971" s="95"/>
      <c r="AB971" s="121"/>
      <c r="AC971" s="29" t="str">
        <f t="shared" si="5"/>
        <v>Sim</v>
      </c>
      <c r="AD971" s="37" t="str">
        <f t="shared" si="1"/>
        <v>Não</v>
      </c>
      <c r="AE971" s="94"/>
      <c r="AF971" s="94"/>
      <c r="AG971" s="95"/>
    </row>
    <row r="972" hidden="1">
      <c r="A972" s="115"/>
      <c r="B972" s="93"/>
      <c r="E972" s="116"/>
      <c r="F972" s="95"/>
      <c r="G972" s="95"/>
      <c r="H972" s="94"/>
      <c r="I972" s="94"/>
      <c r="J972" s="117"/>
      <c r="K972" s="118"/>
      <c r="L972" s="119"/>
      <c r="M972" s="94"/>
      <c r="N972" s="94"/>
      <c r="O972" s="93"/>
      <c r="P972" s="120" t="b">
        <v>0</v>
      </c>
      <c r="Q972" s="120" t="b">
        <v>0</v>
      </c>
      <c r="R972" s="120" t="b">
        <v>0</v>
      </c>
      <c r="S972" s="95"/>
      <c r="U972" s="120" t="b">
        <v>0</v>
      </c>
      <c r="V972" s="93"/>
      <c r="W972" s="93"/>
      <c r="X972" s="93"/>
      <c r="Y972" s="93"/>
      <c r="AA972" s="95"/>
      <c r="AB972" s="121"/>
      <c r="AC972" s="29" t="str">
        <f t="shared" si="5"/>
        <v>Sim</v>
      </c>
      <c r="AD972" s="37" t="str">
        <f t="shared" si="1"/>
        <v>Não</v>
      </c>
      <c r="AE972" s="94"/>
      <c r="AF972" s="94"/>
      <c r="AG972" s="95"/>
    </row>
    <row r="973" hidden="1">
      <c r="A973" s="115"/>
      <c r="B973" s="93"/>
      <c r="E973" s="116"/>
      <c r="F973" s="95"/>
      <c r="G973" s="95"/>
      <c r="H973" s="94"/>
      <c r="I973" s="94"/>
      <c r="J973" s="117"/>
      <c r="K973" s="118"/>
      <c r="L973" s="119"/>
      <c r="M973" s="94"/>
      <c r="N973" s="94"/>
      <c r="O973" s="93"/>
      <c r="P973" s="120" t="b">
        <v>0</v>
      </c>
      <c r="Q973" s="120" t="b">
        <v>0</v>
      </c>
      <c r="R973" s="120" t="b">
        <v>0</v>
      </c>
      <c r="S973" s="95"/>
      <c r="U973" s="120" t="b">
        <v>0</v>
      </c>
      <c r="V973" s="93"/>
      <c r="W973" s="93"/>
      <c r="X973" s="93"/>
      <c r="Y973" s="93"/>
      <c r="AA973" s="95"/>
      <c r="AB973" s="121"/>
      <c r="AC973" s="29" t="str">
        <f t="shared" si="5"/>
        <v>Sim</v>
      </c>
      <c r="AD973" s="37" t="str">
        <f t="shared" si="1"/>
        <v>Não</v>
      </c>
      <c r="AE973" s="94"/>
      <c r="AF973" s="94"/>
      <c r="AG973" s="95"/>
    </row>
    <row r="974" hidden="1">
      <c r="A974" s="115"/>
      <c r="B974" s="93"/>
      <c r="E974" s="116"/>
      <c r="F974" s="95"/>
      <c r="G974" s="95"/>
      <c r="H974" s="94"/>
      <c r="I974" s="94"/>
      <c r="J974" s="117"/>
      <c r="K974" s="118"/>
      <c r="L974" s="119"/>
      <c r="M974" s="94"/>
      <c r="N974" s="94"/>
      <c r="O974" s="93"/>
      <c r="P974" s="120" t="b">
        <v>0</v>
      </c>
      <c r="Q974" s="120" t="b">
        <v>0</v>
      </c>
      <c r="R974" s="120" t="b">
        <v>0</v>
      </c>
      <c r="S974" s="95"/>
      <c r="U974" s="120" t="b">
        <v>0</v>
      </c>
      <c r="V974" s="93"/>
      <c r="W974" s="93"/>
      <c r="X974" s="93"/>
      <c r="Y974" s="93"/>
      <c r="AA974" s="95"/>
      <c r="AB974" s="121"/>
      <c r="AC974" s="29" t="str">
        <f t="shared" si="5"/>
        <v>Sim</v>
      </c>
      <c r="AD974" s="37" t="str">
        <f t="shared" si="1"/>
        <v>Não</v>
      </c>
      <c r="AE974" s="94"/>
      <c r="AF974" s="94"/>
      <c r="AG974" s="95"/>
    </row>
    <row r="975" hidden="1">
      <c r="A975" s="115"/>
      <c r="B975" s="93"/>
      <c r="E975" s="116"/>
      <c r="F975" s="95"/>
      <c r="G975" s="95"/>
      <c r="H975" s="94"/>
      <c r="I975" s="94"/>
      <c r="J975" s="117"/>
      <c r="K975" s="118"/>
      <c r="L975" s="119"/>
      <c r="M975" s="94"/>
      <c r="N975" s="94"/>
      <c r="O975" s="93"/>
      <c r="P975" s="120" t="b">
        <v>0</v>
      </c>
      <c r="Q975" s="120" t="b">
        <v>0</v>
      </c>
      <c r="R975" s="120" t="b">
        <v>0</v>
      </c>
      <c r="S975" s="95"/>
      <c r="U975" s="120" t="b">
        <v>0</v>
      </c>
      <c r="V975" s="93"/>
      <c r="W975" s="93"/>
      <c r="X975" s="93"/>
      <c r="Y975" s="93"/>
      <c r="AA975" s="95"/>
      <c r="AB975" s="121"/>
      <c r="AC975" s="29" t="str">
        <f t="shared" si="5"/>
        <v>Sim</v>
      </c>
      <c r="AD975" s="37" t="str">
        <f t="shared" si="1"/>
        <v>Não</v>
      </c>
      <c r="AE975" s="94"/>
      <c r="AF975" s="94"/>
      <c r="AG975" s="95"/>
    </row>
    <row r="976" hidden="1">
      <c r="A976" s="115"/>
      <c r="B976" s="93"/>
      <c r="E976" s="116"/>
      <c r="F976" s="95"/>
      <c r="G976" s="95"/>
      <c r="H976" s="94"/>
      <c r="I976" s="94"/>
      <c r="J976" s="117"/>
      <c r="K976" s="118"/>
      <c r="L976" s="119"/>
      <c r="M976" s="94"/>
      <c r="N976" s="94"/>
      <c r="O976" s="93"/>
      <c r="P976" s="120" t="b">
        <v>0</v>
      </c>
      <c r="Q976" s="120" t="b">
        <v>0</v>
      </c>
      <c r="R976" s="120" t="b">
        <v>0</v>
      </c>
      <c r="S976" s="95"/>
      <c r="U976" s="120" t="b">
        <v>0</v>
      </c>
      <c r="V976" s="93"/>
      <c r="W976" s="93"/>
      <c r="X976" s="93"/>
      <c r="Y976" s="93"/>
      <c r="AA976" s="95"/>
      <c r="AB976" s="121"/>
      <c r="AC976" s="29" t="str">
        <f t="shared" si="5"/>
        <v>Sim</v>
      </c>
      <c r="AD976" s="37" t="str">
        <f t="shared" si="1"/>
        <v>Não</v>
      </c>
      <c r="AE976" s="94"/>
      <c r="AF976" s="94"/>
      <c r="AG976" s="95"/>
    </row>
    <row r="977" hidden="1">
      <c r="A977" s="115"/>
      <c r="B977" s="93"/>
      <c r="E977" s="116"/>
      <c r="F977" s="95"/>
      <c r="G977" s="95"/>
      <c r="H977" s="94"/>
      <c r="I977" s="94"/>
      <c r="J977" s="117"/>
      <c r="K977" s="118"/>
      <c r="L977" s="119"/>
      <c r="M977" s="94"/>
      <c r="N977" s="94"/>
      <c r="O977" s="93"/>
      <c r="P977" s="120" t="b">
        <v>0</v>
      </c>
      <c r="Q977" s="120" t="b">
        <v>0</v>
      </c>
      <c r="R977" s="120" t="b">
        <v>0</v>
      </c>
      <c r="S977" s="95"/>
      <c r="U977" s="120" t="b">
        <v>0</v>
      </c>
      <c r="V977" s="93"/>
      <c r="W977" s="93"/>
      <c r="X977" s="93"/>
      <c r="Y977" s="93"/>
      <c r="AA977" s="95"/>
      <c r="AB977" s="121"/>
      <c r="AC977" s="29" t="str">
        <f t="shared" si="5"/>
        <v>Sim</v>
      </c>
      <c r="AD977" s="37" t="str">
        <f t="shared" si="1"/>
        <v>Não</v>
      </c>
      <c r="AE977" s="94"/>
      <c r="AF977" s="94"/>
      <c r="AG977" s="95"/>
    </row>
    <row r="978" hidden="1">
      <c r="A978" s="115"/>
      <c r="B978" s="93"/>
      <c r="E978" s="116"/>
      <c r="F978" s="95"/>
      <c r="G978" s="95"/>
      <c r="H978" s="94"/>
      <c r="I978" s="94"/>
      <c r="J978" s="117"/>
      <c r="K978" s="118"/>
      <c r="L978" s="119"/>
      <c r="M978" s="94"/>
      <c r="N978" s="94"/>
      <c r="O978" s="93"/>
      <c r="P978" s="120" t="b">
        <v>0</v>
      </c>
      <c r="Q978" s="120" t="b">
        <v>0</v>
      </c>
      <c r="R978" s="120" t="b">
        <v>0</v>
      </c>
      <c r="S978" s="95"/>
      <c r="U978" s="120" t="b">
        <v>0</v>
      </c>
      <c r="V978" s="93"/>
      <c r="W978" s="93"/>
      <c r="X978" s="93"/>
      <c r="Y978" s="93"/>
      <c r="AA978" s="95"/>
      <c r="AB978" s="121"/>
      <c r="AC978" s="29" t="str">
        <f t="shared" si="5"/>
        <v>Sim</v>
      </c>
      <c r="AD978" s="37" t="str">
        <f t="shared" si="1"/>
        <v>Não</v>
      </c>
      <c r="AE978" s="94"/>
      <c r="AF978" s="94"/>
      <c r="AG978" s="95"/>
    </row>
    <row r="979" hidden="1">
      <c r="A979" s="115"/>
      <c r="B979" s="93"/>
      <c r="E979" s="116"/>
      <c r="F979" s="95"/>
      <c r="G979" s="95"/>
      <c r="H979" s="94"/>
      <c r="I979" s="94"/>
      <c r="J979" s="117"/>
      <c r="K979" s="118"/>
      <c r="L979" s="119"/>
      <c r="M979" s="94"/>
      <c r="N979" s="94"/>
      <c r="O979" s="93"/>
      <c r="P979" s="120" t="b">
        <v>0</v>
      </c>
      <c r="Q979" s="120" t="b">
        <v>0</v>
      </c>
      <c r="R979" s="120" t="b">
        <v>0</v>
      </c>
      <c r="S979" s="95"/>
      <c r="U979" s="120" t="b">
        <v>0</v>
      </c>
      <c r="V979" s="93"/>
      <c r="W979" s="93"/>
      <c r="X979" s="93"/>
      <c r="Y979" s="93"/>
      <c r="AA979" s="95"/>
      <c r="AB979" s="121"/>
      <c r="AC979" s="29" t="str">
        <f t="shared" si="5"/>
        <v>Sim</v>
      </c>
      <c r="AD979" s="37" t="str">
        <f t="shared" si="1"/>
        <v>Não</v>
      </c>
      <c r="AE979" s="94"/>
      <c r="AF979" s="94"/>
      <c r="AG979" s="95"/>
    </row>
    <row r="980" hidden="1">
      <c r="A980" s="115"/>
      <c r="B980" s="93"/>
      <c r="E980" s="116"/>
      <c r="F980" s="95"/>
      <c r="G980" s="95"/>
      <c r="H980" s="94"/>
      <c r="I980" s="94"/>
      <c r="J980" s="117"/>
      <c r="K980" s="118"/>
      <c r="L980" s="119"/>
      <c r="M980" s="94"/>
      <c r="N980" s="94"/>
      <c r="O980" s="93"/>
      <c r="P980" s="120" t="b">
        <v>0</v>
      </c>
      <c r="Q980" s="120" t="b">
        <v>0</v>
      </c>
      <c r="R980" s="120" t="b">
        <v>0</v>
      </c>
      <c r="S980" s="95"/>
      <c r="U980" s="120" t="b">
        <v>0</v>
      </c>
      <c r="V980" s="93"/>
      <c r="W980" s="93"/>
      <c r="X980" s="93"/>
      <c r="Y980" s="93"/>
      <c r="AA980" s="95"/>
      <c r="AB980" s="121"/>
      <c r="AC980" s="29" t="str">
        <f t="shared" si="5"/>
        <v>Sim</v>
      </c>
      <c r="AD980" s="37" t="str">
        <f t="shared" si="1"/>
        <v>Não</v>
      </c>
      <c r="AE980" s="94"/>
      <c r="AF980" s="94"/>
      <c r="AG980" s="95"/>
    </row>
    <row r="981" hidden="1">
      <c r="A981" s="115"/>
      <c r="B981" s="93"/>
      <c r="E981" s="116"/>
      <c r="F981" s="95"/>
      <c r="G981" s="95"/>
      <c r="H981" s="94"/>
      <c r="I981" s="94"/>
      <c r="J981" s="117"/>
      <c r="K981" s="118"/>
      <c r="L981" s="119"/>
      <c r="M981" s="94"/>
      <c r="N981" s="94"/>
      <c r="O981" s="93"/>
      <c r="P981" s="120" t="b">
        <v>0</v>
      </c>
      <c r="Q981" s="120" t="b">
        <v>0</v>
      </c>
      <c r="R981" s="120" t="b">
        <v>0</v>
      </c>
      <c r="S981" s="95"/>
      <c r="U981" s="120" t="b">
        <v>0</v>
      </c>
      <c r="V981" s="93"/>
      <c r="W981" s="93"/>
      <c r="X981" s="93"/>
      <c r="Y981" s="93"/>
      <c r="AA981" s="95"/>
      <c r="AB981" s="121"/>
      <c r="AC981" s="29" t="str">
        <f t="shared" si="5"/>
        <v>Sim</v>
      </c>
      <c r="AD981" s="37" t="str">
        <f t="shared" si="1"/>
        <v>Não</v>
      </c>
      <c r="AE981" s="94"/>
      <c r="AF981" s="94"/>
      <c r="AG981" s="95"/>
    </row>
    <row r="982" hidden="1">
      <c r="A982" s="115"/>
      <c r="B982" s="93"/>
      <c r="E982" s="116"/>
      <c r="F982" s="95"/>
      <c r="G982" s="95"/>
      <c r="H982" s="94"/>
      <c r="I982" s="94"/>
      <c r="J982" s="117"/>
      <c r="K982" s="118"/>
      <c r="L982" s="119"/>
      <c r="M982" s="94"/>
      <c r="N982" s="94"/>
      <c r="O982" s="93"/>
      <c r="P982" s="120" t="b">
        <v>0</v>
      </c>
      <c r="Q982" s="120" t="b">
        <v>0</v>
      </c>
      <c r="R982" s="120" t="b">
        <v>0</v>
      </c>
      <c r="S982" s="95"/>
      <c r="U982" s="120" t="b">
        <v>0</v>
      </c>
      <c r="V982" s="93"/>
      <c r="W982" s="93"/>
      <c r="X982" s="93"/>
      <c r="Y982" s="93"/>
      <c r="AA982" s="95"/>
      <c r="AB982" s="121"/>
      <c r="AC982" s="29" t="str">
        <f t="shared" si="5"/>
        <v>Sim</v>
      </c>
      <c r="AD982" s="37" t="str">
        <f t="shared" si="1"/>
        <v>Não</v>
      </c>
      <c r="AE982" s="94"/>
      <c r="AF982" s="94"/>
      <c r="AG982" s="95"/>
    </row>
    <row r="983" hidden="1">
      <c r="A983" s="115"/>
      <c r="B983" s="93"/>
      <c r="E983" s="116"/>
      <c r="F983" s="95"/>
      <c r="G983" s="95"/>
      <c r="H983" s="94"/>
      <c r="I983" s="94"/>
      <c r="J983" s="117"/>
      <c r="K983" s="118"/>
      <c r="L983" s="119"/>
      <c r="M983" s="94"/>
      <c r="N983" s="94"/>
      <c r="O983" s="93"/>
      <c r="P983" s="120" t="b">
        <v>0</v>
      </c>
      <c r="Q983" s="120" t="b">
        <v>0</v>
      </c>
      <c r="R983" s="120" t="b">
        <v>0</v>
      </c>
      <c r="S983" s="95"/>
      <c r="U983" s="120" t="b">
        <v>0</v>
      </c>
      <c r="V983" s="93"/>
      <c r="W983" s="93"/>
      <c r="X983" s="93"/>
      <c r="Y983" s="93"/>
      <c r="AA983" s="95"/>
      <c r="AB983" s="121"/>
      <c r="AC983" s="29" t="str">
        <f t="shared" si="5"/>
        <v>Sim</v>
      </c>
      <c r="AD983" s="37" t="str">
        <f t="shared" si="1"/>
        <v>Não</v>
      </c>
      <c r="AE983" s="94"/>
      <c r="AF983" s="94"/>
      <c r="AG983" s="95"/>
    </row>
    <row r="984" hidden="1">
      <c r="A984" s="115"/>
      <c r="B984" s="93"/>
      <c r="E984" s="116"/>
      <c r="F984" s="95"/>
      <c r="G984" s="95"/>
      <c r="H984" s="94"/>
      <c r="I984" s="94"/>
      <c r="J984" s="117"/>
      <c r="K984" s="118"/>
      <c r="L984" s="119"/>
      <c r="M984" s="94"/>
      <c r="N984" s="94"/>
      <c r="O984" s="93"/>
      <c r="P984" s="120" t="b">
        <v>0</v>
      </c>
      <c r="Q984" s="120" t="b">
        <v>0</v>
      </c>
      <c r="R984" s="120" t="b">
        <v>0</v>
      </c>
      <c r="S984" s="95"/>
      <c r="U984" s="120" t="b">
        <v>0</v>
      </c>
      <c r="V984" s="93"/>
      <c r="W984" s="93"/>
      <c r="X984" s="93"/>
      <c r="Y984" s="93"/>
      <c r="AA984" s="95"/>
      <c r="AB984" s="121"/>
      <c r="AC984" s="29" t="str">
        <f t="shared" si="5"/>
        <v>Sim</v>
      </c>
      <c r="AD984" s="37" t="str">
        <f t="shared" si="1"/>
        <v>Não</v>
      </c>
      <c r="AE984" s="94"/>
      <c r="AF984" s="94"/>
      <c r="AG984" s="95"/>
    </row>
    <row r="985" hidden="1">
      <c r="A985" s="115"/>
      <c r="B985" s="93"/>
      <c r="E985" s="116"/>
      <c r="F985" s="95"/>
      <c r="G985" s="95"/>
      <c r="H985" s="94"/>
      <c r="I985" s="94"/>
      <c r="J985" s="117"/>
      <c r="K985" s="118"/>
      <c r="L985" s="119"/>
      <c r="M985" s="94"/>
      <c r="N985" s="94"/>
      <c r="O985" s="93"/>
      <c r="P985" s="120" t="b">
        <v>0</v>
      </c>
      <c r="Q985" s="120" t="b">
        <v>0</v>
      </c>
      <c r="R985" s="120" t="b">
        <v>0</v>
      </c>
      <c r="S985" s="95"/>
      <c r="U985" s="120" t="b">
        <v>0</v>
      </c>
      <c r="V985" s="93"/>
      <c r="W985" s="93"/>
      <c r="X985" s="93"/>
      <c r="Y985" s="93"/>
      <c r="AA985" s="95"/>
      <c r="AB985" s="121"/>
      <c r="AC985" s="29" t="str">
        <f t="shared" si="5"/>
        <v>Sim</v>
      </c>
      <c r="AD985" s="37" t="str">
        <f t="shared" si="1"/>
        <v>Não</v>
      </c>
      <c r="AE985" s="94"/>
      <c r="AF985" s="94"/>
      <c r="AG985" s="95"/>
    </row>
    <row r="986" hidden="1">
      <c r="A986" s="115"/>
      <c r="B986" s="93"/>
      <c r="E986" s="116"/>
      <c r="F986" s="95"/>
      <c r="G986" s="95"/>
      <c r="H986" s="94"/>
      <c r="I986" s="94"/>
      <c r="J986" s="117"/>
      <c r="K986" s="118"/>
      <c r="L986" s="119"/>
      <c r="M986" s="94"/>
      <c r="N986" s="94"/>
      <c r="O986" s="93"/>
      <c r="P986" s="120" t="b">
        <v>0</v>
      </c>
      <c r="Q986" s="120" t="b">
        <v>0</v>
      </c>
      <c r="R986" s="120" t="b">
        <v>0</v>
      </c>
      <c r="S986" s="95"/>
      <c r="U986" s="120" t="b">
        <v>0</v>
      </c>
      <c r="V986" s="93"/>
      <c r="W986" s="93"/>
      <c r="X986" s="93"/>
      <c r="Y986" s="93"/>
      <c r="AA986" s="95"/>
      <c r="AB986" s="121"/>
      <c r="AC986" s="29" t="str">
        <f t="shared" si="5"/>
        <v>Sim</v>
      </c>
      <c r="AD986" s="37" t="str">
        <f t="shared" si="1"/>
        <v>Não</v>
      </c>
      <c r="AE986" s="94"/>
      <c r="AF986" s="94"/>
      <c r="AG986" s="95"/>
    </row>
    <row r="987" hidden="1">
      <c r="A987" s="115"/>
      <c r="B987" s="93"/>
      <c r="E987" s="116"/>
      <c r="F987" s="95"/>
      <c r="G987" s="95"/>
      <c r="H987" s="94"/>
      <c r="I987" s="94"/>
      <c r="J987" s="117"/>
      <c r="K987" s="118"/>
      <c r="L987" s="119"/>
      <c r="M987" s="94"/>
      <c r="N987" s="94"/>
      <c r="O987" s="93"/>
      <c r="P987" s="120" t="b">
        <v>0</v>
      </c>
      <c r="Q987" s="120" t="b">
        <v>0</v>
      </c>
      <c r="R987" s="120" t="b">
        <v>0</v>
      </c>
      <c r="S987" s="95"/>
      <c r="U987" s="120" t="b">
        <v>0</v>
      </c>
      <c r="V987" s="93"/>
      <c r="W987" s="93"/>
      <c r="X987" s="93"/>
      <c r="Y987" s="93"/>
      <c r="AA987" s="95"/>
      <c r="AB987" s="121"/>
      <c r="AC987" s="29" t="str">
        <f t="shared" si="5"/>
        <v>Sim</v>
      </c>
      <c r="AD987" s="37" t="str">
        <f t="shared" si="1"/>
        <v>Não</v>
      </c>
      <c r="AE987" s="94"/>
      <c r="AF987" s="94"/>
      <c r="AG987" s="95"/>
    </row>
    <row r="988" hidden="1">
      <c r="A988" s="115"/>
      <c r="B988" s="93"/>
      <c r="E988" s="116"/>
      <c r="F988" s="95"/>
      <c r="G988" s="95"/>
      <c r="H988" s="94"/>
      <c r="I988" s="94"/>
      <c r="J988" s="117"/>
      <c r="K988" s="118"/>
      <c r="L988" s="119"/>
      <c r="M988" s="94"/>
      <c r="N988" s="94"/>
      <c r="O988" s="93"/>
      <c r="P988" s="120" t="b">
        <v>0</v>
      </c>
      <c r="Q988" s="120" t="b">
        <v>0</v>
      </c>
      <c r="R988" s="120" t="b">
        <v>0</v>
      </c>
      <c r="S988" s="95"/>
      <c r="U988" s="120" t="b">
        <v>0</v>
      </c>
      <c r="V988" s="93"/>
      <c r="W988" s="93"/>
      <c r="X988" s="93"/>
      <c r="Y988" s="93"/>
      <c r="AA988" s="95"/>
      <c r="AB988" s="121"/>
      <c r="AC988" s="29" t="str">
        <f t="shared" si="5"/>
        <v>Sim</v>
      </c>
      <c r="AD988" s="37" t="str">
        <f t="shared" si="1"/>
        <v>Não</v>
      </c>
      <c r="AE988" s="94"/>
      <c r="AF988" s="94"/>
      <c r="AG988" s="95"/>
    </row>
    <row r="989" hidden="1">
      <c r="A989" s="115"/>
      <c r="B989" s="93"/>
      <c r="E989" s="116"/>
      <c r="F989" s="95"/>
      <c r="G989" s="95"/>
      <c r="H989" s="94"/>
      <c r="I989" s="94"/>
      <c r="J989" s="117"/>
      <c r="K989" s="118"/>
      <c r="L989" s="119"/>
      <c r="M989" s="94"/>
      <c r="N989" s="94"/>
      <c r="O989" s="93"/>
      <c r="P989" s="120" t="b">
        <v>0</v>
      </c>
      <c r="Q989" s="120" t="b">
        <v>0</v>
      </c>
      <c r="R989" s="120" t="b">
        <v>0</v>
      </c>
      <c r="S989" s="95"/>
      <c r="U989" s="120" t="b">
        <v>0</v>
      </c>
      <c r="V989" s="93"/>
      <c r="W989" s="93"/>
      <c r="X989" s="93"/>
      <c r="Y989" s="93"/>
      <c r="AA989" s="95"/>
      <c r="AB989" s="121"/>
      <c r="AC989" s="29" t="str">
        <f t="shared" si="5"/>
        <v>Sim</v>
      </c>
      <c r="AD989" s="37" t="str">
        <f t="shared" si="1"/>
        <v>Não</v>
      </c>
      <c r="AE989" s="94"/>
      <c r="AF989" s="94"/>
      <c r="AG989" s="95"/>
    </row>
    <row r="990" hidden="1">
      <c r="A990" s="115"/>
      <c r="B990" s="93"/>
      <c r="E990" s="116"/>
      <c r="F990" s="95"/>
      <c r="G990" s="95"/>
      <c r="H990" s="94"/>
      <c r="I990" s="94"/>
      <c r="J990" s="117"/>
      <c r="K990" s="118"/>
      <c r="L990" s="119"/>
      <c r="M990" s="94"/>
      <c r="N990" s="94"/>
      <c r="O990" s="93"/>
      <c r="P990" s="120" t="b">
        <v>0</v>
      </c>
      <c r="Q990" s="120" t="b">
        <v>0</v>
      </c>
      <c r="R990" s="120" t="b">
        <v>0</v>
      </c>
      <c r="S990" s="95"/>
      <c r="U990" s="120" t="b">
        <v>0</v>
      </c>
      <c r="V990" s="93"/>
      <c r="W990" s="93"/>
      <c r="X990" s="93"/>
      <c r="Y990" s="93"/>
      <c r="AA990" s="95"/>
      <c r="AB990" s="121"/>
      <c r="AC990" s="29" t="str">
        <f t="shared" si="5"/>
        <v>Sim</v>
      </c>
      <c r="AD990" s="37" t="str">
        <f t="shared" si="1"/>
        <v>Não</v>
      </c>
      <c r="AE990" s="94"/>
      <c r="AF990" s="94"/>
      <c r="AG990" s="95"/>
    </row>
    <row r="991" hidden="1">
      <c r="A991" s="115"/>
      <c r="B991" s="93"/>
      <c r="E991" s="116"/>
      <c r="F991" s="95"/>
      <c r="G991" s="95"/>
      <c r="H991" s="94"/>
      <c r="I991" s="94"/>
      <c r="J991" s="117"/>
      <c r="K991" s="118"/>
      <c r="L991" s="119"/>
      <c r="M991" s="94"/>
      <c r="N991" s="94"/>
      <c r="O991" s="93"/>
      <c r="P991" s="120" t="b">
        <v>0</v>
      </c>
      <c r="Q991" s="120" t="b">
        <v>0</v>
      </c>
      <c r="R991" s="120" t="b">
        <v>0</v>
      </c>
      <c r="S991" s="95"/>
      <c r="U991" s="120" t="b">
        <v>0</v>
      </c>
      <c r="V991" s="93"/>
      <c r="W991" s="93"/>
      <c r="X991" s="93"/>
      <c r="Y991" s="93"/>
      <c r="AA991" s="95"/>
      <c r="AB991" s="121"/>
      <c r="AC991" s="29" t="str">
        <f t="shared" si="5"/>
        <v>Sim</v>
      </c>
      <c r="AD991" s="37" t="str">
        <f t="shared" si="1"/>
        <v>Não</v>
      </c>
      <c r="AE991" s="94"/>
      <c r="AF991" s="94"/>
      <c r="AG991" s="95"/>
    </row>
    <row r="992" hidden="1">
      <c r="A992" s="115"/>
      <c r="B992" s="93"/>
      <c r="E992" s="116"/>
      <c r="F992" s="95"/>
      <c r="G992" s="95"/>
      <c r="H992" s="94"/>
      <c r="I992" s="94"/>
      <c r="J992" s="117"/>
      <c r="K992" s="118"/>
      <c r="L992" s="119"/>
      <c r="M992" s="94"/>
      <c r="N992" s="94"/>
      <c r="O992" s="93"/>
      <c r="P992" s="120" t="b">
        <v>0</v>
      </c>
      <c r="Q992" s="120" t="b">
        <v>0</v>
      </c>
      <c r="R992" s="120" t="b">
        <v>0</v>
      </c>
      <c r="S992" s="95"/>
      <c r="U992" s="120" t="b">
        <v>0</v>
      </c>
      <c r="V992" s="93"/>
      <c r="W992" s="93"/>
      <c r="X992" s="93"/>
      <c r="Y992" s="93"/>
      <c r="AA992" s="95"/>
      <c r="AB992" s="121"/>
      <c r="AC992" s="29" t="str">
        <f t="shared" si="5"/>
        <v>Sim</v>
      </c>
      <c r="AD992" s="37" t="str">
        <f t="shared" si="1"/>
        <v>Não</v>
      </c>
      <c r="AE992" s="94"/>
      <c r="AF992" s="94"/>
      <c r="AG992" s="95"/>
    </row>
    <row r="993" hidden="1">
      <c r="A993" s="115"/>
      <c r="B993" s="93"/>
      <c r="E993" s="116"/>
      <c r="F993" s="95"/>
      <c r="G993" s="95"/>
      <c r="H993" s="94"/>
      <c r="I993" s="94"/>
      <c r="J993" s="117"/>
      <c r="K993" s="118"/>
      <c r="L993" s="119"/>
      <c r="M993" s="94"/>
      <c r="N993" s="94"/>
      <c r="O993" s="93"/>
      <c r="P993" s="120" t="b">
        <v>0</v>
      </c>
      <c r="Q993" s="120" t="b">
        <v>0</v>
      </c>
      <c r="R993" s="120" t="b">
        <v>0</v>
      </c>
      <c r="S993" s="95"/>
      <c r="U993" s="120" t="b">
        <v>0</v>
      </c>
      <c r="V993" s="93"/>
      <c r="W993" s="93"/>
      <c r="X993" s="93"/>
      <c r="Y993" s="93"/>
      <c r="AA993" s="95"/>
      <c r="AB993" s="121"/>
      <c r="AC993" s="29" t="str">
        <f t="shared" si="5"/>
        <v>Sim</v>
      </c>
      <c r="AD993" s="37" t="str">
        <f t="shared" si="1"/>
        <v>Não</v>
      </c>
      <c r="AE993" s="94"/>
      <c r="AF993" s="94"/>
      <c r="AG993" s="95"/>
    </row>
    <row r="994" hidden="1">
      <c r="A994" s="115"/>
      <c r="B994" s="93"/>
      <c r="E994" s="116"/>
      <c r="F994" s="95"/>
      <c r="G994" s="95"/>
      <c r="H994" s="94"/>
      <c r="I994" s="94"/>
      <c r="J994" s="117"/>
      <c r="K994" s="118"/>
      <c r="L994" s="119"/>
      <c r="M994" s="94"/>
      <c r="N994" s="94"/>
      <c r="O994" s="93"/>
      <c r="P994" s="120" t="b">
        <v>0</v>
      </c>
      <c r="Q994" s="120" t="b">
        <v>0</v>
      </c>
      <c r="R994" s="120" t="b">
        <v>0</v>
      </c>
      <c r="S994" s="95"/>
      <c r="U994" s="120" t="b">
        <v>0</v>
      </c>
      <c r="V994" s="93"/>
      <c r="W994" s="93"/>
      <c r="X994" s="93"/>
      <c r="Y994" s="93"/>
      <c r="AA994" s="95"/>
      <c r="AB994" s="121"/>
      <c r="AC994" s="29" t="str">
        <f t="shared" si="5"/>
        <v>Sim</v>
      </c>
      <c r="AD994" s="37" t="str">
        <f t="shared" si="1"/>
        <v>Não</v>
      </c>
      <c r="AE994" s="94"/>
      <c r="AF994" s="94"/>
      <c r="AG994" s="95"/>
    </row>
    <row r="995" hidden="1">
      <c r="A995" s="115"/>
      <c r="B995" s="93"/>
      <c r="E995" s="116"/>
      <c r="F995" s="95"/>
      <c r="G995" s="95"/>
      <c r="H995" s="94"/>
      <c r="I995" s="94"/>
      <c r="J995" s="117"/>
      <c r="K995" s="118"/>
      <c r="L995" s="119"/>
      <c r="M995" s="94"/>
      <c r="N995" s="94"/>
      <c r="O995" s="93"/>
      <c r="P995" s="120" t="b">
        <v>0</v>
      </c>
      <c r="Q995" s="120" t="b">
        <v>0</v>
      </c>
      <c r="R995" s="120" t="b">
        <v>0</v>
      </c>
      <c r="S995" s="95"/>
      <c r="U995" s="120" t="b">
        <v>0</v>
      </c>
      <c r="V995" s="93"/>
      <c r="W995" s="93"/>
      <c r="X995" s="93"/>
      <c r="Y995" s="93"/>
      <c r="AA995" s="95"/>
      <c r="AB995" s="121"/>
      <c r="AC995" s="29" t="str">
        <f t="shared" si="5"/>
        <v>Sim</v>
      </c>
      <c r="AD995" s="37" t="str">
        <f t="shared" si="1"/>
        <v>Não</v>
      </c>
      <c r="AE995" s="94"/>
      <c r="AF995" s="94"/>
      <c r="AG995" s="95"/>
    </row>
    <row r="996" hidden="1">
      <c r="A996" s="115"/>
      <c r="B996" s="93"/>
      <c r="E996" s="116"/>
      <c r="F996" s="95"/>
      <c r="G996" s="95"/>
      <c r="H996" s="94"/>
      <c r="I996" s="94"/>
      <c r="J996" s="117"/>
      <c r="K996" s="118"/>
      <c r="L996" s="119"/>
      <c r="M996" s="94"/>
      <c r="N996" s="94"/>
      <c r="O996" s="93"/>
      <c r="P996" s="120" t="b">
        <v>0</v>
      </c>
      <c r="Q996" s="120" t="b">
        <v>0</v>
      </c>
      <c r="R996" s="120" t="b">
        <v>0</v>
      </c>
      <c r="S996" s="95"/>
      <c r="U996" s="120" t="b">
        <v>0</v>
      </c>
      <c r="V996" s="93"/>
      <c r="W996" s="93"/>
      <c r="X996" s="93"/>
      <c r="Y996" s="93"/>
      <c r="AA996" s="95"/>
      <c r="AB996" s="121"/>
      <c r="AC996" s="29" t="str">
        <f t="shared" si="5"/>
        <v>Sim</v>
      </c>
      <c r="AD996" s="37" t="str">
        <f t="shared" si="1"/>
        <v>Não</v>
      </c>
      <c r="AE996" s="94"/>
      <c r="AF996" s="94"/>
      <c r="AG996" s="95"/>
    </row>
    <row r="997" hidden="1">
      <c r="A997" s="115"/>
      <c r="B997" s="93"/>
      <c r="E997" s="116"/>
      <c r="F997" s="95"/>
      <c r="G997" s="95"/>
      <c r="H997" s="94"/>
      <c r="I997" s="94"/>
      <c r="J997" s="117"/>
      <c r="K997" s="118"/>
      <c r="L997" s="119"/>
      <c r="M997" s="94"/>
      <c r="N997" s="94"/>
      <c r="O997" s="93"/>
      <c r="P997" s="120" t="b">
        <v>0</v>
      </c>
      <c r="Q997" s="120" t="b">
        <v>0</v>
      </c>
      <c r="R997" s="120" t="b">
        <v>0</v>
      </c>
      <c r="S997" s="95"/>
      <c r="U997" s="120" t="b">
        <v>0</v>
      </c>
      <c r="V997" s="93"/>
      <c r="W997" s="93"/>
      <c r="X997" s="93"/>
      <c r="Y997" s="93"/>
      <c r="AA997" s="95"/>
      <c r="AB997" s="121"/>
      <c r="AC997" s="29" t="str">
        <f t="shared" si="5"/>
        <v>Sim</v>
      </c>
      <c r="AD997" s="37" t="str">
        <f t="shared" si="1"/>
        <v>Não</v>
      </c>
      <c r="AE997" s="94"/>
      <c r="AF997" s="94"/>
      <c r="AG997" s="95"/>
    </row>
    <row r="998" hidden="1">
      <c r="A998" s="115"/>
      <c r="B998" s="93"/>
      <c r="E998" s="116"/>
      <c r="F998" s="95"/>
      <c r="G998" s="95"/>
      <c r="H998" s="94"/>
      <c r="I998" s="94"/>
      <c r="J998" s="117"/>
      <c r="K998" s="118"/>
      <c r="L998" s="119"/>
      <c r="M998" s="94"/>
      <c r="N998" s="94"/>
      <c r="O998" s="93"/>
      <c r="P998" s="120" t="b">
        <v>0</v>
      </c>
      <c r="Q998" s="120" t="b">
        <v>0</v>
      </c>
      <c r="R998" s="120" t="b">
        <v>0</v>
      </c>
      <c r="S998" s="95"/>
      <c r="U998" s="120" t="b">
        <v>0</v>
      </c>
      <c r="V998" s="93"/>
      <c r="W998" s="93"/>
      <c r="X998" s="93"/>
      <c r="Y998" s="93"/>
      <c r="AA998" s="95"/>
      <c r="AB998" s="121"/>
      <c r="AC998" s="29" t="str">
        <f t="shared" si="5"/>
        <v>Sim</v>
      </c>
      <c r="AD998" s="37" t="str">
        <f t="shared" si="1"/>
        <v>Não</v>
      </c>
      <c r="AE998" s="94"/>
      <c r="AF998" s="94"/>
      <c r="AG998" s="95"/>
    </row>
    <row r="999" hidden="1">
      <c r="A999" s="115"/>
      <c r="B999" s="93"/>
      <c r="E999" s="116"/>
      <c r="F999" s="95"/>
      <c r="G999" s="95"/>
      <c r="H999" s="94"/>
      <c r="I999" s="94"/>
      <c r="J999" s="117"/>
      <c r="K999" s="118"/>
      <c r="L999" s="119"/>
      <c r="M999" s="94"/>
      <c r="N999" s="94"/>
      <c r="O999" s="93"/>
      <c r="P999" s="120" t="b">
        <v>0</v>
      </c>
      <c r="Q999" s="120" t="b">
        <v>0</v>
      </c>
      <c r="R999" s="120" t="b">
        <v>0</v>
      </c>
      <c r="S999" s="95"/>
      <c r="U999" s="120" t="b">
        <v>0</v>
      </c>
      <c r="V999" s="93"/>
      <c r="W999" s="93"/>
      <c r="X999" s="93"/>
      <c r="Y999" s="93"/>
      <c r="AA999" s="95"/>
      <c r="AB999" s="121"/>
      <c r="AC999" s="29" t="str">
        <f t="shared" si="5"/>
        <v>Sim</v>
      </c>
      <c r="AD999" s="37" t="str">
        <f t="shared" si="1"/>
        <v>Não</v>
      </c>
      <c r="AE999" s="94"/>
      <c r="AF999" s="94"/>
      <c r="AG999" s="95"/>
    </row>
    <row r="1000" hidden="1">
      <c r="A1000" s="115"/>
      <c r="B1000" s="93"/>
      <c r="E1000" s="116"/>
      <c r="F1000" s="95"/>
      <c r="G1000" s="95"/>
      <c r="H1000" s="94"/>
      <c r="I1000" s="94"/>
      <c r="J1000" s="117"/>
      <c r="K1000" s="118"/>
      <c r="L1000" s="119"/>
      <c r="M1000" s="94"/>
      <c r="N1000" s="94"/>
      <c r="O1000" s="93"/>
      <c r="P1000" s="120" t="b">
        <v>0</v>
      </c>
      <c r="Q1000" s="120" t="b">
        <v>0</v>
      </c>
      <c r="R1000" s="120" t="b">
        <v>0</v>
      </c>
      <c r="S1000" s="95"/>
      <c r="U1000" s="120" t="b">
        <v>0</v>
      </c>
      <c r="V1000" s="93"/>
      <c r="W1000" s="93"/>
      <c r="X1000" s="93"/>
      <c r="Y1000" s="93"/>
      <c r="AA1000" s="95"/>
      <c r="AB1000" s="121"/>
      <c r="AC1000" s="29" t="str">
        <f t="shared" si="5"/>
        <v>Sim</v>
      </c>
      <c r="AD1000" s="37" t="str">
        <f t="shared" si="1"/>
        <v>Não</v>
      </c>
      <c r="AE1000" s="94"/>
      <c r="AF1000" s="94"/>
      <c r="AG1000" s="95"/>
    </row>
    <row r="1001" hidden="1">
      <c r="A1001" s="115"/>
      <c r="B1001" s="93"/>
      <c r="E1001" s="116"/>
      <c r="F1001" s="95"/>
      <c r="G1001" s="95"/>
      <c r="H1001" s="94"/>
      <c r="I1001" s="94"/>
      <c r="J1001" s="117"/>
      <c r="K1001" s="118"/>
      <c r="L1001" s="119"/>
      <c r="M1001" s="94"/>
      <c r="N1001" s="94"/>
      <c r="O1001" s="93"/>
      <c r="P1001" s="120" t="b">
        <v>0</v>
      </c>
      <c r="Q1001" s="120" t="b">
        <v>0</v>
      </c>
      <c r="R1001" s="120" t="b">
        <v>0</v>
      </c>
      <c r="S1001" s="95"/>
      <c r="U1001" s="120" t="b">
        <v>0</v>
      </c>
      <c r="V1001" s="93"/>
      <c r="W1001" s="93"/>
      <c r="X1001" s="93"/>
      <c r="Y1001" s="93"/>
      <c r="AA1001" s="95"/>
      <c r="AB1001" s="121"/>
      <c r="AC1001" s="29" t="str">
        <f t="shared" si="5"/>
        <v>Sim</v>
      </c>
      <c r="AD1001" s="37" t="str">
        <f t="shared" si="1"/>
        <v>Não</v>
      </c>
      <c r="AE1001" s="94"/>
      <c r="AF1001" s="94"/>
      <c r="AG1001" s="95"/>
    </row>
    <row r="1002" hidden="1">
      <c r="A1002" s="115"/>
      <c r="B1002" s="93"/>
      <c r="E1002" s="116"/>
      <c r="F1002" s="95"/>
      <c r="G1002" s="95"/>
      <c r="H1002" s="94"/>
      <c r="I1002" s="94"/>
      <c r="J1002" s="117"/>
      <c r="K1002" s="118"/>
      <c r="L1002" s="119"/>
      <c r="M1002" s="94"/>
      <c r="N1002" s="94"/>
      <c r="O1002" s="93"/>
      <c r="P1002" s="120" t="b">
        <v>0</v>
      </c>
      <c r="Q1002" s="120" t="b">
        <v>0</v>
      </c>
      <c r="R1002" s="120" t="b">
        <v>0</v>
      </c>
      <c r="S1002" s="95"/>
      <c r="U1002" s="120" t="b">
        <v>0</v>
      </c>
      <c r="V1002" s="93"/>
      <c r="W1002" s="93"/>
      <c r="X1002" s="93"/>
      <c r="Y1002" s="93"/>
      <c r="AA1002" s="95"/>
      <c r="AB1002" s="121"/>
      <c r="AC1002" s="29" t="str">
        <f t="shared" si="5"/>
        <v>Sim</v>
      </c>
      <c r="AD1002" s="37" t="str">
        <f t="shared" si="1"/>
        <v>Não</v>
      </c>
      <c r="AE1002" s="94"/>
      <c r="AF1002" s="94"/>
      <c r="AG1002" s="95"/>
    </row>
    <row r="1003" hidden="1">
      <c r="A1003" s="115"/>
      <c r="B1003" s="93"/>
      <c r="E1003" s="116"/>
      <c r="F1003" s="95"/>
      <c r="G1003" s="95"/>
      <c r="H1003" s="94"/>
      <c r="I1003" s="94"/>
      <c r="J1003" s="117"/>
      <c r="K1003" s="118"/>
      <c r="L1003" s="119"/>
      <c r="M1003" s="94"/>
      <c r="N1003" s="94"/>
      <c r="O1003" s="93"/>
      <c r="P1003" s="120" t="b">
        <v>0</v>
      </c>
      <c r="Q1003" s="120" t="b">
        <v>0</v>
      </c>
      <c r="R1003" s="120" t="b">
        <v>0</v>
      </c>
      <c r="S1003" s="95"/>
      <c r="U1003" s="120" t="b">
        <v>0</v>
      </c>
      <c r="V1003" s="93"/>
      <c r="W1003" s="93"/>
      <c r="X1003" s="93"/>
      <c r="Y1003" s="93"/>
      <c r="AA1003" s="95"/>
      <c r="AB1003" s="121"/>
      <c r="AC1003" s="29" t="str">
        <f t="shared" si="5"/>
        <v>Sim</v>
      </c>
      <c r="AD1003" s="37" t="str">
        <f t="shared" si="1"/>
        <v>Não</v>
      </c>
      <c r="AE1003" s="94"/>
      <c r="AF1003" s="94"/>
      <c r="AG1003" s="95"/>
    </row>
    <row r="1004" hidden="1">
      <c r="A1004" s="115"/>
      <c r="B1004" s="93"/>
      <c r="E1004" s="116"/>
      <c r="F1004" s="95"/>
      <c r="G1004" s="95"/>
      <c r="H1004" s="94"/>
      <c r="I1004" s="94"/>
      <c r="J1004" s="117"/>
      <c r="K1004" s="118"/>
      <c r="L1004" s="119"/>
      <c r="M1004" s="94"/>
      <c r="N1004" s="94"/>
      <c r="O1004" s="93"/>
      <c r="P1004" s="120" t="b">
        <v>0</v>
      </c>
      <c r="Q1004" s="120" t="b">
        <v>0</v>
      </c>
      <c r="R1004" s="120" t="b">
        <v>0</v>
      </c>
      <c r="S1004" s="95"/>
      <c r="U1004" s="120" t="b">
        <v>0</v>
      </c>
      <c r="V1004" s="93"/>
      <c r="W1004" s="93"/>
      <c r="X1004" s="93"/>
      <c r="Y1004" s="93"/>
      <c r="AA1004" s="95"/>
      <c r="AB1004" s="121"/>
      <c r="AC1004" s="29" t="str">
        <f t="shared" si="5"/>
        <v>Sim</v>
      </c>
      <c r="AD1004" s="37" t="str">
        <f t="shared" si="1"/>
        <v>Não</v>
      </c>
      <c r="AE1004" s="94"/>
      <c r="AF1004" s="94"/>
      <c r="AG1004" s="95"/>
    </row>
    <row r="1005" hidden="1">
      <c r="A1005" s="115"/>
      <c r="B1005" s="93"/>
      <c r="E1005" s="116"/>
      <c r="F1005" s="95"/>
      <c r="G1005" s="95"/>
      <c r="H1005" s="94"/>
      <c r="I1005" s="94"/>
      <c r="J1005" s="117"/>
      <c r="K1005" s="118"/>
      <c r="L1005" s="119"/>
      <c r="M1005" s="94"/>
      <c r="N1005" s="94"/>
      <c r="O1005" s="93"/>
      <c r="P1005" s="120" t="b">
        <v>0</v>
      </c>
      <c r="Q1005" s="120" t="b">
        <v>0</v>
      </c>
      <c r="R1005" s="120" t="b">
        <v>0</v>
      </c>
      <c r="S1005" s="95"/>
      <c r="U1005" s="120" t="b">
        <v>0</v>
      </c>
      <c r="V1005" s="93"/>
      <c r="W1005" s="93"/>
      <c r="X1005" s="93"/>
      <c r="Y1005" s="93"/>
      <c r="AA1005" s="95"/>
      <c r="AB1005" s="121"/>
      <c r="AC1005" s="29" t="str">
        <f t="shared" si="5"/>
        <v>Sim</v>
      </c>
      <c r="AD1005" s="37" t="str">
        <f t="shared" si="1"/>
        <v>Não</v>
      </c>
      <c r="AE1005" s="94"/>
      <c r="AF1005" s="94"/>
      <c r="AG1005" s="95"/>
    </row>
    <row r="1006" hidden="1">
      <c r="A1006" s="115"/>
      <c r="B1006" s="93"/>
      <c r="E1006" s="116"/>
      <c r="F1006" s="95"/>
      <c r="G1006" s="95"/>
      <c r="H1006" s="94"/>
      <c r="I1006" s="94"/>
      <c r="J1006" s="117"/>
      <c r="K1006" s="118"/>
      <c r="L1006" s="119"/>
      <c r="M1006" s="94"/>
      <c r="N1006" s="94"/>
      <c r="O1006" s="93"/>
      <c r="P1006" s="120" t="b">
        <v>0</v>
      </c>
      <c r="Q1006" s="120" t="b">
        <v>0</v>
      </c>
      <c r="R1006" s="120" t="b">
        <v>0</v>
      </c>
      <c r="S1006" s="95"/>
      <c r="U1006" s="120" t="b">
        <v>0</v>
      </c>
      <c r="V1006" s="93"/>
      <c r="W1006" s="93"/>
      <c r="X1006" s="93"/>
      <c r="Y1006" s="93"/>
      <c r="AA1006" s="95"/>
      <c r="AB1006" s="121"/>
      <c r="AC1006" s="29" t="str">
        <f t="shared" si="5"/>
        <v>Sim</v>
      </c>
      <c r="AD1006" s="37" t="str">
        <f t="shared" si="1"/>
        <v>Não</v>
      </c>
      <c r="AE1006" s="94"/>
      <c r="AF1006" s="94"/>
      <c r="AG1006" s="95"/>
    </row>
    <row r="1007" hidden="1">
      <c r="A1007" s="115"/>
      <c r="B1007" s="93"/>
      <c r="E1007" s="116"/>
      <c r="F1007" s="95"/>
      <c r="G1007" s="95"/>
      <c r="H1007" s="94"/>
      <c r="I1007" s="94"/>
      <c r="J1007" s="117"/>
      <c r="K1007" s="118"/>
      <c r="L1007" s="119"/>
      <c r="M1007" s="94"/>
      <c r="N1007" s="94"/>
      <c r="O1007" s="93"/>
      <c r="P1007" s="120" t="b">
        <v>0</v>
      </c>
      <c r="Q1007" s="120" t="b">
        <v>0</v>
      </c>
      <c r="R1007" s="120" t="b">
        <v>0</v>
      </c>
      <c r="S1007" s="95"/>
      <c r="U1007" s="120" t="b">
        <v>0</v>
      </c>
      <c r="V1007" s="93"/>
      <c r="W1007" s="93"/>
      <c r="X1007" s="93"/>
      <c r="Y1007" s="93"/>
      <c r="AA1007" s="95"/>
      <c r="AB1007" s="121"/>
      <c r="AC1007" s="29" t="str">
        <f t="shared" si="5"/>
        <v>Sim</v>
      </c>
      <c r="AD1007" s="37" t="str">
        <f t="shared" si="1"/>
        <v>Não</v>
      </c>
      <c r="AE1007" s="94"/>
      <c r="AF1007" s="94"/>
      <c r="AG1007" s="95"/>
    </row>
    <row r="1008" hidden="1">
      <c r="A1008" s="115"/>
      <c r="B1008" s="93"/>
      <c r="E1008" s="116"/>
      <c r="F1008" s="95"/>
      <c r="G1008" s="95"/>
      <c r="H1008" s="94"/>
      <c r="I1008" s="94"/>
      <c r="J1008" s="117"/>
      <c r="K1008" s="118"/>
      <c r="L1008" s="119"/>
      <c r="M1008" s="94"/>
      <c r="N1008" s="94"/>
      <c r="O1008" s="93"/>
      <c r="P1008" s="120" t="b">
        <v>0</v>
      </c>
      <c r="Q1008" s="120" t="b">
        <v>0</v>
      </c>
      <c r="R1008" s="120" t="b">
        <v>0</v>
      </c>
      <c r="S1008" s="95"/>
      <c r="U1008" s="120" t="b">
        <v>0</v>
      </c>
      <c r="V1008" s="93"/>
      <c r="W1008" s="93"/>
      <c r="X1008" s="93"/>
      <c r="Y1008" s="93"/>
      <c r="AA1008" s="95"/>
      <c r="AB1008" s="121"/>
      <c r="AC1008" s="29" t="str">
        <f t="shared" si="5"/>
        <v>Sim</v>
      </c>
      <c r="AD1008" s="37" t="str">
        <f t="shared" si="1"/>
        <v>Não</v>
      </c>
      <c r="AE1008" s="94"/>
      <c r="AF1008" s="94"/>
      <c r="AG1008" s="95"/>
    </row>
    <row r="1009" hidden="1">
      <c r="A1009" s="115"/>
      <c r="B1009" s="93"/>
      <c r="E1009" s="116"/>
      <c r="F1009" s="95"/>
      <c r="G1009" s="95"/>
      <c r="H1009" s="94"/>
      <c r="I1009" s="94"/>
      <c r="J1009" s="117"/>
      <c r="K1009" s="118"/>
      <c r="L1009" s="119"/>
      <c r="M1009" s="94"/>
      <c r="N1009" s="94"/>
      <c r="O1009" s="93"/>
      <c r="P1009" s="120" t="b">
        <v>0</v>
      </c>
      <c r="Q1009" s="120" t="b">
        <v>0</v>
      </c>
      <c r="R1009" s="120" t="b">
        <v>0</v>
      </c>
      <c r="S1009" s="95"/>
      <c r="U1009" s="120" t="b">
        <v>0</v>
      </c>
      <c r="V1009" s="93"/>
      <c r="W1009" s="93"/>
      <c r="X1009" s="93"/>
      <c r="Y1009" s="93"/>
      <c r="AA1009" s="95"/>
      <c r="AB1009" s="121"/>
      <c r="AC1009" s="29" t="str">
        <f t="shared" si="5"/>
        <v>Sim</v>
      </c>
      <c r="AD1009" s="37" t="str">
        <f t="shared" si="1"/>
        <v>Não</v>
      </c>
      <c r="AE1009" s="94"/>
      <c r="AF1009" s="94"/>
      <c r="AG1009" s="95"/>
    </row>
    <row r="1010" hidden="1">
      <c r="A1010" s="115"/>
      <c r="B1010" s="93"/>
      <c r="E1010" s="116"/>
      <c r="F1010" s="95"/>
      <c r="G1010" s="95"/>
      <c r="H1010" s="94"/>
      <c r="I1010" s="94"/>
      <c r="J1010" s="117"/>
      <c r="K1010" s="118"/>
      <c r="L1010" s="119"/>
      <c r="M1010" s="94"/>
      <c r="N1010" s="94"/>
      <c r="O1010" s="93"/>
      <c r="P1010" s="120" t="b">
        <v>0</v>
      </c>
      <c r="Q1010" s="120" t="b">
        <v>0</v>
      </c>
      <c r="R1010" s="120" t="b">
        <v>0</v>
      </c>
      <c r="S1010" s="95"/>
      <c r="U1010" s="120" t="b">
        <v>0</v>
      </c>
      <c r="V1010" s="93"/>
      <c r="W1010" s="93"/>
      <c r="X1010" s="93"/>
      <c r="Y1010" s="93"/>
      <c r="AA1010" s="95"/>
      <c r="AB1010" s="121"/>
      <c r="AC1010" s="29" t="str">
        <f t="shared" si="5"/>
        <v>Sim</v>
      </c>
      <c r="AD1010" s="37" t="str">
        <f t="shared" si="1"/>
        <v>Não</v>
      </c>
      <c r="AE1010" s="94"/>
      <c r="AF1010" s="94"/>
      <c r="AG1010" s="95"/>
    </row>
    <row r="1011" hidden="1">
      <c r="A1011" s="115"/>
      <c r="B1011" s="93"/>
      <c r="E1011" s="116"/>
      <c r="F1011" s="95"/>
      <c r="G1011" s="95"/>
      <c r="H1011" s="94"/>
      <c r="I1011" s="94"/>
      <c r="J1011" s="117"/>
      <c r="K1011" s="118"/>
      <c r="L1011" s="119"/>
      <c r="M1011" s="94"/>
      <c r="N1011" s="94"/>
      <c r="O1011" s="93"/>
      <c r="P1011" s="120" t="b">
        <v>0</v>
      </c>
      <c r="Q1011" s="120" t="b">
        <v>0</v>
      </c>
      <c r="R1011" s="120" t="b">
        <v>0</v>
      </c>
      <c r="S1011" s="95"/>
      <c r="U1011" s="120" t="b">
        <v>0</v>
      </c>
      <c r="V1011" s="93"/>
      <c r="W1011" s="93"/>
      <c r="X1011" s="93"/>
      <c r="Y1011" s="93"/>
      <c r="AA1011" s="95"/>
      <c r="AB1011" s="121"/>
      <c r="AC1011" s="29" t="str">
        <f t="shared" si="5"/>
        <v>Sim</v>
      </c>
      <c r="AD1011" s="37" t="str">
        <f t="shared" si="1"/>
        <v>Não</v>
      </c>
      <c r="AE1011" s="94"/>
      <c r="AF1011" s="94"/>
      <c r="AG1011" s="95"/>
    </row>
    <row r="1012" hidden="1">
      <c r="A1012" s="115"/>
      <c r="B1012" s="93"/>
      <c r="E1012" s="116"/>
      <c r="F1012" s="95"/>
      <c r="G1012" s="95"/>
      <c r="H1012" s="94"/>
      <c r="I1012" s="94"/>
      <c r="J1012" s="117"/>
      <c r="K1012" s="118"/>
      <c r="L1012" s="119"/>
      <c r="M1012" s="94"/>
      <c r="N1012" s="94"/>
      <c r="O1012" s="93"/>
      <c r="P1012" s="120" t="b">
        <v>0</v>
      </c>
      <c r="Q1012" s="120" t="b">
        <v>0</v>
      </c>
      <c r="R1012" s="120" t="b">
        <v>0</v>
      </c>
      <c r="S1012" s="95"/>
      <c r="U1012" s="120" t="b">
        <v>0</v>
      </c>
      <c r="V1012" s="93"/>
      <c r="W1012" s="93"/>
      <c r="X1012" s="93"/>
      <c r="Y1012" s="93"/>
      <c r="AA1012" s="95"/>
      <c r="AB1012" s="121"/>
      <c r="AC1012" s="29" t="str">
        <f t="shared" si="5"/>
        <v>Sim</v>
      </c>
      <c r="AD1012" s="37" t="str">
        <f t="shared" si="1"/>
        <v>Não</v>
      </c>
      <c r="AE1012" s="94"/>
      <c r="AF1012" s="94"/>
      <c r="AG1012" s="95"/>
    </row>
    <row r="1013" hidden="1">
      <c r="A1013" s="115"/>
      <c r="B1013" s="93"/>
      <c r="E1013" s="116"/>
      <c r="F1013" s="95"/>
      <c r="G1013" s="95"/>
      <c r="H1013" s="94"/>
      <c r="I1013" s="94"/>
      <c r="J1013" s="117"/>
      <c r="K1013" s="118"/>
      <c r="L1013" s="119"/>
      <c r="M1013" s="94"/>
      <c r="N1013" s="94"/>
      <c r="O1013" s="93"/>
      <c r="P1013" s="120" t="b">
        <v>0</v>
      </c>
      <c r="Q1013" s="120" t="b">
        <v>0</v>
      </c>
      <c r="R1013" s="120" t="b">
        <v>0</v>
      </c>
      <c r="S1013" s="95"/>
      <c r="U1013" s="120" t="b">
        <v>0</v>
      </c>
      <c r="V1013" s="93"/>
      <c r="W1013" s="93"/>
      <c r="X1013" s="93"/>
      <c r="Y1013" s="93"/>
      <c r="AA1013" s="95"/>
      <c r="AB1013" s="121"/>
      <c r="AC1013" s="29" t="str">
        <f t="shared" si="5"/>
        <v>Sim</v>
      </c>
      <c r="AD1013" s="37" t="str">
        <f t="shared" si="1"/>
        <v>Não</v>
      </c>
      <c r="AE1013" s="94"/>
      <c r="AF1013" s="94"/>
      <c r="AG1013" s="95"/>
    </row>
    <row r="1014" hidden="1">
      <c r="A1014" s="115"/>
      <c r="B1014" s="93"/>
      <c r="E1014" s="116"/>
      <c r="F1014" s="95"/>
      <c r="G1014" s="95"/>
      <c r="H1014" s="94"/>
      <c r="I1014" s="94"/>
      <c r="J1014" s="117"/>
      <c r="K1014" s="118"/>
      <c r="L1014" s="119"/>
      <c r="M1014" s="94"/>
      <c r="N1014" s="94"/>
      <c r="O1014" s="93"/>
      <c r="P1014" s="120" t="b">
        <v>0</v>
      </c>
      <c r="Q1014" s="120" t="b">
        <v>0</v>
      </c>
      <c r="R1014" s="120" t="b">
        <v>0</v>
      </c>
      <c r="S1014" s="95"/>
      <c r="U1014" s="120" t="b">
        <v>0</v>
      </c>
      <c r="V1014" s="93"/>
      <c r="W1014" s="93"/>
      <c r="X1014" s="93"/>
      <c r="Y1014" s="93"/>
      <c r="AA1014" s="95"/>
      <c r="AB1014" s="121"/>
      <c r="AC1014" s="29" t="str">
        <f t="shared" si="5"/>
        <v>Sim</v>
      </c>
      <c r="AD1014" s="37" t="str">
        <f t="shared" si="1"/>
        <v>Não</v>
      </c>
      <c r="AE1014" s="94"/>
      <c r="AF1014" s="94"/>
      <c r="AG1014" s="95"/>
    </row>
    <row r="1015" hidden="1">
      <c r="A1015" s="115"/>
      <c r="B1015" s="93"/>
      <c r="E1015" s="116"/>
      <c r="F1015" s="95"/>
      <c r="G1015" s="95"/>
      <c r="H1015" s="94"/>
      <c r="I1015" s="94"/>
      <c r="J1015" s="117"/>
      <c r="K1015" s="118"/>
      <c r="L1015" s="119"/>
      <c r="M1015" s="94"/>
      <c r="N1015" s="94"/>
      <c r="O1015" s="93"/>
      <c r="P1015" s="120" t="b">
        <v>0</v>
      </c>
      <c r="Q1015" s="120" t="b">
        <v>0</v>
      </c>
      <c r="R1015" s="120" t="b">
        <v>0</v>
      </c>
      <c r="S1015" s="95"/>
      <c r="U1015" s="120" t="b">
        <v>0</v>
      </c>
      <c r="V1015" s="93"/>
      <c r="W1015" s="93"/>
      <c r="X1015" s="93"/>
      <c r="Y1015" s="93"/>
      <c r="AA1015" s="95"/>
      <c r="AB1015" s="121"/>
      <c r="AC1015" s="29" t="str">
        <f t="shared" si="5"/>
        <v>Sim</v>
      </c>
      <c r="AD1015" s="37" t="str">
        <f t="shared" si="1"/>
        <v>Não</v>
      </c>
      <c r="AE1015" s="94"/>
      <c r="AF1015" s="94"/>
      <c r="AG1015" s="95"/>
    </row>
    <row r="1016" hidden="1">
      <c r="A1016" s="115"/>
      <c r="B1016" s="93"/>
      <c r="E1016" s="116"/>
      <c r="F1016" s="95"/>
      <c r="G1016" s="95"/>
      <c r="H1016" s="94"/>
      <c r="I1016" s="94"/>
      <c r="J1016" s="117"/>
      <c r="K1016" s="118"/>
      <c r="L1016" s="119"/>
      <c r="M1016" s="94"/>
      <c r="N1016" s="94"/>
      <c r="O1016" s="93"/>
      <c r="P1016" s="120" t="b">
        <v>0</v>
      </c>
      <c r="Q1016" s="120" t="b">
        <v>0</v>
      </c>
      <c r="R1016" s="120" t="b">
        <v>0</v>
      </c>
      <c r="S1016" s="95"/>
      <c r="U1016" s="120" t="b">
        <v>0</v>
      </c>
      <c r="V1016" s="93"/>
      <c r="W1016" s="93"/>
      <c r="X1016" s="93"/>
      <c r="Y1016" s="93"/>
      <c r="AA1016" s="95"/>
      <c r="AB1016" s="121"/>
      <c r="AC1016" s="29" t="str">
        <f t="shared" si="5"/>
        <v>Sim</v>
      </c>
      <c r="AD1016" s="37" t="str">
        <f t="shared" si="1"/>
        <v>Não</v>
      </c>
      <c r="AE1016" s="94"/>
      <c r="AF1016" s="94"/>
      <c r="AG1016" s="95"/>
    </row>
    <row r="1017" hidden="1">
      <c r="A1017" s="115"/>
      <c r="B1017" s="93"/>
      <c r="E1017" s="116"/>
      <c r="F1017" s="95"/>
      <c r="G1017" s="95"/>
      <c r="H1017" s="94"/>
      <c r="I1017" s="94"/>
      <c r="J1017" s="117"/>
      <c r="K1017" s="118"/>
      <c r="L1017" s="119"/>
      <c r="M1017" s="94"/>
      <c r="N1017" s="94"/>
      <c r="O1017" s="93"/>
      <c r="P1017" s="120" t="b">
        <v>0</v>
      </c>
      <c r="Q1017" s="120" t="b">
        <v>0</v>
      </c>
      <c r="R1017" s="120" t="b">
        <v>0</v>
      </c>
      <c r="S1017" s="95"/>
      <c r="U1017" s="120" t="b">
        <v>0</v>
      </c>
      <c r="V1017" s="93"/>
      <c r="W1017" s="93"/>
      <c r="X1017" s="93"/>
      <c r="Y1017" s="93"/>
      <c r="AA1017" s="95"/>
      <c r="AB1017" s="121"/>
      <c r="AC1017" s="29" t="str">
        <f t="shared" si="5"/>
        <v>Sim</v>
      </c>
      <c r="AD1017" s="37" t="str">
        <f t="shared" si="1"/>
        <v>Não</v>
      </c>
      <c r="AE1017" s="94"/>
      <c r="AF1017" s="94"/>
      <c r="AG1017" s="95"/>
    </row>
    <row r="1018" hidden="1">
      <c r="A1018" s="115"/>
      <c r="B1018" s="93"/>
      <c r="E1018" s="116"/>
      <c r="F1018" s="95"/>
      <c r="G1018" s="95"/>
      <c r="H1018" s="94"/>
      <c r="I1018" s="94"/>
      <c r="J1018" s="117"/>
      <c r="K1018" s="118"/>
      <c r="L1018" s="119"/>
      <c r="M1018" s="94"/>
      <c r="N1018" s="94"/>
      <c r="O1018" s="93"/>
      <c r="P1018" s="120" t="b">
        <v>0</v>
      </c>
      <c r="Q1018" s="120" t="b">
        <v>0</v>
      </c>
      <c r="R1018" s="120" t="b">
        <v>0</v>
      </c>
      <c r="S1018" s="95"/>
      <c r="U1018" s="120" t="b">
        <v>0</v>
      </c>
      <c r="V1018" s="93"/>
      <c r="W1018" s="93"/>
      <c r="X1018" s="93"/>
      <c r="Y1018" s="93"/>
      <c r="AA1018" s="95"/>
      <c r="AB1018" s="121"/>
      <c r="AC1018" s="29" t="str">
        <f t="shared" si="5"/>
        <v>Sim</v>
      </c>
      <c r="AD1018" s="37" t="str">
        <f t="shared" si="1"/>
        <v>Não</v>
      </c>
      <c r="AE1018" s="94"/>
      <c r="AF1018" s="94"/>
      <c r="AG1018" s="95"/>
    </row>
    <row r="1019" hidden="1">
      <c r="A1019" s="115"/>
      <c r="B1019" s="93"/>
      <c r="E1019" s="116"/>
      <c r="F1019" s="95"/>
      <c r="G1019" s="95"/>
      <c r="H1019" s="94"/>
      <c r="I1019" s="94"/>
      <c r="J1019" s="117"/>
      <c r="K1019" s="118"/>
      <c r="L1019" s="119"/>
      <c r="M1019" s="94"/>
      <c r="N1019" s="94"/>
      <c r="O1019" s="93"/>
      <c r="P1019" s="120" t="b">
        <v>0</v>
      </c>
      <c r="Q1019" s="120" t="b">
        <v>0</v>
      </c>
      <c r="R1019" s="120" t="b">
        <v>0</v>
      </c>
      <c r="S1019" s="95"/>
      <c r="U1019" s="120" t="b">
        <v>0</v>
      </c>
      <c r="V1019" s="93"/>
      <c r="W1019" s="93"/>
      <c r="X1019" s="93"/>
      <c r="Y1019" s="93"/>
      <c r="AA1019" s="95"/>
      <c r="AB1019" s="121"/>
      <c r="AC1019" s="29" t="str">
        <f t="shared" si="5"/>
        <v>Sim</v>
      </c>
      <c r="AD1019" s="37" t="str">
        <f t="shared" si="1"/>
        <v>Não</v>
      </c>
      <c r="AE1019" s="94"/>
      <c r="AF1019" s="94"/>
      <c r="AG1019" s="95"/>
    </row>
    <row r="1020" hidden="1">
      <c r="A1020" s="115"/>
      <c r="B1020" s="93"/>
      <c r="E1020" s="116"/>
      <c r="F1020" s="95"/>
      <c r="G1020" s="95"/>
      <c r="H1020" s="94"/>
      <c r="I1020" s="94"/>
      <c r="J1020" s="117"/>
      <c r="K1020" s="118"/>
      <c r="L1020" s="119"/>
      <c r="M1020" s="94"/>
      <c r="N1020" s="94"/>
      <c r="O1020" s="93"/>
      <c r="P1020" s="120" t="b">
        <v>0</v>
      </c>
      <c r="Q1020" s="120" t="b">
        <v>0</v>
      </c>
      <c r="R1020" s="120" t="b">
        <v>0</v>
      </c>
      <c r="S1020" s="95"/>
      <c r="U1020" s="120" t="b">
        <v>0</v>
      </c>
      <c r="V1020" s="93"/>
      <c r="W1020" s="93"/>
      <c r="X1020" s="93"/>
      <c r="Y1020" s="93"/>
      <c r="AA1020" s="95"/>
      <c r="AB1020" s="121"/>
      <c r="AC1020" s="29" t="str">
        <f t="shared" si="5"/>
        <v>Sim</v>
      </c>
      <c r="AD1020" s="37" t="str">
        <f t="shared" si="1"/>
        <v>Não</v>
      </c>
      <c r="AE1020" s="94"/>
      <c r="AF1020" s="94"/>
      <c r="AG1020" s="95"/>
    </row>
    <row r="1021" hidden="1">
      <c r="A1021" s="115"/>
      <c r="B1021" s="93"/>
      <c r="E1021" s="116"/>
      <c r="F1021" s="95"/>
      <c r="G1021" s="95"/>
      <c r="H1021" s="94"/>
      <c r="I1021" s="94"/>
      <c r="J1021" s="117"/>
      <c r="K1021" s="118"/>
      <c r="L1021" s="119"/>
      <c r="M1021" s="94"/>
      <c r="N1021" s="94"/>
      <c r="O1021" s="93"/>
      <c r="P1021" s="120" t="b">
        <v>0</v>
      </c>
      <c r="Q1021" s="120" t="b">
        <v>0</v>
      </c>
      <c r="R1021" s="120" t="b">
        <v>0</v>
      </c>
      <c r="S1021" s="95"/>
      <c r="U1021" s="120" t="b">
        <v>0</v>
      </c>
      <c r="V1021" s="93"/>
      <c r="W1021" s="93"/>
      <c r="X1021" s="93"/>
      <c r="Y1021" s="93"/>
      <c r="AA1021" s="95"/>
      <c r="AB1021" s="121"/>
      <c r="AC1021" s="29" t="str">
        <f t="shared" si="5"/>
        <v>Sim</v>
      </c>
      <c r="AD1021" s="37" t="str">
        <f t="shared" si="1"/>
        <v>Não</v>
      </c>
      <c r="AE1021" s="94"/>
      <c r="AF1021" s="94"/>
      <c r="AG1021" s="95"/>
    </row>
    <row r="1022" hidden="1">
      <c r="A1022" s="115"/>
      <c r="B1022" s="93"/>
      <c r="E1022" s="116"/>
      <c r="F1022" s="95"/>
      <c r="G1022" s="95"/>
      <c r="H1022" s="94"/>
      <c r="I1022" s="94"/>
      <c r="J1022" s="117"/>
      <c r="K1022" s="118"/>
      <c r="L1022" s="119"/>
      <c r="M1022" s="94"/>
      <c r="N1022" s="94"/>
      <c r="O1022" s="93"/>
      <c r="P1022" s="120" t="b">
        <v>0</v>
      </c>
      <c r="Q1022" s="120" t="b">
        <v>0</v>
      </c>
      <c r="R1022" s="120" t="b">
        <v>0</v>
      </c>
      <c r="S1022" s="95"/>
      <c r="U1022" s="120" t="b">
        <v>0</v>
      </c>
      <c r="V1022" s="93"/>
      <c r="W1022" s="93"/>
      <c r="X1022" s="93"/>
      <c r="Y1022" s="93"/>
      <c r="AA1022" s="95"/>
      <c r="AB1022" s="121"/>
      <c r="AC1022" s="29" t="str">
        <f t="shared" si="5"/>
        <v>Sim</v>
      </c>
      <c r="AD1022" s="37" t="str">
        <f t="shared" si="1"/>
        <v>Não</v>
      </c>
      <c r="AE1022" s="94"/>
      <c r="AF1022" s="94"/>
      <c r="AG1022" s="95"/>
    </row>
    <row r="1023" hidden="1">
      <c r="A1023" s="115"/>
      <c r="B1023" s="93"/>
      <c r="E1023" s="116"/>
      <c r="F1023" s="95"/>
      <c r="G1023" s="95"/>
      <c r="H1023" s="94"/>
      <c r="I1023" s="94"/>
      <c r="J1023" s="117"/>
      <c r="K1023" s="118"/>
      <c r="L1023" s="119"/>
      <c r="M1023" s="94"/>
      <c r="N1023" s="94"/>
      <c r="O1023" s="93"/>
      <c r="P1023" s="120" t="b">
        <v>0</v>
      </c>
      <c r="Q1023" s="120" t="b">
        <v>0</v>
      </c>
      <c r="R1023" s="120" t="b">
        <v>0</v>
      </c>
      <c r="S1023" s="95"/>
      <c r="U1023" s="120" t="b">
        <v>0</v>
      </c>
      <c r="V1023" s="93"/>
      <c r="W1023" s="93"/>
      <c r="X1023" s="93"/>
      <c r="Y1023" s="93"/>
      <c r="AA1023" s="95"/>
      <c r="AB1023" s="121"/>
      <c r="AC1023" s="29" t="str">
        <f t="shared" si="5"/>
        <v>Sim</v>
      </c>
      <c r="AD1023" s="37" t="str">
        <f t="shared" si="1"/>
        <v>Não</v>
      </c>
      <c r="AE1023" s="94"/>
      <c r="AF1023" s="94"/>
      <c r="AG1023" s="95"/>
    </row>
    <row r="1024" hidden="1">
      <c r="A1024" s="115"/>
      <c r="B1024" s="93"/>
      <c r="E1024" s="116"/>
      <c r="F1024" s="95"/>
      <c r="G1024" s="95"/>
      <c r="H1024" s="94"/>
      <c r="I1024" s="94"/>
      <c r="J1024" s="117"/>
      <c r="K1024" s="118"/>
      <c r="L1024" s="119"/>
      <c r="M1024" s="94"/>
      <c r="N1024" s="94"/>
      <c r="O1024" s="93"/>
      <c r="P1024" s="120" t="b">
        <v>0</v>
      </c>
      <c r="Q1024" s="120" t="b">
        <v>0</v>
      </c>
      <c r="R1024" s="120" t="b">
        <v>0</v>
      </c>
      <c r="S1024" s="95"/>
      <c r="U1024" s="120" t="b">
        <v>0</v>
      </c>
      <c r="V1024" s="93"/>
      <c r="W1024" s="93"/>
      <c r="X1024" s="93"/>
      <c r="Y1024" s="93"/>
      <c r="AA1024" s="95"/>
      <c r="AB1024" s="121"/>
      <c r="AC1024" s="29" t="str">
        <f t="shared" si="5"/>
        <v>Sim</v>
      </c>
      <c r="AD1024" s="37" t="str">
        <f t="shared" si="1"/>
        <v>Não</v>
      </c>
      <c r="AE1024" s="94"/>
      <c r="AF1024" s="94"/>
      <c r="AG1024" s="95"/>
    </row>
    <row r="1025" hidden="1">
      <c r="A1025" s="115"/>
      <c r="B1025" s="93"/>
      <c r="E1025" s="116"/>
      <c r="F1025" s="95"/>
      <c r="G1025" s="95"/>
      <c r="H1025" s="94"/>
      <c r="I1025" s="94"/>
      <c r="J1025" s="117"/>
      <c r="K1025" s="118"/>
      <c r="L1025" s="119"/>
      <c r="M1025" s="94"/>
      <c r="N1025" s="94"/>
      <c r="O1025" s="93"/>
      <c r="P1025" s="120" t="b">
        <v>0</v>
      </c>
      <c r="Q1025" s="120" t="b">
        <v>0</v>
      </c>
      <c r="R1025" s="120" t="b">
        <v>0</v>
      </c>
      <c r="S1025" s="95"/>
      <c r="U1025" s="120" t="b">
        <v>0</v>
      </c>
      <c r="V1025" s="93"/>
      <c r="W1025" s="93"/>
      <c r="X1025" s="93"/>
      <c r="Y1025" s="93"/>
      <c r="AA1025" s="95"/>
      <c r="AB1025" s="121"/>
      <c r="AC1025" s="29" t="str">
        <f t="shared" si="5"/>
        <v>Sim</v>
      </c>
      <c r="AD1025" s="37" t="str">
        <f t="shared" si="1"/>
        <v>Não</v>
      </c>
      <c r="AE1025" s="94"/>
      <c r="AF1025" s="94"/>
      <c r="AG1025" s="95"/>
    </row>
    <row r="1026" hidden="1">
      <c r="A1026" s="115"/>
      <c r="B1026" s="93"/>
      <c r="E1026" s="116"/>
      <c r="F1026" s="95"/>
      <c r="G1026" s="95"/>
      <c r="H1026" s="94"/>
      <c r="I1026" s="94"/>
      <c r="J1026" s="117"/>
      <c r="K1026" s="118"/>
      <c r="L1026" s="119"/>
      <c r="M1026" s="94"/>
      <c r="N1026" s="94"/>
      <c r="O1026" s="93"/>
      <c r="P1026" s="120" t="b">
        <v>0</v>
      </c>
      <c r="Q1026" s="120" t="b">
        <v>0</v>
      </c>
      <c r="R1026" s="120" t="b">
        <v>0</v>
      </c>
      <c r="S1026" s="95"/>
      <c r="U1026" s="120" t="b">
        <v>0</v>
      </c>
      <c r="V1026" s="93"/>
      <c r="W1026" s="93"/>
      <c r="X1026" s="93"/>
      <c r="Y1026" s="93"/>
      <c r="AA1026" s="95"/>
      <c r="AB1026" s="121"/>
      <c r="AC1026" s="29" t="str">
        <f t="shared" si="5"/>
        <v>Sim</v>
      </c>
      <c r="AD1026" s="37" t="str">
        <f t="shared" si="1"/>
        <v>Não</v>
      </c>
      <c r="AE1026" s="94"/>
      <c r="AF1026" s="94"/>
      <c r="AG1026" s="95"/>
    </row>
    <row r="1027" hidden="1">
      <c r="A1027" s="115"/>
      <c r="B1027" s="93"/>
      <c r="E1027" s="116"/>
      <c r="F1027" s="95"/>
      <c r="G1027" s="95"/>
      <c r="H1027" s="94"/>
      <c r="I1027" s="94"/>
      <c r="J1027" s="117"/>
      <c r="K1027" s="118"/>
      <c r="L1027" s="119"/>
      <c r="M1027" s="94"/>
      <c r="N1027" s="94"/>
      <c r="O1027" s="93"/>
      <c r="P1027" s="120" t="b">
        <v>0</v>
      </c>
      <c r="Q1027" s="120" t="b">
        <v>0</v>
      </c>
      <c r="R1027" s="120" t="b">
        <v>0</v>
      </c>
      <c r="S1027" s="95"/>
      <c r="U1027" s="120" t="b">
        <v>0</v>
      </c>
      <c r="V1027" s="93"/>
      <c r="W1027" s="93"/>
      <c r="X1027" s="93"/>
      <c r="Y1027" s="93"/>
      <c r="AA1027" s="95"/>
      <c r="AB1027" s="121"/>
      <c r="AC1027" s="29" t="str">
        <f t="shared" si="5"/>
        <v>Sim</v>
      </c>
      <c r="AD1027" s="37" t="str">
        <f t="shared" si="1"/>
        <v>Não</v>
      </c>
      <c r="AE1027" s="94"/>
      <c r="AF1027" s="94"/>
      <c r="AG1027" s="95"/>
    </row>
    <row r="1028" hidden="1">
      <c r="A1028" s="115"/>
      <c r="B1028" s="93"/>
      <c r="E1028" s="116"/>
      <c r="F1028" s="95"/>
      <c r="G1028" s="95"/>
      <c r="H1028" s="94"/>
      <c r="I1028" s="94"/>
      <c r="J1028" s="117"/>
      <c r="K1028" s="118"/>
      <c r="L1028" s="119"/>
      <c r="M1028" s="94"/>
      <c r="N1028" s="94"/>
      <c r="O1028" s="93"/>
      <c r="P1028" s="120" t="b">
        <v>0</v>
      </c>
      <c r="Q1028" s="120" t="b">
        <v>0</v>
      </c>
      <c r="R1028" s="120" t="b">
        <v>0</v>
      </c>
      <c r="S1028" s="95"/>
      <c r="U1028" s="120" t="b">
        <v>0</v>
      </c>
      <c r="V1028" s="93"/>
      <c r="W1028" s="93"/>
      <c r="X1028" s="93"/>
      <c r="Y1028" s="93"/>
      <c r="AA1028" s="95"/>
      <c r="AB1028" s="121"/>
      <c r="AC1028" s="29" t="str">
        <f t="shared" si="5"/>
        <v>Sim</v>
      </c>
      <c r="AD1028" s="37" t="str">
        <f t="shared" si="1"/>
        <v>Não</v>
      </c>
      <c r="AE1028" s="94"/>
      <c r="AF1028" s="94"/>
      <c r="AG1028" s="95"/>
    </row>
    <row r="1029" hidden="1">
      <c r="A1029" s="115"/>
      <c r="B1029" s="93"/>
      <c r="E1029" s="116"/>
      <c r="F1029" s="95"/>
      <c r="G1029" s="95"/>
      <c r="H1029" s="94"/>
      <c r="I1029" s="94"/>
      <c r="J1029" s="117"/>
      <c r="K1029" s="118"/>
      <c r="L1029" s="119"/>
      <c r="M1029" s="94"/>
      <c r="N1029" s="94"/>
      <c r="O1029" s="93"/>
      <c r="P1029" s="120" t="b">
        <v>0</v>
      </c>
      <c r="Q1029" s="120" t="b">
        <v>0</v>
      </c>
      <c r="R1029" s="120" t="b">
        <v>0</v>
      </c>
      <c r="S1029" s="95"/>
      <c r="U1029" s="120" t="b">
        <v>0</v>
      </c>
      <c r="V1029" s="93"/>
      <c r="W1029" s="93"/>
      <c r="X1029" s="93"/>
      <c r="Y1029" s="93"/>
      <c r="AA1029" s="95"/>
      <c r="AB1029" s="121"/>
      <c r="AC1029" s="29" t="str">
        <f t="shared" si="5"/>
        <v>Sim</v>
      </c>
      <c r="AD1029" s="37" t="str">
        <f t="shared" si="1"/>
        <v>Não</v>
      </c>
      <c r="AE1029" s="94"/>
      <c r="AF1029" s="94"/>
      <c r="AG1029" s="95"/>
    </row>
    <row r="1030" hidden="1">
      <c r="A1030" s="115"/>
      <c r="B1030" s="93"/>
      <c r="E1030" s="116"/>
      <c r="F1030" s="95"/>
      <c r="G1030" s="95"/>
      <c r="H1030" s="94"/>
      <c r="I1030" s="94"/>
      <c r="J1030" s="117"/>
      <c r="K1030" s="118"/>
      <c r="L1030" s="119"/>
      <c r="M1030" s="94"/>
      <c r="N1030" s="94"/>
      <c r="O1030" s="93"/>
      <c r="P1030" s="120" t="b">
        <v>0</v>
      </c>
      <c r="Q1030" s="120" t="b">
        <v>0</v>
      </c>
      <c r="R1030" s="120" t="b">
        <v>0</v>
      </c>
      <c r="S1030" s="95"/>
      <c r="U1030" s="120" t="b">
        <v>0</v>
      </c>
      <c r="V1030" s="93"/>
      <c r="W1030" s="93"/>
      <c r="X1030" s="93"/>
      <c r="Y1030" s="93"/>
      <c r="AA1030" s="95"/>
      <c r="AB1030" s="121"/>
      <c r="AC1030" s="29" t="str">
        <f t="shared" si="5"/>
        <v>Sim</v>
      </c>
      <c r="AD1030" s="37" t="str">
        <f t="shared" si="1"/>
        <v>Não</v>
      </c>
      <c r="AE1030" s="94"/>
      <c r="AF1030" s="94"/>
      <c r="AG1030" s="95"/>
    </row>
    <row r="1031" hidden="1">
      <c r="A1031" s="115"/>
      <c r="B1031" s="93"/>
      <c r="E1031" s="116"/>
      <c r="F1031" s="95"/>
      <c r="G1031" s="95"/>
      <c r="H1031" s="94"/>
      <c r="I1031" s="94"/>
      <c r="J1031" s="117"/>
      <c r="K1031" s="118"/>
      <c r="L1031" s="119"/>
      <c r="M1031" s="94"/>
      <c r="N1031" s="94"/>
      <c r="O1031" s="93"/>
      <c r="P1031" s="120" t="b">
        <v>0</v>
      </c>
      <c r="Q1031" s="120" t="b">
        <v>0</v>
      </c>
      <c r="R1031" s="120" t="b">
        <v>0</v>
      </c>
      <c r="S1031" s="95"/>
      <c r="U1031" s="120" t="b">
        <v>0</v>
      </c>
      <c r="V1031" s="93"/>
      <c r="W1031" s="93"/>
      <c r="X1031" s="93"/>
      <c r="Y1031" s="93"/>
      <c r="AA1031" s="95"/>
      <c r="AB1031" s="121"/>
      <c r="AC1031" s="29" t="str">
        <f t="shared" si="5"/>
        <v>Sim</v>
      </c>
      <c r="AD1031" s="37" t="str">
        <f t="shared" si="1"/>
        <v>Não</v>
      </c>
      <c r="AE1031" s="94"/>
      <c r="AF1031" s="94"/>
      <c r="AG1031" s="95"/>
    </row>
    <row r="1032" hidden="1">
      <c r="A1032" s="115"/>
      <c r="B1032" s="93"/>
      <c r="E1032" s="116"/>
      <c r="F1032" s="95"/>
      <c r="G1032" s="95"/>
      <c r="H1032" s="94"/>
      <c r="I1032" s="94"/>
      <c r="J1032" s="117"/>
      <c r="K1032" s="118"/>
      <c r="L1032" s="119"/>
      <c r="M1032" s="94"/>
      <c r="N1032" s="94"/>
      <c r="O1032" s="93"/>
      <c r="P1032" s="120" t="b">
        <v>0</v>
      </c>
      <c r="Q1032" s="120" t="b">
        <v>0</v>
      </c>
      <c r="R1032" s="120" t="b">
        <v>0</v>
      </c>
      <c r="S1032" s="95"/>
      <c r="U1032" s="120" t="b">
        <v>0</v>
      </c>
      <c r="V1032" s="93"/>
      <c r="W1032" s="93"/>
      <c r="X1032" s="93"/>
      <c r="Y1032" s="93"/>
      <c r="AA1032" s="95"/>
      <c r="AB1032" s="121"/>
      <c r="AC1032" s="29" t="str">
        <f t="shared" si="5"/>
        <v>Sim</v>
      </c>
      <c r="AD1032" s="37" t="str">
        <f t="shared" si="1"/>
        <v>Não</v>
      </c>
      <c r="AE1032" s="94"/>
      <c r="AF1032" s="94"/>
      <c r="AG1032" s="95"/>
    </row>
    <row r="1033" hidden="1">
      <c r="A1033" s="115"/>
      <c r="B1033" s="93"/>
      <c r="E1033" s="116"/>
      <c r="F1033" s="95"/>
      <c r="G1033" s="95"/>
      <c r="H1033" s="94"/>
      <c r="I1033" s="94"/>
      <c r="J1033" s="117"/>
      <c r="K1033" s="118"/>
      <c r="L1033" s="119"/>
      <c r="M1033" s="94"/>
      <c r="N1033" s="94"/>
      <c r="O1033" s="93"/>
      <c r="P1033" s="120" t="b">
        <v>0</v>
      </c>
      <c r="Q1033" s="120" t="b">
        <v>0</v>
      </c>
      <c r="R1033" s="120" t="b">
        <v>0</v>
      </c>
      <c r="S1033" s="95"/>
      <c r="U1033" s="120" t="b">
        <v>0</v>
      </c>
      <c r="V1033" s="93"/>
      <c r="W1033" s="93"/>
      <c r="X1033" s="93"/>
      <c r="Y1033" s="93"/>
      <c r="AA1033" s="95"/>
      <c r="AB1033" s="121"/>
      <c r="AC1033" s="29" t="str">
        <f t="shared" si="5"/>
        <v>Sim</v>
      </c>
      <c r="AD1033" s="37" t="str">
        <f t="shared" si="1"/>
        <v>Não</v>
      </c>
      <c r="AE1033" s="94"/>
      <c r="AF1033" s="94"/>
      <c r="AG1033" s="95"/>
    </row>
    <row r="1034" hidden="1">
      <c r="A1034" s="115"/>
      <c r="B1034" s="93"/>
      <c r="E1034" s="116"/>
      <c r="F1034" s="95"/>
      <c r="G1034" s="95"/>
      <c r="H1034" s="94"/>
      <c r="I1034" s="94"/>
      <c r="J1034" s="117"/>
      <c r="K1034" s="118"/>
      <c r="L1034" s="119"/>
      <c r="M1034" s="94"/>
      <c r="N1034" s="94"/>
      <c r="O1034" s="93"/>
      <c r="P1034" s="120" t="b">
        <v>0</v>
      </c>
      <c r="Q1034" s="120" t="b">
        <v>0</v>
      </c>
      <c r="R1034" s="120" t="b">
        <v>0</v>
      </c>
      <c r="S1034" s="95"/>
      <c r="U1034" s="120" t="b">
        <v>0</v>
      </c>
      <c r="V1034" s="93"/>
      <c r="W1034" s="93"/>
      <c r="X1034" s="93"/>
      <c r="Y1034" s="93"/>
      <c r="AA1034" s="95"/>
      <c r="AB1034" s="121"/>
      <c r="AC1034" s="29" t="str">
        <f t="shared" si="5"/>
        <v>Sim</v>
      </c>
      <c r="AD1034" s="37" t="str">
        <f t="shared" si="1"/>
        <v>Não</v>
      </c>
      <c r="AE1034" s="94"/>
      <c r="AF1034" s="94"/>
      <c r="AG1034" s="95"/>
    </row>
    <row r="1035" hidden="1">
      <c r="A1035" s="115"/>
      <c r="B1035" s="93"/>
      <c r="E1035" s="116"/>
      <c r="F1035" s="95"/>
      <c r="G1035" s="95"/>
      <c r="H1035" s="94"/>
      <c r="I1035" s="94"/>
      <c r="J1035" s="117"/>
      <c r="K1035" s="118"/>
      <c r="L1035" s="119"/>
      <c r="M1035" s="94"/>
      <c r="N1035" s="94"/>
      <c r="O1035" s="93"/>
      <c r="P1035" s="120" t="b">
        <v>0</v>
      </c>
      <c r="Q1035" s="120" t="b">
        <v>0</v>
      </c>
      <c r="R1035" s="120" t="b">
        <v>0</v>
      </c>
      <c r="S1035" s="95"/>
      <c r="U1035" s="120" t="b">
        <v>0</v>
      </c>
      <c r="V1035" s="93"/>
      <c r="W1035" s="93"/>
      <c r="X1035" s="93"/>
      <c r="Y1035" s="93"/>
      <c r="AA1035" s="95"/>
      <c r="AB1035" s="121"/>
      <c r="AC1035" s="29" t="str">
        <f t="shared" si="5"/>
        <v>Sim</v>
      </c>
      <c r="AD1035" s="37" t="str">
        <f t="shared" si="1"/>
        <v>Não</v>
      </c>
      <c r="AE1035" s="94"/>
      <c r="AF1035" s="94"/>
      <c r="AG1035" s="95"/>
    </row>
    <row r="1036" hidden="1">
      <c r="A1036" s="115"/>
      <c r="B1036" s="93"/>
      <c r="E1036" s="116"/>
      <c r="F1036" s="95"/>
      <c r="G1036" s="95"/>
      <c r="H1036" s="94"/>
      <c r="I1036" s="94"/>
      <c r="J1036" s="117"/>
      <c r="K1036" s="118"/>
      <c r="L1036" s="119"/>
      <c r="M1036" s="94"/>
      <c r="N1036" s="94"/>
      <c r="O1036" s="93"/>
      <c r="P1036" s="120" t="b">
        <v>0</v>
      </c>
      <c r="Q1036" s="120" t="b">
        <v>0</v>
      </c>
      <c r="R1036" s="120" t="b">
        <v>0</v>
      </c>
      <c r="S1036" s="95"/>
      <c r="U1036" s="120" t="b">
        <v>0</v>
      </c>
      <c r="V1036" s="93"/>
      <c r="W1036" s="93"/>
      <c r="X1036" s="93"/>
      <c r="Y1036" s="93"/>
      <c r="AA1036" s="95"/>
      <c r="AB1036" s="121"/>
      <c r="AC1036" s="29" t="str">
        <f t="shared" si="5"/>
        <v>Sim</v>
      </c>
      <c r="AD1036" s="37" t="str">
        <f t="shared" si="1"/>
        <v>Não</v>
      </c>
      <c r="AE1036" s="94"/>
      <c r="AF1036" s="94"/>
      <c r="AG1036" s="95"/>
    </row>
    <row r="1037" hidden="1">
      <c r="A1037" s="115"/>
      <c r="B1037" s="93"/>
      <c r="E1037" s="116"/>
      <c r="F1037" s="95"/>
      <c r="G1037" s="95"/>
      <c r="H1037" s="94"/>
      <c r="I1037" s="94"/>
      <c r="J1037" s="117"/>
      <c r="K1037" s="118"/>
      <c r="L1037" s="119"/>
      <c r="M1037" s="94"/>
      <c r="N1037" s="94"/>
      <c r="O1037" s="93"/>
      <c r="P1037" s="120" t="b">
        <v>0</v>
      </c>
      <c r="Q1037" s="120" t="b">
        <v>0</v>
      </c>
      <c r="R1037" s="120" t="b">
        <v>0</v>
      </c>
      <c r="S1037" s="95"/>
      <c r="U1037" s="120" t="b">
        <v>0</v>
      </c>
      <c r="V1037" s="93"/>
      <c r="W1037" s="93"/>
      <c r="X1037" s="93"/>
      <c r="Y1037" s="93"/>
      <c r="AA1037" s="95"/>
      <c r="AB1037" s="121"/>
      <c r="AC1037" s="29" t="str">
        <f t="shared" si="5"/>
        <v>Sim</v>
      </c>
      <c r="AD1037" s="37" t="str">
        <f t="shared" si="1"/>
        <v>Não</v>
      </c>
      <c r="AE1037" s="94"/>
      <c r="AF1037" s="94"/>
      <c r="AG1037" s="95"/>
    </row>
    <row r="1038" hidden="1">
      <c r="A1038" s="115"/>
      <c r="B1038" s="93"/>
      <c r="E1038" s="116"/>
      <c r="F1038" s="95"/>
      <c r="G1038" s="95"/>
      <c r="H1038" s="94"/>
      <c r="I1038" s="94"/>
      <c r="J1038" s="117"/>
      <c r="K1038" s="118"/>
      <c r="L1038" s="119"/>
      <c r="M1038" s="94"/>
      <c r="N1038" s="94"/>
      <c r="O1038" s="93"/>
      <c r="P1038" s="120" t="b">
        <v>0</v>
      </c>
      <c r="Q1038" s="120" t="b">
        <v>0</v>
      </c>
      <c r="R1038" s="120" t="b">
        <v>0</v>
      </c>
      <c r="S1038" s="95"/>
      <c r="U1038" s="120" t="b">
        <v>0</v>
      </c>
      <c r="V1038" s="93"/>
      <c r="W1038" s="93"/>
      <c r="X1038" s="93"/>
      <c r="Y1038" s="93"/>
      <c r="AA1038" s="95"/>
      <c r="AB1038" s="121"/>
      <c r="AC1038" s="29" t="str">
        <f t="shared" si="5"/>
        <v>Sim</v>
      </c>
      <c r="AD1038" s="37" t="str">
        <f t="shared" si="1"/>
        <v>Não</v>
      </c>
      <c r="AE1038" s="94"/>
      <c r="AF1038" s="94"/>
      <c r="AG1038" s="95"/>
    </row>
    <row r="1039" hidden="1">
      <c r="A1039" s="115"/>
      <c r="B1039" s="93"/>
      <c r="E1039" s="116"/>
      <c r="F1039" s="95"/>
      <c r="G1039" s="95"/>
      <c r="H1039" s="94"/>
      <c r="I1039" s="94"/>
      <c r="J1039" s="117"/>
      <c r="K1039" s="118"/>
      <c r="L1039" s="119"/>
      <c r="M1039" s="94"/>
      <c r="N1039" s="94"/>
      <c r="O1039" s="93"/>
      <c r="P1039" s="120" t="b">
        <v>0</v>
      </c>
      <c r="Q1039" s="120" t="b">
        <v>0</v>
      </c>
      <c r="R1039" s="120" t="b">
        <v>0</v>
      </c>
      <c r="S1039" s="95"/>
      <c r="U1039" s="120" t="b">
        <v>0</v>
      </c>
      <c r="V1039" s="93"/>
      <c r="W1039" s="93"/>
      <c r="X1039" s="93"/>
      <c r="Y1039" s="93"/>
      <c r="AA1039" s="95"/>
      <c r="AB1039" s="121"/>
      <c r="AC1039" s="29" t="str">
        <f t="shared" si="5"/>
        <v>Sim</v>
      </c>
      <c r="AD1039" s="37" t="str">
        <f t="shared" si="1"/>
        <v>Não</v>
      </c>
      <c r="AE1039" s="94"/>
      <c r="AF1039" s="94"/>
      <c r="AG1039" s="95"/>
    </row>
    <row r="1040" hidden="1">
      <c r="A1040" s="115"/>
      <c r="B1040" s="93"/>
      <c r="E1040" s="116"/>
      <c r="F1040" s="95"/>
      <c r="G1040" s="95"/>
      <c r="H1040" s="94"/>
      <c r="I1040" s="94"/>
      <c r="J1040" s="117"/>
      <c r="K1040" s="118"/>
      <c r="L1040" s="119"/>
      <c r="M1040" s="94"/>
      <c r="N1040" s="94"/>
      <c r="O1040" s="93"/>
      <c r="P1040" s="120" t="b">
        <v>0</v>
      </c>
      <c r="Q1040" s="120" t="b">
        <v>0</v>
      </c>
      <c r="R1040" s="120" t="b">
        <v>0</v>
      </c>
      <c r="S1040" s="95"/>
      <c r="U1040" s="120" t="b">
        <v>0</v>
      </c>
      <c r="V1040" s="93"/>
      <c r="W1040" s="93"/>
      <c r="X1040" s="93"/>
      <c r="Y1040" s="93"/>
      <c r="AA1040" s="95"/>
      <c r="AB1040" s="121"/>
      <c r="AC1040" s="29" t="str">
        <f t="shared" si="5"/>
        <v>Sim</v>
      </c>
      <c r="AD1040" s="37" t="str">
        <f t="shared" si="1"/>
        <v>Não</v>
      </c>
      <c r="AE1040" s="94"/>
      <c r="AF1040" s="94"/>
      <c r="AG1040" s="95"/>
    </row>
    <row r="1041" hidden="1">
      <c r="A1041" s="115"/>
      <c r="B1041" s="93"/>
      <c r="E1041" s="116"/>
      <c r="F1041" s="95"/>
      <c r="G1041" s="95"/>
      <c r="H1041" s="94"/>
      <c r="I1041" s="94"/>
      <c r="J1041" s="117"/>
      <c r="K1041" s="118"/>
      <c r="L1041" s="119"/>
      <c r="M1041" s="94"/>
      <c r="N1041" s="94"/>
      <c r="O1041" s="93"/>
      <c r="P1041" s="120" t="b">
        <v>0</v>
      </c>
      <c r="Q1041" s="120" t="b">
        <v>0</v>
      </c>
      <c r="R1041" s="120" t="b">
        <v>0</v>
      </c>
      <c r="S1041" s="95"/>
      <c r="U1041" s="120" t="b">
        <v>0</v>
      </c>
      <c r="V1041" s="93"/>
      <c r="W1041" s="93"/>
      <c r="X1041" s="93"/>
      <c r="Y1041" s="93"/>
      <c r="AA1041" s="95"/>
      <c r="AB1041" s="121"/>
      <c r="AC1041" s="29" t="str">
        <f t="shared" si="5"/>
        <v>Sim</v>
      </c>
      <c r="AD1041" s="37" t="str">
        <f t="shared" si="1"/>
        <v>Não</v>
      </c>
      <c r="AE1041" s="94"/>
      <c r="AF1041" s="94"/>
      <c r="AG1041" s="95"/>
    </row>
    <row r="1042" hidden="1">
      <c r="A1042" s="115"/>
      <c r="B1042" s="93"/>
      <c r="E1042" s="116"/>
      <c r="F1042" s="95"/>
      <c r="G1042" s="95"/>
      <c r="H1042" s="94"/>
      <c r="I1042" s="94"/>
      <c r="J1042" s="117"/>
      <c r="K1042" s="118"/>
      <c r="L1042" s="119"/>
      <c r="M1042" s="94"/>
      <c r="N1042" s="94"/>
      <c r="O1042" s="93"/>
      <c r="P1042" s="120" t="b">
        <v>0</v>
      </c>
      <c r="Q1042" s="120" t="b">
        <v>0</v>
      </c>
      <c r="R1042" s="120" t="b">
        <v>0</v>
      </c>
      <c r="S1042" s="95"/>
      <c r="U1042" s="120" t="b">
        <v>0</v>
      </c>
      <c r="V1042" s="93"/>
      <c r="W1042" s="93"/>
      <c r="X1042" s="93"/>
      <c r="Y1042" s="93"/>
      <c r="AA1042" s="95"/>
      <c r="AB1042" s="121"/>
      <c r="AC1042" s="29" t="str">
        <f t="shared" si="5"/>
        <v>Sim</v>
      </c>
      <c r="AD1042" s="37" t="str">
        <f t="shared" si="1"/>
        <v>Não</v>
      </c>
      <c r="AE1042" s="94"/>
      <c r="AF1042" s="94"/>
      <c r="AG1042" s="95"/>
    </row>
    <row r="1043" hidden="1">
      <c r="A1043" s="115"/>
      <c r="B1043" s="93"/>
      <c r="E1043" s="116"/>
      <c r="F1043" s="95"/>
      <c r="G1043" s="95"/>
      <c r="H1043" s="94"/>
      <c r="I1043" s="94"/>
      <c r="J1043" s="117"/>
      <c r="K1043" s="118"/>
      <c r="L1043" s="119"/>
      <c r="M1043" s="94"/>
      <c r="N1043" s="94"/>
      <c r="O1043" s="93"/>
      <c r="P1043" s="120" t="b">
        <v>0</v>
      </c>
      <c r="Q1043" s="120" t="b">
        <v>0</v>
      </c>
      <c r="R1043" s="120" t="b">
        <v>0</v>
      </c>
      <c r="S1043" s="95"/>
      <c r="U1043" s="120" t="b">
        <v>0</v>
      </c>
      <c r="V1043" s="93"/>
      <c r="W1043" s="93"/>
      <c r="X1043" s="93"/>
      <c r="Y1043" s="93"/>
      <c r="AA1043" s="95"/>
      <c r="AB1043" s="121"/>
      <c r="AC1043" s="29" t="str">
        <f t="shared" si="5"/>
        <v>Sim</v>
      </c>
      <c r="AD1043" s="37" t="str">
        <f t="shared" si="1"/>
        <v>Não</v>
      </c>
      <c r="AE1043" s="94"/>
      <c r="AF1043" s="94"/>
      <c r="AG1043" s="95"/>
    </row>
    <row r="1044" hidden="1">
      <c r="A1044" s="115"/>
      <c r="B1044" s="93"/>
      <c r="E1044" s="116"/>
      <c r="F1044" s="95"/>
      <c r="G1044" s="95"/>
      <c r="H1044" s="94"/>
      <c r="I1044" s="94"/>
      <c r="J1044" s="117"/>
      <c r="K1044" s="118"/>
      <c r="L1044" s="119"/>
      <c r="M1044" s="94"/>
      <c r="N1044" s="94"/>
      <c r="O1044" s="93"/>
      <c r="P1044" s="120" t="b">
        <v>0</v>
      </c>
      <c r="Q1044" s="120" t="b">
        <v>0</v>
      </c>
      <c r="R1044" s="120" t="b">
        <v>0</v>
      </c>
      <c r="S1044" s="95"/>
      <c r="U1044" s="120" t="b">
        <v>0</v>
      </c>
      <c r="V1044" s="93"/>
      <c r="W1044" s="93"/>
      <c r="X1044" s="93"/>
      <c r="Y1044" s="93"/>
      <c r="AA1044" s="95"/>
      <c r="AB1044" s="121"/>
      <c r="AC1044" s="29" t="str">
        <f t="shared" si="5"/>
        <v>Sim</v>
      </c>
      <c r="AD1044" s="37" t="str">
        <f t="shared" si="1"/>
        <v>Não</v>
      </c>
      <c r="AE1044" s="94"/>
      <c r="AF1044" s="94"/>
      <c r="AG1044" s="95"/>
    </row>
    <row r="1045" hidden="1">
      <c r="A1045" s="115"/>
      <c r="B1045" s="93"/>
      <c r="E1045" s="116"/>
      <c r="F1045" s="95"/>
      <c r="G1045" s="95"/>
      <c r="H1045" s="94"/>
      <c r="I1045" s="94"/>
      <c r="J1045" s="117"/>
      <c r="K1045" s="118"/>
      <c r="L1045" s="119"/>
      <c r="M1045" s="94"/>
      <c r="N1045" s="94"/>
      <c r="O1045" s="93"/>
      <c r="P1045" s="120" t="b">
        <v>0</v>
      </c>
      <c r="Q1045" s="120" t="b">
        <v>0</v>
      </c>
      <c r="R1045" s="120" t="b">
        <v>0</v>
      </c>
      <c r="S1045" s="95"/>
      <c r="U1045" s="120" t="b">
        <v>0</v>
      </c>
      <c r="V1045" s="93"/>
      <c r="W1045" s="93"/>
      <c r="X1045" s="93"/>
      <c r="Y1045" s="93"/>
      <c r="AA1045" s="95"/>
      <c r="AB1045" s="121"/>
      <c r="AC1045" s="29" t="str">
        <f t="shared" si="5"/>
        <v>Sim</v>
      </c>
      <c r="AD1045" s="37" t="str">
        <f t="shared" si="1"/>
        <v>Não</v>
      </c>
      <c r="AE1045" s="94"/>
      <c r="AF1045" s="94"/>
      <c r="AG1045" s="95"/>
    </row>
    <row r="1046" hidden="1">
      <c r="A1046" s="115"/>
      <c r="B1046" s="93"/>
      <c r="E1046" s="116"/>
      <c r="F1046" s="95"/>
      <c r="G1046" s="95"/>
      <c r="H1046" s="94"/>
      <c r="I1046" s="94"/>
      <c r="J1046" s="117"/>
      <c r="K1046" s="118"/>
      <c r="L1046" s="119"/>
      <c r="M1046" s="94"/>
      <c r="N1046" s="94"/>
      <c r="O1046" s="93"/>
      <c r="P1046" s="120" t="b">
        <v>0</v>
      </c>
      <c r="Q1046" s="120" t="b">
        <v>0</v>
      </c>
      <c r="R1046" s="120" t="b">
        <v>0</v>
      </c>
      <c r="S1046" s="95"/>
      <c r="U1046" s="120" t="b">
        <v>0</v>
      </c>
      <c r="V1046" s="93"/>
      <c r="W1046" s="93"/>
      <c r="X1046" s="93"/>
      <c r="Y1046" s="93"/>
      <c r="AA1046" s="95"/>
      <c r="AB1046" s="121"/>
      <c r="AC1046" s="29" t="str">
        <f t="shared" si="5"/>
        <v>Sim</v>
      </c>
      <c r="AD1046" s="37" t="str">
        <f t="shared" si="1"/>
        <v>Não</v>
      </c>
      <c r="AE1046" s="94"/>
      <c r="AF1046" s="94"/>
      <c r="AG1046" s="95"/>
    </row>
    <row r="1047" hidden="1">
      <c r="A1047" s="115"/>
      <c r="B1047" s="93"/>
      <c r="E1047" s="116"/>
      <c r="F1047" s="95"/>
      <c r="G1047" s="95"/>
      <c r="H1047" s="94"/>
      <c r="I1047" s="94"/>
      <c r="J1047" s="117"/>
      <c r="K1047" s="118"/>
      <c r="L1047" s="119"/>
      <c r="M1047" s="94"/>
      <c r="N1047" s="94"/>
      <c r="O1047" s="93"/>
      <c r="P1047" s="120" t="b">
        <v>0</v>
      </c>
      <c r="Q1047" s="120" t="b">
        <v>0</v>
      </c>
      <c r="R1047" s="120" t="b">
        <v>0</v>
      </c>
      <c r="S1047" s="95"/>
      <c r="U1047" s="120" t="b">
        <v>0</v>
      </c>
      <c r="V1047" s="93"/>
      <c r="W1047" s="93"/>
      <c r="X1047" s="93"/>
      <c r="Y1047" s="93"/>
      <c r="AA1047" s="95"/>
      <c r="AB1047" s="121"/>
      <c r="AC1047" s="29" t="str">
        <f t="shared" si="5"/>
        <v>Sim</v>
      </c>
      <c r="AD1047" s="37" t="str">
        <f t="shared" si="1"/>
        <v>Não</v>
      </c>
      <c r="AE1047" s="94"/>
      <c r="AF1047" s="94"/>
      <c r="AG1047" s="95"/>
    </row>
    <row r="1048" hidden="1">
      <c r="A1048" s="115"/>
      <c r="B1048" s="93"/>
      <c r="E1048" s="116"/>
      <c r="F1048" s="95"/>
      <c r="G1048" s="95"/>
      <c r="H1048" s="94"/>
      <c r="I1048" s="94"/>
      <c r="J1048" s="117"/>
      <c r="K1048" s="118"/>
      <c r="L1048" s="119"/>
      <c r="M1048" s="94"/>
      <c r="N1048" s="94"/>
      <c r="O1048" s="93"/>
      <c r="P1048" s="120" t="b">
        <v>0</v>
      </c>
      <c r="Q1048" s="120" t="b">
        <v>0</v>
      </c>
      <c r="R1048" s="120" t="b">
        <v>0</v>
      </c>
      <c r="S1048" s="95"/>
      <c r="U1048" s="120" t="b">
        <v>0</v>
      </c>
      <c r="V1048" s="93"/>
      <c r="W1048" s="93"/>
      <c r="X1048" s="93"/>
      <c r="Y1048" s="93"/>
      <c r="AA1048" s="95"/>
      <c r="AB1048" s="121"/>
      <c r="AC1048" s="29" t="str">
        <f t="shared" si="5"/>
        <v>Sim</v>
      </c>
      <c r="AD1048" s="37" t="str">
        <f t="shared" si="1"/>
        <v>Não</v>
      </c>
      <c r="AE1048" s="94"/>
      <c r="AF1048" s="94"/>
      <c r="AG1048" s="95"/>
    </row>
    <row r="1049" hidden="1">
      <c r="A1049" s="115"/>
      <c r="B1049" s="93"/>
      <c r="E1049" s="116"/>
      <c r="F1049" s="95"/>
      <c r="G1049" s="95"/>
      <c r="H1049" s="94"/>
      <c r="I1049" s="94"/>
      <c r="J1049" s="117"/>
      <c r="K1049" s="118"/>
      <c r="L1049" s="119"/>
      <c r="M1049" s="94"/>
      <c r="N1049" s="94"/>
      <c r="O1049" s="93"/>
      <c r="P1049" s="120" t="b">
        <v>0</v>
      </c>
      <c r="Q1049" s="120" t="b">
        <v>0</v>
      </c>
      <c r="R1049" s="120" t="b">
        <v>0</v>
      </c>
      <c r="S1049" s="95"/>
      <c r="U1049" s="120" t="b">
        <v>0</v>
      </c>
      <c r="V1049" s="93"/>
      <c r="W1049" s="93"/>
      <c r="X1049" s="93"/>
      <c r="Y1049" s="93"/>
      <c r="AA1049" s="95"/>
      <c r="AB1049" s="121"/>
      <c r="AC1049" s="29" t="str">
        <f t="shared" si="5"/>
        <v>Sim</v>
      </c>
      <c r="AD1049" s="37" t="str">
        <f t="shared" si="1"/>
        <v>Não</v>
      </c>
      <c r="AE1049" s="94"/>
      <c r="AF1049" s="94"/>
      <c r="AG1049" s="95"/>
    </row>
    <row r="1050" hidden="1">
      <c r="A1050" s="115"/>
      <c r="B1050" s="93"/>
      <c r="E1050" s="116"/>
      <c r="F1050" s="95"/>
      <c r="G1050" s="95"/>
      <c r="H1050" s="94"/>
      <c r="I1050" s="94"/>
      <c r="J1050" s="117"/>
      <c r="K1050" s="118"/>
      <c r="L1050" s="119"/>
      <c r="M1050" s="94"/>
      <c r="N1050" s="94"/>
      <c r="O1050" s="93"/>
      <c r="P1050" s="120" t="b">
        <v>0</v>
      </c>
      <c r="Q1050" s="120" t="b">
        <v>0</v>
      </c>
      <c r="R1050" s="120" t="b">
        <v>0</v>
      </c>
      <c r="S1050" s="95"/>
      <c r="U1050" s="120" t="b">
        <v>0</v>
      </c>
      <c r="V1050" s="93"/>
      <c r="W1050" s="93"/>
      <c r="X1050" s="93"/>
      <c r="Y1050" s="93"/>
      <c r="AA1050" s="95"/>
      <c r="AB1050" s="121"/>
      <c r="AC1050" s="29" t="str">
        <f t="shared" si="5"/>
        <v>Sim</v>
      </c>
      <c r="AD1050" s="37" t="str">
        <f t="shared" si="1"/>
        <v>Não</v>
      </c>
      <c r="AE1050" s="94"/>
      <c r="AF1050" s="94"/>
      <c r="AG1050" s="95"/>
    </row>
    <row r="1051" hidden="1">
      <c r="A1051" s="115"/>
      <c r="B1051" s="93"/>
      <c r="E1051" s="116"/>
      <c r="F1051" s="95"/>
      <c r="G1051" s="95"/>
      <c r="H1051" s="94"/>
      <c r="I1051" s="94"/>
      <c r="J1051" s="117"/>
      <c r="K1051" s="118"/>
      <c r="L1051" s="119"/>
      <c r="M1051" s="94"/>
      <c r="N1051" s="94"/>
      <c r="O1051" s="93"/>
      <c r="P1051" s="120" t="b">
        <v>0</v>
      </c>
      <c r="Q1051" s="120" t="b">
        <v>0</v>
      </c>
      <c r="R1051" s="120" t="b">
        <v>0</v>
      </c>
      <c r="S1051" s="95"/>
      <c r="U1051" s="120" t="b">
        <v>0</v>
      </c>
      <c r="V1051" s="93"/>
      <c r="W1051" s="93"/>
      <c r="X1051" s="93"/>
      <c r="Y1051" s="93"/>
      <c r="AA1051" s="95"/>
      <c r="AB1051" s="121"/>
      <c r="AC1051" s="29" t="str">
        <f t="shared" si="5"/>
        <v>Sim</v>
      </c>
      <c r="AD1051" s="37" t="str">
        <f t="shared" si="1"/>
        <v>Não</v>
      </c>
      <c r="AE1051" s="94"/>
      <c r="AF1051" s="94"/>
      <c r="AG1051" s="95"/>
    </row>
    <row r="1052" hidden="1">
      <c r="A1052" s="115"/>
      <c r="B1052" s="93"/>
      <c r="E1052" s="116"/>
      <c r="F1052" s="95"/>
      <c r="G1052" s="95"/>
      <c r="H1052" s="94"/>
      <c r="I1052" s="94"/>
      <c r="J1052" s="117"/>
      <c r="K1052" s="118"/>
      <c r="L1052" s="119"/>
      <c r="M1052" s="94"/>
      <c r="N1052" s="94"/>
      <c r="O1052" s="93"/>
      <c r="P1052" s="120" t="b">
        <v>0</v>
      </c>
      <c r="Q1052" s="120" t="b">
        <v>0</v>
      </c>
      <c r="R1052" s="120" t="b">
        <v>0</v>
      </c>
      <c r="S1052" s="95"/>
      <c r="U1052" s="120" t="b">
        <v>0</v>
      </c>
      <c r="V1052" s="93"/>
      <c r="W1052" s="93"/>
      <c r="X1052" s="93"/>
      <c r="Y1052" s="93"/>
      <c r="AA1052" s="95"/>
      <c r="AB1052" s="121"/>
      <c r="AC1052" s="29" t="str">
        <f t="shared" si="5"/>
        <v>Sim</v>
      </c>
      <c r="AD1052" s="37" t="str">
        <f t="shared" si="1"/>
        <v>Não</v>
      </c>
      <c r="AE1052" s="94"/>
      <c r="AF1052" s="94"/>
      <c r="AG1052" s="95"/>
    </row>
    <row r="1053" hidden="1">
      <c r="A1053" s="115"/>
      <c r="B1053" s="93"/>
      <c r="E1053" s="116"/>
      <c r="F1053" s="95"/>
      <c r="G1053" s="95"/>
      <c r="H1053" s="94"/>
      <c r="I1053" s="94"/>
      <c r="J1053" s="117"/>
      <c r="K1053" s="118"/>
      <c r="L1053" s="119"/>
      <c r="M1053" s="94"/>
      <c r="N1053" s="94"/>
      <c r="O1053" s="93"/>
      <c r="P1053" s="120" t="b">
        <v>0</v>
      </c>
      <c r="Q1053" s="120" t="b">
        <v>0</v>
      </c>
      <c r="R1053" s="120" t="b">
        <v>0</v>
      </c>
      <c r="S1053" s="95"/>
      <c r="U1053" s="120" t="b">
        <v>0</v>
      </c>
      <c r="V1053" s="93"/>
      <c r="W1053" s="93"/>
      <c r="X1053" s="93"/>
      <c r="Y1053" s="93"/>
      <c r="AA1053" s="95"/>
      <c r="AB1053" s="121"/>
      <c r="AC1053" s="29" t="str">
        <f t="shared" si="5"/>
        <v>Sim</v>
      </c>
      <c r="AD1053" s="37" t="str">
        <f t="shared" si="1"/>
        <v>Não</v>
      </c>
      <c r="AE1053" s="94"/>
      <c r="AF1053" s="94"/>
      <c r="AG1053" s="95"/>
    </row>
    <row r="1054" hidden="1">
      <c r="A1054" s="115"/>
      <c r="B1054" s="93"/>
      <c r="E1054" s="116"/>
      <c r="F1054" s="95"/>
      <c r="G1054" s="95"/>
      <c r="H1054" s="94"/>
      <c r="I1054" s="94"/>
      <c r="J1054" s="117"/>
      <c r="K1054" s="118"/>
      <c r="L1054" s="119"/>
      <c r="M1054" s="94"/>
      <c r="N1054" s="94"/>
      <c r="O1054" s="93"/>
      <c r="P1054" s="120" t="b">
        <v>0</v>
      </c>
      <c r="Q1054" s="120" t="b">
        <v>0</v>
      </c>
      <c r="R1054" s="120" t="b">
        <v>0</v>
      </c>
      <c r="S1054" s="95"/>
      <c r="U1054" s="120" t="b">
        <v>0</v>
      </c>
      <c r="V1054" s="93"/>
      <c r="W1054" s="93"/>
      <c r="X1054" s="93"/>
      <c r="Y1054" s="93"/>
      <c r="AA1054" s="95"/>
      <c r="AB1054" s="121"/>
      <c r="AC1054" s="29" t="str">
        <f t="shared" si="5"/>
        <v>Sim</v>
      </c>
      <c r="AD1054" s="37" t="str">
        <f t="shared" si="1"/>
        <v>Não</v>
      </c>
      <c r="AE1054" s="94"/>
      <c r="AF1054" s="94"/>
      <c r="AG1054" s="95"/>
    </row>
    <row r="1055" hidden="1">
      <c r="A1055" s="115"/>
      <c r="B1055" s="93"/>
      <c r="E1055" s="116"/>
      <c r="F1055" s="95"/>
      <c r="G1055" s="95"/>
      <c r="H1055" s="94"/>
      <c r="I1055" s="94"/>
      <c r="J1055" s="117"/>
      <c r="K1055" s="118"/>
      <c r="L1055" s="119"/>
      <c r="M1055" s="94"/>
      <c r="N1055" s="94"/>
      <c r="O1055" s="93"/>
      <c r="P1055" s="120" t="b">
        <v>0</v>
      </c>
      <c r="Q1055" s="120" t="b">
        <v>0</v>
      </c>
      <c r="R1055" s="120" t="b">
        <v>0</v>
      </c>
      <c r="S1055" s="95"/>
      <c r="U1055" s="120" t="b">
        <v>0</v>
      </c>
      <c r="V1055" s="93"/>
      <c r="W1055" s="93"/>
      <c r="X1055" s="93"/>
      <c r="Y1055" s="93"/>
      <c r="AA1055" s="95"/>
      <c r="AB1055" s="121"/>
      <c r="AC1055" s="29" t="str">
        <f t="shared" si="5"/>
        <v>Sim</v>
      </c>
      <c r="AD1055" s="37" t="str">
        <f t="shared" si="1"/>
        <v>Não</v>
      </c>
      <c r="AE1055" s="94"/>
      <c r="AF1055" s="94"/>
      <c r="AG1055" s="95"/>
    </row>
    <row r="1056" hidden="1">
      <c r="A1056" s="115"/>
      <c r="B1056" s="93"/>
      <c r="E1056" s="116"/>
      <c r="F1056" s="95"/>
      <c r="G1056" s="95"/>
      <c r="H1056" s="94"/>
      <c r="I1056" s="94"/>
      <c r="J1056" s="117"/>
      <c r="K1056" s="118"/>
      <c r="L1056" s="119"/>
      <c r="M1056" s="94"/>
      <c r="N1056" s="94"/>
      <c r="O1056" s="93"/>
      <c r="P1056" s="120" t="b">
        <v>0</v>
      </c>
      <c r="Q1056" s="120" t="b">
        <v>0</v>
      </c>
      <c r="R1056" s="120" t="b">
        <v>0</v>
      </c>
      <c r="S1056" s="95"/>
      <c r="U1056" s="120" t="b">
        <v>0</v>
      </c>
      <c r="V1056" s="93"/>
      <c r="W1056" s="93"/>
      <c r="X1056" s="93"/>
      <c r="Y1056" s="93"/>
      <c r="AA1056" s="95"/>
      <c r="AB1056" s="121"/>
      <c r="AC1056" s="29" t="str">
        <f t="shared" si="5"/>
        <v>Sim</v>
      </c>
      <c r="AD1056" s="37" t="str">
        <f t="shared" si="1"/>
        <v>Não</v>
      </c>
      <c r="AE1056" s="94"/>
      <c r="AF1056" s="94"/>
      <c r="AG1056" s="95"/>
    </row>
    <row r="1057" hidden="1">
      <c r="A1057" s="115"/>
      <c r="B1057" s="93"/>
      <c r="E1057" s="116"/>
      <c r="F1057" s="95"/>
      <c r="G1057" s="95"/>
      <c r="H1057" s="94"/>
      <c r="I1057" s="94"/>
      <c r="J1057" s="117"/>
      <c r="K1057" s="118"/>
      <c r="L1057" s="119"/>
      <c r="M1057" s="94"/>
      <c r="N1057" s="94"/>
      <c r="O1057" s="93"/>
      <c r="P1057" s="120" t="b">
        <v>0</v>
      </c>
      <c r="Q1057" s="120" t="b">
        <v>0</v>
      </c>
      <c r="R1057" s="120" t="b">
        <v>0</v>
      </c>
      <c r="S1057" s="95"/>
      <c r="U1057" s="120" t="b">
        <v>0</v>
      </c>
      <c r="V1057" s="93"/>
      <c r="W1057" s="93"/>
      <c r="X1057" s="93"/>
      <c r="Y1057" s="93"/>
      <c r="AA1057" s="95"/>
      <c r="AB1057" s="121"/>
      <c r="AC1057" s="29" t="str">
        <f t="shared" si="5"/>
        <v>Sim</v>
      </c>
      <c r="AD1057" s="37" t="str">
        <f t="shared" si="1"/>
        <v>Não</v>
      </c>
      <c r="AE1057" s="94"/>
      <c r="AF1057" s="94"/>
      <c r="AG1057" s="95"/>
    </row>
    <row r="1058" hidden="1">
      <c r="A1058" s="115"/>
      <c r="B1058" s="93"/>
      <c r="E1058" s="116"/>
      <c r="F1058" s="95"/>
      <c r="G1058" s="95"/>
      <c r="H1058" s="94"/>
      <c r="I1058" s="94"/>
      <c r="J1058" s="117"/>
      <c r="K1058" s="118"/>
      <c r="L1058" s="119"/>
      <c r="M1058" s="94"/>
      <c r="N1058" s="94"/>
      <c r="O1058" s="93"/>
      <c r="P1058" s="120" t="b">
        <v>0</v>
      </c>
      <c r="Q1058" s="120" t="b">
        <v>0</v>
      </c>
      <c r="R1058" s="120" t="b">
        <v>0</v>
      </c>
      <c r="S1058" s="95"/>
      <c r="U1058" s="120" t="b">
        <v>0</v>
      </c>
      <c r="V1058" s="93"/>
      <c r="W1058" s="93"/>
      <c r="X1058" s="93"/>
      <c r="Y1058" s="93"/>
      <c r="AA1058" s="95"/>
      <c r="AB1058" s="121"/>
      <c r="AC1058" s="29" t="str">
        <f t="shared" si="5"/>
        <v>Sim</v>
      </c>
      <c r="AD1058" s="37" t="str">
        <f t="shared" si="1"/>
        <v>Não</v>
      </c>
      <c r="AE1058" s="94"/>
      <c r="AF1058" s="94"/>
      <c r="AG1058" s="95"/>
    </row>
    <row r="1059" hidden="1">
      <c r="A1059" s="115"/>
      <c r="B1059" s="93"/>
      <c r="E1059" s="116"/>
      <c r="F1059" s="95"/>
      <c r="G1059" s="95"/>
      <c r="H1059" s="94"/>
      <c r="I1059" s="94"/>
      <c r="J1059" s="117"/>
      <c r="K1059" s="118"/>
      <c r="L1059" s="119"/>
      <c r="M1059" s="94"/>
      <c r="N1059" s="94"/>
      <c r="O1059" s="93"/>
      <c r="P1059" s="120" t="b">
        <v>0</v>
      </c>
      <c r="Q1059" s="120" t="b">
        <v>0</v>
      </c>
      <c r="R1059" s="120" t="b">
        <v>0</v>
      </c>
      <c r="S1059" s="95"/>
      <c r="U1059" s="120" t="b">
        <v>0</v>
      </c>
      <c r="V1059" s="93"/>
      <c r="W1059" s="93"/>
      <c r="X1059" s="93"/>
      <c r="Y1059" s="93"/>
      <c r="AA1059" s="95"/>
      <c r="AB1059" s="121"/>
      <c r="AC1059" s="29" t="str">
        <f t="shared" si="5"/>
        <v>Sim</v>
      </c>
      <c r="AD1059" s="37" t="str">
        <f t="shared" si="1"/>
        <v>Não</v>
      </c>
      <c r="AE1059" s="94"/>
      <c r="AF1059" s="94"/>
      <c r="AG1059" s="95"/>
    </row>
    <row r="1060" hidden="1">
      <c r="A1060" s="115"/>
      <c r="B1060" s="93"/>
      <c r="E1060" s="116"/>
      <c r="F1060" s="95"/>
      <c r="G1060" s="95"/>
      <c r="H1060" s="94"/>
      <c r="I1060" s="94"/>
      <c r="J1060" s="117"/>
      <c r="K1060" s="118"/>
      <c r="L1060" s="119"/>
      <c r="M1060" s="94"/>
      <c r="N1060" s="94"/>
      <c r="O1060" s="93"/>
      <c r="P1060" s="120" t="b">
        <v>0</v>
      </c>
      <c r="Q1060" s="120" t="b">
        <v>0</v>
      </c>
      <c r="R1060" s="120" t="b">
        <v>0</v>
      </c>
      <c r="S1060" s="95"/>
      <c r="U1060" s="120" t="b">
        <v>0</v>
      </c>
      <c r="V1060" s="93"/>
      <c r="W1060" s="93"/>
      <c r="X1060" s="93"/>
      <c r="Y1060" s="93"/>
      <c r="AA1060" s="95"/>
      <c r="AB1060" s="121"/>
      <c r="AC1060" s="29" t="str">
        <f t="shared" si="5"/>
        <v>Sim</v>
      </c>
      <c r="AD1060" s="37" t="str">
        <f t="shared" si="1"/>
        <v>Não</v>
      </c>
      <c r="AE1060" s="94"/>
      <c r="AF1060" s="94"/>
      <c r="AG1060" s="95"/>
    </row>
    <row r="1061" hidden="1">
      <c r="A1061" s="115"/>
      <c r="B1061" s="93"/>
      <c r="E1061" s="116"/>
      <c r="F1061" s="95"/>
      <c r="G1061" s="95"/>
      <c r="H1061" s="94"/>
      <c r="I1061" s="94"/>
      <c r="J1061" s="117"/>
      <c r="K1061" s="118"/>
      <c r="L1061" s="119"/>
      <c r="M1061" s="94"/>
      <c r="N1061" s="94"/>
      <c r="O1061" s="93"/>
      <c r="P1061" s="120" t="b">
        <v>0</v>
      </c>
      <c r="Q1061" s="120" t="b">
        <v>0</v>
      </c>
      <c r="R1061" s="120" t="b">
        <v>0</v>
      </c>
      <c r="S1061" s="95"/>
      <c r="U1061" s="120" t="b">
        <v>0</v>
      </c>
      <c r="V1061" s="93"/>
      <c r="W1061" s="93"/>
      <c r="X1061" s="93"/>
      <c r="Y1061" s="93"/>
      <c r="AA1061" s="95"/>
      <c r="AB1061" s="121"/>
      <c r="AC1061" s="29" t="str">
        <f t="shared" si="5"/>
        <v>Sim</v>
      </c>
      <c r="AD1061" s="37" t="str">
        <f t="shared" si="1"/>
        <v>Não</v>
      </c>
      <c r="AE1061" s="94"/>
      <c r="AF1061" s="94"/>
      <c r="AG1061" s="95"/>
    </row>
    <row r="1062" hidden="1">
      <c r="A1062" s="115"/>
      <c r="B1062" s="93"/>
      <c r="E1062" s="116"/>
      <c r="F1062" s="95"/>
      <c r="G1062" s="95"/>
      <c r="H1062" s="94"/>
      <c r="I1062" s="94"/>
      <c r="J1062" s="117"/>
      <c r="K1062" s="118"/>
      <c r="L1062" s="119"/>
      <c r="M1062" s="94"/>
      <c r="N1062" s="94"/>
      <c r="O1062" s="93"/>
      <c r="P1062" s="120" t="b">
        <v>0</v>
      </c>
      <c r="Q1062" s="120" t="b">
        <v>0</v>
      </c>
      <c r="R1062" s="120" t="b">
        <v>0</v>
      </c>
      <c r="S1062" s="95"/>
      <c r="U1062" s="120" t="b">
        <v>0</v>
      </c>
      <c r="V1062" s="93"/>
      <c r="W1062" s="93"/>
      <c r="X1062" s="93"/>
      <c r="Y1062" s="93"/>
      <c r="AA1062" s="95"/>
      <c r="AB1062" s="121"/>
      <c r="AC1062" s="29" t="str">
        <f t="shared" si="5"/>
        <v>Sim</v>
      </c>
      <c r="AD1062" s="37" t="str">
        <f t="shared" si="1"/>
        <v>Não</v>
      </c>
      <c r="AE1062" s="94"/>
      <c r="AF1062" s="94"/>
      <c r="AG1062" s="95"/>
    </row>
    <row r="1063" hidden="1">
      <c r="A1063" s="115"/>
      <c r="B1063" s="93"/>
      <c r="E1063" s="116"/>
      <c r="F1063" s="95"/>
      <c r="G1063" s="95"/>
      <c r="H1063" s="94"/>
      <c r="I1063" s="94"/>
      <c r="J1063" s="117"/>
      <c r="K1063" s="118"/>
      <c r="L1063" s="119"/>
      <c r="M1063" s="94"/>
      <c r="N1063" s="94"/>
      <c r="O1063" s="93"/>
      <c r="P1063" s="120" t="b">
        <v>0</v>
      </c>
      <c r="Q1063" s="120" t="b">
        <v>0</v>
      </c>
      <c r="R1063" s="120" t="b">
        <v>0</v>
      </c>
      <c r="S1063" s="95"/>
      <c r="U1063" s="120" t="b">
        <v>0</v>
      </c>
      <c r="V1063" s="93"/>
      <c r="W1063" s="93"/>
      <c r="X1063" s="93"/>
      <c r="Y1063" s="93"/>
      <c r="AA1063" s="95"/>
      <c r="AB1063" s="121"/>
      <c r="AC1063" s="29" t="str">
        <f t="shared" si="5"/>
        <v>Sim</v>
      </c>
      <c r="AD1063" s="37" t="str">
        <f t="shared" si="1"/>
        <v>Não</v>
      </c>
      <c r="AE1063" s="94"/>
      <c r="AF1063" s="94"/>
      <c r="AG1063" s="95"/>
    </row>
    <row r="1064" hidden="1">
      <c r="A1064" s="115"/>
      <c r="B1064" s="93"/>
      <c r="E1064" s="116"/>
      <c r="F1064" s="95"/>
      <c r="G1064" s="95"/>
      <c r="H1064" s="94"/>
      <c r="I1064" s="94"/>
      <c r="J1064" s="117"/>
      <c r="K1064" s="118"/>
      <c r="L1064" s="119"/>
      <c r="M1064" s="94"/>
      <c r="N1064" s="94"/>
      <c r="O1064" s="93"/>
      <c r="P1064" s="120" t="b">
        <v>0</v>
      </c>
      <c r="Q1064" s="120" t="b">
        <v>0</v>
      </c>
      <c r="R1064" s="120" t="b">
        <v>0</v>
      </c>
      <c r="S1064" s="95"/>
      <c r="U1064" s="120" t="b">
        <v>0</v>
      </c>
      <c r="V1064" s="93"/>
      <c r="W1064" s="93"/>
      <c r="X1064" s="93"/>
      <c r="Y1064" s="93"/>
      <c r="AA1064" s="95"/>
      <c r="AB1064" s="121"/>
      <c r="AC1064" s="29" t="str">
        <f t="shared" si="5"/>
        <v>Sim</v>
      </c>
      <c r="AD1064" s="37" t="str">
        <f t="shared" si="1"/>
        <v>Não</v>
      </c>
      <c r="AE1064" s="94"/>
      <c r="AF1064" s="94"/>
      <c r="AG1064" s="95"/>
    </row>
    <row r="1065" hidden="1">
      <c r="A1065" s="115"/>
      <c r="B1065" s="93"/>
      <c r="E1065" s="116"/>
      <c r="F1065" s="95"/>
      <c r="G1065" s="95"/>
      <c r="H1065" s="94"/>
      <c r="I1065" s="94"/>
      <c r="J1065" s="117"/>
      <c r="K1065" s="118"/>
      <c r="L1065" s="119"/>
      <c r="M1065" s="94"/>
      <c r="N1065" s="94"/>
      <c r="O1065" s="93"/>
      <c r="P1065" s="120" t="b">
        <v>0</v>
      </c>
      <c r="Q1065" s="120" t="b">
        <v>0</v>
      </c>
      <c r="R1065" s="120" t="b">
        <v>0</v>
      </c>
      <c r="S1065" s="95"/>
      <c r="U1065" s="120" t="b">
        <v>0</v>
      </c>
      <c r="V1065" s="93"/>
      <c r="W1065" s="93"/>
      <c r="X1065" s="93"/>
      <c r="Y1065" s="93"/>
      <c r="AA1065" s="95"/>
      <c r="AB1065" s="121"/>
      <c r="AC1065" s="29" t="str">
        <f t="shared" si="5"/>
        <v>Sim</v>
      </c>
      <c r="AD1065" s="37" t="str">
        <f t="shared" si="1"/>
        <v>Não</v>
      </c>
      <c r="AE1065" s="94"/>
      <c r="AF1065" s="94"/>
      <c r="AG1065" s="95"/>
    </row>
    <row r="1066" hidden="1">
      <c r="A1066" s="115"/>
      <c r="B1066" s="93"/>
      <c r="E1066" s="116"/>
      <c r="F1066" s="95"/>
      <c r="G1066" s="95"/>
      <c r="H1066" s="94"/>
      <c r="I1066" s="94"/>
      <c r="J1066" s="117"/>
      <c r="K1066" s="118"/>
      <c r="L1066" s="119"/>
      <c r="M1066" s="94"/>
      <c r="N1066" s="94"/>
      <c r="O1066" s="93"/>
      <c r="P1066" s="120" t="b">
        <v>0</v>
      </c>
      <c r="Q1066" s="120" t="b">
        <v>0</v>
      </c>
      <c r="R1066" s="120" t="b">
        <v>0</v>
      </c>
      <c r="S1066" s="95"/>
      <c r="U1066" s="120" t="b">
        <v>0</v>
      </c>
      <c r="V1066" s="93"/>
      <c r="W1066" s="93"/>
      <c r="X1066" s="93"/>
      <c r="Y1066" s="93"/>
      <c r="AA1066" s="95"/>
      <c r="AB1066" s="121"/>
      <c r="AC1066" s="29" t="str">
        <f t="shared" si="5"/>
        <v>Sim</v>
      </c>
      <c r="AD1066" s="37" t="str">
        <f t="shared" si="1"/>
        <v>Não</v>
      </c>
      <c r="AE1066" s="94"/>
      <c r="AF1066" s="94"/>
      <c r="AG1066" s="95"/>
    </row>
    <row r="1067" hidden="1">
      <c r="A1067" s="115"/>
      <c r="B1067" s="93"/>
      <c r="E1067" s="116"/>
      <c r="F1067" s="95"/>
      <c r="G1067" s="95"/>
      <c r="H1067" s="94"/>
      <c r="I1067" s="94"/>
      <c r="J1067" s="117"/>
      <c r="K1067" s="118"/>
      <c r="L1067" s="119"/>
      <c r="M1067" s="94"/>
      <c r="N1067" s="94"/>
      <c r="O1067" s="93"/>
      <c r="P1067" s="120" t="b">
        <v>0</v>
      </c>
      <c r="Q1067" s="120" t="b">
        <v>0</v>
      </c>
      <c r="R1067" s="120" t="b">
        <v>0</v>
      </c>
      <c r="S1067" s="95"/>
      <c r="U1067" s="120" t="b">
        <v>0</v>
      </c>
      <c r="V1067" s="93"/>
      <c r="W1067" s="93"/>
      <c r="X1067" s="93"/>
      <c r="Y1067" s="93"/>
      <c r="AA1067" s="95"/>
      <c r="AB1067" s="121"/>
      <c r="AC1067" s="29" t="str">
        <f t="shared" si="5"/>
        <v>Sim</v>
      </c>
      <c r="AD1067" s="37" t="str">
        <f t="shared" si="1"/>
        <v>Não</v>
      </c>
      <c r="AE1067" s="94"/>
      <c r="AF1067" s="94"/>
      <c r="AG1067" s="95"/>
    </row>
    <row r="1068" hidden="1">
      <c r="A1068" s="115"/>
      <c r="B1068" s="93"/>
      <c r="E1068" s="116"/>
      <c r="F1068" s="95"/>
      <c r="G1068" s="95"/>
      <c r="H1068" s="94"/>
      <c r="I1068" s="94"/>
      <c r="J1068" s="117"/>
      <c r="K1068" s="118"/>
      <c r="L1068" s="119"/>
      <c r="M1068" s="94"/>
      <c r="N1068" s="94"/>
      <c r="O1068" s="93"/>
      <c r="P1068" s="120" t="b">
        <v>0</v>
      </c>
      <c r="Q1068" s="120" t="b">
        <v>0</v>
      </c>
      <c r="R1068" s="120" t="b">
        <v>0</v>
      </c>
      <c r="S1068" s="95"/>
      <c r="U1068" s="120" t="b">
        <v>0</v>
      </c>
      <c r="V1068" s="93"/>
      <c r="W1068" s="93"/>
      <c r="X1068" s="93"/>
      <c r="Y1068" s="93"/>
      <c r="AA1068" s="95"/>
      <c r="AB1068" s="121"/>
      <c r="AC1068" s="29" t="str">
        <f t="shared" si="5"/>
        <v>Sim</v>
      </c>
      <c r="AD1068" s="37" t="str">
        <f t="shared" si="1"/>
        <v>Não</v>
      </c>
      <c r="AE1068" s="94"/>
      <c r="AF1068" s="94"/>
      <c r="AG1068" s="95"/>
    </row>
    <row r="1069" hidden="1">
      <c r="A1069" s="115"/>
      <c r="B1069" s="93"/>
      <c r="E1069" s="116"/>
      <c r="F1069" s="95"/>
      <c r="G1069" s="95"/>
      <c r="H1069" s="94"/>
      <c r="I1069" s="94"/>
      <c r="J1069" s="117"/>
      <c r="K1069" s="118"/>
      <c r="L1069" s="119"/>
      <c r="M1069" s="94"/>
      <c r="N1069" s="94"/>
      <c r="O1069" s="93"/>
      <c r="P1069" s="120" t="b">
        <v>0</v>
      </c>
      <c r="Q1069" s="120" t="b">
        <v>0</v>
      </c>
      <c r="R1069" s="120" t="b">
        <v>0</v>
      </c>
      <c r="S1069" s="95"/>
      <c r="U1069" s="120" t="b">
        <v>0</v>
      </c>
      <c r="V1069" s="93"/>
      <c r="W1069" s="93"/>
      <c r="X1069" s="93"/>
      <c r="Y1069" s="93"/>
      <c r="AA1069" s="95"/>
      <c r="AB1069" s="121"/>
      <c r="AC1069" s="29" t="str">
        <f t="shared" si="5"/>
        <v>Sim</v>
      </c>
      <c r="AD1069" s="37" t="str">
        <f t="shared" si="1"/>
        <v>Não</v>
      </c>
      <c r="AE1069" s="94"/>
      <c r="AF1069" s="94"/>
      <c r="AG1069" s="95"/>
    </row>
    <row r="1070" hidden="1">
      <c r="A1070" s="115"/>
      <c r="B1070" s="93"/>
      <c r="E1070" s="116"/>
      <c r="F1070" s="95"/>
      <c r="G1070" s="95"/>
      <c r="H1070" s="94"/>
      <c r="I1070" s="94"/>
      <c r="J1070" s="117"/>
      <c r="K1070" s="118"/>
      <c r="L1070" s="119"/>
      <c r="M1070" s="94"/>
      <c r="N1070" s="94"/>
      <c r="O1070" s="93"/>
      <c r="P1070" s="120" t="b">
        <v>0</v>
      </c>
      <c r="Q1070" s="120" t="b">
        <v>0</v>
      </c>
      <c r="R1070" s="120" t="b">
        <v>0</v>
      </c>
      <c r="S1070" s="95"/>
      <c r="U1070" s="120" t="b">
        <v>0</v>
      </c>
      <c r="V1070" s="93"/>
      <c r="W1070" s="93"/>
      <c r="X1070" s="93"/>
      <c r="Y1070" s="93"/>
      <c r="AA1070" s="95"/>
      <c r="AB1070" s="121"/>
      <c r="AC1070" s="29" t="str">
        <f t="shared" si="5"/>
        <v>Sim</v>
      </c>
      <c r="AD1070" s="37" t="str">
        <f t="shared" si="1"/>
        <v>Não</v>
      </c>
      <c r="AE1070" s="94"/>
      <c r="AF1070" s="94"/>
      <c r="AG1070" s="95"/>
    </row>
    <row r="1071" hidden="1">
      <c r="A1071" s="115"/>
      <c r="B1071" s="93"/>
      <c r="E1071" s="116"/>
      <c r="F1071" s="95"/>
      <c r="G1071" s="95"/>
      <c r="H1071" s="94"/>
      <c r="I1071" s="94"/>
      <c r="J1071" s="117"/>
      <c r="K1071" s="118"/>
      <c r="L1071" s="119"/>
      <c r="M1071" s="94"/>
      <c r="N1071" s="94"/>
      <c r="O1071" s="93"/>
      <c r="P1071" s="120" t="b">
        <v>0</v>
      </c>
      <c r="Q1071" s="120" t="b">
        <v>0</v>
      </c>
      <c r="R1071" s="120" t="b">
        <v>0</v>
      </c>
      <c r="S1071" s="95"/>
      <c r="U1071" s="120" t="b">
        <v>0</v>
      </c>
      <c r="V1071" s="93"/>
      <c r="W1071" s="93"/>
      <c r="X1071" s="93"/>
      <c r="Y1071" s="93"/>
      <c r="AA1071" s="95"/>
      <c r="AB1071" s="121"/>
      <c r="AC1071" s="29" t="str">
        <f t="shared" si="5"/>
        <v>Sim</v>
      </c>
      <c r="AD1071" s="37" t="str">
        <f t="shared" si="1"/>
        <v>Não</v>
      </c>
      <c r="AE1071" s="94"/>
      <c r="AF1071" s="94"/>
      <c r="AG1071" s="95"/>
    </row>
    <row r="1072" hidden="1">
      <c r="A1072" s="115"/>
      <c r="B1072" s="93"/>
      <c r="E1072" s="116"/>
      <c r="F1072" s="95"/>
      <c r="G1072" s="95"/>
      <c r="H1072" s="94"/>
      <c r="I1072" s="94"/>
      <c r="J1072" s="117"/>
      <c r="K1072" s="118"/>
      <c r="L1072" s="119"/>
      <c r="M1072" s="94"/>
      <c r="N1072" s="94"/>
      <c r="O1072" s="93"/>
      <c r="P1072" s="120" t="b">
        <v>0</v>
      </c>
      <c r="Q1072" s="120" t="b">
        <v>0</v>
      </c>
      <c r="R1072" s="120" t="b">
        <v>0</v>
      </c>
      <c r="S1072" s="95"/>
      <c r="U1072" s="120" t="b">
        <v>0</v>
      </c>
      <c r="V1072" s="93"/>
      <c r="W1072" s="93"/>
      <c r="X1072" s="93"/>
      <c r="Y1072" s="93"/>
      <c r="AA1072" s="95"/>
      <c r="AB1072" s="121"/>
      <c r="AC1072" s="29" t="str">
        <f t="shared" si="5"/>
        <v>Sim</v>
      </c>
      <c r="AD1072" s="37" t="str">
        <f t="shared" si="1"/>
        <v>Não</v>
      </c>
      <c r="AE1072" s="94"/>
      <c r="AF1072" s="94"/>
      <c r="AG1072" s="95"/>
    </row>
    <row r="1073" hidden="1">
      <c r="A1073" s="115"/>
      <c r="B1073" s="93"/>
      <c r="E1073" s="116"/>
      <c r="F1073" s="95"/>
      <c r="G1073" s="95"/>
      <c r="H1073" s="94"/>
      <c r="I1073" s="94"/>
      <c r="J1073" s="117"/>
      <c r="K1073" s="118"/>
      <c r="L1073" s="119"/>
      <c r="M1073" s="94"/>
      <c r="N1073" s="94"/>
      <c r="O1073" s="93"/>
      <c r="P1073" s="120" t="b">
        <v>0</v>
      </c>
      <c r="Q1073" s="120" t="b">
        <v>0</v>
      </c>
      <c r="R1073" s="120" t="b">
        <v>0</v>
      </c>
      <c r="S1073" s="95"/>
      <c r="U1073" s="120" t="b">
        <v>0</v>
      </c>
      <c r="V1073" s="93"/>
      <c r="W1073" s="93"/>
      <c r="X1073" s="93"/>
      <c r="Y1073" s="93"/>
      <c r="AA1073" s="95"/>
      <c r="AB1073" s="121"/>
      <c r="AC1073" s="29" t="str">
        <f t="shared" si="5"/>
        <v>Sim</v>
      </c>
      <c r="AD1073" s="37" t="str">
        <f t="shared" si="1"/>
        <v>Não</v>
      </c>
      <c r="AE1073" s="94"/>
      <c r="AF1073" s="94"/>
      <c r="AG1073" s="95"/>
    </row>
    <row r="1074" hidden="1">
      <c r="A1074" s="115"/>
      <c r="B1074" s="93"/>
      <c r="E1074" s="116"/>
      <c r="F1074" s="95"/>
      <c r="G1074" s="95"/>
      <c r="H1074" s="94"/>
      <c r="I1074" s="94"/>
      <c r="J1074" s="117"/>
      <c r="K1074" s="118"/>
      <c r="L1074" s="119"/>
      <c r="M1074" s="94"/>
      <c r="N1074" s="94"/>
      <c r="O1074" s="93"/>
      <c r="P1074" s="120" t="b">
        <v>0</v>
      </c>
      <c r="Q1074" s="120" t="b">
        <v>0</v>
      </c>
      <c r="R1074" s="120" t="b">
        <v>0</v>
      </c>
      <c r="S1074" s="95"/>
      <c r="U1074" s="120" t="b">
        <v>0</v>
      </c>
      <c r="V1074" s="93"/>
      <c r="W1074" s="93"/>
      <c r="X1074" s="93"/>
      <c r="Y1074" s="93"/>
      <c r="AA1074" s="95"/>
      <c r="AB1074" s="121"/>
      <c r="AC1074" s="29" t="str">
        <f t="shared" si="5"/>
        <v>Sim</v>
      </c>
      <c r="AD1074" s="37" t="str">
        <f t="shared" si="1"/>
        <v>Não</v>
      </c>
      <c r="AE1074" s="94"/>
      <c r="AF1074" s="94"/>
      <c r="AG1074" s="95"/>
    </row>
    <row r="1075" hidden="1">
      <c r="A1075" s="115"/>
      <c r="B1075" s="93"/>
      <c r="E1075" s="116"/>
      <c r="F1075" s="95"/>
      <c r="G1075" s="95"/>
      <c r="H1075" s="94"/>
      <c r="I1075" s="94"/>
      <c r="J1075" s="117"/>
      <c r="K1075" s="118"/>
      <c r="L1075" s="119"/>
      <c r="M1075" s="94"/>
      <c r="N1075" s="94"/>
      <c r="O1075" s="93"/>
      <c r="P1075" s="120" t="b">
        <v>0</v>
      </c>
      <c r="Q1075" s="120" t="b">
        <v>0</v>
      </c>
      <c r="R1075" s="120" t="b">
        <v>0</v>
      </c>
      <c r="S1075" s="95"/>
      <c r="U1075" s="120" t="b">
        <v>0</v>
      </c>
      <c r="V1075" s="93"/>
      <c r="W1075" s="93"/>
      <c r="X1075" s="93"/>
      <c r="Y1075" s="93"/>
      <c r="AA1075" s="95"/>
      <c r="AB1075" s="121"/>
      <c r="AC1075" s="29" t="str">
        <f t="shared" si="5"/>
        <v>Sim</v>
      </c>
      <c r="AD1075" s="37" t="str">
        <f t="shared" si="1"/>
        <v>Não</v>
      </c>
      <c r="AE1075" s="94"/>
      <c r="AF1075" s="94"/>
      <c r="AG1075" s="95"/>
    </row>
    <row r="1076" hidden="1">
      <c r="A1076" s="115"/>
      <c r="B1076" s="93"/>
      <c r="E1076" s="116"/>
      <c r="F1076" s="95"/>
      <c r="G1076" s="95"/>
      <c r="H1076" s="94"/>
      <c r="I1076" s="94"/>
      <c r="J1076" s="117"/>
      <c r="K1076" s="118"/>
      <c r="L1076" s="119"/>
      <c r="M1076" s="94"/>
      <c r="N1076" s="94"/>
      <c r="O1076" s="93"/>
      <c r="P1076" s="120" t="b">
        <v>0</v>
      </c>
      <c r="Q1076" s="120" t="b">
        <v>0</v>
      </c>
      <c r="R1076" s="120" t="b">
        <v>0</v>
      </c>
      <c r="S1076" s="95"/>
      <c r="U1076" s="120" t="b">
        <v>0</v>
      </c>
      <c r="V1076" s="93"/>
      <c r="W1076" s="93"/>
      <c r="X1076" s="93"/>
      <c r="Y1076" s="93"/>
      <c r="AA1076" s="95"/>
      <c r="AB1076" s="121"/>
      <c r="AC1076" s="29" t="str">
        <f t="shared" si="5"/>
        <v>Sim</v>
      </c>
      <c r="AD1076" s="37" t="str">
        <f t="shared" si="1"/>
        <v>Não</v>
      </c>
      <c r="AE1076" s="94"/>
      <c r="AF1076" s="94"/>
      <c r="AG1076" s="95"/>
    </row>
    <row r="1077" hidden="1">
      <c r="A1077" s="115"/>
      <c r="B1077" s="93"/>
      <c r="E1077" s="116"/>
      <c r="F1077" s="95"/>
      <c r="G1077" s="95"/>
      <c r="H1077" s="94"/>
      <c r="I1077" s="94"/>
      <c r="J1077" s="117"/>
      <c r="K1077" s="118"/>
      <c r="L1077" s="119"/>
      <c r="M1077" s="94"/>
      <c r="N1077" s="94"/>
      <c r="O1077" s="93"/>
      <c r="P1077" s="120" t="b">
        <v>0</v>
      </c>
      <c r="Q1077" s="120" t="b">
        <v>0</v>
      </c>
      <c r="R1077" s="120" t="b">
        <v>0</v>
      </c>
      <c r="S1077" s="95"/>
      <c r="U1077" s="120" t="b">
        <v>0</v>
      </c>
      <c r="V1077" s="93"/>
      <c r="W1077" s="93"/>
      <c r="X1077" s="93"/>
      <c r="Y1077" s="93"/>
      <c r="AA1077" s="95"/>
      <c r="AB1077" s="121"/>
      <c r="AC1077" s="29" t="str">
        <f t="shared" si="5"/>
        <v>Sim</v>
      </c>
      <c r="AD1077" s="37" t="str">
        <f t="shared" si="1"/>
        <v>Não</v>
      </c>
      <c r="AE1077" s="94"/>
      <c r="AF1077" s="94"/>
      <c r="AG1077" s="95"/>
    </row>
    <row r="1078" hidden="1">
      <c r="A1078" s="115"/>
      <c r="B1078" s="93"/>
      <c r="E1078" s="116"/>
      <c r="F1078" s="95"/>
      <c r="G1078" s="95"/>
      <c r="H1078" s="94"/>
      <c r="I1078" s="94"/>
      <c r="J1078" s="117"/>
      <c r="K1078" s="118"/>
      <c r="L1078" s="119"/>
      <c r="M1078" s="94"/>
      <c r="N1078" s="94"/>
      <c r="O1078" s="93"/>
      <c r="P1078" s="120" t="b">
        <v>0</v>
      </c>
      <c r="Q1078" s="120" t="b">
        <v>0</v>
      </c>
      <c r="R1078" s="120" t="b">
        <v>0</v>
      </c>
      <c r="S1078" s="95"/>
      <c r="U1078" s="120" t="b">
        <v>0</v>
      </c>
      <c r="V1078" s="93"/>
      <c r="W1078" s="93"/>
      <c r="X1078" s="93"/>
      <c r="Y1078" s="93"/>
      <c r="AA1078" s="95"/>
      <c r="AB1078" s="121"/>
      <c r="AC1078" s="29" t="str">
        <f t="shared" si="5"/>
        <v>Sim</v>
      </c>
      <c r="AD1078" s="37" t="str">
        <f t="shared" si="1"/>
        <v>Não</v>
      </c>
      <c r="AE1078" s="94"/>
      <c r="AF1078" s="94"/>
      <c r="AG1078" s="95"/>
    </row>
    <row r="1079" hidden="1">
      <c r="A1079" s="115"/>
      <c r="B1079" s="93"/>
      <c r="E1079" s="116"/>
      <c r="F1079" s="95"/>
      <c r="G1079" s="95"/>
      <c r="H1079" s="94"/>
      <c r="I1079" s="94"/>
      <c r="J1079" s="117"/>
      <c r="K1079" s="118"/>
      <c r="L1079" s="119"/>
      <c r="M1079" s="94"/>
      <c r="N1079" s="94"/>
      <c r="O1079" s="93"/>
      <c r="P1079" s="120" t="b">
        <v>0</v>
      </c>
      <c r="Q1079" s="120" t="b">
        <v>0</v>
      </c>
      <c r="R1079" s="120" t="b">
        <v>0</v>
      </c>
      <c r="S1079" s="95"/>
      <c r="U1079" s="120" t="b">
        <v>0</v>
      </c>
      <c r="V1079" s="93"/>
      <c r="W1079" s="93"/>
      <c r="X1079" s="93"/>
      <c r="Y1079" s="93"/>
      <c r="AA1079" s="95"/>
      <c r="AB1079" s="121"/>
      <c r="AC1079" s="29" t="str">
        <f t="shared" si="5"/>
        <v>Sim</v>
      </c>
      <c r="AD1079" s="37" t="str">
        <f t="shared" si="1"/>
        <v>Não</v>
      </c>
      <c r="AE1079" s="94"/>
      <c r="AF1079" s="94"/>
      <c r="AG1079" s="95"/>
    </row>
    <row r="1080" hidden="1">
      <c r="A1080" s="115"/>
      <c r="B1080" s="93"/>
      <c r="E1080" s="116"/>
      <c r="F1080" s="95"/>
      <c r="G1080" s="95"/>
      <c r="H1080" s="94"/>
      <c r="I1080" s="94"/>
      <c r="J1080" s="117"/>
      <c r="K1080" s="118"/>
      <c r="L1080" s="119"/>
      <c r="M1080" s="94"/>
      <c r="N1080" s="94"/>
      <c r="O1080" s="93"/>
      <c r="P1080" s="120" t="b">
        <v>0</v>
      </c>
      <c r="Q1080" s="120" t="b">
        <v>0</v>
      </c>
      <c r="R1080" s="120" t="b">
        <v>0</v>
      </c>
      <c r="S1080" s="95"/>
      <c r="U1080" s="120" t="b">
        <v>0</v>
      </c>
      <c r="V1080" s="93"/>
      <c r="W1080" s="93"/>
      <c r="X1080" s="93"/>
      <c r="Y1080" s="93"/>
      <c r="AA1080" s="95"/>
      <c r="AB1080" s="121"/>
      <c r="AC1080" s="29" t="str">
        <f t="shared" si="5"/>
        <v>Sim</v>
      </c>
      <c r="AD1080" s="37" t="str">
        <f t="shared" si="1"/>
        <v>Não</v>
      </c>
      <c r="AE1080" s="94"/>
      <c r="AF1080" s="94"/>
      <c r="AG1080" s="95"/>
    </row>
    <row r="1081" hidden="1">
      <c r="A1081" s="115"/>
      <c r="B1081" s="93"/>
      <c r="E1081" s="116"/>
      <c r="F1081" s="95"/>
      <c r="G1081" s="95"/>
      <c r="H1081" s="94"/>
      <c r="I1081" s="94"/>
      <c r="J1081" s="117"/>
      <c r="K1081" s="118"/>
      <c r="L1081" s="119"/>
      <c r="M1081" s="94"/>
      <c r="N1081" s="94"/>
      <c r="O1081" s="93"/>
      <c r="P1081" s="120" t="b">
        <v>0</v>
      </c>
      <c r="Q1081" s="120" t="b">
        <v>0</v>
      </c>
      <c r="R1081" s="120" t="b">
        <v>0</v>
      </c>
      <c r="S1081" s="95"/>
      <c r="U1081" s="120" t="b">
        <v>0</v>
      </c>
      <c r="V1081" s="93"/>
      <c r="W1081" s="93"/>
      <c r="X1081" s="93"/>
      <c r="Y1081" s="93"/>
      <c r="AA1081" s="95"/>
      <c r="AB1081" s="121"/>
      <c r="AC1081" s="29" t="str">
        <f t="shared" si="5"/>
        <v>Sim</v>
      </c>
      <c r="AD1081" s="37" t="str">
        <f t="shared" si="1"/>
        <v>Não</v>
      </c>
      <c r="AE1081" s="94"/>
      <c r="AF1081" s="94"/>
      <c r="AG1081" s="95"/>
    </row>
    <row r="1082" hidden="1">
      <c r="A1082" s="115"/>
      <c r="B1082" s="93"/>
      <c r="E1082" s="116"/>
      <c r="F1082" s="95"/>
      <c r="G1082" s="95"/>
      <c r="H1082" s="94"/>
      <c r="I1082" s="94"/>
      <c r="J1082" s="117"/>
      <c r="K1082" s="118"/>
      <c r="L1082" s="119"/>
      <c r="M1082" s="94"/>
      <c r="N1082" s="94"/>
      <c r="O1082" s="93"/>
      <c r="P1082" s="120" t="b">
        <v>0</v>
      </c>
      <c r="Q1082" s="120" t="b">
        <v>0</v>
      </c>
      <c r="R1082" s="120" t="b">
        <v>0</v>
      </c>
      <c r="S1082" s="95"/>
      <c r="U1082" s="120" t="b">
        <v>0</v>
      </c>
      <c r="V1082" s="93"/>
      <c r="W1082" s="93"/>
      <c r="X1082" s="93"/>
      <c r="Y1082" s="93"/>
      <c r="AA1082" s="95"/>
      <c r="AB1082" s="121"/>
      <c r="AC1082" s="29" t="str">
        <f t="shared" si="5"/>
        <v>Sim</v>
      </c>
      <c r="AD1082" s="37" t="str">
        <f t="shared" si="1"/>
        <v>Não</v>
      </c>
      <c r="AE1082" s="94"/>
      <c r="AF1082" s="94"/>
      <c r="AG1082" s="95"/>
    </row>
    <row r="1083" hidden="1">
      <c r="A1083" s="115"/>
      <c r="B1083" s="93"/>
      <c r="E1083" s="116"/>
      <c r="F1083" s="95"/>
      <c r="G1083" s="95"/>
      <c r="H1083" s="94"/>
      <c r="I1083" s="94"/>
      <c r="J1083" s="117"/>
      <c r="K1083" s="118"/>
      <c r="L1083" s="119"/>
      <c r="M1083" s="94"/>
      <c r="N1083" s="94"/>
      <c r="O1083" s="93"/>
      <c r="P1083" s="120" t="b">
        <v>0</v>
      </c>
      <c r="Q1083" s="120" t="b">
        <v>0</v>
      </c>
      <c r="R1083" s="120" t="b">
        <v>0</v>
      </c>
      <c r="S1083" s="95"/>
      <c r="U1083" s="120" t="b">
        <v>0</v>
      </c>
      <c r="V1083" s="93"/>
      <c r="W1083" s="93"/>
      <c r="X1083" s="93"/>
      <c r="Y1083" s="93"/>
      <c r="AA1083" s="95"/>
      <c r="AB1083" s="121"/>
      <c r="AC1083" s="29" t="str">
        <f t="shared" si="5"/>
        <v>Sim</v>
      </c>
      <c r="AD1083" s="37" t="str">
        <f t="shared" si="1"/>
        <v>Não</v>
      </c>
      <c r="AE1083" s="94"/>
      <c r="AF1083" s="94"/>
      <c r="AG1083" s="95"/>
    </row>
    <row r="1084" hidden="1">
      <c r="A1084" s="115"/>
      <c r="B1084" s="93"/>
      <c r="E1084" s="116"/>
      <c r="F1084" s="95"/>
      <c r="G1084" s="95"/>
      <c r="H1084" s="94"/>
      <c r="I1084" s="94"/>
      <c r="J1084" s="117"/>
      <c r="K1084" s="118"/>
      <c r="L1084" s="119"/>
      <c r="M1084" s="94"/>
      <c r="N1084" s="94"/>
      <c r="O1084" s="93"/>
      <c r="P1084" s="120" t="b">
        <v>0</v>
      </c>
      <c r="Q1084" s="120" t="b">
        <v>0</v>
      </c>
      <c r="R1084" s="120" t="b">
        <v>0</v>
      </c>
      <c r="S1084" s="95"/>
      <c r="U1084" s="120" t="b">
        <v>0</v>
      </c>
      <c r="V1084" s="93"/>
      <c r="W1084" s="93"/>
      <c r="X1084" s="93"/>
      <c r="Y1084" s="93"/>
      <c r="AA1084" s="95"/>
      <c r="AB1084" s="121"/>
      <c r="AC1084" s="29" t="str">
        <f t="shared" si="5"/>
        <v>Sim</v>
      </c>
      <c r="AD1084" s="37" t="str">
        <f t="shared" si="1"/>
        <v>Não</v>
      </c>
      <c r="AE1084" s="94"/>
      <c r="AF1084" s="94"/>
      <c r="AG1084" s="95"/>
    </row>
    <row r="1085" hidden="1">
      <c r="A1085" s="115"/>
      <c r="B1085" s="93"/>
      <c r="E1085" s="116"/>
      <c r="F1085" s="95"/>
      <c r="G1085" s="95"/>
      <c r="H1085" s="94"/>
      <c r="I1085" s="94"/>
      <c r="J1085" s="117"/>
      <c r="K1085" s="118"/>
      <c r="L1085" s="119"/>
      <c r="M1085" s="94"/>
      <c r="N1085" s="94"/>
      <c r="O1085" s="93"/>
      <c r="P1085" s="120" t="b">
        <v>0</v>
      </c>
      <c r="Q1085" s="120" t="b">
        <v>0</v>
      </c>
      <c r="R1085" s="120" t="b">
        <v>0</v>
      </c>
      <c r="S1085" s="95"/>
      <c r="U1085" s="120" t="b">
        <v>0</v>
      </c>
      <c r="V1085" s="93"/>
      <c r="W1085" s="93"/>
      <c r="X1085" s="93"/>
      <c r="Y1085" s="93"/>
      <c r="AA1085" s="95"/>
      <c r="AB1085" s="121"/>
      <c r="AC1085" s="29" t="str">
        <f t="shared" si="5"/>
        <v>Sim</v>
      </c>
      <c r="AD1085" s="37" t="str">
        <f t="shared" si="1"/>
        <v>Não</v>
      </c>
      <c r="AE1085" s="94"/>
      <c r="AF1085" s="94"/>
      <c r="AG1085" s="95"/>
    </row>
    <row r="1086" hidden="1">
      <c r="A1086" s="115"/>
      <c r="B1086" s="93"/>
      <c r="E1086" s="116"/>
      <c r="F1086" s="95"/>
      <c r="G1086" s="95"/>
      <c r="H1086" s="94"/>
      <c r="I1086" s="94"/>
      <c r="J1086" s="117"/>
      <c r="K1086" s="118"/>
      <c r="L1086" s="119"/>
      <c r="M1086" s="94"/>
      <c r="N1086" s="94"/>
      <c r="O1086" s="93"/>
      <c r="P1086" s="120" t="b">
        <v>0</v>
      </c>
      <c r="Q1086" s="120" t="b">
        <v>0</v>
      </c>
      <c r="R1086" s="120" t="b">
        <v>0</v>
      </c>
      <c r="S1086" s="95"/>
      <c r="U1086" s="120" t="b">
        <v>0</v>
      </c>
      <c r="V1086" s="93"/>
      <c r="W1086" s="93"/>
      <c r="X1086" s="93"/>
      <c r="Y1086" s="93"/>
      <c r="AA1086" s="95"/>
      <c r="AB1086" s="121"/>
      <c r="AC1086" s="29" t="str">
        <f t="shared" si="5"/>
        <v>Sim</v>
      </c>
      <c r="AD1086" s="37" t="str">
        <f t="shared" si="1"/>
        <v>Não</v>
      </c>
      <c r="AE1086" s="94"/>
      <c r="AF1086" s="94"/>
      <c r="AG1086" s="95"/>
    </row>
    <row r="1087" hidden="1">
      <c r="A1087" s="115"/>
      <c r="B1087" s="93"/>
      <c r="E1087" s="116"/>
      <c r="F1087" s="95"/>
      <c r="G1087" s="95"/>
      <c r="H1087" s="94"/>
      <c r="I1087" s="94"/>
      <c r="J1087" s="117"/>
      <c r="K1087" s="118"/>
      <c r="L1087" s="119"/>
      <c r="M1087" s="94"/>
      <c r="N1087" s="94"/>
      <c r="O1087" s="93"/>
      <c r="P1087" s="120" t="b">
        <v>0</v>
      </c>
      <c r="Q1087" s="120" t="b">
        <v>0</v>
      </c>
      <c r="R1087" s="120" t="b">
        <v>0</v>
      </c>
      <c r="S1087" s="95"/>
      <c r="U1087" s="120" t="b">
        <v>0</v>
      </c>
      <c r="V1087" s="93"/>
      <c r="W1087" s="93"/>
      <c r="X1087" s="93"/>
      <c r="Y1087" s="93"/>
      <c r="AA1087" s="95"/>
      <c r="AB1087" s="121"/>
      <c r="AC1087" s="29" t="str">
        <f t="shared" si="5"/>
        <v>Sim</v>
      </c>
      <c r="AD1087" s="37" t="str">
        <f t="shared" si="1"/>
        <v>Não</v>
      </c>
      <c r="AE1087" s="94"/>
      <c r="AF1087" s="94"/>
      <c r="AG1087" s="95"/>
    </row>
    <row r="1088" hidden="1">
      <c r="A1088" s="115"/>
      <c r="B1088" s="93"/>
      <c r="E1088" s="116"/>
      <c r="F1088" s="95"/>
      <c r="G1088" s="95"/>
      <c r="H1088" s="94"/>
      <c r="I1088" s="94"/>
      <c r="J1088" s="117"/>
      <c r="K1088" s="118"/>
      <c r="L1088" s="119"/>
      <c r="M1088" s="94"/>
      <c r="N1088" s="94"/>
      <c r="O1088" s="93"/>
      <c r="P1088" s="120" t="b">
        <v>0</v>
      </c>
      <c r="Q1088" s="120" t="b">
        <v>0</v>
      </c>
      <c r="R1088" s="120" t="b">
        <v>0</v>
      </c>
      <c r="S1088" s="95"/>
      <c r="U1088" s="120" t="b">
        <v>0</v>
      </c>
      <c r="V1088" s="93"/>
      <c r="W1088" s="93"/>
      <c r="X1088" s="93"/>
      <c r="Y1088" s="93"/>
      <c r="AA1088" s="95"/>
      <c r="AB1088" s="121"/>
      <c r="AC1088" s="29" t="str">
        <f t="shared" si="5"/>
        <v>Sim</v>
      </c>
      <c r="AD1088" s="37" t="str">
        <f t="shared" si="1"/>
        <v>Não</v>
      </c>
      <c r="AE1088" s="94"/>
      <c r="AF1088" s="94"/>
      <c r="AG1088" s="95"/>
    </row>
    <row r="1089" hidden="1">
      <c r="A1089" s="115"/>
      <c r="B1089" s="93"/>
      <c r="E1089" s="116"/>
      <c r="F1089" s="95"/>
      <c r="G1089" s="95"/>
      <c r="H1089" s="94"/>
      <c r="I1089" s="94"/>
      <c r="J1089" s="117"/>
      <c r="K1089" s="118"/>
      <c r="L1089" s="119"/>
      <c r="M1089" s="94"/>
      <c r="N1089" s="94"/>
      <c r="O1089" s="93"/>
      <c r="P1089" s="120" t="b">
        <v>0</v>
      </c>
      <c r="Q1089" s="120" t="b">
        <v>0</v>
      </c>
      <c r="R1089" s="120" t="b">
        <v>0</v>
      </c>
      <c r="S1089" s="95"/>
      <c r="U1089" s="120" t="b">
        <v>0</v>
      </c>
      <c r="V1089" s="93"/>
      <c r="W1089" s="93"/>
      <c r="X1089" s="93"/>
      <c r="Y1089" s="93"/>
      <c r="AA1089" s="95"/>
      <c r="AB1089" s="121"/>
      <c r="AC1089" s="29" t="str">
        <f t="shared" si="5"/>
        <v>Sim</v>
      </c>
      <c r="AD1089" s="37" t="str">
        <f t="shared" si="1"/>
        <v>Não</v>
      </c>
      <c r="AE1089" s="94"/>
      <c r="AF1089" s="94"/>
      <c r="AG1089" s="95"/>
    </row>
    <row r="1090" hidden="1">
      <c r="A1090" s="115"/>
      <c r="B1090" s="93"/>
      <c r="E1090" s="116"/>
      <c r="F1090" s="95"/>
      <c r="G1090" s="95"/>
      <c r="H1090" s="94"/>
      <c r="I1090" s="94"/>
      <c r="J1090" s="117"/>
      <c r="K1090" s="118"/>
      <c r="L1090" s="119"/>
      <c r="M1090" s="94"/>
      <c r="N1090" s="94"/>
      <c r="O1090" s="93"/>
      <c r="P1090" s="120" t="b">
        <v>0</v>
      </c>
      <c r="Q1090" s="120" t="b">
        <v>0</v>
      </c>
      <c r="R1090" s="120" t="b">
        <v>0</v>
      </c>
      <c r="S1090" s="95"/>
      <c r="U1090" s="120" t="b">
        <v>0</v>
      </c>
      <c r="V1090" s="93"/>
      <c r="W1090" s="93"/>
      <c r="X1090" s="93"/>
      <c r="Y1090" s="93"/>
      <c r="AA1090" s="95"/>
      <c r="AB1090" s="121"/>
      <c r="AC1090" s="29" t="str">
        <f t="shared" si="5"/>
        <v>Sim</v>
      </c>
      <c r="AD1090" s="37" t="str">
        <f t="shared" si="1"/>
        <v>Não</v>
      </c>
      <c r="AE1090" s="94"/>
      <c r="AF1090" s="94"/>
      <c r="AG1090" s="95"/>
    </row>
    <row r="1091" hidden="1">
      <c r="A1091" s="115"/>
      <c r="B1091" s="93"/>
      <c r="E1091" s="116"/>
      <c r="F1091" s="95"/>
      <c r="G1091" s="95"/>
      <c r="H1091" s="94"/>
      <c r="I1091" s="94"/>
      <c r="J1091" s="117"/>
      <c r="K1091" s="118"/>
      <c r="L1091" s="119"/>
      <c r="M1091" s="94"/>
      <c r="N1091" s="94"/>
      <c r="O1091" s="93"/>
      <c r="P1091" s="120" t="b">
        <v>0</v>
      </c>
      <c r="Q1091" s="120" t="b">
        <v>0</v>
      </c>
      <c r="R1091" s="120" t="b">
        <v>0</v>
      </c>
      <c r="S1091" s="95"/>
      <c r="U1091" s="120" t="b">
        <v>0</v>
      </c>
      <c r="V1091" s="93"/>
      <c r="W1091" s="93"/>
      <c r="X1091" s="93"/>
      <c r="Y1091" s="93"/>
      <c r="AA1091" s="95"/>
      <c r="AB1091" s="121"/>
      <c r="AC1091" s="29" t="str">
        <f t="shared" si="5"/>
        <v>Sim</v>
      </c>
      <c r="AD1091" s="37" t="str">
        <f t="shared" si="1"/>
        <v>Não</v>
      </c>
      <c r="AE1091" s="94"/>
      <c r="AF1091" s="94"/>
      <c r="AG1091" s="95"/>
    </row>
    <row r="1092" hidden="1">
      <c r="A1092" s="115"/>
      <c r="B1092" s="93"/>
      <c r="E1092" s="116"/>
      <c r="F1092" s="95"/>
      <c r="G1092" s="95"/>
      <c r="H1092" s="94"/>
      <c r="I1092" s="94"/>
      <c r="J1092" s="117"/>
      <c r="K1092" s="118"/>
      <c r="L1092" s="119"/>
      <c r="M1092" s="94"/>
      <c r="N1092" s="94"/>
      <c r="O1092" s="93"/>
      <c r="P1092" s="120" t="b">
        <v>0</v>
      </c>
      <c r="Q1092" s="120" t="b">
        <v>0</v>
      </c>
      <c r="R1092" s="120" t="b">
        <v>0</v>
      </c>
      <c r="S1092" s="95"/>
      <c r="U1092" s="120" t="b">
        <v>0</v>
      </c>
      <c r="V1092" s="93"/>
      <c r="W1092" s="93"/>
      <c r="X1092" s="93"/>
      <c r="Y1092" s="93"/>
      <c r="AA1092" s="95"/>
      <c r="AB1092" s="121"/>
      <c r="AC1092" s="29" t="str">
        <f t="shared" si="5"/>
        <v>Sim</v>
      </c>
      <c r="AD1092" s="37" t="str">
        <f t="shared" si="1"/>
        <v>Não</v>
      </c>
      <c r="AE1092" s="94"/>
      <c r="AF1092" s="94"/>
      <c r="AG1092" s="95"/>
    </row>
    <row r="1093" hidden="1">
      <c r="A1093" s="115"/>
      <c r="B1093" s="93"/>
      <c r="E1093" s="116"/>
      <c r="F1093" s="95"/>
      <c r="G1093" s="95"/>
      <c r="H1093" s="94"/>
      <c r="I1093" s="94"/>
      <c r="J1093" s="117"/>
      <c r="K1093" s="118"/>
      <c r="L1093" s="119"/>
      <c r="M1093" s="94"/>
      <c r="N1093" s="94"/>
      <c r="O1093" s="93"/>
      <c r="P1093" s="120" t="b">
        <v>0</v>
      </c>
      <c r="Q1093" s="120" t="b">
        <v>0</v>
      </c>
      <c r="R1093" s="120" t="b">
        <v>0</v>
      </c>
      <c r="S1093" s="95"/>
      <c r="U1093" s="120" t="b">
        <v>0</v>
      </c>
      <c r="V1093" s="93"/>
      <c r="W1093" s="93"/>
      <c r="X1093" s="93"/>
      <c r="Y1093" s="93"/>
      <c r="AA1093" s="95"/>
      <c r="AB1093" s="121"/>
      <c r="AC1093" s="29" t="str">
        <f t="shared" si="5"/>
        <v>Sim</v>
      </c>
      <c r="AD1093" s="37" t="str">
        <f t="shared" si="1"/>
        <v>Não</v>
      </c>
      <c r="AE1093" s="94"/>
      <c r="AF1093" s="94"/>
      <c r="AG1093" s="95"/>
    </row>
    <row r="1094" hidden="1">
      <c r="A1094" s="115"/>
      <c r="B1094" s="93"/>
      <c r="E1094" s="116"/>
      <c r="F1094" s="95"/>
      <c r="G1094" s="95"/>
      <c r="H1094" s="94"/>
      <c r="I1094" s="94"/>
      <c r="J1094" s="117"/>
      <c r="K1094" s="118"/>
      <c r="L1094" s="119"/>
      <c r="M1094" s="94"/>
      <c r="N1094" s="94"/>
      <c r="O1094" s="93"/>
      <c r="P1094" s="120" t="b">
        <v>0</v>
      </c>
      <c r="Q1094" s="120" t="b">
        <v>0</v>
      </c>
      <c r="R1094" s="120" t="b">
        <v>0</v>
      </c>
      <c r="S1094" s="95"/>
      <c r="U1094" s="120" t="b">
        <v>0</v>
      </c>
      <c r="V1094" s="93"/>
      <c r="W1094" s="93"/>
      <c r="X1094" s="93"/>
      <c r="Y1094" s="93"/>
      <c r="AA1094" s="95"/>
      <c r="AB1094" s="121"/>
      <c r="AC1094" s="29" t="str">
        <f t="shared" si="5"/>
        <v>Sim</v>
      </c>
      <c r="AD1094" s="37" t="str">
        <f t="shared" si="1"/>
        <v>Não</v>
      </c>
      <c r="AE1094" s="94"/>
      <c r="AF1094" s="94"/>
      <c r="AG1094" s="95"/>
    </row>
    <row r="1095" hidden="1">
      <c r="A1095" s="115"/>
      <c r="B1095" s="93"/>
      <c r="E1095" s="116"/>
      <c r="F1095" s="95"/>
      <c r="G1095" s="95"/>
      <c r="H1095" s="94"/>
      <c r="I1095" s="94"/>
      <c r="J1095" s="117"/>
      <c r="K1095" s="118"/>
      <c r="L1095" s="119"/>
      <c r="M1095" s="94"/>
      <c r="N1095" s="94"/>
      <c r="O1095" s="93"/>
      <c r="P1095" s="120" t="b">
        <v>0</v>
      </c>
      <c r="Q1095" s="120" t="b">
        <v>0</v>
      </c>
      <c r="R1095" s="120" t="b">
        <v>0</v>
      </c>
      <c r="S1095" s="95"/>
      <c r="U1095" s="120" t="b">
        <v>0</v>
      </c>
      <c r="V1095" s="93"/>
      <c r="W1095" s="93"/>
      <c r="X1095" s="93"/>
      <c r="Y1095" s="93"/>
      <c r="AA1095" s="95"/>
      <c r="AB1095" s="121"/>
      <c r="AC1095" s="29" t="str">
        <f t="shared" si="5"/>
        <v>Sim</v>
      </c>
      <c r="AD1095" s="37" t="str">
        <f t="shared" si="1"/>
        <v>Não</v>
      </c>
      <c r="AE1095" s="94"/>
      <c r="AF1095" s="94"/>
      <c r="AG1095" s="95"/>
    </row>
    <row r="1096" hidden="1">
      <c r="A1096" s="115"/>
      <c r="B1096" s="93"/>
      <c r="E1096" s="116"/>
      <c r="F1096" s="95"/>
      <c r="G1096" s="95"/>
      <c r="H1096" s="94"/>
      <c r="I1096" s="94"/>
      <c r="J1096" s="117"/>
      <c r="K1096" s="118"/>
      <c r="L1096" s="119"/>
      <c r="M1096" s="94"/>
      <c r="N1096" s="94"/>
      <c r="O1096" s="93"/>
      <c r="P1096" s="120" t="b">
        <v>0</v>
      </c>
      <c r="Q1096" s="120" t="b">
        <v>0</v>
      </c>
      <c r="R1096" s="120" t="b">
        <v>0</v>
      </c>
      <c r="S1096" s="95"/>
      <c r="U1096" s="120" t="b">
        <v>0</v>
      </c>
      <c r="V1096" s="93"/>
      <c r="W1096" s="93"/>
      <c r="X1096" s="93"/>
      <c r="Y1096" s="93"/>
      <c r="AA1096" s="95"/>
      <c r="AB1096" s="121"/>
      <c r="AC1096" s="29" t="str">
        <f t="shared" si="5"/>
        <v>Sim</v>
      </c>
      <c r="AD1096" s="37" t="str">
        <f t="shared" si="1"/>
        <v>Não</v>
      </c>
      <c r="AE1096" s="94"/>
      <c r="AF1096" s="94"/>
      <c r="AG1096" s="95"/>
    </row>
    <row r="1097" hidden="1">
      <c r="A1097" s="115"/>
      <c r="B1097" s="93"/>
      <c r="E1097" s="116"/>
      <c r="F1097" s="95"/>
      <c r="G1097" s="95"/>
      <c r="H1097" s="94"/>
      <c r="I1097" s="94"/>
      <c r="J1097" s="117"/>
      <c r="K1097" s="118"/>
      <c r="L1097" s="119"/>
      <c r="M1097" s="94"/>
      <c r="N1097" s="94"/>
      <c r="O1097" s="93"/>
      <c r="P1097" s="120" t="b">
        <v>0</v>
      </c>
      <c r="Q1097" s="120" t="b">
        <v>0</v>
      </c>
      <c r="R1097" s="120" t="b">
        <v>0</v>
      </c>
      <c r="S1097" s="95"/>
      <c r="U1097" s="120" t="b">
        <v>0</v>
      </c>
      <c r="V1097" s="93"/>
      <c r="W1097" s="93"/>
      <c r="X1097" s="93"/>
      <c r="Y1097" s="93"/>
      <c r="AA1097" s="95"/>
      <c r="AB1097" s="121"/>
      <c r="AC1097" s="29" t="str">
        <f t="shared" si="5"/>
        <v>Sim</v>
      </c>
      <c r="AD1097" s="37" t="str">
        <f t="shared" si="1"/>
        <v>Não</v>
      </c>
      <c r="AE1097" s="94"/>
      <c r="AF1097" s="94"/>
      <c r="AG1097" s="95"/>
    </row>
    <row r="1098" hidden="1">
      <c r="A1098" s="115"/>
      <c r="B1098" s="93"/>
      <c r="E1098" s="116"/>
      <c r="F1098" s="95"/>
      <c r="G1098" s="95"/>
      <c r="H1098" s="94"/>
      <c r="I1098" s="94"/>
      <c r="J1098" s="117"/>
      <c r="K1098" s="118"/>
      <c r="L1098" s="119"/>
      <c r="M1098" s="94"/>
      <c r="N1098" s="94"/>
      <c r="O1098" s="93"/>
      <c r="P1098" s="120" t="b">
        <v>0</v>
      </c>
      <c r="Q1098" s="120" t="b">
        <v>0</v>
      </c>
      <c r="R1098" s="120" t="b">
        <v>0</v>
      </c>
      <c r="S1098" s="95"/>
      <c r="U1098" s="120" t="b">
        <v>0</v>
      </c>
      <c r="V1098" s="93"/>
      <c r="W1098" s="93"/>
      <c r="X1098" s="93"/>
      <c r="Y1098" s="93"/>
      <c r="AA1098" s="95"/>
      <c r="AB1098" s="121"/>
      <c r="AC1098" s="29" t="str">
        <f t="shared" si="5"/>
        <v>Sim</v>
      </c>
      <c r="AD1098" s="37" t="str">
        <f t="shared" si="1"/>
        <v>Não</v>
      </c>
      <c r="AE1098" s="94"/>
      <c r="AF1098" s="94"/>
      <c r="AG1098" s="95"/>
    </row>
    <row r="1099" hidden="1">
      <c r="A1099" s="115"/>
      <c r="B1099" s="93"/>
      <c r="E1099" s="116"/>
      <c r="F1099" s="95"/>
      <c r="G1099" s="95"/>
      <c r="H1099" s="94"/>
      <c r="I1099" s="94"/>
      <c r="J1099" s="117"/>
      <c r="K1099" s="118"/>
      <c r="L1099" s="119"/>
      <c r="M1099" s="94"/>
      <c r="N1099" s="94"/>
      <c r="O1099" s="93"/>
      <c r="P1099" s="120" t="b">
        <v>0</v>
      </c>
      <c r="Q1099" s="120" t="b">
        <v>0</v>
      </c>
      <c r="R1099" s="120" t="b">
        <v>0</v>
      </c>
      <c r="S1099" s="95"/>
      <c r="U1099" s="120" t="b">
        <v>0</v>
      </c>
      <c r="V1099" s="93"/>
      <c r="W1099" s="93"/>
      <c r="X1099" s="93"/>
      <c r="Y1099" s="93"/>
      <c r="AA1099" s="95"/>
      <c r="AB1099" s="121"/>
      <c r="AC1099" s="29" t="str">
        <f t="shared" si="5"/>
        <v>Sim</v>
      </c>
      <c r="AD1099" s="37" t="str">
        <f t="shared" si="1"/>
        <v>Não</v>
      </c>
      <c r="AE1099" s="94"/>
      <c r="AF1099" s="94"/>
      <c r="AG1099" s="95"/>
    </row>
    <row r="1100" hidden="1">
      <c r="A1100" s="115"/>
      <c r="B1100" s="93"/>
      <c r="E1100" s="116"/>
      <c r="F1100" s="95"/>
      <c r="G1100" s="95"/>
      <c r="H1100" s="94"/>
      <c r="I1100" s="94"/>
      <c r="J1100" s="117"/>
      <c r="K1100" s="118"/>
      <c r="L1100" s="119"/>
      <c r="M1100" s="94"/>
      <c r="N1100" s="94"/>
      <c r="O1100" s="93"/>
      <c r="P1100" s="120" t="b">
        <v>0</v>
      </c>
      <c r="Q1100" s="120" t="b">
        <v>0</v>
      </c>
      <c r="R1100" s="120" t="b">
        <v>0</v>
      </c>
      <c r="S1100" s="95"/>
      <c r="U1100" s="120" t="b">
        <v>0</v>
      </c>
      <c r="V1100" s="93"/>
      <c r="W1100" s="93"/>
      <c r="X1100" s="93"/>
      <c r="Y1100" s="93"/>
      <c r="AA1100" s="95"/>
      <c r="AB1100" s="121"/>
      <c r="AC1100" s="29" t="str">
        <f t="shared" si="5"/>
        <v>Sim</v>
      </c>
      <c r="AD1100" s="37" t="str">
        <f t="shared" si="1"/>
        <v>Não</v>
      </c>
      <c r="AE1100" s="94"/>
      <c r="AF1100" s="94"/>
      <c r="AG1100" s="95"/>
    </row>
    <row r="1101" hidden="1">
      <c r="A1101" s="115"/>
      <c r="B1101" s="93"/>
      <c r="E1101" s="116"/>
      <c r="F1101" s="95"/>
      <c r="G1101" s="95"/>
      <c r="H1101" s="94"/>
      <c r="I1101" s="94"/>
      <c r="J1101" s="117"/>
      <c r="K1101" s="118"/>
      <c r="L1101" s="119"/>
      <c r="M1101" s="94"/>
      <c r="N1101" s="94"/>
      <c r="O1101" s="93"/>
      <c r="P1101" s="120" t="b">
        <v>0</v>
      </c>
      <c r="Q1101" s="120" t="b">
        <v>0</v>
      </c>
      <c r="R1101" s="120" t="b">
        <v>0</v>
      </c>
      <c r="S1101" s="95"/>
      <c r="U1101" s="120" t="b">
        <v>0</v>
      </c>
      <c r="V1101" s="93"/>
      <c r="W1101" s="93"/>
      <c r="X1101" s="93"/>
      <c r="Y1101" s="93"/>
      <c r="AA1101" s="95"/>
      <c r="AB1101" s="121"/>
      <c r="AC1101" s="29" t="str">
        <f t="shared" si="5"/>
        <v>Sim</v>
      </c>
      <c r="AD1101" s="37" t="str">
        <f t="shared" si="1"/>
        <v>Não</v>
      </c>
      <c r="AE1101" s="94"/>
      <c r="AF1101" s="94"/>
      <c r="AG1101" s="95"/>
    </row>
    <row r="1102" hidden="1">
      <c r="A1102" s="115"/>
      <c r="B1102" s="93"/>
      <c r="E1102" s="116"/>
      <c r="F1102" s="95"/>
      <c r="G1102" s="95"/>
      <c r="H1102" s="94"/>
      <c r="I1102" s="94"/>
      <c r="J1102" s="117"/>
      <c r="K1102" s="118"/>
      <c r="L1102" s="119"/>
      <c r="M1102" s="94"/>
      <c r="N1102" s="94"/>
      <c r="O1102" s="93"/>
      <c r="P1102" s="120" t="b">
        <v>0</v>
      </c>
      <c r="Q1102" s="120" t="b">
        <v>0</v>
      </c>
      <c r="R1102" s="120" t="b">
        <v>0</v>
      </c>
      <c r="S1102" s="95"/>
      <c r="U1102" s="120" t="b">
        <v>0</v>
      </c>
      <c r="V1102" s="93"/>
      <c r="W1102" s="93"/>
      <c r="X1102" s="93"/>
      <c r="Y1102" s="93"/>
      <c r="AA1102" s="95"/>
      <c r="AB1102" s="121"/>
      <c r="AC1102" s="29" t="str">
        <f t="shared" si="5"/>
        <v>Sim</v>
      </c>
      <c r="AD1102" s="37" t="str">
        <f t="shared" si="1"/>
        <v>Não</v>
      </c>
      <c r="AE1102" s="94"/>
      <c r="AF1102" s="94"/>
      <c r="AG1102" s="95"/>
    </row>
    <row r="1103" hidden="1">
      <c r="A1103" s="115"/>
      <c r="B1103" s="93"/>
      <c r="E1103" s="116"/>
      <c r="F1103" s="95"/>
      <c r="G1103" s="95"/>
      <c r="H1103" s="94"/>
      <c r="I1103" s="94"/>
      <c r="J1103" s="117"/>
      <c r="K1103" s="118"/>
      <c r="L1103" s="119"/>
      <c r="M1103" s="94"/>
      <c r="N1103" s="94"/>
      <c r="O1103" s="93"/>
      <c r="P1103" s="120" t="b">
        <v>0</v>
      </c>
      <c r="Q1103" s="120" t="b">
        <v>0</v>
      </c>
      <c r="R1103" s="120" t="b">
        <v>0</v>
      </c>
      <c r="S1103" s="95"/>
      <c r="U1103" s="120" t="b">
        <v>0</v>
      </c>
      <c r="V1103" s="93"/>
      <c r="W1103" s="93"/>
      <c r="X1103" s="93"/>
      <c r="Y1103" s="93"/>
      <c r="AA1103" s="95"/>
      <c r="AB1103" s="121"/>
      <c r="AC1103" s="29" t="str">
        <f t="shared" si="5"/>
        <v>Sim</v>
      </c>
      <c r="AD1103" s="37" t="str">
        <f t="shared" si="1"/>
        <v>Não</v>
      </c>
      <c r="AE1103" s="94"/>
      <c r="AF1103" s="94"/>
      <c r="AG1103" s="95"/>
    </row>
    <row r="1104" hidden="1">
      <c r="A1104" s="115"/>
      <c r="B1104" s="93"/>
      <c r="E1104" s="116"/>
      <c r="F1104" s="95"/>
      <c r="G1104" s="95"/>
      <c r="H1104" s="94"/>
      <c r="I1104" s="94"/>
      <c r="J1104" s="117"/>
      <c r="K1104" s="118"/>
      <c r="L1104" s="119"/>
      <c r="M1104" s="94"/>
      <c r="N1104" s="94"/>
      <c r="O1104" s="93"/>
      <c r="P1104" s="120" t="b">
        <v>0</v>
      </c>
      <c r="Q1104" s="120" t="b">
        <v>0</v>
      </c>
      <c r="R1104" s="120" t="b">
        <v>0</v>
      </c>
      <c r="S1104" s="95"/>
      <c r="U1104" s="120" t="b">
        <v>0</v>
      </c>
      <c r="V1104" s="93"/>
      <c r="W1104" s="93"/>
      <c r="X1104" s="93"/>
      <c r="Y1104" s="93"/>
      <c r="AA1104" s="95"/>
      <c r="AB1104" s="121"/>
      <c r="AC1104" s="29" t="str">
        <f t="shared" si="5"/>
        <v>Sim</v>
      </c>
      <c r="AD1104" s="37" t="str">
        <f t="shared" si="1"/>
        <v>Não</v>
      </c>
      <c r="AE1104" s="94"/>
      <c r="AF1104" s="94"/>
      <c r="AG1104" s="95"/>
    </row>
    <row r="1105" hidden="1">
      <c r="A1105" s="115"/>
      <c r="B1105" s="93"/>
      <c r="E1105" s="116"/>
      <c r="F1105" s="95"/>
      <c r="G1105" s="95"/>
      <c r="H1105" s="94"/>
      <c r="I1105" s="94"/>
      <c r="J1105" s="117"/>
      <c r="K1105" s="118"/>
      <c r="L1105" s="119"/>
      <c r="M1105" s="94"/>
      <c r="N1105" s="94"/>
      <c r="O1105" s="93"/>
      <c r="P1105" s="120" t="b">
        <v>0</v>
      </c>
      <c r="Q1105" s="120" t="b">
        <v>0</v>
      </c>
      <c r="R1105" s="120" t="b">
        <v>0</v>
      </c>
      <c r="S1105" s="95"/>
      <c r="U1105" s="120" t="b">
        <v>0</v>
      </c>
      <c r="V1105" s="93"/>
      <c r="W1105" s="93"/>
      <c r="X1105" s="93"/>
      <c r="Y1105" s="93"/>
      <c r="AA1105" s="95"/>
      <c r="AB1105" s="121"/>
      <c r="AC1105" s="29" t="str">
        <f t="shared" si="5"/>
        <v>Sim</v>
      </c>
      <c r="AD1105" s="37" t="str">
        <f t="shared" si="1"/>
        <v>Não</v>
      </c>
      <c r="AE1105" s="94"/>
      <c r="AF1105" s="94"/>
      <c r="AG1105" s="95"/>
    </row>
    <row r="1106" hidden="1">
      <c r="A1106" s="115"/>
      <c r="B1106" s="93"/>
      <c r="E1106" s="116"/>
      <c r="F1106" s="95"/>
      <c r="G1106" s="95"/>
      <c r="H1106" s="94"/>
      <c r="I1106" s="94"/>
      <c r="J1106" s="117"/>
      <c r="K1106" s="118"/>
      <c r="L1106" s="119"/>
      <c r="M1106" s="94"/>
      <c r="N1106" s="94"/>
      <c r="O1106" s="93"/>
      <c r="P1106" s="120" t="b">
        <v>0</v>
      </c>
      <c r="Q1106" s="120" t="b">
        <v>0</v>
      </c>
      <c r="R1106" s="120" t="b">
        <v>0</v>
      </c>
      <c r="S1106" s="95"/>
      <c r="U1106" s="120" t="b">
        <v>0</v>
      </c>
      <c r="V1106" s="93"/>
      <c r="W1106" s="93"/>
      <c r="X1106" s="93"/>
      <c r="Y1106" s="93"/>
      <c r="AA1106" s="95"/>
      <c r="AB1106" s="121"/>
      <c r="AC1106" s="29" t="str">
        <f t="shared" si="5"/>
        <v>Sim</v>
      </c>
      <c r="AD1106" s="37" t="str">
        <f t="shared" si="1"/>
        <v>Não</v>
      </c>
      <c r="AE1106" s="94"/>
      <c r="AF1106" s="94"/>
      <c r="AG1106" s="95"/>
    </row>
    <row r="1107" hidden="1">
      <c r="A1107" s="115"/>
      <c r="B1107" s="93"/>
      <c r="E1107" s="116"/>
      <c r="F1107" s="95"/>
      <c r="G1107" s="95"/>
      <c r="H1107" s="94"/>
      <c r="I1107" s="94"/>
      <c r="J1107" s="117"/>
      <c r="K1107" s="118"/>
      <c r="L1107" s="119"/>
      <c r="M1107" s="94"/>
      <c r="N1107" s="94"/>
      <c r="O1107" s="93"/>
      <c r="P1107" s="120" t="b">
        <v>0</v>
      </c>
      <c r="Q1107" s="120" t="b">
        <v>0</v>
      </c>
      <c r="R1107" s="120" t="b">
        <v>0</v>
      </c>
      <c r="S1107" s="95"/>
      <c r="U1107" s="120" t="b">
        <v>0</v>
      </c>
      <c r="V1107" s="93"/>
      <c r="W1107" s="93"/>
      <c r="X1107" s="93"/>
      <c r="Y1107" s="93"/>
      <c r="AA1107" s="95"/>
      <c r="AB1107" s="121"/>
      <c r="AC1107" s="29" t="str">
        <f t="shared" si="5"/>
        <v>Sim</v>
      </c>
      <c r="AD1107" s="37" t="str">
        <f t="shared" si="1"/>
        <v>Não</v>
      </c>
      <c r="AE1107" s="94"/>
      <c r="AF1107" s="94"/>
      <c r="AG1107" s="95"/>
    </row>
    <row r="1108" hidden="1">
      <c r="A1108" s="115"/>
      <c r="B1108" s="93"/>
      <c r="E1108" s="116"/>
      <c r="F1108" s="95"/>
      <c r="G1108" s="95"/>
      <c r="H1108" s="94"/>
      <c r="I1108" s="94"/>
      <c r="J1108" s="117"/>
      <c r="K1108" s="118"/>
      <c r="L1108" s="119"/>
      <c r="M1108" s="94"/>
      <c r="N1108" s="94"/>
      <c r="O1108" s="93"/>
      <c r="P1108" s="120" t="b">
        <v>0</v>
      </c>
      <c r="Q1108" s="120" t="b">
        <v>0</v>
      </c>
      <c r="R1108" s="120" t="b">
        <v>0</v>
      </c>
      <c r="S1108" s="95"/>
      <c r="U1108" s="120" t="b">
        <v>0</v>
      </c>
      <c r="V1108" s="93"/>
      <c r="W1108" s="93"/>
      <c r="X1108" s="93"/>
      <c r="Y1108" s="93"/>
      <c r="AA1108" s="95"/>
      <c r="AB1108" s="121"/>
      <c r="AC1108" s="29" t="str">
        <f t="shared" si="5"/>
        <v>Sim</v>
      </c>
      <c r="AD1108" s="37" t="str">
        <f t="shared" si="1"/>
        <v>Não</v>
      </c>
      <c r="AE1108" s="94"/>
      <c r="AF1108" s="94"/>
      <c r="AG1108" s="95"/>
    </row>
    <row r="1109" hidden="1">
      <c r="A1109" s="115"/>
      <c r="B1109" s="93"/>
      <c r="E1109" s="116"/>
      <c r="F1109" s="95"/>
      <c r="G1109" s="95"/>
      <c r="H1109" s="94"/>
      <c r="I1109" s="94"/>
      <c r="J1109" s="117"/>
      <c r="K1109" s="118"/>
      <c r="L1109" s="119"/>
      <c r="M1109" s="94"/>
      <c r="N1109" s="94"/>
      <c r="O1109" s="93"/>
      <c r="P1109" s="120" t="b">
        <v>0</v>
      </c>
      <c r="Q1109" s="120" t="b">
        <v>0</v>
      </c>
      <c r="R1109" s="120" t="b">
        <v>0</v>
      </c>
      <c r="S1109" s="95"/>
      <c r="U1109" s="120" t="b">
        <v>0</v>
      </c>
      <c r="V1109" s="93"/>
      <c r="W1109" s="93"/>
      <c r="X1109" s="93"/>
      <c r="Y1109" s="93"/>
      <c r="AA1109" s="95"/>
      <c r="AB1109" s="121"/>
      <c r="AC1109" s="29" t="str">
        <f t="shared" si="5"/>
        <v>Sim</v>
      </c>
      <c r="AD1109" s="37" t="str">
        <f t="shared" si="1"/>
        <v>Não</v>
      </c>
      <c r="AE1109" s="94"/>
      <c r="AF1109" s="94"/>
      <c r="AG1109" s="95"/>
    </row>
    <row r="1110" hidden="1">
      <c r="A1110" s="115"/>
      <c r="B1110" s="93"/>
      <c r="E1110" s="116"/>
      <c r="F1110" s="95"/>
      <c r="G1110" s="95"/>
      <c r="H1110" s="94"/>
      <c r="I1110" s="94"/>
      <c r="J1110" s="117"/>
      <c r="K1110" s="118"/>
      <c r="L1110" s="119"/>
      <c r="M1110" s="94"/>
      <c r="N1110" s="94"/>
      <c r="O1110" s="93"/>
      <c r="P1110" s="120" t="b">
        <v>0</v>
      </c>
      <c r="Q1110" s="120" t="b">
        <v>0</v>
      </c>
      <c r="R1110" s="120" t="b">
        <v>0</v>
      </c>
      <c r="S1110" s="95"/>
      <c r="U1110" s="120" t="b">
        <v>0</v>
      </c>
      <c r="V1110" s="93"/>
      <c r="W1110" s="93"/>
      <c r="X1110" s="93"/>
      <c r="Y1110" s="93"/>
      <c r="AA1110" s="95"/>
      <c r="AB1110" s="121"/>
      <c r="AC1110" s="29" t="str">
        <f t="shared" si="5"/>
        <v>Sim</v>
      </c>
      <c r="AD1110" s="37" t="str">
        <f t="shared" si="1"/>
        <v>Não</v>
      </c>
      <c r="AE1110" s="94"/>
      <c r="AF1110" s="94"/>
      <c r="AG1110" s="95"/>
    </row>
    <row r="1111" hidden="1">
      <c r="A1111" s="115"/>
      <c r="B1111" s="93"/>
      <c r="E1111" s="116"/>
      <c r="F1111" s="95"/>
      <c r="G1111" s="95"/>
      <c r="H1111" s="94"/>
      <c r="I1111" s="94"/>
      <c r="J1111" s="117"/>
      <c r="K1111" s="118"/>
      <c r="L1111" s="119"/>
      <c r="M1111" s="94"/>
      <c r="N1111" s="94"/>
      <c r="O1111" s="93"/>
      <c r="P1111" s="120" t="b">
        <v>0</v>
      </c>
      <c r="Q1111" s="120" t="b">
        <v>0</v>
      </c>
      <c r="R1111" s="120" t="b">
        <v>0</v>
      </c>
      <c r="S1111" s="95"/>
      <c r="U1111" s="120" t="b">
        <v>0</v>
      </c>
      <c r="V1111" s="93"/>
      <c r="W1111" s="93"/>
      <c r="X1111" s="93"/>
      <c r="Y1111" s="93"/>
      <c r="AA1111" s="95"/>
      <c r="AB1111" s="121"/>
      <c r="AC1111" s="29" t="str">
        <f t="shared" si="5"/>
        <v>Sim</v>
      </c>
      <c r="AD1111" s="37" t="str">
        <f t="shared" si="1"/>
        <v>Não</v>
      </c>
      <c r="AE1111" s="94"/>
      <c r="AF1111" s="94"/>
      <c r="AG1111" s="95"/>
    </row>
    <row r="1112" hidden="1">
      <c r="A1112" s="115"/>
      <c r="B1112" s="93"/>
      <c r="E1112" s="116"/>
      <c r="F1112" s="95"/>
      <c r="G1112" s="95"/>
      <c r="H1112" s="94"/>
      <c r="I1112" s="94"/>
      <c r="J1112" s="117"/>
      <c r="K1112" s="118"/>
      <c r="L1112" s="119"/>
      <c r="M1112" s="94"/>
      <c r="N1112" s="94"/>
      <c r="O1112" s="93"/>
      <c r="P1112" s="120" t="b">
        <v>0</v>
      </c>
      <c r="Q1112" s="120" t="b">
        <v>0</v>
      </c>
      <c r="R1112" s="120" t="b">
        <v>0</v>
      </c>
      <c r="S1112" s="95"/>
      <c r="U1112" s="120" t="b">
        <v>0</v>
      </c>
      <c r="V1112" s="93"/>
      <c r="W1112" s="93"/>
      <c r="X1112" s="93"/>
      <c r="Y1112" s="93"/>
      <c r="AA1112" s="95"/>
      <c r="AB1112" s="121"/>
      <c r="AC1112" s="29" t="str">
        <f t="shared" si="5"/>
        <v>Sim</v>
      </c>
      <c r="AD1112" s="37" t="str">
        <f t="shared" si="1"/>
        <v>Não</v>
      </c>
      <c r="AE1112" s="94"/>
      <c r="AF1112" s="94"/>
      <c r="AG1112" s="95"/>
    </row>
    <row r="1113" hidden="1">
      <c r="A1113" s="115"/>
      <c r="B1113" s="93"/>
      <c r="E1113" s="116"/>
      <c r="F1113" s="95"/>
      <c r="G1113" s="95"/>
      <c r="H1113" s="94"/>
      <c r="I1113" s="94"/>
      <c r="J1113" s="117"/>
      <c r="K1113" s="118"/>
      <c r="L1113" s="119"/>
      <c r="M1113" s="94"/>
      <c r="N1113" s="94"/>
      <c r="O1113" s="93"/>
      <c r="P1113" s="120" t="b">
        <v>0</v>
      </c>
      <c r="Q1113" s="120" t="b">
        <v>0</v>
      </c>
      <c r="R1113" s="120" t="b">
        <v>0</v>
      </c>
      <c r="S1113" s="95"/>
      <c r="U1113" s="120" t="b">
        <v>0</v>
      </c>
      <c r="V1113" s="93"/>
      <c r="W1113" s="93"/>
      <c r="X1113" s="93"/>
      <c r="Y1113" s="93"/>
      <c r="AA1113" s="95"/>
      <c r="AB1113" s="121"/>
      <c r="AC1113" s="29" t="str">
        <f t="shared" si="5"/>
        <v>Sim</v>
      </c>
      <c r="AD1113" s="37" t="str">
        <f t="shared" si="1"/>
        <v>Não</v>
      </c>
      <c r="AE1113" s="94"/>
      <c r="AF1113" s="94"/>
      <c r="AG1113" s="95"/>
    </row>
    <row r="1114" hidden="1">
      <c r="A1114" s="115"/>
      <c r="B1114" s="93"/>
      <c r="E1114" s="116"/>
      <c r="F1114" s="95"/>
      <c r="G1114" s="95"/>
      <c r="H1114" s="94"/>
      <c r="I1114" s="94"/>
      <c r="J1114" s="117"/>
      <c r="K1114" s="118"/>
      <c r="L1114" s="119"/>
      <c r="M1114" s="94"/>
      <c r="N1114" s="94"/>
      <c r="O1114" s="93"/>
      <c r="P1114" s="120" t="b">
        <v>0</v>
      </c>
      <c r="Q1114" s="120" t="b">
        <v>0</v>
      </c>
      <c r="R1114" s="120" t="b">
        <v>0</v>
      </c>
      <c r="S1114" s="95"/>
      <c r="U1114" s="120" t="b">
        <v>0</v>
      </c>
      <c r="V1114" s="93"/>
      <c r="W1114" s="93"/>
      <c r="X1114" s="93"/>
      <c r="Y1114" s="93"/>
      <c r="AA1114" s="95"/>
      <c r="AB1114" s="121"/>
      <c r="AC1114" s="29" t="str">
        <f t="shared" si="5"/>
        <v>Sim</v>
      </c>
      <c r="AD1114" s="37" t="str">
        <f t="shared" si="1"/>
        <v>Não</v>
      </c>
      <c r="AE1114" s="94"/>
      <c r="AF1114" s="94"/>
      <c r="AG1114" s="95"/>
    </row>
    <row r="1115" hidden="1">
      <c r="A1115" s="115"/>
      <c r="B1115" s="93"/>
      <c r="E1115" s="116"/>
      <c r="F1115" s="95"/>
      <c r="G1115" s="95"/>
      <c r="H1115" s="94"/>
      <c r="I1115" s="94"/>
      <c r="J1115" s="117"/>
      <c r="K1115" s="118"/>
      <c r="L1115" s="119"/>
      <c r="M1115" s="94"/>
      <c r="N1115" s="94"/>
      <c r="O1115" s="93"/>
      <c r="P1115" s="120" t="b">
        <v>0</v>
      </c>
      <c r="Q1115" s="120" t="b">
        <v>0</v>
      </c>
      <c r="R1115" s="120" t="b">
        <v>0</v>
      </c>
      <c r="S1115" s="95"/>
      <c r="U1115" s="120" t="b">
        <v>0</v>
      </c>
      <c r="V1115" s="93"/>
      <c r="W1115" s="93"/>
      <c r="X1115" s="93"/>
      <c r="Y1115" s="93"/>
      <c r="AA1115" s="95"/>
      <c r="AB1115" s="121"/>
      <c r="AC1115" s="29" t="str">
        <f t="shared" si="5"/>
        <v>Sim</v>
      </c>
      <c r="AD1115" s="37" t="str">
        <f t="shared" si="1"/>
        <v>Não</v>
      </c>
      <c r="AE1115" s="94"/>
      <c r="AF1115" s="94"/>
      <c r="AG1115" s="95"/>
    </row>
    <row r="1116" hidden="1">
      <c r="A1116" s="115"/>
      <c r="B1116" s="93"/>
      <c r="E1116" s="116"/>
      <c r="F1116" s="95"/>
      <c r="G1116" s="95"/>
      <c r="H1116" s="94"/>
      <c r="I1116" s="94"/>
      <c r="J1116" s="117"/>
      <c r="K1116" s="118"/>
      <c r="L1116" s="119"/>
      <c r="M1116" s="94"/>
      <c r="N1116" s="94"/>
      <c r="O1116" s="93"/>
      <c r="P1116" s="120" t="b">
        <v>0</v>
      </c>
      <c r="Q1116" s="120" t="b">
        <v>0</v>
      </c>
      <c r="R1116" s="120" t="b">
        <v>0</v>
      </c>
      <c r="S1116" s="95"/>
      <c r="U1116" s="120" t="b">
        <v>0</v>
      </c>
      <c r="V1116" s="93"/>
      <c r="W1116" s="93"/>
      <c r="X1116" s="93"/>
      <c r="Y1116" s="93"/>
      <c r="AA1116" s="95"/>
      <c r="AB1116" s="121"/>
      <c r="AC1116" s="29" t="str">
        <f t="shared" si="5"/>
        <v>Sim</v>
      </c>
      <c r="AD1116" s="37" t="str">
        <f t="shared" si="1"/>
        <v>Não</v>
      </c>
      <c r="AE1116" s="94"/>
      <c r="AF1116" s="94"/>
      <c r="AG1116" s="95"/>
    </row>
    <row r="1117" hidden="1">
      <c r="A1117" s="115"/>
      <c r="B1117" s="93"/>
      <c r="E1117" s="116"/>
      <c r="F1117" s="95"/>
      <c r="G1117" s="95"/>
      <c r="H1117" s="94"/>
      <c r="I1117" s="94"/>
      <c r="J1117" s="117"/>
      <c r="K1117" s="118"/>
      <c r="L1117" s="119"/>
      <c r="M1117" s="94"/>
      <c r="N1117" s="94"/>
      <c r="O1117" s="93"/>
      <c r="P1117" s="120" t="b">
        <v>0</v>
      </c>
      <c r="Q1117" s="120" t="b">
        <v>0</v>
      </c>
      <c r="R1117" s="120" t="b">
        <v>0</v>
      </c>
      <c r="S1117" s="95"/>
      <c r="U1117" s="120" t="b">
        <v>0</v>
      </c>
      <c r="V1117" s="93"/>
      <c r="W1117" s="93"/>
      <c r="X1117" s="93"/>
      <c r="Y1117" s="93"/>
      <c r="AA1117" s="95"/>
      <c r="AB1117" s="121"/>
      <c r="AC1117" s="29" t="str">
        <f t="shared" si="5"/>
        <v>Sim</v>
      </c>
      <c r="AD1117" s="37" t="str">
        <f t="shared" si="1"/>
        <v>Não</v>
      </c>
      <c r="AE1117" s="94"/>
      <c r="AF1117" s="94"/>
      <c r="AG1117" s="95"/>
    </row>
    <row r="1118" hidden="1">
      <c r="A1118" s="115"/>
      <c r="B1118" s="93"/>
      <c r="E1118" s="116"/>
      <c r="F1118" s="95"/>
      <c r="G1118" s="95"/>
      <c r="H1118" s="94"/>
      <c r="I1118" s="94"/>
      <c r="J1118" s="117"/>
      <c r="K1118" s="118"/>
      <c r="L1118" s="119"/>
      <c r="M1118" s="94"/>
      <c r="N1118" s="94"/>
      <c r="O1118" s="93"/>
      <c r="P1118" s="120" t="b">
        <v>0</v>
      </c>
      <c r="Q1118" s="120" t="b">
        <v>0</v>
      </c>
      <c r="R1118" s="120" t="b">
        <v>0</v>
      </c>
      <c r="S1118" s="95"/>
      <c r="U1118" s="120" t="b">
        <v>0</v>
      </c>
      <c r="V1118" s="93"/>
      <c r="W1118" s="93"/>
      <c r="X1118" s="93"/>
      <c r="Y1118" s="93"/>
      <c r="AA1118" s="95"/>
      <c r="AB1118" s="121"/>
      <c r="AC1118" s="29" t="str">
        <f t="shared" si="5"/>
        <v>Sim</v>
      </c>
      <c r="AD1118" s="37" t="str">
        <f t="shared" si="1"/>
        <v>Não</v>
      </c>
      <c r="AE1118" s="94"/>
      <c r="AF1118" s="94"/>
      <c r="AG1118" s="95"/>
    </row>
    <row r="1119" hidden="1">
      <c r="A1119" s="115"/>
      <c r="B1119" s="93"/>
      <c r="E1119" s="116"/>
      <c r="F1119" s="95"/>
      <c r="G1119" s="95"/>
      <c r="H1119" s="94"/>
      <c r="I1119" s="94"/>
      <c r="J1119" s="117"/>
      <c r="K1119" s="118"/>
      <c r="L1119" s="119"/>
      <c r="M1119" s="94"/>
      <c r="N1119" s="94"/>
      <c r="O1119" s="93"/>
      <c r="P1119" s="120" t="b">
        <v>0</v>
      </c>
      <c r="Q1119" s="120" t="b">
        <v>0</v>
      </c>
      <c r="R1119" s="120" t="b">
        <v>0</v>
      </c>
      <c r="S1119" s="95"/>
      <c r="U1119" s="120" t="b">
        <v>0</v>
      </c>
      <c r="V1119" s="93"/>
      <c r="W1119" s="93"/>
      <c r="X1119" s="93"/>
      <c r="Y1119" s="93"/>
      <c r="AA1119" s="95"/>
      <c r="AB1119" s="121"/>
      <c r="AC1119" s="29" t="str">
        <f t="shared" si="5"/>
        <v>Sim</v>
      </c>
      <c r="AD1119" s="37" t="str">
        <f t="shared" si="1"/>
        <v>Não</v>
      </c>
      <c r="AE1119" s="94"/>
      <c r="AF1119" s="94"/>
      <c r="AG1119" s="95"/>
    </row>
    <row r="1120" hidden="1">
      <c r="A1120" s="115"/>
      <c r="B1120" s="93"/>
      <c r="E1120" s="116"/>
      <c r="F1120" s="95"/>
      <c r="G1120" s="95"/>
      <c r="H1120" s="94"/>
      <c r="I1120" s="94"/>
      <c r="J1120" s="117"/>
      <c r="K1120" s="118"/>
      <c r="L1120" s="119"/>
      <c r="M1120" s="94"/>
      <c r="N1120" s="94"/>
      <c r="O1120" s="93"/>
      <c r="P1120" s="120" t="b">
        <v>0</v>
      </c>
      <c r="Q1120" s="120" t="b">
        <v>0</v>
      </c>
      <c r="R1120" s="120" t="b">
        <v>0</v>
      </c>
      <c r="S1120" s="95"/>
      <c r="U1120" s="120" t="b">
        <v>0</v>
      </c>
      <c r="V1120" s="93"/>
      <c r="W1120" s="93"/>
      <c r="X1120" s="93"/>
      <c r="Y1120" s="93"/>
      <c r="AA1120" s="95"/>
      <c r="AB1120" s="121"/>
      <c r="AC1120" s="29" t="str">
        <f t="shared" si="5"/>
        <v>Sim</v>
      </c>
      <c r="AD1120" s="37" t="str">
        <f t="shared" si="1"/>
        <v>Não</v>
      </c>
      <c r="AE1120" s="94"/>
      <c r="AF1120" s="94"/>
      <c r="AG1120" s="95"/>
    </row>
    <row r="1121" hidden="1">
      <c r="A1121" s="115"/>
      <c r="B1121" s="93"/>
      <c r="E1121" s="116"/>
      <c r="F1121" s="95"/>
      <c r="G1121" s="95"/>
      <c r="H1121" s="94"/>
      <c r="I1121" s="94"/>
      <c r="J1121" s="117"/>
      <c r="K1121" s="118"/>
      <c r="L1121" s="119"/>
      <c r="M1121" s="94"/>
      <c r="N1121" s="94"/>
      <c r="O1121" s="93"/>
      <c r="P1121" s="120" t="b">
        <v>0</v>
      </c>
      <c r="Q1121" s="120" t="b">
        <v>0</v>
      </c>
      <c r="R1121" s="120" t="b">
        <v>0</v>
      </c>
      <c r="S1121" s="95"/>
      <c r="U1121" s="120" t="b">
        <v>0</v>
      </c>
      <c r="V1121" s="93"/>
      <c r="W1121" s="93"/>
      <c r="X1121" s="93"/>
      <c r="Y1121" s="93"/>
      <c r="AA1121" s="95"/>
      <c r="AB1121" s="121"/>
      <c r="AC1121" s="29" t="str">
        <f t="shared" si="5"/>
        <v>Sim</v>
      </c>
      <c r="AD1121" s="37" t="str">
        <f t="shared" si="1"/>
        <v>Não</v>
      </c>
      <c r="AE1121" s="94"/>
      <c r="AF1121" s="94"/>
      <c r="AG1121" s="95"/>
    </row>
    <row r="1122" hidden="1">
      <c r="A1122" s="115"/>
      <c r="B1122" s="93"/>
      <c r="E1122" s="116"/>
      <c r="F1122" s="95"/>
      <c r="G1122" s="95"/>
      <c r="H1122" s="94"/>
      <c r="I1122" s="94"/>
      <c r="J1122" s="117"/>
      <c r="K1122" s="118"/>
      <c r="L1122" s="119"/>
      <c r="M1122" s="94"/>
      <c r="N1122" s="94"/>
      <c r="O1122" s="93"/>
      <c r="P1122" s="120" t="b">
        <v>0</v>
      </c>
      <c r="Q1122" s="120" t="b">
        <v>0</v>
      </c>
      <c r="R1122" s="120" t="b">
        <v>0</v>
      </c>
      <c r="S1122" s="95"/>
      <c r="U1122" s="120" t="b">
        <v>0</v>
      </c>
      <c r="V1122" s="93"/>
      <c r="W1122" s="93"/>
      <c r="X1122" s="93"/>
      <c r="Y1122" s="93"/>
      <c r="AA1122" s="95"/>
      <c r="AB1122" s="121"/>
      <c r="AC1122" s="29" t="str">
        <f t="shared" si="5"/>
        <v>Sim</v>
      </c>
      <c r="AD1122" s="37" t="str">
        <f t="shared" si="1"/>
        <v>Não</v>
      </c>
      <c r="AE1122" s="94"/>
      <c r="AF1122" s="94"/>
      <c r="AG1122" s="95"/>
    </row>
    <row r="1123" hidden="1">
      <c r="A1123" s="115"/>
      <c r="B1123" s="93"/>
      <c r="E1123" s="116"/>
      <c r="F1123" s="95"/>
      <c r="G1123" s="95"/>
      <c r="H1123" s="94"/>
      <c r="I1123" s="94"/>
      <c r="J1123" s="117"/>
      <c r="K1123" s="118"/>
      <c r="L1123" s="119"/>
      <c r="M1123" s="94"/>
      <c r="N1123" s="94"/>
      <c r="O1123" s="93"/>
      <c r="P1123" s="120" t="b">
        <v>0</v>
      </c>
      <c r="Q1123" s="120" t="b">
        <v>0</v>
      </c>
      <c r="R1123" s="120" t="b">
        <v>0</v>
      </c>
      <c r="S1123" s="95"/>
      <c r="U1123" s="120" t="b">
        <v>0</v>
      </c>
      <c r="V1123" s="93"/>
      <c r="W1123" s="93"/>
      <c r="X1123" s="93"/>
      <c r="Y1123" s="93"/>
      <c r="AA1123" s="95"/>
      <c r="AB1123" s="121"/>
      <c r="AC1123" s="29" t="str">
        <f t="shared" si="5"/>
        <v>Sim</v>
      </c>
      <c r="AD1123" s="37" t="str">
        <f t="shared" si="1"/>
        <v>Não</v>
      </c>
      <c r="AE1123" s="94"/>
      <c r="AF1123" s="94"/>
      <c r="AG1123" s="95"/>
    </row>
    <row r="1124" hidden="1">
      <c r="A1124" s="115"/>
      <c r="B1124" s="93"/>
      <c r="E1124" s="116"/>
      <c r="F1124" s="95"/>
      <c r="G1124" s="95"/>
      <c r="H1124" s="94"/>
      <c r="I1124" s="94"/>
      <c r="J1124" s="117"/>
      <c r="K1124" s="118"/>
      <c r="L1124" s="119"/>
      <c r="M1124" s="94"/>
      <c r="N1124" s="94"/>
      <c r="O1124" s="93"/>
      <c r="P1124" s="120" t="b">
        <v>0</v>
      </c>
      <c r="Q1124" s="120" t="b">
        <v>0</v>
      </c>
      <c r="R1124" s="120" t="b">
        <v>0</v>
      </c>
      <c r="S1124" s="95"/>
      <c r="U1124" s="120" t="b">
        <v>0</v>
      </c>
      <c r="V1124" s="93"/>
      <c r="W1124" s="93"/>
      <c r="X1124" s="93"/>
      <c r="Y1124" s="93"/>
      <c r="AA1124" s="95"/>
      <c r="AB1124" s="121"/>
      <c r="AC1124" s="29" t="str">
        <f t="shared" si="5"/>
        <v>Sim</v>
      </c>
      <c r="AD1124" s="37" t="str">
        <f t="shared" si="1"/>
        <v>Não</v>
      </c>
      <c r="AE1124" s="94"/>
      <c r="AF1124" s="94"/>
      <c r="AG1124" s="95"/>
    </row>
    <row r="1125" hidden="1">
      <c r="A1125" s="115"/>
      <c r="B1125" s="93"/>
      <c r="E1125" s="116"/>
      <c r="F1125" s="95"/>
      <c r="G1125" s="95"/>
      <c r="H1125" s="94"/>
      <c r="I1125" s="94"/>
      <c r="J1125" s="117"/>
      <c r="K1125" s="118"/>
      <c r="L1125" s="119"/>
      <c r="M1125" s="94"/>
      <c r="N1125" s="94"/>
      <c r="O1125" s="93"/>
      <c r="P1125" s="120" t="b">
        <v>0</v>
      </c>
      <c r="Q1125" s="120" t="b">
        <v>0</v>
      </c>
      <c r="R1125" s="120" t="b">
        <v>0</v>
      </c>
      <c r="S1125" s="95"/>
      <c r="U1125" s="120" t="b">
        <v>0</v>
      </c>
      <c r="V1125" s="93"/>
      <c r="W1125" s="93"/>
      <c r="X1125" s="93"/>
      <c r="Y1125" s="93"/>
      <c r="AA1125" s="95"/>
      <c r="AB1125" s="121"/>
      <c r="AC1125" s="29" t="str">
        <f t="shared" si="5"/>
        <v>Sim</v>
      </c>
      <c r="AD1125" s="37" t="str">
        <f t="shared" si="1"/>
        <v>Não</v>
      </c>
      <c r="AE1125" s="94"/>
      <c r="AF1125" s="94"/>
      <c r="AG1125" s="95"/>
    </row>
    <row r="1126" hidden="1">
      <c r="A1126" s="115"/>
      <c r="B1126" s="93"/>
      <c r="E1126" s="116"/>
      <c r="F1126" s="95"/>
      <c r="G1126" s="95"/>
      <c r="H1126" s="94"/>
      <c r="I1126" s="94"/>
      <c r="J1126" s="117"/>
      <c r="K1126" s="118"/>
      <c r="L1126" s="119"/>
      <c r="M1126" s="94"/>
      <c r="N1126" s="94"/>
      <c r="O1126" s="93"/>
      <c r="P1126" s="120" t="b">
        <v>0</v>
      </c>
      <c r="Q1126" s="120" t="b">
        <v>0</v>
      </c>
      <c r="R1126" s="120" t="b">
        <v>0</v>
      </c>
      <c r="S1126" s="95"/>
      <c r="U1126" s="120" t="b">
        <v>0</v>
      </c>
      <c r="V1126" s="93"/>
      <c r="W1126" s="93"/>
      <c r="X1126" s="93"/>
      <c r="Y1126" s="93"/>
      <c r="AA1126" s="95"/>
      <c r="AB1126" s="121"/>
      <c r="AC1126" s="29" t="str">
        <f t="shared" si="5"/>
        <v>Sim</v>
      </c>
      <c r="AD1126" s="37" t="str">
        <f t="shared" si="1"/>
        <v>Não</v>
      </c>
      <c r="AE1126" s="94"/>
      <c r="AF1126" s="94"/>
      <c r="AG1126" s="95"/>
    </row>
    <row r="1127" hidden="1">
      <c r="A1127" s="115"/>
      <c r="B1127" s="93"/>
      <c r="E1127" s="116"/>
      <c r="F1127" s="95"/>
      <c r="G1127" s="95"/>
      <c r="H1127" s="94"/>
      <c r="I1127" s="94"/>
      <c r="J1127" s="117"/>
      <c r="K1127" s="118"/>
      <c r="L1127" s="119"/>
      <c r="M1127" s="94"/>
      <c r="N1127" s="94"/>
      <c r="O1127" s="93"/>
      <c r="P1127" s="120" t="b">
        <v>0</v>
      </c>
      <c r="Q1127" s="120" t="b">
        <v>0</v>
      </c>
      <c r="R1127" s="120" t="b">
        <v>0</v>
      </c>
      <c r="S1127" s="95"/>
      <c r="U1127" s="120" t="b">
        <v>0</v>
      </c>
      <c r="V1127" s="93"/>
      <c r="W1127" s="93"/>
      <c r="X1127" s="93"/>
      <c r="Y1127" s="93"/>
      <c r="AA1127" s="95"/>
      <c r="AB1127" s="121"/>
      <c r="AC1127" s="29" t="str">
        <f t="shared" si="5"/>
        <v>Sim</v>
      </c>
      <c r="AD1127" s="37" t="str">
        <f t="shared" si="1"/>
        <v>Não</v>
      </c>
      <c r="AE1127" s="94"/>
      <c r="AF1127" s="94"/>
      <c r="AG1127" s="95"/>
    </row>
    <row r="1128" hidden="1">
      <c r="A1128" s="115"/>
      <c r="B1128" s="93"/>
      <c r="E1128" s="116"/>
      <c r="F1128" s="95"/>
      <c r="G1128" s="95"/>
      <c r="H1128" s="94"/>
      <c r="I1128" s="94"/>
      <c r="J1128" s="117"/>
      <c r="K1128" s="118"/>
      <c r="L1128" s="119"/>
      <c r="M1128" s="94"/>
      <c r="N1128" s="94"/>
      <c r="O1128" s="93"/>
      <c r="P1128" s="120" t="b">
        <v>0</v>
      </c>
      <c r="Q1128" s="120" t="b">
        <v>0</v>
      </c>
      <c r="R1128" s="120" t="b">
        <v>0</v>
      </c>
      <c r="S1128" s="95"/>
      <c r="U1128" s="120" t="b">
        <v>0</v>
      </c>
      <c r="V1128" s="93"/>
      <c r="W1128" s="93"/>
      <c r="X1128" s="93"/>
      <c r="Y1128" s="93"/>
      <c r="AA1128" s="95"/>
      <c r="AB1128" s="121"/>
      <c r="AC1128" s="29" t="str">
        <f t="shared" si="5"/>
        <v>Sim</v>
      </c>
      <c r="AD1128" s="37" t="str">
        <f t="shared" si="1"/>
        <v>Não</v>
      </c>
      <c r="AE1128" s="94"/>
      <c r="AF1128" s="94"/>
      <c r="AG1128" s="95"/>
    </row>
    <row r="1129" hidden="1">
      <c r="A1129" s="115"/>
      <c r="B1129" s="93"/>
      <c r="E1129" s="116"/>
      <c r="F1129" s="95"/>
      <c r="G1129" s="95"/>
      <c r="H1129" s="94"/>
      <c r="I1129" s="94"/>
      <c r="J1129" s="117"/>
      <c r="K1129" s="118"/>
      <c r="L1129" s="119"/>
      <c r="M1129" s="94"/>
      <c r="N1129" s="94"/>
      <c r="O1129" s="93"/>
      <c r="P1129" s="120" t="b">
        <v>0</v>
      </c>
      <c r="Q1129" s="120" t="b">
        <v>0</v>
      </c>
      <c r="R1129" s="120" t="b">
        <v>0</v>
      </c>
      <c r="S1129" s="95"/>
      <c r="U1129" s="120" t="b">
        <v>0</v>
      </c>
      <c r="V1129" s="93"/>
      <c r="W1129" s="93"/>
      <c r="X1129" s="93"/>
      <c r="Y1129" s="93"/>
      <c r="AA1129" s="95"/>
      <c r="AB1129" s="121"/>
      <c r="AC1129" s="29" t="str">
        <f t="shared" si="5"/>
        <v>Sim</v>
      </c>
      <c r="AD1129" s="37" t="str">
        <f t="shared" si="1"/>
        <v>Não</v>
      </c>
      <c r="AE1129" s="94"/>
      <c r="AF1129" s="94"/>
      <c r="AG1129" s="95"/>
    </row>
    <row r="1130" hidden="1">
      <c r="A1130" s="115"/>
      <c r="B1130" s="93"/>
      <c r="E1130" s="116"/>
      <c r="F1130" s="95"/>
      <c r="G1130" s="95"/>
      <c r="H1130" s="94"/>
      <c r="I1130" s="94"/>
      <c r="J1130" s="117"/>
      <c r="K1130" s="118"/>
      <c r="L1130" s="119"/>
      <c r="M1130" s="94"/>
      <c r="N1130" s="94"/>
      <c r="O1130" s="93"/>
      <c r="P1130" s="120" t="b">
        <v>0</v>
      </c>
      <c r="Q1130" s="120" t="b">
        <v>0</v>
      </c>
      <c r="R1130" s="120" t="b">
        <v>0</v>
      </c>
      <c r="S1130" s="95"/>
      <c r="U1130" s="120" t="b">
        <v>0</v>
      </c>
      <c r="V1130" s="93"/>
      <c r="W1130" s="93"/>
      <c r="X1130" s="93"/>
      <c r="Y1130" s="93"/>
      <c r="AA1130" s="95"/>
      <c r="AB1130" s="121"/>
      <c r="AC1130" s="29" t="str">
        <f t="shared" si="5"/>
        <v>Sim</v>
      </c>
      <c r="AD1130" s="37" t="str">
        <f t="shared" si="1"/>
        <v>Não</v>
      </c>
      <c r="AE1130" s="94"/>
      <c r="AF1130" s="94"/>
      <c r="AG1130" s="95"/>
    </row>
    <row r="1131" hidden="1">
      <c r="A1131" s="115"/>
      <c r="B1131" s="93"/>
      <c r="E1131" s="116"/>
      <c r="F1131" s="95"/>
      <c r="G1131" s="95"/>
      <c r="H1131" s="94"/>
      <c r="I1131" s="94"/>
      <c r="J1131" s="117"/>
      <c r="K1131" s="118"/>
      <c r="L1131" s="119"/>
      <c r="M1131" s="94"/>
      <c r="N1131" s="94"/>
      <c r="O1131" s="93"/>
      <c r="P1131" s="120" t="b">
        <v>0</v>
      </c>
      <c r="Q1131" s="120" t="b">
        <v>0</v>
      </c>
      <c r="R1131" s="120" t="b">
        <v>0</v>
      </c>
      <c r="S1131" s="95"/>
      <c r="U1131" s="120" t="b">
        <v>0</v>
      </c>
      <c r="V1131" s="93"/>
      <c r="W1131" s="93"/>
      <c r="X1131" s="93"/>
      <c r="Y1131" s="93"/>
      <c r="AA1131" s="95"/>
      <c r="AB1131" s="121"/>
      <c r="AC1131" s="29" t="str">
        <f t="shared" si="5"/>
        <v>Sim</v>
      </c>
      <c r="AD1131" s="37" t="str">
        <f t="shared" si="1"/>
        <v>Não</v>
      </c>
      <c r="AE1131" s="94"/>
      <c r="AF1131" s="94"/>
      <c r="AG1131" s="95"/>
    </row>
    <row r="1132" hidden="1">
      <c r="A1132" s="115"/>
      <c r="B1132" s="93"/>
      <c r="E1132" s="116"/>
      <c r="F1132" s="95"/>
      <c r="G1132" s="95"/>
      <c r="H1132" s="94"/>
      <c r="I1132" s="94"/>
      <c r="J1132" s="117"/>
      <c r="K1132" s="118"/>
      <c r="L1132" s="119"/>
      <c r="M1132" s="94"/>
      <c r="N1132" s="94"/>
      <c r="O1132" s="93"/>
      <c r="P1132" s="120" t="b">
        <v>0</v>
      </c>
      <c r="Q1132" s="120" t="b">
        <v>0</v>
      </c>
      <c r="R1132" s="120" t="b">
        <v>0</v>
      </c>
      <c r="S1132" s="95"/>
      <c r="U1132" s="120" t="b">
        <v>0</v>
      </c>
      <c r="V1132" s="93"/>
      <c r="W1132" s="93"/>
      <c r="X1132" s="93"/>
      <c r="Y1132" s="93"/>
      <c r="AA1132" s="95"/>
      <c r="AB1132" s="121"/>
      <c r="AC1132" s="29" t="str">
        <f t="shared" si="5"/>
        <v>Sim</v>
      </c>
      <c r="AD1132" s="37" t="str">
        <f t="shared" si="1"/>
        <v>Não</v>
      </c>
      <c r="AE1132" s="94"/>
      <c r="AF1132" s="94"/>
      <c r="AG1132" s="95"/>
    </row>
    <row r="1133" hidden="1">
      <c r="A1133" s="115"/>
      <c r="B1133" s="93"/>
      <c r="E1133" s="116"/>
      <c r="F1133" s="95"/>
      <c r="G1133" s="95"/>
      <c r="H1133" s="94"/>
      <c r="I1133" s="94"/>
      <c r="J1133" s="117"/>
      <c r="K1133" s="118"/>
      <c r="L1133" s="119"/>
      <c r="M1133" s="94"/>
      <c r="N1133" s="94"/>
      <c r="O1133" s="93"/>
      <c r="P1133" s="120" t="b">
        <v>0</v>
      </c>
      <c r="Q1133" s="120" t="b">
        <v>0</v>
      </c>
      <c r="R1133" s="120" t="b">
        <v>0</v>
      </c>
      <c r="S1133" s="95"/>
      <c r="U1133" s="120" t="b">
        <v>0</v>
      </c>
      <c r="V1133" s="93"/>
      <c r="W1133" s="93"/>
      <c r="X1133" s="93"/>
      <c r="Y1133" s="93"/>
      <c r="AA1133" s="95"/>
      <c r="AB1133" s="121"/>
      <c r="AC1133" s="29" t="str">
        <f t="shared" si="5"/>
        <v>Sim</v>
      </c>
      <c r="AD1133" s="37" t="str">
        <f t="shared" si="1"/>
        <v>Não</v>
      </c>
      <c r="AE1133" s="94"/>
      <c r="AF1133" s="94"/>
      <c r="AG1133" s="95"/>
    </row>
    <row r="1134" hidden="1">
      <c r="A1134" s="115"/>
      <c r="B1134" s="93"/>
      <c r="E1134" s="116"/>
      <c r="F1134" s="95"/>
      <c r="G1134" s="95"/>
      <c r="H1134" s="94"/>
      <c r="I1134" s="94"/>
      <c r="J1134" s="117"/>
      <c r="K1134" s="118"/>
      <c r="L1134" s="119"/>
      <c r="M1134" s="94"/>
      <c r="N1134" s="94"/>
      <c r="O1134" s="93"/>
      <c r="P1134" s="120" t="b">
        <v>0</v>
      </c>
      <c r="Q1134" s="120" t="b">
        <v>0</v>
      </c>
      <c r="R1134" s="120" t="b">
        <v>0</v>
      </c>
      <c r="S1134" s="95"/>
      <c r="U1134" s="120" t="b">
        <v>0</v>
      </c>
      <c r="V1134" s="93"/>
      <c r="W1134" s="93"/>
      <c r="X1134" s="93"/>
      <c r="Y1134" s="93"/>
      <c r="AA1134" s="95"/>
      <c r="AB1134" s="121"/>
      <c r="AC1134" s="29" t="str">
        <f t="shared" si="5"/>
        <v>Sim</v>
      </c>
      <c r="AD1134" s="37" t="str">
        <f t="shared" si="1"/>
        <v>Não</v>
      </c>
      <c r="AE1134" s="94"/>
      <c r="AF1134" s="94"/>
      <c r="AG1134" s="95"/>
    </row>
    <row r="1135" hidden="1">
      <c r="A1135" s="115"/>
      <c r="B1135" s="93"/>
      <c r="E1135" s="116"/>
      <c r="F1135" s="95"/>
      <c r="G1135" s="95"/>
      <c r="H1135" s="94"/>
      <c r="I1135" s="94"/>
      <c r="J1135" s="117"/>
      <c r="K1135" s="118"/>
      <c r="L1135" s="119"/>
      <c r="M1135" s="94"/>
      <c r="N1135" s="94"/>
      <c r="O1135" s="93"/>
      <c r="P1135" s="120" t="b">
        <v>0</v>
      </c>
      <c r="Q1135" s="120" t="b">
        <v>0</v>
      </c>
      <c r="R1135" s="120" t="b">
        <v>0</v>
      </c>
      <c r="S1135" s="95"/>
      <c r="U1135" s="120" t="b">
        <v>0</v>
      </c>
      <c r="V1135" s="93"/>
      <c r="W1135" s="93"/>
      <c r="X1135" s="93"/>
      <c r="Y1135" s="93"/>
      <c r="AA1135" s="95"/>
      <c r="AB1135" s="121"/>
      <c r="AC1135" s="29" t="str">
        <f t="shared" si="5"/>
        <v>Sim</v>
      </c>
      <c r="AD1135" s="37" t="str">
        <f t="shared" si="1"/>
        <v>Não</v>
      </c>
      <c r="AE1135" s="94"/>
      <c r="AF1135" s="94"/>
      <c r="AG1135" s="95"/>
    </row>
    <row r="1136" hidden="1">
      <c r="A1136" s="115"/>
      <c r="B1136" s="93"/>
      <c r="E1136" s="116"/>
      <c r="F1136" s="95"/>
      <c r="G1136" s="95"/>
      <c r="H1136" s="94"/>
      <c r="I1136" s="94"/>
      <c r="J1136" s="117"/>
      <c r="K1136" s="118"/>
      <c r="L1136" s="119"/>
      <c r="M1136" s="94"/>
      <c r="N1136" s="94"/>
      <c r="O1136" s="93"/>
      <c r="P1136" s="120" t="b">
        <v>0</v>
      </c>
      <c r="Q1136" s="120" t="b">
        <v>0</v>
      </c>
      <c r="R1136" s="120" t="b">
        <v>0</v>
      </c>
      <c r="S1136" s="95"/>
      <c r="U1136" s="120" t="b">
        <v>0</v>
      </c>
      <c r="V1136" s="93"/>
      <c r="W1136" s="93"/>
      <c r="X1136" s="93"/>
      <c r="Y1136" s="93"/>
      <c r="AA1136" s="95"/>
      <c r="AB1136" s="121"/>
      <c r="AC1136" s="29" t="str">
        <f t="shared" si="5"/>
        <v>Sim</v>
      </c>
      <c r="AD1136" s="37" t="str">
        <f t="shared" si="1"/>
        <v>Não</v>
      </c>
      <c r="AE1136" s="94"/>
      <c r="AF1136" s="94"/>
      <c r="AG1136" s="95"/>
    </row>
    <row r="1137" hidden="1">
      <c r="A1137" s="115"/>
      <c r="B1137" s="93"/>
      <c r="E1137" s="116"/>
      <c r="F1137" s="95"/>
      <c r="G1137" s="95"/>
      <c r="H1137" s="94"/>
      <c r="I1137" s="94"/>
      <c r="J1137" s="117"/>
      <c r="K1137" s="118"/>
      <c r="L1137" s="119"/>
      <c r="M1137" s="94"/>
      <c r="N1137" s="94"/>
      <c r="O1137" s="93"/>
      <c r="P1137" s="120" t="b">
        <v>0</v>
      </c>
      <c r="Q1137" s="120" t="b">
        <v>0</v>
      </c>
      <c r="R1137" s="120" t="b">
        <v>0</v>
      </c>
      <c r="S1137" s="95"/>
      <c r="U1137" s="120" t="b">
        <v>0</v>
      </c>
      <c r="V1137" s="93"/>
      <c r="W1137" s="93"/>
      <c r="X1137" s="93"/>
      <c r="Y1137" s="93"/>
      <c r="AA1137" s="95"/>
      <c r="AB1137" s="121"/>
      <c r="AC1137" s="29" t="str">
        <f t="shared" si="5"/>
        <v>Sim</v>
      </c>
      <c r="AD1137" s="37" t="str">
        <f t="shared" si="1"/>
        <v>Não</v>
      </c>
      <c r="AE1137" s="94"/>
      <c r="AF1137" s="94"/>
      <c r="AG1137" s="95"/>
    </row>
    <row r="1138" hidden="1">
      <c r="A1138" s="115"/>
      <c r="B1138" s="93"/>
      <c r="E1138" s="116"/>
      <c r="F1138" s="95"/>
      <c r="G1138" s="95"/>
      <c r="H1138" s="94"/>
      <c r="I1138" s="94"/>
      <c r="J1138" s="117"/>
      <c r="K1138" s="118"/>
      <c r="L1138" s="119"/>
      <c r="M1138" s="94"/>
      <c r="N1138" s="94"/>
      <c r="O1138" s="93"/>
      <c r="P1138" s="120" t="b">
        <v>0</v>
      </c>
      <c r="Q1138" s="120" t="b">
        <v>0</v>
      </c>
      <c r="R1138" s="120" t="b">
        <v>0</v>
      </c>
      <c r="S1138" s="95"/>
      <c r="U1138" s="120" t="b">
        <v>0</v>
      </c>
      <c r="V1138" s="93"/>
      <c r="W1138" s="93"/>
      <c r="X1138" s="93"/>
      <c r="Y1138" s="93"/>
      <c r="AA1138" s="95"/>
      <c r="AB1138" s="121"/>
      <c r="AC1138" s="29" t="str">
        <f t="shared" si="5"/>
        <v>Sim</v>
      </c>
      <c r="AD1138" s="37" t="str">
        <f t="shared" si="1"/>
        <v>Não</v>
      </c>
      <c r="AE1138" s="94"/>
      <c r="AF1138" s="94"/>
      <c r="AG1138" s="95"/>
    </row>
    <row r="1139" hidden="1">
      <c r="A1139" s="115"/>
      <c r="B1139" s="93"/>
      <c r="E1139" s="116"/>
      <c r="F1139" s="95"/>
      <c r="G1139" s="95"/>
      <c r="H1139" s="94"/>
      <c r="I1139" s="94"/>
      <c r="J1139" s="117"/>
      <c r="K1139" s="118"/>
      <c r="L1139" s="119"/>
      <c r="M1139" s="94"/>
      <c r="N1139" s="94"/>
      <c r="O1139" s="93"/>
      <c r="P1139" s="120" t="b">
        <v>0</v>
      </c>
      <c r="Q1139" s="120" t="b">
        <v>0</v>
      </c>
      <c r="R1139" s="120" t="b">
        <v>0</v>
      </c>
      <c r="S1139" s="95"/>
      <c r="U1139" s="120" t="b">
        <v>0</v>
      </c>
      <c r="V1139" s="93"/>
      <c r="W1139" s="93"/>
      <c r="X1139" s="93"/>
      <c r="Y1139" s="93"/>
      <c r="AA1139" s="95"/>
      <c r="AB1139" s="121"/>
      <c r="AC1139" s="29" t="str">
        <f t="shared" si="5"/>
        <v>Sim</v>
      </c>
      <c r="AD1139" s="37" t="str">
        <f t="shared" si="1"/>
        <v>Não</v>
      </c>
      <c r="AE1139" s="94"/>
      <c r="AF1139" s="94"/>
      <c r="AG1139" s="95"/>
    </row>
    <row r="1140" hidden="1">
      <c r="A1140" s="115"/>
      <c r="B1140" s="93"/>
      <c r="E1140" s="116"/>
      <c r="F1140" s="95"/>
      <c r="G1140" s="95"/>
      <c r="H1140" s="94"/>
      <c r="I1140" s="94"/>
      <c r="J1140" s="117"/>
      <c r="K1140" s="118"/>
      <c r="L1140" s="119"/>
      <c r="M1140" s="94"/>
      <c r="N1140" s="94"/>
      <c r="O1140" s="93"/>
      <c r="P1140" s="120" t="b">
        <v>0</v>
      </c>
      <c r="Q1140" s="120" t="b">
        <v>0</v>
      </c>
      <c r="R1140" s="120" t="b">
        <v>0</v>
      </c>
      <c r="S1140" s="95"/>
      <c r="U1140" s="120" t="b">
        <v>0</v>
      </c>
      <c r="V1140" s="93"/>
      <c r="W1140" s="93"/>
      <c r="X1140" s="93"/>
      <c r="Y1140" s="93"/>
      <c r="AA1140" s="95"/>
      <c r="AB1140" s="121"/>
      <c r="AC1140" s="29" t="str">
        <f t="shared" si="5"/>
        <v>Sim</v>
      </c>
      <c r="AD1140" s="37" t="str">
        <f t="shared" si="1"/>
        <v>Não</v>
      </c>
      <c r="AE1140" s="94"/>
      <c r="AF1140" s="94"/>
      <c r="AG1140" s="95"/>
    </row>
    <row r="1141" hidden="1">
      <c r="A1141" s="115"/>
      <c r="B1141" s="93"/>
      <c r="E1141" s="116"/>
      <c r="F1141" s="95"/>
      <c r="G1141" s="95"/>
      <c r="H1141" s="94"/>
      <c r="I1141" s="94"/>
      <c r="J1141" s="117"/>
      <c r="K1141" s="118"/>
      <c r="L1141" s="119"/>
      <c r="M1141" s="94"/>
      <c r="N1141" s="94"/>
      <c r="O1141" s="93"/>
      <c r="P1141" s="120" t="b">
        <v>0</v>
      </c>
      <c r="Q1141" s="120" t="b">
        <v>0</v>
      </c>
      <c r="R1141" s="120" t="b">
        <v>0</v>
      </c>
      <c r="S1141" s="95"/>
      <c r="U1141" s="120" t="b">
        <v>0</v>
      </c>
      <c r="V1141" s="93"/>
      <c r="W1141" s="93"/>
      <c r="X1141" s="93"/>
      <c r="Y1141" s="93"/>
      <c r="AA1141" s="95"/>
      <c r="AB1141" s="121"/>
      <c r="AC1141" s="29" t="str">
        <f t="shared" si="5"/>
        <v>Sim</v>
      </c>
      <c r="AD1141" s="37" t="str">
        <f t="shared" si="1"/>
        <v>Não</v>
      </c>
      <c r="AE1141" s="94"/>
      <c r="AF1141" s="94"/>
      <c r="AG1141" s="95"/>
    </row>
    <row r="1142" hidden="1">
      <c r="A1142" s="115"/>
      <c r="B1142" s="93"/>
      <c r="E1142" s="116"/>
      <c r="F1142" s="95"/>
      <c r="G1142" s="95"/>
      <c r="H1142" s="94"/>
      <c r="I1142" s="94"/>
      <c r="J1142" s="117"/>
      <c r="K1142" s="118"/>
      <c r="L1142" s="119"/>
      <c r="M1142" s="94"/>
      <c r="N1142" s="94"/>
      <c r="O1142" s="93"/>
      <c r="P1142" s="120" t="b">
        <v>0</v>
      </c>
      <c r="Q1142" s="120" t="b">
        <v>0</v>
      </c>
      <c r="R1142" s="120" t="b">
        <v>0</v>
      </c>
      <c r="S1142" s="95"/>
      <c r="U1142" s="120" t="b">
        <v>0</v>
      </c>
      <c r="V1142" s="93"/>
      <c r="W1142" s="93"/>
      <c r="X1142" s="93"/>
      <c r="Y1142" s="93"/>
      <c r="AA1142" s="95"/>
      <c r="AB1142" s="121"/>
      <c r="AC1142" s="29" t="str">
        <f t="shared" si="5"/>
        <v>Sim</v>
      </c>
      <c r="AD1142" s="37" t="str">
        <f t="shared" si="1"/>
        <v>Não</v>
      </c>
      <c r="AE1142" s="94"/>
      <c r="AF1142" s="94"/>
      <c r="AG1142" s="95"/>
    </row>
    <row r="1143" hidden="1">
      <c r="A1143" s="115"/>
      <c r="B1143" s="93"/>
      <c r="E1143" s="116"/>
      <c r="F1143" s="95"/>
      <c r="G1143" s="95"/>
      <c r="H1143" s="94"/>
      <c r="I1143" s="94"/>
      <c r="J1143" s="117"/>
      <c r="K1143" s="118"/>
      <c r="L1143" s="119"/>
      <c r="M1143" s="94"/>
      <c r="N1143" s="94"/>
      <c r="O1143" s="93"/>
      <c r="P1143" s="120" t="b">
        <v>0</v>
      </c>
      <c r="Q1143" s="120" t="b">
        <v>0</v>
      </c>
      <c r="R1143" s="120" t="b">
        <v>0</v>
      </c>
      <c r="S1143" s="95"/>
      <c r="U1143" s="120" t="b">
        <v>0</v>
      </c>
      <c r="V1143" s="93"/>
      <c r="W1143" s="93"/>
      <c r="X1143" s="93"/>
      <c r="Y1143" s="93"/>
      <c r="AA1143" s="95"/>
      <c r="AB1143" s="121"/>
      <c r="AC1143" s="29" t="str">
        <f t="shared" si="5"/>
        <v>Sim</v>
      </c>
      <c r="AD1143" s="37" t="str">
        <f t="shared" si="1"/>
        <v>Não</v>
      </c>
      <c r="AE1143" s="94"/>
      <c r="AF1143" s="94"/>
      <c r="AG1143" s="95"/>
    </row>
    <row r="1144" hidden="1">
      <c r="A1144" s="115"/>
      <c r="B1144" s="93"/>
      <c r="E1144" s="116"/>
      <c r="F1144" s="95"/>
      <c r="G1144" s="95"/>
      <c r="H1144" s="94"/>
      <c r="I1144" s="94"/>
      <c r="J1144" s="117"/>
      <c r="K1144" s="118"/>
      <c r="L1144" s="119"/>
      <c r="M1144" s="94"/>
      <c r="N1144" s="94"/>
      <c r="O1144" s="93"/>
      <c r="P1144" s="120" t="b">
        <v>0</v>
      </c>
      <c r="Q1144" s="120" t="b">
        <v>0</v>
      </c>
      <c r="R1144" s="120" t="b">
        <v>0</v>
      </c>
      <c r="S1144" s="95"/>
      <c r="U1144" s="120" t="b">
        <v>0</v>
      </c>
      <c r="V1144" s="93"/>
      <c r="W1144" s="93"/>
      <c r="X1144" s="93"/>
      <c r="Y1144" s="93"/>
      <c r="AA1144" s="95"/>
      <c r="AB1144" s="121"/>
      <c r="AC1144" s="29" t="str">
        <f t="shared" si="5"/>
        <v>Sim</v>
      </c>
      <c r="AD1144" s="37" t="str">
        <f t="shared" si="1"/>
        <v>Não</v>
      </c>
      <c r="AE1144" s="94"/>
      <c r="AF1144" s="94"/>
      <c r="AG1144" s="95"/>
    </row>
    <row r="1145" hidden="1">
      <c r="A1145" s="115"/>
      <c r="B1145" s="93"/>
      <c r="E1145" s="116"/>
      <c r="F1145" s="95"/>
      <c r="G1145" s="95"/>
      <c r="H1145" s="94"/>
      <c r="I1145" s="94"/>
      <c r="J1145" s="117"/>
      <c r="K1145" s="118"/>
      <c r="L1145" s="119"/>
      <c r="M1145" s="94"/>
      <c r="N1145" s="94"/>
      <c r="O1145" s="93"/>
      <c r="P1145" s="120" t="b">
        <v>0</v>
      </c>
      <c r="Q1145" s="120" t="b">
        <v>0</v>
      </c>
      <c r="R1145" s="120" t="b">
        <v>0</v>
      </c>
      <c r="S1145" s="95"/>
      <c r="U1145" s="120" t="b">
        <v>0</v>
      </c>
      <c r="V1145" s="93"/>
      <c r="W1145" s="93"/>
      <c r="X1145" s="93"/>
      <c r="Y1145" s="93"/>
      <c r="AA1145" s="95"/>
      <c r="AB1145" s="121"/>
      <c r="AC1145" s="29" t="str">
        <f t="shared" si="5"/>
        <v>Sim</v>
      </c>
      <c r="AD1145" s="37" t="str">
        <f t="shared" si="1"/>
        <v>Não</v>
      </c>
      <c r="AE1145" s="94"/>
      <c r="AF1145" s="94"/>
      <c r="AG1145" s="95"/>
    </row>
    <row r="1146" hidden="1">
      <c r="A1146" s="115"/>
      <c r="B1146" s="93"/>
      <c r="E1146" s="116"/>
      <c r="F1146" s="95"/>
      <c r="G1146" s="95"/>
      <c r="H1146" s="94"/>
      <c r="I1146" s="94"/>
      <c r="J1146" s="117"/>
      <c r="K1146" s="118"/>
      <c r="L1146" s="119"/>
      <c r="M1146" s="94"/>
      <c r="N1146" s="94"/>
      <c r="O1146" s="93"/>
      <c r="P1146" s="120" t="b">
        <v>0</v>
      </c>
      <c r="Q1146" s="120" t="b">
        <v>0</v>
      </c>
      <c r="R1146" s="120" t="b">
        <v>0</v>
      </c>
      <c r="S1146" s="95"/>
      <c r="U1146" s="120" t="b">
        <v>0</v>
      </c>
      <c r="V1146" s="93"/>
      <c r="W1146" s="93"/>
      <c r="X1146" s="93"/>
      <c r="Y1146" s="93"/>
      <c r="AA1146" s="95"/>
      <c r="AB1146" s="121"/>
      <c r="AC1146" s="29" t="str">
        <f t="shared" si="5"/>
        <v>Sim</v>
      </c>
      <c r="AD1146" s="37" t="str">
        <f t="shared" si="1"/>
        <v>Não</v>
      </c>
      <c r="AE1146" s="94"/>
      <c r="AF1146" s="94"/>
      <c r="AG1146" s="95"/>
    </row>
    <row r="1147" hidden="1">
      <c r="A1147" s="115"/>
      <c r="B1147" s="93"/>
      <c r="E1147" s="116"/>
      <c r="F1147" s="95"/>
      <c r="G1147" s="95"/>
      <c r="H1147" s="94"/>
      <c r="I1147" s="94"/>
      <c r="J1147" s="117"/>
      <c r="K1147" s="118"/>
      <c r="L1147" s="119"/>
      <c r="M1147" s="94"/>
      <c r="N1147" s="94"/>
      <c r="O1147" s="93"/>
      <c r="P1147" s="120" t="b">
        <v>0</v>
      </c>
      <c r="Q1147" s="120" t="b">
        <v>0</v>
      </c>
      <c r="R1147" s="120" t="b">
        <v>0</v>
      </c>
      <c r="S1147" s="95"/>
      <c r="U1147" s="120" t="b">
        <v>0</v>
      </c>
      <c r="V1147" s="93"/>
      <c r="W1147" s="93"/>
      <c r="X1147" s="93"/>
      <c r="Y1147" s="93"/>
      <c r="AA1147" s="95"/>
      <c r="AB1147" s="121"/>
      <c r="AC1147" s="29" t="str">
        <f t="shared" si="5"/>
        <v>Sim</v>
      </c>
      <c r="AD1147" s="37" t="str">
        <f t="shared" si="1"/>
        <v>Não</v>
      </c>
      <c r="AE1147" s="94"/>
      <c r="AF1147" s="94"/>
      <c r="AG1147" s="95"/>
    </row>
    <row r="1148" hidden="1">
      <c r="A1148" s="115"/>
      <c r="B1148" s="93"/>
      <c r="E1148" s="116"/>
      <c r="F1148" s="95"/>
      <c r="G1148" s="95"/>
      <c r="H1148" s="94"/>
      <c r="I1148" s="94"/>
      <c r="J1148" s="117"/>
      <c r="K1148" s="118"/>
      <c r="L1148" s="119"/>
      <c r="M1148" s="94"/>
      <c r="N1148" s="94"/>
      <c r="O1148" s="93"/>
      <c r="P1148" s="120" t="b">
        <v>0</v>
      </c>
      <c r="Q1148" s="120" t="b">
        <v>0</v>
      </c>
      <c r="R1148" s="120" t="b">
        <v>0</v>
      </c>
      <c r="S1148" s="95"/>
      <c r="U1148" s="120" t="b">
        <v>0</v>
      </c>
      <c r="V1148" s="93"/>
      <c r="W1148" s="93"/>
      <c r="X1148" s="93"/>
      <c r="Y1148" s="93"/>
      <c r="AA1148" s="95"/>
      <c r="AB1148" s="121"/>
      <c r="AC1148" s="29" t="str">
        <f t="shared" si="5"/>
        <v>Sim</v>
      </c>
      <c r="AD1148" s="37" t="str">
        <f t="shared" si="1"/>
        <v>Não</v>
      </c>
      <c r="AE1148" s="94"/>
      <c r="AF1148" s="94"/>
      <c r="AG1148" s="95"/>
    </row>
    <row r="1149" hidden="1">
      <c r="A1149" s="115"/>
      <c r="B1149" s="93"/>
      <c r="E1149" s="116"/>
      <c r="F1149" s="95"/>
      <c r="G1149" s="95"/>
      <c r="H1149" s="94"/>
      <c r="I1149" s="94"/>
      <c r="J1149" s="117"/>
      <c r="K1149" s="118"/>
      <c r="L1149" s="119"/>
      <c r="M1149" s="94"/>
      <c r="N1149" s="94"/>
      <c r="O1149" s="93"/>
      <c r="P1149" s="120" t="b">
        <v>0</v>
      </c>
      <c r="Q1149" s="120" t="b">
        <v>0</v>
      </c>
      <c r="R1149" s="120" t="b">
        <v>0</v>
      </c>
      <c r="S1149" s="95"/>
      <c r="U1149" s="120" t="b">
        <v>0</v>
      </c>
      <c r="V1149" s="93"/>
      <c r="W1149" s="93"/>
      <c r="X1149" s="93"/>
      <c r="Y1149" s="93"/>
      <c r="AA1149" s="95"/>
      <c r="AB1149" s="121"/>
      <c r="AC1149" s="29" t="str">
        <f t="shared" si="5"/>
        <v>Sim</v>
      </c>
      <c r="AD1149" s="37" t="str">
        <f t="shared" si="1"/>
        <v>Não</v>
      </c>
      <c r="AE1149" s="94"/>
      <c r="AF1149" s="94"/>
      <c r="AG1149" s="95"/>
    </row>
    <row r="1150" hidden="1">
      <c r="A1150" s="115"/>
      <c r="B1150" s="93"/>
      <c r="E1150" s="116"/>
      <c r="F1150" s="95"/>
      <c r="G1150" s="95"/>
      <c r="H1150" s="94"/>
      <c r="I1150" s="94"/>
      <c r="J1150" s="117"/>
      <c r="K1150" s="118"/>
      <c r="L1150" s="119"/>
      <c r="M1150" s="94"/>
      <c r="N1150" s="94"/>
      <c r="O1150" s="93"/>
      <c r="P1150" s="120" t="b">
        <v>0</v>
      </c>
      <c r="Q1150" s="120" t="b">
        <v>0</v>
      </c>
      <c r="R1150" s="120" t="b">
        <v>0</v>
      </c>
      <c r="S1150" s="95"/>
      <c r="U1150" s="120" t="b">
        <v>0</v>
      </c>
      <c r="V1150" s="93"/>
      <c r="W1150" s="93"/>
      <c r="X1150" s="93"/>
      <c r="Y1150" s="93"/>
      <c r="AA1150" s="95"/>
      <c r="AB1150" s="121"/>
      <c r="AC1150" s="29" t="str">
        <f t="shared" si="5"/>
        <v>Sim</v>
      </c>
      <c r="AD1150" s="37" t="str">
        <f t="shared" si="1"/>
        <v>Não</v>
      </c>
      <c r="AE1150" s="94"/>
      <c r="AF1150" s="94"/>
      <c r="AG1150" s="95"/>
    </row>
    <row r="1151" hidden="1">
      <c r="A1151" s="115"/>
      <c r="B1151" s="93"/>
      <c r="E1151" s="116"/>
      <c r="F1151" s="95"/>
      <c r="G1151" s="95"/>
      <c r="H1151" s="94"/>
      <c r="I1151" s="94"/>
      <c r="J1151" s="117"/>
      <c r="K1151" s="118"/>
      <c r="L1151" s="119"/>
      <c r="M1151" s="94"/>
      <c r="N1151" s="94"/>
      <c r="O1151" s="93"/>
      <c r="P1151" s="120" t="b">
        <v>0</v>
      </c>
      <c r="Q1151" s="120" t="b">
        <v>0</v>
      </c>
      <c r="R1151" s="120" t="b">
        <v>0</v>
      </c>
      <c r="S1151" s="95"/>
      <c r="U1151" s="120" t="b">
        <v>0</v>
      </c>
      <c r="V1151" s="93"/>
      <c r="W1151" s="93"/>
      <c r="X1151" s="93"/>
      <c r="Y1151" s="93"/>
      <c r="AA1151" s="95"/>
      <c r="AB1151" s="121"/>
      <c r="AC1151" s="29" t="str">
        <f t="shared" si="5"/>
        <v>Sim</v>
      </c>
      <c r="AD1151" s="37" t="str">
        <f t="shared" si="1"/>
        <v>Não</v>
      </c>
      <c r="AE1151" s="94"/>
      <c r="AF1151" s="94"/>
      <c r="AG1151" s="95"/>
    </row>
    <row r="1152" hidden="1">
      <c r="A1152" s="115"/>
      <c r="B1152" s="93"/>
      <c r="E1152" s="116"/>
      <c r="F1152" s="95"/>
      <c r="G1152" s="95"/>
      <c r="H1152" s="94"/>
      <c r="I1152" s="94"/>
      <c r="J1152" s="117"/>
      <c r="K1152" s="118"/>
      <c r="L1152" s="119"/>
      <c r="M1152" s="94"/>
      <c r="N1152" s="94"/>
      <c r="O1152" s="93"/>
      <c r="P1152" s="120" t="b">
        <v>0</v>
      </c>
      <c r="Q1152" s="120" t="b">
        <v>0</v>
      </c>
      <c r="R1152" s="120" t="b">
        <v>0</v>
      </c>
      <c r="S1152" s="95"/>
      <c r="U1152" s="120" t="b">
        <v>0</v>
      </c>
      <c r="V1152" s="93"/>
      <c r="W1152" s="93"/>
      <c r="X1152" s="93"/>
      <c r="Y1152" s="93"/>
      <c r="AA1152" s="95"/>
      <c r="AB1152" s="121"/>
      <c r="AC1152" s="29" t="str">
        <f t="shared" si="5"/>
        <v>Sim</v>
      </c>
      <c r="AD1152" s="37" t="str">
        <f t="shared" si="1"/>
        <v>Não</v>
      </c>
      <c r="AE1152" s="94"/>
      <c r="AF1152" s="94"/>
      <c r="AG1152" s="95"/>
    </row>
    <row r="1153" hidden="1">
      <c r="A1153" s="115"/>
      <c r="B1153" s="93"/>
      <c r="E1153" s="116"/>
      <c r="F1153" s="95"/>
      <c r="G1153" s="95"/>
      <c r="H1153" s="94"/>
      <c r="I1153" s="94"/>
      <c r="J1153" s="117"/>
      <c r="K1153" s="118"/>
      <c r="L1153" s="119"/>
      <c r="M1153" s="94"/>
      <c r="N1153" s="94"/>
      <c r="O1153" s="93"/>
      <c r="P1153" s="120" t="b">
        <v>0</v>
      </c>
      <c r="Q1153" s="120" t="b">
        <v>0</v>
      </c>
      <c r="R1153" s="120" t="b">
        <v>0</v>
      </c>
      <c r="S1153" s="95"/>
      <c r="U1153" s="120" t="b">
        <v>0</v>
      </c>
      <c r="V1153" s="93"/>
      <c r="W1153" s="93"/>
      <c r="X1153" s="93"/>
      <c r="Y1153" s="93"/>
      <c r="AA1153" s="95"/>
      <c r="AB1153" s="121"/>
      <c r="AC1153" s="29" t="str">
        <f t="shared" si="5"/>
        <v>Sim</v>
      </c>
      <c r="AD1153" s="37" t="str">
        <f t="shared" si="1"/>
        <v>Não</v>
      </c>
      <c r="AE1153" s="94"/>
      <c r="AF1153" s="94"/>
      <c r="AG1153" s="95"/>
    </row>
    <row r="1154" hidden="1">
      <c r="A1154" s="115"/>
      <c r="B1154" s="93"/>
      <c r="E1154" s="116"/>
      <c r="F1154" s="95"/>
      <c r="G1154" s="95"/>
      <c r="H1154" s="94"/>
      <c r="I1154" s="94"/>
      <c r="J1154" s="117"/>
      <c r="K1154" s="118"/>
      <c r="L1154" s="119"/>
      <c r="M1154" s="94"/>
      <c r="N1154" s="94"/>
      <c r="O1154" s="93"/>
      <c r="P1154" s="120" t="b">
        <v>0</v>
      </c>
      <c r="Q1154" s="120" t="b">
        <v>0</v>
      </c>
      <c r="R1154" s="120" t="b">
        <v>0</v>
      </c>
      <c r="S1154" s="95"/>
      <c r="U1154" s="120" t="b">
        <v>0</v>
      </c>
      <c r="V1154" s="93"/>
      <c r="W1154" s="93"/>
      <c r="X1154" s="93"/>
      <c r="Y1154" s="93"/>
      <c r="AA1154" s="95"/>
      <c r="AB1154" s="121"/>
      <c r="AC1154" s="29" t="str">
        <f t="shared" si="5"/>
        <v>Sim</v>
      </c>
      <c r="AD1154" s="37" t="str">
        <f t="shared" si="1"/>
        <v>Não</v>
      </c>
      <c r="AE1154" s="94"/>
      <c r="AF1154" s="94"/>
      <c r="AG1154" s="95"/>
    </row>
    <row r="1155" hidden="1">
      <c r="A1155" s="115"/>
      <c r="B1155" s="93"/>
      <c r="E1155" s="116"/>
      <c r="F1155" s="95"/>
      <c r="G1155" s="95"/>
      <c r="H1155" s="94"/>
      <c r="I1155" s="94"/>
      <c r="J1155" s="117"/>
      <c r="K1155" s="118"/>
      <c r="L1155" s="119"/>
      <c r="M1155" s="94"/>
      <c r="N1155" s="94"/>
      <c r="O1155" s="93"/>
      <c r="P1155" s="120" t="b">
        <v>0</v>
      </c>
      <c r="Q1155" s="120" t="b">
        <v>0</v>
      </c>
      <c r="R1155" s="120" t="b">
        <v>0</v>
      </c>
      <c r="S1155" s="95"/>
      <c r="U1155" s="120" t="b">
        <v>0</v>
      </c>
      <c r="V1155" s="93"/>
      <c r="W1155" s="93"/>
      <c r="X1155" s="93"/>
      <c r="Y1155" s="93"/>
      <c r="AA1155" s="95"/>
      <c r="AB1155" s="121"/>
      <c r="AC1155" s="29" t="str">
        <f t="shared" si="5"/>
        <v>Sim</v>
      </c>
      <c r="AD1155" s="37" t="str">
        <f t="shared" si="1"/>
        <v>Não</v>
      </c>
      <c r="AE1155" s="94"/>
      <c r="AF1155" s="94"/>
      <c r="AG1155" s="95"/>
    </row>
    <row r="1156" hidden="1">
      <c r="A1156" s="115"/>
      <c r="B1156" s="93"/>
      <c r="E1156" s="116"/>
      <c r="F1156" s="95"/>
      <c r="G1156" s="95"/>
      <c r="H1156" s="94"/>
      <c r="I1156" s="94"/>
      <c r="J1156" s="117"/>
      <c r="K1156" s="118"/>
      <c r="L1156" s="119"/>
      <c r="M1156" s="94"/>
      <c r="N1156" s="94"/>
      <c r="O1156" s="93"/>
      <c r="P1156" s="120" t="b">
        <v>0</v>
      </c>
      <c r="Q1156" s="120" t="b">
        <v>0</v>
      </c>
      <c r="R1156" s="120" t="b">
        <v>0</v>
      </c>
      <c r="S1156" s="95"/>
      <c r="U1156" s="120" t="b">
        <v>0</v>
      </c>
      <c r="V1156" s="93"/>
      <c r="W1156" s="93"/>
      <c r="X1156" s="93"/>
      <c r="Y1156" s="93"/>
      <c r="AA1156" s="95"/>
      <c r="AB1156" s="121"/>
      <c r="AC1156" s="29" t="str">
        <f t="shared" si="5"/>
        <v>Sim</v>
      </c>
      <c r="AD1156" s="37" t="str">
        <f t="shared" si="1"/>
        <v>Não</v>
      </c>
      <c r="AE1156" s="94"/>
      <c r="AF1156" s="94"/>
      <c r="AG1156" s="95"/>
    </row>
    <row r="1157" hidden="1">
      <c r="A1157" s="115"/>
      <c r="B1157" s="93"/>
      <c r="E1157" s="116"/>
      <c r="F1157" s="95"/>
      <c r="G1157" s="95"/>
      <c r="H1157" s="94"/>
      <c r="I1157" s="94"/>
      <c r="J1157" s="117"/>
      <c r="K1157" s="118"/>
      <c r="L1157" s="119"/>
      <c r="M1157" s="94"/>
      <c r="N1157" s="94"/>
      <c r="O1157" s="93"/>
      <c r="P1157" s="120" t="b">
        <v>0</v>
      </c>
      <c r="Q1157" s="120" t="b">
        <v>0</v>
      </c>
      <c r="R1157" s="120" t="b">
        <v>0</v>
      </c>
      <c r="S1157" s="95"/>
      <c r="U1157" s="120" t="b">
        <v>0</v>
      </c>
      <c r="V1157" s="93"/>
      <c r="W1157" s="93"/>
      <c r="X1157" s="93"/>
      <c r="Y1157" s="93"/>
      <c r="AA1157" s="95"/>
      <c r="AB1157" s="121"/>
      <c r="AC1157" s="29" t="str">
        <f t="shared" si="5"/>
        <v>Sim</v>
      </c>
      <c r="AD1157" s="37" t="str">
        <f t="shared" si="1"/>
        <v>Não</v>
      </c>
      <c r="AE1157" s="94"/>
      <c r="AF1157" s="94"/>
      <c r="AG1157" s="95"/>
    </row>
    <row r="1158" hidden="1">
      <c r="A1158" s="115"/>
      <c r="B1158" s="93"/>
      <c r="E1158" s="116"/>
      <c r="F1158" s="95"/>
      <c r="G1158" s="95"/>
      <c r="H1158" s="94"/>
      <c r="I1158" s="94"/>
      <c r="J1158" s="117"/>
      <c r="K1158" s="118"/>
      <c r="L1158" s="119"/>
      <c r="M1158" s="94"/>
      <c r="N1158" s="94"/>
      <c r="O1158" s="93"/>
      <c r="P1158" s="120" t="b">
        <v>0</v>
      </c>
      <c r="Q1158" s="120" t="b">
        <v>0</v>
      </c>
      <c r="R1158" s="120" t="b">
        <v>0</v>
      </c>
      <c r="S1158" s="95"/>
      <c r="U1158" s="120" t="b">
        <v>0</v>
      </c>
      <c r="V1158" s="93"/>
      <c r="W1158" s="93"/>
      <c r="X1158" s="93"/>
      <c r="Y1158" s="93"/>
      <c r="AA1158" s="95"/>
      <c r="AB1158" s="121"/>
      <c r="AC1158" s="29" t="str">
        <f t="shared" si="5"/>
        <v>Sim</v>
      </c>
      <c r="AD1158" s="37" t="str">
        <f t="shared" si="1"/>
        <v>Não</v>
      </c>
      <c r="AE1158" s="94"/>
      <c r="AF1158" s="94"/>
      <c r="AG1158" s="95"/>
    </row>
    <row r="1159" hidden="1">
      <c r="A1159" s="115"/>
      <c r="B1159" s="93"/>
      <c r="E1159" s="116"/>
      <c r="F1159" s="95"/>
      <c r="G1159" s="95"/>
      <c r="H1159" s="94"/>
      <c r="I1159" s="94"/>
      <c r="J1159" s="117"/>
      <c r="K1159" s="118"/>
      <c r="L1159" s="119"/>
      <c r="M1159" s="94"/>
      <c r="N1159" s="94"/>
      <c r="O1159" s="93"/>
      <c r="P1159" s="120" t="b">
        <v>0</v>
      </c>
      <c r="Q1159" s="120" t="b">
        <v>0</v>
      </c>
      <c r="R1159" s="120" t="b">
        <v>0</v>
      </c>
      <c r="S1159" s="95"/>
      <c r="U1159" s="120" t="b">
        <v>0</v>
      </c>
      <c r="V1159" s="93"/>
      <c r="W1159" s="93"/>
      <c r="X1159" s="93"/>
      <c r="Y1159" s="93"/>
      <c r="AA1159" s="95"/>
      <c r="AB1159" s="121"/>
      <c r="AC1159" s="29" t="str">
        <f t="shared" si="5"/>
        <v>Sim</v>
      </c>
      <c r="AD1159" s="37" t="str">
        <f t="shared" si="1"/>
        <v>Não</v>
      </c>
      <c r="AE1159" s="94"/>
      <c r="AF1159" s="94"/>
      <c r="AG1159" s="95"/>
    </row>
    <row r="1160" hidden="1">
      <c r="A1160" s="115"/>
      <c r="B1160" s="93"/>
      <c r="E1160" s="116"/>
      <c r="F1160" s="95"/>
      <c r="G1160" s="95"/>
      <c r="H1160" s="94"/>
      <c r="I1160" s="94"/>
      <c r="J1160" s="117"/>
      <c r="K1160" s="118"/>
      <c r="L1160" s="119"/>
      <c r="M1160" s="94"/>
      <c r="N1160" s="94"/>
      <c r="O1160" s="93"/>
      <c r="P1160" s="120" t="b">
        <v>0</v>
      </c>
      <c r="Q1160" s="120" t="b">
        <v>0</v>
      </c>
      <c r="R1160" s="120" t="b">
        <v>0</v>
      </c>
      <c r="S1160" s="95"/>
      <c r="U1160" s="120" t="b">
        <v>0</v>
      </c>
      <c r="V1160" s="93"/>
      <c r="W1160" s="93"/>
      <c r="X1160" s="93"/>
      <c r="Y1160" s="93"/>
      <c r="AA1160" s="95"/>
      <c r="AB1160" s="121"/>
      <c r="AC1160" s="29" t="str">
        <f t="shared" si="5"/>
        <v>Sim</v>
      </c>
      <c r="AD1160" s="37" t="str">
        <f t="shared" si="1"/>
        <v>Não</v>
      </c>
      <c r="AE1160" s="94"/>
      <c r="AF1160" s="94"/>
      <c r="AG1160" s="95"/>
    </row>
    <row r="1161" hidden="1">
      <c r="A1161" s="115"/>
      <c r="B1161" s="93"/>
      <c r="E1161" s="116"/>
      <c r="F1161" s="95"/>
      <c r="G1161" s="95"/>
      <c r="H1161" s="94"/>
      <c r="I1161" s="94"/>
      <c r="J1161" s="117"/>
      <c r="K1161" s="118"/>
      <c r="L1161" s="119"/>
      <c r="M1161" s="94"/>
      <c r="N1161" s="94"/>
      <c r="O1161" s="93"/>
      <c r="P1161" s="120" t="b">
        <v>0</v>
      </c>
      <c r="Q1161" s="120" t="b">
        <v>0</v>
      </c>
      <c r="R1161" s="120" t="b">
        <v>0</v>
      </c>
      <c r="S1161" s="95"/>
      <c r="U1161" s="120" t="b">
        <v>0</v>
      </c>
      <c r="V1161" s="93"/>
      <c r="W1161" s="93"/>
      <c r="X1161" s="93"/>
      <c r="Y1161" s="93"/>
      <c r="AA1161" s="95"/>
      <c r="AB1161" s="121"/>
      <c r="AC1161" s="29" t="str">
        <f t="shared" si="5"/>
        <v>Sim</v>
      </c>
      <c r="AD1161" s="37" t="str">
        <f t="shared" si="1"/>
        <v>Não</v>
      </c>
      <c r="AE1161" s="94"/>
      <c r="AF1161" s="94"/>
      <c r="AG1161" s="95"/>
    </row>
    <row r="1162" hidden="1">
      <c r="A1162" s="115"/>
      <c r="B1162" s="93"/>
      <c r="E1162" s="116"/>
      <c r="F1162" s="95"/>
      <c r="G1162" s="95"/>
      <c r="H1162" s="94"/>
      <c r="I1162" s="94"/>
      <c r="J1162" s="117"/>
      <c r="K1162" s="118"/>
      <c r="L1162" s="119"/>
      <c r="M1162" s="94"/>
      <c r="N1162" s="94"/>
      <c r="O1162" s="93"/>
      <c r="P1162" s="120" t="b">
        <v>0</v>
      </c>
      <c r="Q1162" s="120" t="b">
        <v>0</v>
      </c>
      <c r="R1162" s="120" t="b">
        <v>0</v>
      </c>
      <c r="S1162" s="95"/>
      <c r="U1162" s="120" t="b">
        <v>0</v>
      </c>
      <c r="V1162" s="93"/>
      <c r="W1162" s="93"/>
      <c r="X1162" s="93"/>
      <c r="Y1162" s="93"/>
      <c r="AA1162" s="95"/>
      <c r="AB1162" s="121"/>
      <c r="AC1162" s="29" t="str">
        <f t="shared" si="5"/>
        <v>Sim</v>
      </c>
      <c r="AD1162" s="37" t="str">
        <f t="shared" si="1"/>
        <v>Não</v>
      </c>
      <c r="AE1162" s="94"/>
      <c r="AF1162" s="94"/>
      <c r="AG1162" s="95"/>
    </row>
    <row r="1163" hidden="1">
      <c r="A1163" s="115"/>
      <c r="B1163" s="93"/>
      <c r="E1163" s="116"/>
      <c r="F1163" s="95"/>
      <c r="G1163" s="95"/>
      <c r="H1163" s="94"/>
      <c r="I1163" s="94"/>
      <c r="J1163" s="117"/>
      <c r="K1163" s="118"/>
      <c r="L1163" s="119"/>
      <c r="M1163" s="94"/>
      <c r="N1163" s="94"/>
      <c r="O1163" s="93"/>
      <c r="P1163" s="120" t="b">
        <v>0</v>
      </c>
      <c r="Q1163" s="120" t="b">
        <v>0</v>
      </c>
      <c r="R1163" s="120" t="b">
        <v>0</v>
      </c>
      <c r="S1163" s="95"/>
      <c r="U1163" s="120" t="b">
        <v>0</v>
      </c>
      <c r="V1163" s="93"/>
      <c r="W1163" s="93"/>
      <c r="X1163" s="93"/>
      <c r="Y1163" s="93"/>
      <c r="AA1163" s="95"/>
      <c r="AB1163" s="121"/>
      <c r="AC1163" s="29" t="str">
        <f t="shared" si="5"/>
        <v>Sim</v>
      </c>
      <c r="AD1163" s="37" t="str">
        <f t="shared" si="1"/>
        <v>Não</v>
      </c>
      <c r="AE1163" s="94"/>
      <c r="AF1163" s="94"/>
      <c r="AG1163" s="95"/>
    </row>
    <row r="1164" hidden="1">
      <c r="A1164" s="115"/>
      <c r="B1164" s="93"/>
      <c r="E1164" s="116"/>
      <c r="F1164" s="95"/>
      <c r="G1164" s="95"/>
      <c r="H1164" s="94"/>
      <c r="I1164" s="94"/>
      <c r="J1164" s="117"/>
      <c r="K1164" s="118"/>
      <c r="L1164" s="119"/>
      <c r="M1164" s="94"/>
      <c r="N1164" s="94"/>
      <c r="O1164" s="93"/>
      <c r="P1164" s="120" t="b">
        <v>0</v>
      </c>
      <c r="Q1164" s="120" t="b">
        <v>0</v>
      </c>
      <c r="R1164" s="120" t="b">
        <v>0</v>
      </c>
      <c r="S1164" s="95"/>
      <c r="U1164" s="120" t="b">
        <v>0</v>
      </c>
      <c r="V1164" s="93"/>
      <c r="W1164" s="93"/>
      <c r="X1164" s="93"/>
      <c r="Y1164" s="93"/>
      <c r="AA1164" s="95"/>
      <c r="AB1164" s="121"/>
      <c r="AC1164" s="29" t="str">
        <f t="shared" si="5"/>
        <v>Sim</v>
      </c>
      <c r="AD1164" s="37" t="str">
        <f t="shared" si="1"/>
        <v>Não</v>
      </c>
      <c r="AE1164" s="94"/>
      <c r="AF1164" s="94"/>
      <c r="AG1164" s="95"/>
    </row>
    <row r="1165" hidden="1">
      <c r="A1165" s="115"/>
      <c r="B1165" s="93"/>
      <c r="E1165" s="116"/>
      <c r="F1165" s="95"/>
      <c r="G1165" s="95"/>
      <c r="H1165" s="94"/>
      <c r="I1165" s="94"/>
      <c r="J1165" s="117"/>
      <c r="K1165" s="118"/>
      <c r="L1165" s="119"/>
      <c r="M1165" s="94"/>
      <c r="N1165" s="94"/>
      <c r="O1165" s="93"/>
      <c r="P1165" s="120" t="b">
        <v>0</v>
      </c>
      <c r="Q1165" s="120" t="b">
        <v>0</v>
      </c>
      <c r="R1165" s="120" t="b">
        <v>0</v>
      </c>
      <c r="S1165" s="95"/>
      <c r="U1165" s="120" t="b">
        <v>0</v>
      </c>
      <c r="V1165" s="93"/>
      <c r="W1165" s="93"/>
      <c r="X1165" s="93"/>
      <c r="Y1165" s="93"/>
      <c r="AA1165" s="95"/>
      <c r="AB1165" s="121"/>
      <c r="AC1165" s="29" t="str">
        <f t="shared" si="5"/>
        <v>Sim</v>
      </c>
      <c r="AD1165" s="37" t="str">
        <f t="shared" si="1"/>
        <v>Não</v>
      </c>
      <c r="AE1165" s="94"/>
      <c r="AF1165" s="94"/>
      <c r="AG1165" s="95"/>
    </row>
    <row r="1166" hidden="1">
      <c r="A1166" s="115"/>
      <c r="B1166" s="93"/>
      <c r="E1166" s="116"/>
      <c r="F1166" s="95"/>
      <c r="G1166" s="95"/>
      <c r="H1166" s="94"/>
      <c r="I1166" s="94"/>
      <c r="J1166" s="117"/>
      <c r="K1166" s="118"/>
      <c r="L1166" s="119"/>
      <c r="M1166" s="94"/>
      <c r="N1166" s="94"/>
      <c r="O1166" s="93"/>
      <c r="P1166" s="120" t="b">
        <v>0</v>
      </c>
      <c r="Q1166" s="120" t="b">
        <v>0</v>
      </c>
      <c r="R1166" s="120" t="b">
        <v>0</v>
      </c>
      <c r="S1166" s="95"/>
      <c r="U1166" s="120" t="b">
        <v>0</v>
      </c>
      <c r="V1166" s="93"/>
      <c r="W1166" s="93"/>
      <c r="X1166" s="93"/>
      <c r="Y1166" s="93"/>
      <c r="AA1166" s="95"/>
      <c r="AB1166" s="121"/>
      <c r="AC1166" s="29" t="str">
        <f t="shared" si="5"/>
        <v>Sim</v>
      </c>
      <c r="AD1166" s="37" t="str">
        <f t="shared" si="1"/>
        <v>Não</v>
      </c>
      <c r="AE1166" s="94"/>
      <c r="AF1166" s="94"/>
      <c r="AG1166" s="95"/>
    </row>
    <row r="1167" hidden="1">
      <c r="A1167" s="115"/>
      <c r="B1167" s="93"/>
      <c r="E1167" s="116"/>
      <c r="F1167" s="95"/>
      <c r="G1167" s="95"/>
      <c r="H1167" s="94"/>
      <c r="I1167" s="94"/>
      <c r="J1167" s="117"/>
      <c r="K1167" s="118"/>
      <c r="L1167" s="119"/>
      <c r="M1167" s="94"/>
      <c r="N1167" s="94"/>
      <c r="O1167" s="93"/>
      <c r="P1167" s="120" t="b">
        <v>0</v>
      </c>
      <c r="Q1167" s="120" t="b">
        <v>0</v>
      </c>
      <c r="R1167" s="120" t="b">
        <v>0</v>
      </c>
      <c r="S1167" s="95"/>
      <c r="U1167" s="120" t="b">
        <v>0</v>
      </c>
      <c r="V1167" s="93"/>
      <c r="W1167" s="93"/>
      <c r="X1167" s="93"/>
      <c r="Y1167" s="93"/>
      <c r="AA1167" s="95"/>
      <c r="AB1167" s="121"/>
      <c r="AC1167" s="29" t="str">
        <f t="shared" si="5"/>
        <v>Sim</v>
      </c>
      <c r="AD1167" s="37" t="str">
        <f t="shared" si="1"/>
        <v>Não</v>
      </c>
      <c r="AE1167" s="94"/>
      <c r="AF1167" s="94"/>
      <c r="AG1167" s="95"/>
    </row>
    <row r="1168" hidden="1">
      <c r="A1168" s="115"/>
      <c r="B1168" s="93"/>
      <c r="E1168" s="116"/>
      <c r="F1168" s="95"/>
      <c r="G1168" s="95"/>
      <c r="H1168" s="94"/>
      <c r="I1168" s="94"/>
      <c r="J1168" s="117"/>
      <c r="K1168" s="118"/>
      <c r="L1168" s="119"/>
      <c r="M1168" s="94"/>
      <c r="N1168" s="94"/>
      <c r="O1168" s="93"/>
      <c r="P1168" s="120" t="b">
        <v>0</v>
      </c>
      <c r="Q1168" s="120" t="b">
        <v>0</v>
      </c>
      <c r="R1168" s="120" t="b">
        <v>0</v>
      </c>
      <c r="S1168" s="95"/>
      <c r="U1168" s="120" t="b">
        <v>0</v>
      </c>
      <c r="V1168" s="93"/>
      <c r="W1168" s="93"/>
      <c r="X1168" s="93"/>
      <c r="Y1168" s="93"/>
      <c r="AA1168" s="95"/>
      <c r="AB1168" s="121"/>
      <c r="AC1168" s="29" t="str">
        <f t="shared" si="5"/>
        <v>Sim</v>
      </c>
      <c r="AD1168" s="37" t="str">
        <f t="shared" si="1"/>
        <v>Não</v>
      </c>
      <c r="AE1168" s="94"/>
      <c r="AF1168" s="94"/>
      <c r="AG1168" s="95"/>
    </row>
    <row r="1169" hidden="1">
      <c r="A1169" s="115"/>
      <c r="B1169" s="93"/>
      <c r="E1169" s="116"/>
      <c r="F1169" s="95"/>
      <c r="G1169" s="95"/>
      <c r="H1169" s="94"/>
      <c r="I1169" s="94"/>
      <c r="J1169" s="117"/>
      <c r="K1169" s="118"/>
      <c r="L1169" s="119"/>
      <c r="M1169" s="94"/>
      <c r="N1169" s="94"/>
      <c r="O1169" s="93"/>
      <c r="P1169" s="120" t="b">
        <v>0</v>
      </c>
      <c r="Q1169" s="120" t="b">
        <v>0</v>
      </c>
      <c r="R1169" s="120" t="b">
        <v>0</v>
      </c>
      <c r="S1169" s="95"/>
      <c r="U1169" s="120" t="b">
        <v>0</v>
      </c>
      <c r="V1169" s="93"/>
      <c r="W1169" s="93"/>
      <c r="X1169" s="93"/>
      <c r="Y1169" s="93"/>
      <c r="AA1169" s="95"/>
      <c r="AB1169" s="121"/>
      <c r="AC1169" s="29" t="str">
        <f t="shared" si="5"/>
        <v>Sim</v>
      </c>
      <c r="AD1169" s="37" t="str">
        <f t="shared" si="1"/>
        <v>Não</v>
      </c>
      <c r="AE1169" s="94"/>
      <c r="AF1169" s="94"/>
      <c r="AG1169" s="95"/>
    </row>
    <row r="1170" hidden="1">
      <c r="A1170" s="115"/>
      <c r="B1170" s="93"/>
      <c r="E1170" s="116"/>
      <c r="F1170" s="95"/>
      <c r="G1170" s="95"/>
      <c r="H1170" s="94"/>
      <c r="I1170" s="94"/>
      <c r="J1170" s="117"/>
      <c r="K1170" s="118"/>
      <c r="L1170" s="119"/>
      <c r="M1170" s="94"/>
      <c r="N1170" s="94"/>
      <c r="O1170" s="93"/>
      <c r="P1170" s="120" t="b">
        <v>0</v>
      </c>
      <c r="Q1170" s="120" t="b">
        <v>0</v>
      </c>
      <c r="R1170" s="120" t="b">
        <v>0</v>
      </c>
      <c r="S1170" s="95"/>
      <c r="U1170" s="120" t="b">
        <v>0</v>
      </c>
      <c r="V1170" s="93"/>
      <c r="W1170" s="93"/>
      <c r="X1170" s="93"/>
      <c r="Y1170" s="93"/>
      <c r="AA1170" s="95"/>
      <c r="AB1170" s="121"/>
      <c r="AC1170" s="29" t="str">
        <f t="shared" si="5"/>
        <v>Sim</v>
      </c>
      <c r="AD1170" s="37" t="str">
        <f t="shared" si="1"/>
        <v>Não</v>
      </c>
      <c r="AE1170" s="94"/>
      <c r="AF1170" s="94"/>
      <c r="AG1170" s="95"/>
    </row>
    <row r="1171" hidden="1">
      <c r="A1171" s="115"/>
      <c r="B1171" s="93"/>
      <c r="E1171" s="116"/>
      <c r="F1171" s="95"/>
      <c r="G1171" s="95"/>
      <c r="H1171" s="94"/>
      <c r="I1171" s="94"/>
      <c r="J1171" s="117"/>
      <c r="K1171" s="118"/>
      <c r="L1171" s="119"/>
      <c r="M1171" s="94"/>
      <c r="N1171" s="94"/>
      <c r="O1171" s="93"/>
      <c r="P1171" s="120" t="b">
        <v>0</v>
      </c>
      <c r="Q1171" s="120" t="b">
        <v>0</v>
      </c>
      <c r="R1171" s="120" t="b">
        <v>0</v>
      </c>
      <c r="S1171" s="95"/>
      <c r="U1171" s="120" t="b">
        <v>0</v>
      </c>
      <c r="V1171" s="93"/>
      <c r="W1171" s="93"/>
      <c r="X1171" s="93"/>
      <c r="Y1171" s="93"/>
      <c r="AA1171" s="95"/>
      <c r="AB1171" s="121"/>
      <c r="AC1171" s="29" t="str">
        <f t="shared" si="5"/>
        <v>Sim</v>
      </c>
      <c r="AD1171" s="37" t="str">
        <f t="shared" si="1"/>
        <v>Não</v>
      </c>
      <c r="AE1171" s="94"/>
      <c r="AF1171" s="94"/>
      <c r="AG1171" s="95"/>
    </row>
    <row r="1172" hidden="1">
      <c r="A1172" s="115"/>
      <c r="B1172" s="93"/>
      <c r="E1172" s="116"/>
      <c r="F1172" s="95"/>
      <c r="G1172" s="95"/>
      <c r="H1172" s="94"/>
      <c r="I1172" s="94"/>
      <c r="J1172" s="117"/>
      <c r="K1172" s="118"/>
      <c r="L1172" s="119"/>
      <c r="M1172" s="94"/>
      <c r="N1172" s="94"/>
      <c r="O1172" s="93"/>
      <c r="P1172" s="120" t="b">
        <v>0</v>
      </c>
      <c r="Q1172" s="120" t="b">
        <v>0</v>
      </c>
      <c r="R1172" s="120" t="b">
        <v>0</v>
      </c>
      <c r="S1172" s="95"/>
      <c r="U1172" s="120" t="b">
        <v>0</v>
      </c>
      <c r="V1172" s="93"/>
      <c r="W1172" s="93"/>
      <c r="X1172" s="93"/>
      <c r="Y1172" s="93"/>
      <c r="AA1172" s="95"/>
      <c r="AB1172" s="121"/>
      <c r="AC1172" s="29" t="str">
        <f t="shared" si="5"/>
        <v>Sim</v>
      </c>
      <c r="AD1172" s="37" t="str">
        <f t="shared" si="1"/>
        <v>Não</v>
      </c>
      <c r="AE1172" s="94"/>
      <c r="AF1172" s="94"/>
      <c r="AG1172" s="95"/>
    </row>
    <row r="1173" hidden="1">
      <c r="A1173" s="115"/>
      <c r="B1173" s="93"/>
      <c r="E1173" s="116"/>
      <c r="F1173" s="95"/>
      <c r="G1173" s="95"/>
      <c r="H1173" s="94"/>
      <c r="I1173" s="94"/>
      <c r="J1173" s="117"/>
      <c r="K1173" s="118"/>
      <c r="L1173" s="119"/>
      <c r="M1173" s="94"/>
      <c r="N1173" s="94"/>
      <c r="O1173" s="93"/>
      <c r="P1173" s="120" t="b">
        <v>0</v>
      </c>
      <c r="Q1173" s="120" t="b">
        <v>0</v>
      </c>
      <c r="R1173" s="120" t="b">
        <v>0</v>
      </c>
      <c r="S1173" s="95"/>
      <c r="U1173" s="120" t="b">
        <v>0</v>
      </c>
      <c r="V1173" s="93"/>
      <c r="W1173" s="93"/>
      <c r="X1173" s="93"/>
      <c r="Y1173" s="93"/>
      <c r="AA1173" s="95"/>
      <c r="AB1173" s="121"/>
      <c r="AC1173" s="29" t="str">
        <f t="shared" si="5"/>
        <v>Sim</v>
      </c>
      <c r="AD1173" s="37" t="str">
        <f t="shared" si="1"/>
        <v>Não</v>
      </c>
      <c r="AE1173" s="94"/>
      <c r="AF1173" s="94"/>
      <c r="AG1173" s="95"/>
    </row>
    <row r="1174" hidden="1">
      <c r="A1174" s="115"/>
      <c r="B1174" s="93"/>
      <c r="E1174" s="116"/>
      <c r="F1174" s="95"/>
      <c r="G1174" s="95"/>
      <c r="H1174" s="94"/>
      <c r="I1174" s="94"/>
      <c r="J1174" s="117"/>
      <c r="K1174" s="118"/>
      <c r="L1174" s="119"/>
      <c r="M1174" s="94"/>
      <c r="N1174" s="94"/>
      <c r="O1174" s="93"/>
      <c r="P1174" s="120" t="b">
        <v>0</v>
      </c>
      <c r="Q1174" s="120" t="b">
        <v>0</v>
      </c>
      <c r="R1174" s="120" t="b">
        <v>0</v>
      </c>
      <c r="S1174" s="95"/>
      <c r="U1174" s="120" t="b">
        <v>0</v>
      </c>
      <c r="V1174" s="93"/>
      <c r="W1174" s="93"/>
      <c r="X1174" s="93"/>
      <c r="Y1174" s="93"/>
      <c r="AA1174" s="95"/>
      <c r="AB1174" s="121"/>
      <c r="AC1174" s="29" t="str">
        <f t="shared" si="5"/>
        <v>Sim</v>
      </c>
      <c r="AD1174" s="37" t="str">
        <f t="shared" si="1"/>
        <v>Não</v>
      </c>
      <c r="AE1174" s="94"/>
      <c r="AF1174" s="94"/>
      <c r="AG1174" s="95"/>
    </row>
    <row r="1175" hidden="1">
      <c r="A1175" s="115"/>
      <c r="B1175" s="93"/>
      <c r="E1175" s="116"/>
      <c r="F1175" s="95"/>
      <c r="G1175" s="95"/>
      <c r="H1175" s="94"/>
      <c r="I1175" s="94"/>
      <c r="J1175" s="117"/>
      <c r="K1175" s="118"/>
      <c r="L1175" s="119"/>
      <c r="M1175" s="94"/>
      <c r="N1175" s="94"/>
      <c r="O1175" s="93"/>
      <c r="P1175" s="120" t="b">
        <v>0</v>
      </c>
      <c r="Q1175" s="120" t="b">
        <v>0</v>
      </c>
      <c r="R1175" s="120" t="b">
        <v>0</v>
      </c>
      <c r="S1175" s="95"/>
      <c r="U1175" s="120" t="b">
        <v>0</v>
      </c>
      <c r="V1175" s="93"/>
      <c r="W1175" s="93"/>
      <c r="X1175" s="93"/>
      <c r="Y1175" s="93"/>
      <c r="AA1175" s="95"/>
      <c r="AB1175" s="121"/>
      <c r="AC1175" s="29" t="str">
        <f t="shared" si="5"/>
        <v>Sim</v>
      </c>
      <c r="AD1175" s="37" t="str">
        <f t="shared" si="1"/>
        <v>Não</v>
      </c>
      <c r="AE1175" s="94"/>
      <c r="AF1175" s="94"/>
      <c r="AG1175" s="95"/>
    </row>
    <row r="1176" hidden="1">
      <c r="A1176" s="115"/>
      <c r="B1176" s="93"/>
      <c r="E1176" s="116"/>
      <c r="F1176" s="95"/>
      <c r="G1176" s="95"/>
      <c r="H1176" s="94"/>
      <c r="I1176" s="94"/>
      <c r="J1176" s="117"/>
      <c r="K1176" s="118"/>
      <c r="L1176" s="119"/>
      <c r="M1176" s="94"/>
      <c r="N1176" s="94"/>
      <c r="O1176" s="93"/>
      <c r="P1176" s="120" t="b">
        <v>0</v>
      </c>
      <c r="Q1176" s="120" t="b">
        <v>0</v>
      </c>
      <c r="R1176" s="120" t="b">
        <v>0</v>
      </c>
      <c r="S1176" s="95"/>
      <c r="U1176" s="120" t="b">
        <v>0</v>
      </c>
      <c r="V1176" s="93"/>
      <c r="W1176" s="93"/>
      <c r="X1176" s="93"/>
      <c r="Y1176" s="93"/>
      <c r="AA1176" s="95"/>
      <c r="AB1176" s="121"/>
      <c r="AC1176" s="29" t="str">
        <f t="shared" si="5"/>
        <v>Sim</v>
      </c>
      <c r="AD1176" s="37" t="str">
        <f t="shared" si="1"/>
        <v>Não</v>
      </c>
      <c r="AE1176" s="94"/>
      <c r="AF1176" s="94"/>
      <c r="AG1176" s="95"/>
    </row>
    <row r="1177" hidden="1">
      <c r="A1177" s="115"/>
      <c r="B1177" s="93"/>
      <c r="E1177" s="116"/>
      <c r="F1177" s="95"/>
      <c r="G1177" s="95"/>
      <c r="H1177" s="94"/>
      <c r="I1177" s="94"/>
      <c r="J1177" s="117"/>
      <c r="K1177" s="118"/>
      <c r="L1177" s="119"/>
      <c r="M1177" s="94"/>
      <c r="N1177" s="94"/>
      <c r="O1177" s="93"/>
      <c r="P1177" s="120" t="b">
        <v>0</v>
      </c>
      <c r="Q1177" s="120" t="b">
        <v>0</v>
      </c>
      <c r="R1177" s="120" t="b">
        <v>0</v>
      </c>
      <c r="S1177" s="95"/>
      <c r="U1177" s="120" t="b">
        <v>0</v>
      </c>
      <c r="V1177" s="93"/>
      <c r="W1177" s="93"/>
      <c r="X1177" s="93"/>
      <c r="Y1177" s="93"/>
      <c r="AA1177" s="95"/>
      <c r="AB1177" s="121"/>
      <c r="AC1177" s="29" t="str">
        <f t="shared" si="5"/>
        <v>Sim</v>
      </c>
      <c r="AD1177" s="37" t="str">
        <f t="shared" si="1"/>
        <v>Não</v>
      </c>
      <c r="AE1177" s="94"/>
      <c r="AF1177" s="94"/>
      <c r="AG1177" s="95"/>
    </row>
    <row r="1178" hidden="1">
      <c r="A1178" s="115"/>
      <c r="B1178" s="93"/>
      <c r="E1178" s="116"/>
      <c r="F1178" s="95"/>
      <c r="G1178" s="95"/>
      <c r="H1178" s="94"/>
      <c r="I1178" s="94"/>
      <c r="J1178" s="117"/>
      <c r="K1178" s="118"/>
      <c r="L1178" s="119"/>
      <c r="M1178" s="94"/>
      <c r="N1178" s="94"/>
      <c r="O1178" s="93"/>
      <c r="P1178" s="120" t="b">
        <v>0</v>
      </c>
      <c r="Q1178" s="120" t="b">
        <v>0</v>
      </c>
      <c r="R1178" s="120" t="b">
        <v>0</v>
      </c>
      <c r="S1178" s="95"/>
      <c r="U1178" s="120" t="b">
        <v>0</v>
      </c>
      <c r="V1178" s="93"/>
      <c r="W1178" s="93"/>
      <c r="X1178" s="93"/>
      <c r="Y1178" s="93"/>
      <c r="AA1178" s="95"/>
      <c r="AB1178" s="121"/>
      <c r="AC1178" s="29" t="str">
        <f t="shared" si="5"/>
        <v>Sim</v>
      </c>
      <c r="AD1178" s="37" t="str">
        <f t="shared" si="1"/>
        <v>Não</v>
      </c>
      <c r="AE1178" s="94"/>
      <c r="AF1178" s="94"/>
      <c r="AG1178" s="95"/>
    </row>
    <row r="1179" hidden="1">
      <c r="A1179" s="115"/>
      <c r="B1179" s="93"/>
      <c r="E1179" s="116"/>
      <c r="F1179" s="95"/>
      <c r="G1179" s="95"/>
      <c r="H1179" s="94"/>
      <c r="I1179" s="94"/>
      <c r="J1179" s="117"/>
      <c r="K1179" s="118"/>
      <c r="L1179" s="119"/>
      <c r="M1179" s="94"/>
      <c r="N1179" s="94"/>
      <c r="O1179" s="93"/>
      <c r="P1179" s="120" t="b">
        <v>0</v>
      </c>
      <c r="Q1179" s="120" t="b">
        <v>0</v>
      </c>
      <c r="R1179" s="120" t="b">
        <v>0</v>
      </c>
      <c r="S1179" s="95"/>
      <c r="U1179" s="120" t="b">
        <v>0</v>
      </c>
      <c r="V1179" s="93"/>
      <c r="W1179" s="93"/>
      <c r="X1179" s="93"/>
      <c r="Y1179" s="93"/>
      <c r="AA1179" s="95"/>
      <c r="AB1179" s="121"/>
      <c r="AC1179" s="29" t="str">
        <f t="shared" si="5"/>
        <v>Sim</v>
      </c>
      <c r="AD1179" s="37" t="str">
        <f t="shared" si="1"/>
        <v>Não</v>
      </c>
      <c r="AE1179" s="94"/>
      <c r="AF1179" s="94"/>
      <c r="AG1179" s="95"/>
    </row>
    <row r="1180" hidden="1">
      <c r="A1180" s="115"/>
      <c r="B1180" s="93"/>
      <c r="E1180" s="116"/>
      <c r="F1180" s="95"/>
      <c r="G1180" s="95"/>
      <c r="H1180" s="94"/>
      <c r="I1180" s="94"/>
      <c r="J1180" s="117"/>
      <c r="K1180" s="118"/>
      <c r="L1180" s="119"/>
      <c r="M1180" s="94"/>
      <c r="N1180" s="94"/>
      <c r="O1180" s="93"/>
      <c r="P1180" s="120" t="b">
        <v>0</v>
      </c>
      <c r="Q1180" s="120" t="b">
        <v>0</v>
      </c>
      <c r="R1180" s="120" t="b">
        <v>0</v>
      </c>
      <c r="S1180" s="95"/>
      <c r="U1180" s="120" t="b">
        <v>0</v>
      </c>
      <c r="V1180" s="93"/>
      <c r="W1180" s="93"/>
      <c r="X1180" s="93"/>
      <c r="Y1180" s="93"/>
      <c r="AA1180" s="95"/>
      <c r="AB1180" s="121"/>
      <c r="AC1180" s="29" t="str">
        <f t="shared" si="5"/>
        <v>Sim</v>
      </c>
      <c r="AD1180" s="37" t="str">
        <f t="shared" si="1"/>
        <v>Não</v>
      </c>
      <c r="AE1180" s="94"/>
      <c r="AF1180" s="94"/>
      <c r="AG1180" s="95"/>
    </row>
    <row r="1181" hidden="1">
      <c r="A1181" s="115"/>
      <c r="B1181" s="93"/>
      <c r="E1181" s="116"/>
      <c r="F1181" s="95"/>
      <c r="G1181" s="95"/>
      <c r="H1181" s="94"/>
      <c r="I1181" s="94"/>
      <c r="J1181" s="117"/>
      <c r="K1181" s="118"/>
      <c r="L1181" s="119"/>
      <c r="M1181" s="94"/>
      <c r="N1181" s="94"/>
      <c r="O1181" s="93"/>
      <c r="P1181" s="120" t="b">
        <v>0</v>
      </c>
      <c r="Q1181" s="120" t="b">
        <v>0</v>
      </c>
      <c r="R1181" s="120" t="b">
        <v>0</v>
      </c>
      <c r="S1181" s="95"/>
      <c r="U1181" s="120" t="b">
        <v>0</v>
      </c>
      <c r="V1181" s="93"/>
      <c r="W1181" s="93"/>
      <c r="X1181" s="93"/>
      <c r="Y1181" s="93"/>
      <c r="AA1181" s="95"/>
      <c r="AB1181" s="121"/>
      <c r="AC1181" s="29" t="str">
        <f t="shared" si="5"/>
        <v>Sim</v>
      </c>
      <c r="AD1181" s="37" t="str">
        <f t="shared" si="1"/>
        <v>Não</v>
      </c>
      <c r="AE1181" s="94"/>
      <c r="AF1181" s="94"/>
      <c r="AG1181" s="95"/>
    </row>
    <row r="1182" hidden="1">
      <c r="A1182" s="115"/>
      <c r="B1182" s="93"/>
      <c r="E1182" s="116"/>
      <c r="F1182" s="95"/>
      <c r="G1182" s="95"/>
      <c r="H1182" s="94"/>
      <c r="I1182" s="94"/>
      <c r="J1182" s="117"/>
      <c r="K1182" s="118"/>
      <c r="L1182" s="119"/>
      <c r="M1182" s="94"/>
      <c r="N1182" s="94"/>
      <c r="O1182" s="93"/>
      <c r="P1182" s="120" t="b">
        <v>0</v>
      </c>
      <c r="Q1182" s="120" t="b">
        <v>0</v>
      </c>
      <c r="R1182" s="120" t="b">
        <v>0</v>
      </c>
      <c r="S1182" s="95"/>
      <c r="U1182" s="120" t="b">
        <v>0</v>
      </c>
      <c r="V1182" s="93"/>
      <c r="W1182" s="93"/>
      <c r="X1182" s="93"/>
      <c r="Y1182" s="93"/>
      <c r="AA1182" s="95"/>
      <c r="AB1182" s="121"/>
      <c r="AC1182" s="29" t="str">
        <f t="shared" si="5"/>
        <v>Sim</v>
      </c>
      <c r="AD1182" s="37" t="str">
        <f t="shared" si="1"/>
        <v>Não</v>
      </c>
      <c r="AE1182" s="94"/>
      <c r="AF1182" s="94"/>
      <c r="AG1182" s="95"/>
    </row>
    <row r="1183" hidden="1">
      <c r="A1183" s="115"/>
      <c r="B1183" s="93"/>
      <c r="E1183" s="116"/>
      <c r="F1183" s="95"/>
      <c r="G1183" s="95"/>
      <c r="H1183" s="94"/>
      <c r="I1183" s="94"/>
      <c r="J1183" s="117"/>
      <c r="K1183" s="118"/>
      <c r="L1183" s="119"/>
      <c r="M1183" s="94"/>
      <c r="N1183" s="94"/>
      <c r="O1183" s="93"/>
      <c r="P1183" s="120" t="b">
        <v>0</v>
      </c>
      <c r="Q1183" s="120" t="b">
        <v>0</v>
      </c>
      <c r="R1183" s="120" t="b">
        <v>0</v>
      </c>
      <c r="S1183" s="95"/>
      <c r="U1183" s="120" t="b">
        <v>0</v>
      </c>
      <c r="V1183" s="93"/>
      <c r="W1183" s="93"/>
      <c r="X1183" s="93"/>
      <c r="Y1183" s="93"/>
      <c r="AA1183" s="95"/>
      <c r="AB1183" s="121"/>
      <c r="AC1183" s="29" t="str">
        <f t="shared" si="5"/>
        <v>Sim</v>
      </c>
      <c r="AD1183" s="37" t="str">
        <f t="shared" si="1"/>
        <v>Não</v>
      </c>
      <c r="AE1183" s="94"/>
      <c r="AF1183" s="94"/>
      <c r="AG1183" s="95"/>
    </row>
    <row r="1184" hidden="1">
      <c r="A1184" s="115"/>
      <c r="B1184" s="93"/>
      <c r="E1184" s="116"/>
      <c r="F1184" s="95"/>
      <c r="G1184" s="95"/>
      <c r="H1184" s="94"/>
      <c r="I1184" s="94"/>
      <c r="J1184" s="117"/>
      <c r="K1184" s="118"/>
      <c r="L1184" s="119"/>
      <c r="M1184" s="94"/>
      <c r="N1184" s="94"/>
      <c r="O1184" s="93"/>
      <c r="P1184" s="120" t="b">
        <v>0</v>
      </c>
      <c r="Q1184" s="120" t="b">
        <v>0</v>
      </c>
      <c r="R1184" s="120" t="b">
        <v>0</v>
      </c>
      <c r="S1184" s="95"/>
      <c r="U1184" s="120" t="b">
        <v>0</v>
      </c>
      <c r="V1184" s="93"/>
      <c r="W1184" s="93"/>
      <c r="X1184" s="93"/>
      <c r="Y1184" s="93"/>
      <c r="AA1184" s="95"/>
      <c r="AB1184" s="121"/>
      <c r="AC1184" s="29" t="str">
        <f t="shared" si="5"/>
        <v>Sim</v>
      </c>
      <c r="AD1184" s="37" t="str">
        <f t="shared" si="1"/>
        <v>Não</v>
      </c>
      <c r="AE1184" s="94"/>
      <c r="AF1184" s="94"/>
      <c r="AG1184" s="95"/>
    </row>
    <row r="1185" hidden="1">
      <c r="A1185" s="115"/>
      <c r="B1185" s="93"/>
      <c r="E1185" s="116"/>
      <c r="F1185" s="95"/>
      <c r="G1185" s="95"/>
      <c r="H1185" s="94"/>
      <c r="I1185" s="94"/>
      <c r="J1185" s="117"/>
      <c r="K1185" s="118"/>
      <c r="L1185" s="119"/>
      <c r="M1185" s="94"/>
      <c r="N1185" s="94"/>
      <c r="O1185" s="93"/>
      <c r="P1185" s="120" t="b">
        <v>0</v>
      </c>
      <c r="Q1185" s="120" t="b">
        <v>0</v>
      </c>
      <c r="R1185" s="120" t="b">
        <v>0</v>
      </c>
      <c r="S1185" s="95"/>
      <c r="U1185" s="120" t="b">
        <v>0</v>
      </c>
      <c r="V1185" s="93"/>
      <c r="W1185" s="93"/>
      <c r="X1185" s="93"/>
      <c r="Y1185" s="93"/>
      <c r="AA1185" s="95"/>
      <c r="AB1185" s="121"/>
      <c r="AC1185" s="29" t="str">
        <f t="shared" si="5"/>
        <v>Sim</v>
      </c>
      <c r="AD1185" s="37" t="str">
        <f t="shared" si="1"/>
        <v>Não</v>
      </c>
      <c r="AE1185" s="94"/>
      <c r="AF1185" s="94"/>
      <c r="AG1185" s="95"/>
    </row>
    <row r="1186" hidden="1">
      <c r="A1186" s="115"/>
      <c r="B1186" s="93"/>
      <c r="E1186" s="116"/>
      <c r="F1186" s="95"/>
      <c r="G1186" s="95"/>
      <c r="H1186" s="94"/>
      <c r="I1186" s="94"/>
      <c r="J1186" s="117"/>
      <c r="K1186" s="118"/>
      <c r="L1186" s="119"/>
      <c r="M1186" s="94"/>
      <c r="N1186" s="94"/>
      <c r="O1186" s="93"/>
      <c r="P1186" s="120" t="b">
        <v>0</v>
      </c>
      <c r="Q1186" s="120" t="b">
        <v>0</v>
      </c>
      <c r="R1186" s="120" t="b">
        <v>0</v>
      </c>
      <c r="S1186" s="95"/>
      <c r="U1186" s="120" t="b">
        <v>0</v>
      </c>
      <c r="V1186" s="93"/>
      <c r="W1186" s="93"/>
      <c r="X1186" s="93"/>
      <c r="Y1186" s="93"/>
      <c r="AA1186" s="95"/>
      <c r="AB1186" s="121"/>
      <c r="AC1186" s="29" t="str">
        <f t="shared" si="5"/>
        <v>Sim</v>
      </c>
      <c r="AD1186" s="37" t="str">
        <f t="shared" si="1"/>
        <v>Não</v>
      </c>
      <c r="AE1186" s="94"/>
      <c r="AF1186" s="94"/>
      <c r="AG1186" s="95"/>
    </row>
    <row r="1187" hidden="1">
      <c r="A1187" s="115"/>
      <c r="B1187" s="93"/>
      <c r="E1187" s="116"/>
      <c r="F1187" s="95"/>
      <c r="G1187" s="95"/>
      <c r="H1187" s="94"/>
      <c r="I1187" s="94"/>
      <c r="J1187" s="117"/>
      <c r="K1187" s="118"/>
      <c r="L1187" s="119"/>
      <c r="M1187" s="94"/>
      <c r="N1187" s="94"/>
      <c r="O1187" s="93"/>
      <c r="P1187" s="120" t="b">
        <v>0</v>
      </c>
      <c r="Q1187" s="120" t="b">
        <v>0</v>
      </c>
      <c r="R1187" s="120" t="b">
        <v>0</v>
      </c>
      <c r="S1187" s="95"/>
      <c r="U1187" s="120" t="b">
        <v>0</v>
      </c>
      <c r="V1187" s="93"/>
      <c r="W1187" s="93"/>
      <c r="X1187" s="93"/>
      <c r="Y1187" s="93"/>
      <c r="AA1187" s="95"/>
      <c r="AB1187" s="121"/>
      <c r="AC1187" s="29" t="str">
        <f t="shared" si="5"/>
        <v>Sim</v>
      </c>
      <c r="AD1187" s="37" t="str">
        <f t="shared" si="1"/>
        <v>Não</v>
      </c>
      <c r="AE1187" s="94"/>
      <c r="AF1187" s="94"/>
      <c r="AG1187" s="95"/>
    </row>
    <row r="1188" hidden="1">
      <c r="A1188" s="115"/>
      <c r="B1188" s="93"/>
      <c r="E1188" s="116"/>
      <c r="F1188" s="95"/>
      <c r="G1188" s="95"/>
      <c r="H1188" s="94"/>
      <c r="I1188" s="94"/>
      <c r="J1188" s="117"/>
      <c r="K1188" s="118"/>
      <c r="L1188" s="119"/>
      <c r="M1188" s="94"/>
      <c r="N1188" s="94"/>
      <c r="O1188" s="93"/>
      <c r="P1188" s="120" t="b">
        <v>0</v>
      </c>
      <c r="Q1188" s="120" t="b">
        <v>0</v>
      </c>
      <c r="R1188" s="120" t="b">
        <v>0</v>
      </c>
      <c r="S1188" s="95"/>
      <c r="U1188" s="120" t="b">
        <v>0</v>
      </c>
      <c r="V1188" s="93"/>
      <c r="W1188" s="93"/>
      <c r="X1188" s="93"/>
      <c r="Y1188" s="93"/>
      <c r="AA1188" s="95"/>
      <c r="AB1188" s="121"/>
      <c r="AC1188" s="29" t="str">
        <f t="shared" si="5"/>
        <v>Sim</v>
      </c>
      <c r="AD1188" s="37" t="str">
        <f t="shared" si="1"/>
        <v>Não</v>
      </c>
      <c r="AE1188" s="94"/>
      <c r="AF1188" s="94"/>
      <c r="AG1188" s="95"/>
    </row>
    <row r="1189" hidden="1">
      <c r="A1189" s="115"/>
      <c r="B1189" s="93"/>
      <c r="E1189" s="116"/>
      <c r="F1189" s="95"/>
      <c r="G1189" s="95"/>
      <c r="H1189" s="94"/>
      <c r="I1189" s="94"/>
      <c r="J1189" s="117"/>
      <c r="K1189" s="118"/>
      <c r="L1189" s="119"/>
      <c r="M1189" s="94"/>
      <c r="N1189" s="94"/>
      <c r="O1189" s="93"/>
      <c r="P1189" s="120" t="b">
        <v>0</v>
      </c>
      <c r="Q1189" s="120" t="b">
        <v>0</v>
      </c>
      <c r="R1189" s="120" t="b">
        <v>0</v>
      </c>
      <c r="S1189" s="95"/>
      <c r="U1189" s="120" t="b">
        <v>0</v>
      </c>
      <c r="V1189" s="93"/>
      <c r="W1189" s="93"/>
      <c r="X1189" s="93"/>
      <c r="Y1189" s="93"/>
      <c r="AA1189" s="95"/>
      <c r="AB1189" s="121"/>
      <c r="AC1189" s="29" t="str">
        <f t="shared" si="5"/>
        <v>Sim</v>
      </c>
      <c r="AD1189" s="37" t="str">
        <f t="shared" si="1"/>
        <v>Não</v>
      </c>
      <c r="AE1189" s="94"/>
      <c r="AF1189" s="94"/>
      <c r="AG1189" s="95"/>
    </row>
    <row r="1190" hidden="1">
      <c r="A1190" s="115"/>
      <c r="B1190" s="93"/>
      <c r="E1190" s="116"/>
      <c r="F1190" s="95"/>
      <c r="G1190" s="95"/>
      <c r="H1190" s="94"/>
      <c r="I1190" s="94"/>
      <c r="J1190" s="117"/>
      <c r="K1190" s="118"/>
      <c r="L1190" s="119"/>
      <c r="M1190" s="94"/>
      <c r="N1190" s="94"/>
      <c r="O1190" s="93"/>
      <c r="P1190" s="120" t="b">
        <v>0</v>
      </c>
      <c r="Q1190" s="120" t="b">
        <v>0</v>
      </c>
      <c r="R1190" s="120" t="b">
        <v>0</v>
      </c>
      <c r="S1190" s="95"/>
      <c r="U1190" s="120" t="b">
        <v>0</v>
      </c>
      <c r="V1190" s="93"/>
      <c r="W1190" s="93"/>
      <c r="X1190" s="93"/>
      <c r="Y1190" s="93"/>
      <c r="AA1190" s="95"/>
      <c r="AB1190" s="121"/>
      <c r="AC1190" s="29" t="str">
        <f t="shared" si="5"/>
        <v>Sim</v>
      </c>
      <c r="AD1190" s="37" t="str">
        <f t="shared" si="1"/>
        <v>Não</v>
      </c>
      <c r="AE1190" s="94"/>
      <c r="AF1190" s="94"/>
      <c r="AG1190" s="95"/>
    </row>
    <row r="1191" hidden="1">
      <c r="A1191" s="115"/>
      <c r="B1191" s="93"/>
      <c r="E1191" s="116"/>
      <c r="F1191" s="95"/>
      <c r="G1191" s="95"/>
      <c r="H1191" s="94"/>
      <c r="I1191" s="94"/>
      <c r="J1191" s="117"/>
      <c r="K1191" s="118"/>
      <c r="L1191" s="119"/>
      <c r="M1191" s="94"/>
      <c r="N1191" s="94"/>
      <c r="O1191" s="93"/>
      <c r="P1191" s="120" t="b">
        <v>0</v>
      </c>
      <c r="Q1191" s="120" t="b">
        <v>0</v>
      </c>
      <c r="R1191" s="120" t="b">
        <v>0</v>
      </c>
      <c r="S1191" s="95"/>
      <c r="U1191" s="120" t="b">
        <v>0</v>
      </c>
      <c r="V1191" s="93"/>
      <c r="W1191" s="93"/>
      <c r="X1191" s="93"/>
      <c r="Y1191" s="93"/>
      <c r="AA1191" s="95"/>
      <c r="AB1191" s="121"/>
      <c r="AC1191" s="29" t="str">
        <f t="shared" si="5"/>
        <v>Sim</v>
      </c>
      <c r="AD1191" s="37" t="str">
        <f t="shared" si="1"/>
        <v>Não</v>
      </c>
      <c r="AE1191" s="94"/>
      <c r="AF1191" s="94"/>
      <c r="AG1191" s="95"/>
    </row>
    <row r="1192" hidden="1">
      <c r="A1192" s="115"/>
      <c r="B1192" s="93"/>
      <c r="E1192" s="116"/>
      <c r="F1192" s="95"/>
      <c r="G1192" s="95"/>
      <c r="H1192" s="94"/>
      <c r="I1192" s="94"/>
      <c r="J1192" s="117"/>
      <c r="K1192" s="118"/>
      <c r="L1192" s="119"/>
      <c r="M1192" s="94"/>
      <c r="N1192" s="94"/>
      <c r="O1192" s="93"/>
      <c r="P1192" s="120" t="b">
        <v>0</v>
      </c>
      <c r="Q1192" s="120" t="b">
        <v>0</v>
      </c>
      <c r="R1192" s="120" t="b">
        <v>0</v>
      </c>
      <c r="S1192" s="95"/>
      <c r="U1192" s="120" t="b">
        <v>0</v>
      </c>
      <c r="V1192" s="93"/>
      <c r="W1192" s="93"/>
      <c r="X1192" s="93"/>
      <c r="Y1192" s="93"/>
      <c r="AA1192" s="95"/>
      <c r="AB1192" s="121"/>
      <c r="AC1192" s="29" t="str">
        <f t="shared" si="5"/>
        <v>Sim</v>
      </c>
      <c r="AD1192" s="37" t="str">
        <f t="shared" si="1"/>
        <v>Não</v>
      </c>
      <c r="AE1192" s="94"/>
      <c r="AF1192" s="94"/>
      <c r="AG1192" s="95"/>
    </row>
    <row r="1193" hidden="1">
      <c r="A1193" s="115"/>
      <c r="B1193" s="93"/>
      <c r="E1193" s="116"/>
      <c r="F1193" s="95"/>
      <c r="G1193" s="95"/>
      <c r="H1193" s="94"/>
      <c r="I1193" s="94"/>
      <c r="J1193" s="117"/>
      <c r="K1193" s="118"/>
      <c r="L1193" s="119"/>
      <c r="M1193" s="94"/>
      <c r="N1193" s="94"/>
      <c r="O1193" s="93"/>
      <c r="P1193" s="120" t="b">
        <v>0</v>
      </c>
      <c r="Q1193" s="120" t="b">
        <v>0</v>
      </c>
      <c r="R1193" s="120" t="b">
        <v>0</v>
      </c>
      <c r="S1193" s="95"/>
      <c r="U1193" s="120" t="b">
        <v>0</v>
      </c>
      <c r="V1193" s="93"/>
      <c r="W1193" s="93"/>
      <c r="X1193" s="93"/>
      <c r="Y1193" s="93"/>
      <c r="AA1193" s="95"/>
      <c r="AB1193" s="121"/>
      <c r="AC1193" s="29" t="str">
        <f t="shared" si="5"/>
        <v>Sim</v>
      </c>
      <c r="AD1193" s="37" t="str">
        <f t="shared" si="1"/>
        <v>Não</v>
      </c>
      <c r="AE1193" s="94"/>
      <c r="AF1193" s="94"/>
      <c r="AG1193" s="95"/>
    </row>
    <row r="1194" hidden="1">
      <c r="A1194" s="115"/>
      <c r="B1194" s="93"/>
      <c r="E1194" s="116"/>
      <c r="F1194" s="95"/>
      <c r="G1194" s="95"/>
      <c r="H1194" s="94"/>
      <c r="I1194" s="94"/>
      <c r="J1194" s="117"/>
      <c r="K1194" s="118"/>
      <c r="L1194" s="119"/>
      <c r="M1194" s="94"/>
      <c r="N1194" s="94"/>
      <c r="O1194" s="93"/>
      <c r="P1194" s="120" t="b">
        <v>0</v>
      </c>
      <c r="Q1194" s="120" t="b">
        <v>0</v>
      </c>
      <c r="R1194" s="120" t="b">
        <v>0</v>
      </c>
      <c r="S1194" s="95"/>
      <c r="U1194" s="120" t="b">
        <v>0</v>
      </c>
      <c r="V1194" s="93"/>
      <c r="W1194" s="93"/>
      <c r="X1194" s="93"/>
      <c r="Y1194" s="93"/>
      <c r="AA1194" s="95"/>
      <c r="AB1194" s="121"/>
      <c r="AC1194" s="29" t="str">
        <f t="shared" si="5"/>
        <v>Sim</v>
      </c>
      <c r="AD1194" s="37" t="str">
        <f t="shared" si="1"/>
        <v>Não</v>
      </c>
      <c r="AE1194" s="94"/>
      <c r="AF1194" s="94"/>
      <c r="AG1194" s="95"/>
    </row>
    <row r="1195" hidden="1">
      <c r="A1195" s="115"/>
      <c r="B1195" s="93"/>
      <c r="E1195" s="116"/>
      <c r="F1195" s="95"/>
      <c r="G1195" s="95"/>
      <c r="H1195" s="94"/>
      <c r="I1195" s="94"/>
      <c r="J1195" s="117"/>
      <c r="K1195" s="118"/>
      <c r="L1195" s="119"/>
      <c r="M1195" s="94"/>
      <c r="N1195" s="94"/>
      <c r="O1195" s="93"/>
      <c r="P1195" s="120" t="b">
        <v>0</v>
      </c>
      <c r="Q1195" s="120" t="b">
        <v>0</v>
      </c>
      <c r="R1195" s="120" t="b">
        <v>0</v>
      </c>
      <c r="S1195" s="95"/>
      <c r="U1195" s="120" t="b">
        <v>0</v>
      </c>
      <c r="V1195" s="93"/>
      <c r="W1195" s="93"/>
      <c r="X1195" s="93"/>
      <c r="Y1195" s="93"/>
      <c r="AA1195" s="95"/>
      <c r="AB1195" s="121"/>
      <c r="AC1195" s="29" t="str">
        <f t="shared" si="5"/>
        <v>Sim</v>
      </c>
      <c r="AD1195" s="37" t="str">
        <f t="shared" si="1"/>
        <v>Não</v>
      </c>
      <c r="AE1195" s="94"/>
      <c r="AF1195" s="94"/>
      <c r="AG1195" s="95"/>
    </row>
    <row r="1196" hidden="1">
      <c r="A1196" s="115"/>
      <c r="B1196" s="93"/>
      <c r="E1196" s="116"/>
      <c r="F1196" s="95"/>
      <c r="G1196" s="95"/>
      <c r="H1196" s="94"/>
      <c r="I1196" s="94"/>
      <c r="J1196" s="117"/>
      <c r="K1196" s="118"/>
      <c r="L1196" s="119"/>
      <c r="M1196" s="94"/>
      <c r="N1196" s="94"/>
      <c r="O1196" s="93"/>
      <c r="P1196" s="120" t="b">
        <v>0</v>
      </c>
      <c r="Q1196" s="120" t="b">
        <v>0</v>
      </c>
      <c r="R1196" s="120" t="b">
        <v>0</v>
      </c>
      <c r="S1196" s="95"/>
      <c r="U1196" s="120" t="b">
        <v>0</v>
      </c>
      <c r="V1196" s="93"/>
      <c r="W1196" s="93"/>
      <c r="X1196" s="93"/>
      <c r="Y1196" s="93"/>
      <c r="AA1196" s="95"/>
      <c r="AB1196" s="121"/>
      <c r="AC1196" s="29" t="str">
        <f t="shared" si="5"/>
        <v>Sim</v>
      </c>
      <c r="AD1196" s="37" t="str">
        <f t="shared" si="1"/>
        <v>Não</v>
      </c>
      <c r="AE1196" s="94"/>
      <c r="AF1196" s="94"/>
      <c r="AG1196" s="95"/>
    </row>
    <row r="1197" hidden="1">
      <c r="A1197" s="115"/>
      <c r="B1197" s="93"/>
      <c r="E1197" s="116"/>
      <c r="F1197" s="95"/>
      <c r="G1197" s="95"/>
      <c r="H1197" s="94"/>
      <c r="I1197" s="94"/>
      <c r="J1197" s="117"/>
      <c r="K1197" s="118"/>
      <c r="L1197" s="119"/>
      <c r="M1197" s="94"/>
      <c r="N1197" s="94"/>
      <c r="O1197" s="93"/>
      <c r="P1197" s="120" t="b">
        <v>0</v>
      </c>
      <c r="Q1197" s="120" t="b">
        <v>0</v>
      </c>
      <c r="R1197" s="120" t="b">
        <v>0</v>
      </c>
      <c r="S1197" s="95"/>
      <c r="U1197" s="120" t="b">
        <v>0</v>
      </c>
      <c r="V1197" s="93"/>
      <c r="W1197" s="93"/>
      <c r="X1197" s="93"/>
      <c r="Y1197" s="93"/>
      <c r="AA1197" s="95"/>
      <c r="AB1197" s="121"/>
      <c r="AC1197" s="29" t="str">
        <f t="shared" si="5"/>
        <v>Sim</v>
      </c>
      <c r="AD1197" s="37" t="str">
        <f t="shared" si="1"/>
        <v>Não</v>
      </c>
      <c r="AE1197" s="94"/>
      <c r="AF1197" s="94"/>
      <c r="AG1197" s="95"/>
    </row>
    <row r="1198" hidden="1">
      <c r="A1198" s="115"/>
      <c r="B1198" s="93"/>
      <c r="E1198" s="116"/>
      <c r="F1198" s="95"/>
      <c r="G1198" s="95"/>
      <c r="H1198" s="94"/>
      <c r="I1198" s="94"/>
      <c r="J1198" s="117"/>
      <c r="K1198" s="118"/>
      <c r="L1198" s="119"/>
      <c r="M1198" s="94"/>
      <c r="N1198" s="94"/>
      <c r="O1198" s="93"/>
      <c r="P1198" s="120" t="b">
        <v>0</v>
      </c>
      <c r="Q1198" s="120" t="b">
        <v>0</v>
      </c>
      <c r="R1198" s="120" t="b">
        <v>0</v>
      </c>
      <c r="S1198" s="95"/>
      <c r="U1198" s="120" t="b">
        <v>0</v>
      </c>
      <c r="V1198" s="93"/>
      <c r="W1198" s="93"/>
      <c r="X1198" s="93"/>
      <c r="Y1198" s="93"/>
      <c r="AA1198" s="95"/>
      <c r="AB1198" s="121"/>
      <c r="AC1198" s="29" t="str">
        <f t="shared" si="5"/>
        <v>Sim</v>
      </c>
      <c r="AD1198" s="37" t="str">
        <f t="shared" si="1"/>
        <v>Não</v>
      </c>
      <c r="AE1198" s="94"/>
      <c r="AF1198" s="94"/>
      <c r="AG1198" s="95"/>
    </row>
    <row r="1199" hidden="1">
      <c r="A1199" s="115"/>
      <c r="B1199" s="93"/>
      <c r="E1199" s="116"/>
      <c r="F1199" s="95"/>
      <c r="G1199" s="95"/>
      <c r="H1199" s="94"/>
      <c r="I1199" s="94"/>
      <c r="J1199" s="117"/>
      <c r="K1199" s="118"/>
      <c r="L1199" s="119"/>
      <c r="M1199" s="94"/>
      <c r="N1199" s="94"/>
      <c r="O1199" s="93"/>
      <c r="P1199" s="120" t="b">
        <v>0</v>
      </c>
      <c r="Q1199" s="120" t="b">
        <v>0</v>
      </c>
      <c r="R1199" s="120" t="b">
        <v>0</v>
      </c>
      <c r="S1199" s="95"/>
      <c r="U1199" s="120" t="b">
        <v>0</v>
      </c>
      <c r="V1199" s="93"/>
      <c r="W1199" s="93"/>
      <c r="X1199" s="93"/>
      <c r="Y1199" s="93"/>
      <c r="AA1199" s="95"/>
      <c r="AB1199" s="121"/>
      <c r="AC1199" s="29" t="str">
        <f t="shared" si="5"/>
        <v>Sim</v>
      </c>
      <c r="AD1199" s="37" t="str">
        <f t="shared" si="1"/>
        <v>Não</v>
      </c>
      <c r="AE1199" s="94"/>
      <c r="AF1199" s="94"/>
      <c r="AG1199" s="95"/>
    </row>
    <row r="1200" hidden="1">
      <c r="A1200" s="115"/>
      <c r="B1200" s="93"/>
      <c r="E1200" s="116"/>
      <c r="F1200" s="95"/>
      <c r="G1200" s="95"/>
      <c r="H1200" s="94"/>
      <c r="I1200" s="94"/>
      <c r="J1200" s="117"/>
      <c r="K1200" s="118"/>
      <c r="L1200" s="119"/>
      <c r="M1200" s="94"/>
      <c r="N1200" s="94"/>
      <c r="O1200" s="93"/>
      <c r="P1200" s="120" t="b">
        <v>0</v>
      </c>
      <c r="Q1200" s="120" t="b">
        <v>0</v>
      </c>
      <c r="R1200" s="120" t="b">
        <v>0</v>
      </c>
      <c r="S1200" s="95"/>
      <c r="U1200" s="120" t="b">
        <v>0</v>
      </c>
      <c r="V1200" s="93"/>
      <c r="W1200" s="93"/>
      <c r="X1200" s="93"/>
      <c r="Y1200" s="93"/>
      <c r="AA1200" s="95"/>
      <c r="AB1200" s="121"/>
      <c r="AC1200" s="29" t="str">
        <f t="shared" si="5"/>
        <v>Sim</v>
      </c>
      <c r="AD1200" s="37" t="str">
        <f t="shared" si="1"/>
        <v>Não</v>
      </c>
      <c r="AE1200" s="94"/>
      <c r="AF1200" s="94"/>
      <c r="AG1200" s="95"/>
    </row>
    <row r="1201" hidden="1">
      <c r="A1201" s="115"/>
      <c r="B1201" s="93"/>
      <c r="E1201" s="116"/>
      <c r="F1201" s="95"/>
      <c r="G1201" s="95"/>
      <c r="H1201" s="94"/>
      <c r="I1201" s="94"/>
      <c r="J1201" s="117"/>
      <c r="K1201" s="118"/>
      <c r="L1201" s="119"/>
      <c r="M1201" s="94"/>
      <c r="N1201" s="94"/>
      <c r="O1201" s="93"/>
      <c r="P1201" s="120" t="b">
        <v>0</v>
      </c>
      <c r="Q1201" s="120" t="b">
        <v>0</v>
      </c>
      <c r="R1201" s="120" t="b">
        <v>0</v>
      </c>
      <c r="S1201" s="95"/>
      <c r="U1201" s="120" t="b">
        <v>0</v>
      </c>
      <c r="V1201" s="93"/>
      <c r="W1201" s="93"/>
      <c r="X1201" s="93"/>
      <c r="Y1201" s="93"/>
      <c r="AA1201" s="95"/>
      <c r="AB1201" s="121"/>
      <c r="AC1201" s="29" t="str">
        <f t="shared" si="5"/>
        <v>Sim</v>
      </c>
      <c r="AD1201" s="37" t="str">
        <f t="shared" si="1"/>
        <v>Não</v>
      </c>
      <c r="AE1201" s="94"/>
      <c r="AF1201" s="94"/>
      <c r="AG1201" s="95"/>
    </row>
    <row r="1202" hidden="1">
      <c r="A1202" s="115"/>
      <c r="B1202" s="93"/>
      <c r="E1202" s="116"/>
      <c r="F1202" s="95"/>
      <c r="G1202" s="95"/>
      <c r="H1202" s="94"/>
      <c r="I1202" s="94"/>
      <c r="J1202" s="117"/>
      <c r="K1202" s="118"/>
      <c r="L1202" s="119"/>
      <c r="M1202" s="94"/>
      <c r="N1202" s="94"/>
      <c r="O1202" s="93"/>
      <c r="P1202" s="120" t="b">
        <v>0</v>
      </c>
      <c r="Q1202" s="120" t="b">
        <v>0</v>
      </c>
      <c r="R1202" s="120" t="b">
        <v>0</v>
      </c>
      <c r="S1202" s="95"/>
      <c r="U1202" s="120" t="b">
        <v>0</v>
      </c>
      <c r="V1202" s="93"/>
      <c r="W1202" s="93"/>
      <c r="X1202" s="93"/>
      <c r="Y1202" s="93"/>
      <c r="AA1202" s="95"/>
      <c r="AB1202" s="121"/>
      <c r="AC1202" s="29" t="str">
        <f t="shared" si="5"/>
        <v>Sim</v>
      </c>
      <c r="AD1202" s="37" t="str">
        <f t="shared" si="1"/>
        <v>Não</v>
      </c>
      <c r="AE1202" s="94"/>
      <c r="AF1202" s="94"/>
      <c r="AG1202" s="95"/>
    </row>
    <row r="1203" hidden="1">
      <c r="A1203" s="115"/>
      <c r="B1203" s="93"/>
      <c r="E1203" s="116"/>
      <c r="F1203" s="95"/>
      <c r="G1203" s="95"/>
      <c r="H1203" s="94"/>
      <c r="I1203" s="94"/>
      <c r="J1203" s="117"/>
      <c r="K1203" s="118"/>
      <c r="L1203" s="119"/>
      <c r="M1203" s="94"/>
      <c r="N1203" s="94"/>
      <c r="O1203" s="93"/>
      <c r="P1203" s="120" t="b">
        <v>0</v>
      </c>
      <c r="Q1203" s="120" t="b">
        <v>0</v>
      </c>
      <c r="R1203" s="120" t="b">
        <v>0</v>
      </c>
      <c r="S1203" s="95"/>
      <c r="U1203" s="120" t="b">
        <v>0</v>
      </c>
      <c r="V1203" s="93"/>
      <c r="W1203" s="93"/>
      <c r="X1203" s="93"/>
      <c r="Y1203" s="93"/>
      <c r="AA1203" s="95"/>
      <c r="AB1203" s="121"/>
      <c r="AC1203" s="29" t="str">
        <f t="shared" si="5"/>
        <v>Sim</v>
      </c>
      <c r="AD1203" s="37" t="str">
        <f t="shared" si="1"/>
        <v>Não</v>
      </c>
      <c r="AE1203" s="94"/>
      <c r="AF1203" s="94"/>
      <c r="AG1203" s="95"/>
    </row>
    <row r="1204" hidden="1">
      <c r="A1204" s="115"/>
      <c r="B1204" s="93"/>
      <c r="E1204" s="116"/>
      <c r="F1204" s="95"/>
      <c r="G1204" s="95"/>
      <c r="H1204" s="94"/>
      <c r="I1204" s="94"/>
      <c r="J1204" s="117"/>
      <c r="K1204" s="118"/>
      <c r="L1204" s="119"/>
      <c r="M1204" s="94"/>
      <c r="N1204" s="94"/>
      <c r="O1204" s="93"/>
      <c r="P1204" s="120" t="b">
        <v>0</v>
      </c>
      <c r="Q1204" s="120" t="b">
        <v>0</v>
      </c>
      <c r="R1204" s="120" t="b">
        <v>0</v>
      </c>
      <c r="S1204" s="95"/>
      <c r="U1204" s="120" t="b">
        <v>0</v>
      </c>
      <c r="V1204" s="93"/>
      <c r="W1204" s="93"/>
      <c r="X1204" s="93"/>
      <c r="Y1204" s="93"/>
      <c r="AA1204" s="95"/>
      <c r="AB1204" s="121"/>
      <c r="AC1204" s="29" t="str">
        <f t="shared" si="5"/>
        <v>Sim</v>
      </c>
      <c r="AD1204" s="37" t="str">
        <f t="shared" si="1"/>
        <v>Não</v>
      </c>
      <c r="AE1204" s="94"/>
      <c r="AF1204" s="94"/>
      <c r="AG1204" s="95"/>
    </row>
    <row r="1205" hidden="1">
      <c r="A1205" s="115"/>
      <c r="B1205" s="93"/>
      <c r="E1205" s="116"/>
      <c r="F1205" s="95"/>
      <c r="G1205" s="95"/>
      <c r="H1205" s="94"/>
      <c r="I1205" s="94"/>
      <c r="J1205" s="117"/>
      <c r="K1205" s="118"/>
      <c r="L1205" s="119"/>
      <c r="M1205" s="94"/>
      <c r="N1205" s="94"/>
      <c r="O1205" s="93"/>
      <c r="P1205" s="120" t="b">
        <v>0</v>
      </c>
      <c r="Q1205" s="120" t="b">
        <v>0</v>
      </c>
      <c r="R1205" s="120" t="b">
        <v>0</v>
      </c>
      <c r="S1205" s="95"/>
      <c r="U1205" s="120" t="b">
        <v>0</v>
      </c>
      <c r="V1205" s="93"/>
      <c r="W1205" s="93"/>
      <c r="X1205" s="93"/>
      <c r="Y1205" s="93"/>
      <c r="AA1205" s="95"/>
      <c r="AB1205" s="121"/>
      <c r="AC1205" s="29" t="str">
        <f t="shared" si="5"/>
        <v>Sim</v>
      </c>
      <c r="AD1205" s="37" t="str">
        <f t="shared" si="1"/>
        <v>Não</v>
      </c>
      <c r="AE1205" s="94"/>
      <c r="AF1205" s="94"/>
      <c r="AG1205" s="95"/>
    </row>
    <row r="1206" hidden="1">
      <c r="A1206" s="115"/>
      <c r="B1206" s="93"/>
      <c r="E1206" s="116"/>
      <c r="F1206" s="95"/>
      <c r="G1206" s="95"/>
      <c r="H1206" s="94"/>
      <c r="I1206" s="94"/>
      <c r="J1206" s="117"/>
      <c r="K1206" s="118"/>
      <c r="L1206" s="119"/>
      <c r="M1206" s="94"/>
      <c r="N1206" s="94"/>
      <c r="O1206" s="93"/>
      <c r="P1206" s="120" t="b">
        <v>0</v>
      </c>
      <c r="Q1206" s="120" t="b">
        <v>0</v>
      </c>
      <c r="R1206" s="120" t="b">
        <v>0</v>
      </c>
      <c r="S1206" s="95"/>
      <c r="U1206" s="120" t="b">
        <v>0</v>
      </c>
      <c r="V1206" s="93"/>
      <c r="W1206" s="93"/>
      <c r="X1206" s="93"/>
      <c r="Y1206" s="93"/>
      <c r="AA1206" s="95"/>
      <c r="AB1206" s="121"/>
      <c r="AC1206" s="29" t="str">
        <f t="shared" si="5"/>
        <v>Sim</v>
      </c>
      <c r="AD1206" s="37" t="str">
        <f t="shared" si="1"/>
        <v>Não</v>
      </c>
      <c r="AE1206" s="94"/>
      <c r="AF1206" s="94"/>
      <c r="AG1206" s="95"/>
    </row>
    <row r="1207" hidden="1">
      <c r="A1207" s="115"/>
      <c r="B1207" s="93"/>
      <c r="E1207" s="116"/>
      <c r="F1207" s="95"/>
      <c r="G1207" s="95"/>
      <c r="H1207" s="94"/>
      <c r="I1207" s="94"/>
      <c r="J1207" s="117"/>
      <c r="K1207" s="118"/>
      <c r="L1207" s="119"/>
      <c r="M1207" s="94"/>
      <c r="N1207" s="94"/>
      <c r="O1207" s="93"/>
      <c r="P1207" s="120" t="b">
        <v>0</v>
      </c>
      <c r="Q1207" s="120" t="b">
        <v>0</v>
      </c>
      <c r="R1207" s="120" t="b">
        <v>0</v>
      </c>
      <c r="S1207" s="95"/>
      <c r="U1207" s="120" t="b">
        <v>0</v>
      </c>
      <c r="V1207" s="93"/>
      <c r="W1207" s="93"/>
      <c r="X1207" s="93"/>
      <c r="Y1207" s="93"/>
      <c r="AA1207" s="95"/>
      <c r="AB1207" s="121"/>
      <c r="AC1207" s="29" t="str">
        <f t="shared" si="5"/>
        <v>Sim</v>
      </c>
      <c r="AD1207" s="37" t="str">
        <f t="shared" si="1"/>
        <v>Não</v>
      </c>
      <c r="AE1207" s="94"/>
      <c r="AF1207" s="94"/>
      <c r="AG1207" s="95"/>
    </row>
    <row r="1208" hidden="1">
      <c r="A1208" s="115"/>
      <c r="B1208" s="93"/>
      <c r="E1208" s="116"/>
      <c r="F1208" s="95"/>
      <c r="G1208" s="95"/>
      <c r="H1208" s="94"/>
      <c r="I1208" s="94"/>
      <c r="J1208" s="117"/>
      <c r="K1208" s="118"/>
      <c r="L1208" s="119"/>
      <c r="M1208" s="94"/>
      <c r="N1208" s="94"/>
      <c r="O1208" s="93"/>
      <c r="P1208" s="120" t="b">
        <v>0</v>
      </c>
      <c r="Q1208" s="120" t="b">
        <v>0</v>
      </c>
      <c r="R1208" s="120" t="b">
        <v>0</v>
      </c>
      <c r="S1208" s="95"/>
      <c r="U1208" s="120" t="b">
        <v>0</v>
      </c>
      <c r="V1208" s="93"/>
      <c r="W1208" s="93"/>
      <c r="X1208" s="93"/>
      <c r="Y1208" s="93"/>
      <c r="AA1208" s="95"/>
      <c r="AB1208" s="121"/>
      <c r="AC1208" s="29" t="str">
        <f t="shared" si="5"/>
        <v>Sim</v>
      </c>
      <c r="AD1208" s="37" t="str">
        <f t="shared" si="1"/>
        <v>Não</v>
      </c>
      <c r="AE1208" s="94"/>
      <c r="AF1208" s="94"/>
      <c r="AG1208" s="95"/>
    </row>
    <row r="1209" hidden="1">
      <c r="A1209" s="115"/>
      <c r="B1209" s="93"/>
      <c r="E1209" s="116"/>
      <c r="F1209" s="95"/>
      <c r="G1209" s="95"/>
      <c r="H1209" s="94"/>
      <c r="I1209" s="94"/>
      <c r="J1209" s="117"/>
      <c r="K1209" s="118"/>
      <c r="L1209" s="119"/>
      <c r="M1209" s="94"/>
      <c r="N1209" s="94"/>
      <c r="O1209" s="93"/>
      <c r="P1209" s="120" t="b">
        <v>0</v>
      </c>
      <c r="Q1209" s="120" t="b">
        <v>0</v>
      </c>
      <c r="R1209" s="120" t="b">
        <v>0</v>
      </c>
      <c r="S1209" s="95"/>
      <c r="U1209" s="120" t="b">
        <v>0</v>
      </c>
      <c r="V1209" s="93"/>
      <c r="W1209" s="93"/>
      <c r="X1209" s="93"/>
      <c r="Y1209" s="93"/>
      <c r="AA1209" s="95"/>
      <c r="AB1209" s="121"/>
      <c r="AC1209" s="29" t="str">
        <f t="shared" si="5"/>
        <v>Sim</v>
      </c>
      <c r="AD1209" s="37" t="str">
        <f t="shared" si="1"/>
        <v>Não</v>
      </c>
      <c r="AE1209" s="94"/>
      <c r="AF1209" s="94"/>
      <c r="AG1209" s="95"/>
    </row>
    <row r="1210" hidden="1">
      <c r="A1210" s="115"/>
      <c r="B1210" s="93"/>
      <c r="E1210" s="116"/>
      <c r="F1210" s="95"/>
      <c r="G1210" s="95"/>
      <c r="H1210" s="94"/>
      <c r="I1210" s="94"/>
      <c r="J1210" s="117"/>
      <c r="K1210" s="118"/>
      <c r="L1210" s="119"/>
      <c r="M1210" s="94"/>
      <c r="N1210" s="94"/>
      <c r="O1210" s="93"/>
      <c r="P1210" s="120" t="b">
        <v>0</v>
      </c>
      <c r="Q1210" s="120" t="b">
        <v>0</v>
      </c>
      <c r="R1210" s="120" t="b">
        <v>0</v>
      </c>
      <c r="S1210" s="95"/>
      <c r="U1210" s="120" t="b">
        <v>0</v>
      </c>
      <c r="V1210" s="93"/>
      <c r="W1210" s="93"/>
      <c r="X1210" s="93"/>
      <c r="Y1210" s="93"/>
      <c r="AA1210" s="95"/>
      <c r="AB1210" s="121"/>
      <c r="AC1210" s="29" t="str">
        <f t="shared" si="5"/>
        <v>Sim</v>
      </c>
      <c r="AD1210" s="37" t="str">
        <f t="shared" si="1"/>
        <v>Não</v>
      </c>
      <c r="AE1210" s="94"/>
      <c r="AF1210" s="94"/>
      <c r="AG1210" s="95"/>
    </row>
    <row r="1211" hidden="1">
      <c r="A1211" s="115"/>
      <c r="B1211" s="93"/>
      <c r="E1211" s="116"/>
      <c r="F1211" s="95"/>
      <c r="G1211" s="95"/>
      <c r="H1211" s="94"/>
      <c r="I1211" s="94"/>
      <c r="J1211" s="117"/>
      <c r="K1211" s="118"/>
      <c r="L1211" s="119"/>
      <c r="M1211" s="94"/>
      <c r="N1211" s="94"/>
      <c r="O1211" s="93"/>
      <c r="P1211" s="120" t="b">
        <v>0</v>
      </c>
      <c r="Q1211" s="120" t="b">
        <v>0</v>
      </c>
      <c r="R1211" s="120" t="b">
        <v>0</v>
      </c>
      <c r="S1211" s="95"/>
      <c r="U1211" s="120" t="b">
        <v>0</v>
      </c>
      <c r="V1211" s="93"/>
      <c r="W1211" s="93"/>
      <c r="X1211" s="93"/>
      <c r="Y1211" s="93"/>
      <c r="AA1211" s="95"/>
      <c r="AB1211" s="121"/>
      <c r="AC1211" s="29" t="str">
        <f t="shared" si="5"/>
        <v>Sim</v>
      </c>
      <c r="AD1211" s="37" t="str">
        <f t="shared" si="1"/>
        <v>Não</v>
      </c>
      <c r="AE1211" s="94"/>
      <c r="AF1211" s="94"/>
      <c r="AG1211" s="95"/>
    </row>
    <row r="1212" hidden="1">
      <c r="A1212" s="115"/>
      <c r="B1212" s="93"/>
      <c r="E1212" s="116"/>
      <c r="F1212" s="95"/>
      <c r="G1212" s="95"/>
      <c r="H1212" s="94"/>
      <c r="I1212" s="94"/>
      <c r="J1212" s="117"/>
      <c r="K1212" s="118"/>
      <c r="L1212" s="119"/>
      <c r="M1212" s="94"/>
      <c r="N1212" s="94"/>
      <c r="O1212" s="93"/>
      <c r="P1212" s="120" t="b">
        <v>0</v>
      </c>
      <c r="Q1212" s="120" t="b">
        <v>0</v>
      </c>
      <c r="R1212" s="120" t="b">
        <v>0</v>
      </c>
      <c r="S1212" s="95"/>
      <c r="U1212" s="120" t="b">
        <v>0</v>
      </c>
      <c r="V1212" s="93"/>
      <c r="W1212" s="93"/>
      <c r="X1212" s="93"/>
      <c r="Y1212" s="93"/>
      <c r="AA1212" s="95"/>
      <c r="AB1212" s="121"/>
      <c r="AC1212" s="29" t="str">
        <f t="shared" si="5"/>
        <v>Sim</v>
      </c>
      <c r="AD1212" s="37" t="str">
        <f t="shared" si="1"/>
        <v>Não</v>
      </c>
      <c r="AE1212" s="94"/>
      <c r="AF1212" s="94"/>
      <c r="AG1212" s="95"/>
    </row>
    <row r="1213" hidden="1">
      <c r="A1213" s="115"/>
      <c r="B1213" s="93"/>
      <c r="E1213" s="116"/>
      <c r="F1213" s="95"/>
      <c r="G1213" s="95"/>
      <c r="H1213" s="94"/>
      <c r="I1213" s="94"/>
      <c r="J1213" s="117"/>
      <c r="K1213" s="118"/>
      <c r="L1213" s="119"/>
      <c r="M1213" s="94"/>
      <c r="N1213" s="94"/>
      <c r="O1213" s="93"/>
      <c r="P1213" s="120" t="b">
        <v>0</v>
      </c>
      <c r="Q1213" s="120" t="b">
        <v>0</v>
      </c>
      <c r="R1213" s="120" t="b">
        <v>0</v>
      </c>
      <c r="S1213" s="95"/>
      <c r="U1213" s="120" t="b">
        <v>0</v>
      </c>
      <c r="V1213" s="93"/>
      <c r="W1213" s="93"/>
      <c r="X1213" s="93"/>
      <c r="Y1213" s="93"/>
      <c r="AA1213" s="95"/>
      <c r="AB1213" s="121"/>
      <c r="AC1213" s="29" t="str">
        <f t="shared" si="5"/>
        <v>Sim</v>
      </c>
      <c r="AD1213" s="37" t="str">
        <f t="shared" si="1"/>
        <v>Não</v>
      </c>
      <c r="AE1213" s="94"/>
      <c r="AF1213" s="94"/>
      <c r="AG1213" s="95"/>
    </row>
    <row r="1214" hidden="1">
      <c r="A1214" s="115"/>
      <c r="B1214" s="93"/>
      <c r="E1214" s="116"/>
      <c r="F1214" s="95"/>
      <c r="G1214" s="95"/>
      <c r="H1214" s="94"/>
      <c r="I1214" s="94"/>
      <c r="J1214" s="117"/>
      <c r="K1214" s="118"/>
      <c r="L1214" s="119"/>
      <c r="M1214" s="94"/>
      <c r="N1214" s="94"/>
      <c r="O1214" s="93"/>
      <c r="P1214" s="120" t="b">
        <v>0</v>
      </c>
      <c r="Q1214" s="120" t="b">
        <v>0</v>
      </c>
      <c r="R1214" s="120" t="b">
        <v>0</v>
      </c>
      <c r="S1214" s="95"/>
      <c r="U1214" s="120" t="b">
        <v>0</v>
      </c>
      <c r="V1214" s="93"/>
      <c r="W1214" s="93"/>
      <c r="X1214" s="93"/>
      <c r="Y1214" s="93"/>
      <c r="AA1214" s="95"/>
      <c r="AB1214" s="121"/>
      <c r="AC1214" s="29" t="str">
        <f t="shared" si="5"/>
        <v>Sim</v>
      </c>
      <c r="AD1214" s="37" t="str">
        <f t="shared" si="1"/>
        <v>Não</v>
      </c>
      <c r="AE1214" s="94"/>
      <c r="AF1214" s="94"/>
      <c r="AG1214" s="95"/>
    </row>
    <row r="1215" hidden="1">
      <c r="A1215" s="115"/>
      <c r="B1215" s="93"/>
      <c r="E1215" s="116"/>
      <c r="F1215" s="95"/>
      <c r="G1215" s="95"/>
      <c r="H1215" s="94"/>
      <c r="I1215" s="94"/>
      <c r="J1215" s="117"/>
      <c r="K1215" s="118"/>
      <c r="L1215" s="119"/>
      <c r="M1215" s="94"/>
      <c r="N1215" s="94"/>
      <c r="O1215" s="93"/>
      <c r="P1215" s="120" t="b">
        <v>0</v>
      </c>
      <c r="Q1215" s="120" t="b">
        <v>0</v>
      </c>
      <c r="R1215" s="120" t="b">
        <v>0</v>
      </c>
      <c r="S1215" s="95"/>
      <c r="U1215" s="120" t="b">
        <v>0</v>
      </c>
      <c r="V1215" s="93"/>
      <c r="W1215" s="93"/>
      <c r="X1215" s="93"/>
      <c r="Y1215" s="93"/>
      <c r="AA1215" s="95"/>
      <c r="AB1215" s="121"/>
      <c r="AC1215" s="29" t="str">
        <f t="shared" si="5"/>
        <v>Sim</v>
      </c>
      <c r="AD1215" s="37" t="str">
        <f t="shared" si="1"/>
        <v>Não</v>
      </c>
      <c r="AE1215" s="94"/>
      <c r="AF1215" s="94"/>
      <c r="AG1215" s="95"/>
    </row>
    <row r="1216" hidden="1">
      <c r="A1216" s="115"/>
      <c r="B1216" s="93"/>
      <c r="E1216" s="116"/>
      <c r="F1216" s="95"/>
      <c r="G1216" s="95"/>
      <c r="H1216" s="94"/>
      <c r="I1216" s="94"/>
      <c r="J1216" s="117"/>
      <c r="K1216" s="118"/>
      <c r="L1216" s="119"/>
      <c r="M1216" s="94"/>
      <c r="N1216" s="94"/>
      <c r="O1216" s="93"/>
      <c r="P1216" s="120" t="b">
        <v>0</v>
      </c>
      <c r="Q1216" s="120" t="b">
        <v>0</v>
      </c>
      <c r="R1216" s="120" t="b">
        <v>0</v>
      </c>
      <c r="S1216" s="95"/>
      <c r="U1216" s="120" t="b">
        <v>0</v>
      </c>
      <c r="V1216" s="93"/>
      <c r="W1216" s="93"/>
      <c r="X1216" s="93"/>
      <c r="Y1216" s="93"/>
      <c r="AA1216" s="95"/>
      <c r="AB1216" s="121"/>
      <c r="AC1216" s="29" t="str">
        <f t="shared" si="5"/>
        <v>Sim</v>
      </c>
      <c r="AD1216" s="37" t="str">
        <f t="shared" si="1"/>
        <v>Não</v>
      </c>
      <c r="AE1216" s="94"/>
      <c r="AF1216" s="94"/>
      <c r="AG1216" s="95"/>
    </row>
    <row r="1217" hidden="1">
      <c r="A1217" s="115"/>
      <c r="B1217" s="93"/>
      <c r="E1217" s="116"/>
      <c r="F1217" s="95"/>
      <c r="G1217" s="95"/>
      <c r="H1217" s="94"/>
      <c r="I1217" s="94"/>
      <c r="J1217" s="117"/>
      <c r="K1217" s="118"/>
      <c r="L1217" s="119"/>
      <c r="M1217" s="94"/>
      <c r="N1217" s="94"/>
      <c r="O1217" s="93"/>
      <c r="P1217" s="120" t="b">
        <v>0</v>
      </c>
      <c r="Q1217" s="120" t="b">
        <v>0</v>
      </c>
      <c r="R1217" s="120" t="b">
        <v>0</v>
      </c>
      <c r="S1217" s="95"/>
      <c r="U1217" s="120" t="b">
        <v>0</v>
      </c>
      <c r="V1217" s="93"/>
      <c r="W1217" s="93"/>
      <c r="X1217" s="93"/>
      <c r="Y1217" s="93"/>
      <c r="AA1217" s="95"/>
      <c r="AB1217" s="121"/>
      <c r="AC1217" s="29" t="str">
        <f t="shared" si="5"/>
        <v>Sim</v>
      </c>
      <c r="AD1217" s="37" t="str">
        <f t="shared" si="1"/>
        <v>Não</v>
      </c>
      <c r="AE1217" s="94"/>
      <c r="AF1217" s="94"/>
      <c r="AG1217" s="95"/>
    </row>
    <row r="1218" hidden="1">
      <c r="A1218" s="115"/>
      <c r="B1218" s="93"/>
      <c r="E1218" s="116"/>
      <c r="F1218" s="95"/>
      <c r="G1218" s="95"/>
      <c r="H1218" s="94"/>
      <c r="I1218" s="94"/>
      <c r="J1218" s="117"/>
      <c r="K1218" s="118"/>
      <c r="L1218" s="119"/>
      <c r="M1218" s="94"/>
      <c r="N1218" s="94"/>
      <c r="O1218" s="93"/>
      <c r="P1218" s="120" t="b">
        <v>0</v>
      </c>
      <c r="Q1218" s="120" t="b">
        <v>0</v>
      </c>
      <c r="R1218" s="120" t="b">
        <v>0</v>
      </c>
      <c r="S1218" s="95"/>
      <c r="U1218" s="120" t="b">
        <v>0</v>
      </c>
      <c r="V1218" s="93"/>
      <c r="W1218" s="93"/>
      <c r="X1218" s="93"/>
      <c r="Y1218" s="93"/>
      <c r="AA1218" s="95"/>
      <c r="AB1218" s="121"/>
      <c r="AC1218" s="29" t="str">
        <f t="shared" si="5"/>
        <v>Sim</v>
      </c>
      <c r="AD1218" s="37" t="str">
        <f t="shared" si="1"/>
        <v>Não</v>
      </c>
      <c r="AE1218" s="94"/>
      <c r="AF1218" s="94"/>
      <c r="AG1218" s="95"/>
    </row>
    <row r="1219" hidden="1">
      <c r="A1219" s="115"/>
      <c r="B1219" s="93"/>
      <c r="E1219" s="116"/>
      <c r="F1219" s="95"/>
      <c r="G1219" s="95"/>
      <c r="H1219" s="94"/>
      <c r="I1219" s="94"/>
      <c r="J1219" s="117"/>
      <c r="K1219" s="118"/>
      <c r="L1219" s="119"/>
      <c r="M1219" s="94"/>
      <c r="N1219" s="94"/>
      <c r="O1219" s="93"/>
      <c r="P1219" s="120" t="b">
        <v>0</v>
      </c>
      <c r="Q1219" s="120" t="b">
        <v>0</v>
      </c>
      <c r="R1219" s="120" t="b">
        <v>0</v>
      </c>
      <c r="S1219" s="95"/>
      <c r="U1219" s="120" t="b">
        <v>0</v>
      </c>
      <c r="V1219" s="93"/>
      <c r="W1219" s="93"/>
      <c r="X1219" s="93"/>
      <c r="Y1219" s="93"/>
      <c r="AA1219" s="95"/>
      <c r="AB1219" s="121"/>
      <c r="AC1219" s="29" t="str">
        <f t="shared" si="5"/>
        <v>Sim</v>
      </c>
      <c r="AD1219" s="37" t="str">
        <f t="shared" si="1"/>
        <v>Não</v>
      </c>
      <c r="AE1219" s="94"/>
      <c r="AF1219" s="94"/>
      <c r="AG1219" s="95"/>
    </row>
    <row r="1220" hidden="1">
      <c r="A1220" s="115"/>
      <c r="B1220" s="93"/>
      <c r="E1220" s="116"/>
      <c r="F1220" s="95"/>
      <c r="G1220" s="95"/>
      <c r="H1220" s="94"/>
      <c r="I1220" s="94"/>
      <c r="J1220" s="117"/>
      <c r="K1220" s="118"/>
      <c r="L1220" s="119"/>
      <c r="M1220" s="94"/>
      <c r="N1220" s="94"/>
      <c r="O1220" s="93"/>
      <c r="P1220" s="120" t="b">
        <v>0</v>
      </c>
      <c r="Q1220" s="120" t="b">
        <v>0</v>
      </c>
      <c r="R1220" s="120" t="b">
        <v>0</v>
      </c>
      <c r="S1220" s="95"/>
      <c r="U1220" s="120" t="b">
        <v>0</v>
      </c>
      <c r="V1220" s="93"/>
      <c r="W1220" s="93"/>
      <c r="X1220" s="93"/>
      <c r="Y1220" s="93"/>
      <c r="AA1220" s="95"/>
      <c r="AB1220" s="121"/>
      <c r="AC1220" s="29" t="str">
        <f t="shared" si="5"/>
        <v>Sim</v>
      </c>
      <c r="AD1220" s="37" t="str">
        <f t="shared" si="1"/>
        <v>Não</v>
      </c>
      <c r="AE1220" s="94"/>
      <c r="AF1220" s="94"/>
      <c r="AG1220" s="95"/>
    </row>
    <row r="1221" hidden="1">
      <c r="A1221" s="115"/>
      <c r="B1221" s="93"/>
      <c r="E1221" s="116"/>
      <c r="F1221" s="95"/>
      <c r="G1221" s="95"/>
      <c r="H1221" s="94"/>
      <c r="I1221" s="94"/>
      <c r="J1221" s="117"/>
      <c r="K1221" s="118"/>
      <c r="L1221" s="119"/>
      <c r="M1221" s="94"/>
      <c r="N1221" s="94"/>
      <c r="O1221" s="93"/>
      <c r="P1221" s="120" t="b">
        <v>0</v>
      </c>
      <c r="Q1221" s="120" t="b">
        <v>0</v>
      </c>
      <c r="R1221" s="120" t="b">
        <v>0</v>
      </c>
      <c r="S1221" s="95"/>
      <c r="U1221" s="120" t="b">
        <v>0</v>
      </c>
      <c r="V1221" s="93"/>
      <c r="W1221" s="93"/>
      <c r="X1221" s="93"/>
      <c r="Y1221" s="93"/>
      <c r="AA1221" s="95"/>
      <c r="AB1221" s="121"/>
      <c r="AC1221" s="29" t="str">
        <f t="shared" si="5"/>
        <v>Sim</v>
      </c>
      <c r="AD1221" s="37" t="str">
        <f t="shared" si="1"/>
        <v>Não</v>
      </c>
      <c r="AE1221" s="94"/>
      <c r="AF1221" s="94"/>
      <c r="AG1221" s="95"/>
    </row>
    <row r="1222" hidden="1">
      <c r="A1222" s="115"/>
      <c r="B1222" s="93"/>
      <c r="E1222" s="116"/>
      <c r="F1222" s="95"/>
      <c r="G1222" s="95"/>
      <c r="H1222" s="94"/>
      <c r="I1222" s="94"/>
      <c r="J1222" s="117"/>
      <c r="K1222" s="118"/>
      <c r="L1222" s="119"/>
      <c r="M1222" s="94"/>
      <c r="N1222" s="94"/>
      <c r="O1222" s="93"/>
      <c r="P1222" s="120" t="b">
        <v>0</v>
      </c>
      <c r="Q1222" s="120" t="b">
        <v>0</v>
      </c>
      <c r="R1222" s="120" t="b">
        <v>0</v>
      </c>
      <c r="S1222" s="95"/>
      <c r="U1222" s="120" t="b">
        <v>0</v>
      </c>
      <c r="V1222" s="93"/>
      <c r="W1222" s="93"/>
      <c r="X1222" s="93"/>
      <c r="Y1222" s="93"/>
      <c r="AA1222" s="95"/>
      <c r="AB1222" s="121"/>
      <c r="AC1222" s="29" t="str">
        <f t="shared" si="5"/>
        <v>Sim</v>
      </c>
      <c r="AD1222" s="37" t="str">
        <f t="shared" si="1"/>
        <v>Não</v>
      </c>
      <c r="AE1222" s="94"/>
      <c r="AF1222" s="94"/>
      <c r="AG1222" s="95"/>
    </row>
    <row r="1223" hidden="1">
      <c r="A1223" s="115"/>
      <c r="B1223" s="93"/>
      <c r="E1223" s="116"/>
      <c r="F1223" s="95"/>
      <c r="G1223" s="95"/>
      <c r="H1223" s="94"/>
      <c r="I1223" s="94"/>
      <c r="J1223" s="117"/>
      <c r="K1223" s="118"/>
      <c r="L1223" s="119"/>
      <c r="M1223" s="94"/>
      <c r="N1223" s="94"/>
      <c r="O1223" s="93"/>
      <c r="P1223" s="120" t="b">
        <v>0</v>
      </c>
      <c r="Q1223" s="120" t="b">
        <v>0</v>
      </c>
      <c r="R1223" s="120" t="b">
        <v>0</v>
      </c>
      <c r="S1223" s="95"/>
      <c r="U1223" s="120" t="b">
        <v>0</v>
      </c>
      <c r="V1223" s="93"/>
      <c r="W1223" s="93"/>
      <c r="X1223" s="93"/>
      <c r="Y1223" s="93"/>
      <c r="AA1223" s="95"/>
      <c r="AB1223" s="121"/>
      <c r="AC1223" s="29" t="str">
        <f t="shared" si="5"/>
        <v>Sim</v>
      </c>
      <c r="AD1223" s="37" t="str">
        <f t="shared" si="1"/>
        <v>Não</v>
      </c>
      <c r="AE1223" s="94"/>
      <c r="AF1223" s="94"/>
      <c r="AG1223" s="95"/>
    </row>
    <row r="1224" hidden="1">
      <c r="A1224" s="115"/>
      <c r="B1224" s="93"/>
      <c r="E1224" s="116"/>
      <c r="F1224" s="95"/>
      <c r="G1224" s="95"/>
      <c r="H1224" s="94"/>
      <c r="I1224" s="94"/>
      <c r="J1224" s="117"/>
      <c r="K1224" s="118"/>
      <c r="L1224" s="119"/>
      <c r="M1224" s="94"/>
      <c r="N1224" s="94"/>
      <c r="O1224" s="93"/>
      <c r="P1224" s="120" t="b">
        <v>0</v>
      </c>
      <c r="Q1224" s="120" t="b">
        <v>0</v>
      </c>
      <c r="R1224" s="120" t="b">
        <v>0</v>
      </c>
      <c r="S1224" s="95"/>
      <c r="U1224" s="120" t="b">
        <v>0</v>
      </c>
      <c r="V1224" s="93"/>
      <c r="W1224" s="93"/>
      <c r="X1224" s="93"/>
      <c r="Y1224" s="93"/>
      <c r="AA1224" s="95"/>
      <c r="AB1224" s="121"/>
      <c r="AC1224" s="29" t="str">
        <f t="shared" si="5"/>
        <v>Sim</v>
      </c>
      <c r="AD1224" s="37" t="str">
        <f t="shared" si="1"/>
        <v>Não</v>
      </c>
      <c r="AE1224" s="94"/>
      <c r="AF1224" s="94"/>
      <c r="AG1224" s="95"/>
    </row>
    <row r="1225" hidden="1">
      <c r="A1225" s="115"/>
      <c r="B1225" s="93"/>
      <c r="E1225" s="116"/>
      <c r="F1225" s="95"/>
      <c r="G1225" s="95"/>
      <c r="H1225" s="94"/>
      <c r="I1225" s="94"/>
      <c r="J1225" s="117"/>
      <c r="K1225" s="118"/>
      <c r="L1225" s="119"/>
      <c r="M1225" s="94"/>
      <c r="N1225" s="94"/>
      <c r="O1225" s="93"/>
      <c r="P1225" s="120" t="b">
        <v>0</v>
      </c>
      <c r="Q1225" s="120" t="b">
        <v>0</v>
      </c>
      <c r="R1225" s="120" t="b">
        <v>0</v>
      </c>
      <c r="S1225" s="95"/>
      <c r="U1225" s="120" t="b">
        <v>0</v>
      </c>
      <c r="V1225" s="93"/>
      <c r="W1225" s="93"/>
      <c r="X1225" s="93"/>
      <c r="Y1225" s="93"/>
      <c r="AA1225" s="95"/>
      <c r="AB1225" s="121"/>
      <c r="AC1225" s="29" t="str">
        <f t="shared" si="5"/>
        <v>Sim</v>
      </c>
      <c r="AD1225" s="37" t="str">
        <f t="shared" si="1"/>
        <v>Não</v>
      </c>
      <c r="AE1225" s="94"/>
      <c r="AF1225" s="94"/>
      <c r="AG1225" s="95"/>
    </row>
    <row r="1226" hidden="1">
      <c r="A1226" s="115"/>
      <c r="B1226" s="93"/>
      <c r="E1226" s="116"/>
      <c r="F1226" s="95"/>
      <c r="G1226" s="95"/>
      <c r="H1226" s="94"/>
      <c r="I1226" s="94"/>
      <c r="J1226" s="117"/>
      <c r="K1226" s="118"/>
      <c r="L1226" s="119"/>
      <c r="M1226" s="94"/>
      <c r="N1226" s="94"/>
      <c r="O1226" s="93"/>
      <c r="P1226" s="120" t="b">
        <v>0</v>
      </c>
      <c r="Q1226" s="120" t="b">
        <v>0</v>
      </c>
      <c r="R1226" s="120" t="b">
        <v>0</v>
      </c>
      <c r="S1226" s="95"/>
      <c r="U1226" s="120" t="b">
        <v>0</v>
      </c>
      <c r="V1226" s="93"/>
      <c r="W1226" s="93"/>
      <c r="X1226" s="93"/>
      <c r="Y1226" s="93"/>
      <c r="AA1226" s="95"/>
      <c r="AB1226" s="121"/>
      <c r="AC1226" s="29" t="str">
        <f t="shared" si="5"/>
        <v>Sim</v>
      </c>
      <c r="AD1226" s="37" t="str">
        <f t="shared" si="1"/>
        <v>Não</v>
      </c>
      <c r="AE1226" s="94"/>
      <c r="AF1226" s="94"/>
      <c r="AG1226" s="95"/>
    </row>
    <row r="1227" hidden="1">
      <c r="A1227" s="115"/>
      <c r="B1227" s="93"/>
      <c r="E1227" s="116"/>
      <c r="F1227" s="95"/>
      <c r="G1227" s="95"/>
      <c r="H1227" s="94"/>
      <c r="I1227" s="94"/>
      <c r="J1227" s="117"/>
      <c r="K1227" s="118"/>
      <c r="L1227" s="119"/>
      <c r="M1227" s="94"/>
      <c r="N1227" s="94"/>
      <c r="O1227" s="93"/>
      <c r="P1227" s="120" t="b">
        <v>0</v>
      </c>
      <c r="Q1227" s="120" t="b">
        <v>0</v>
      </c>
      <c r="R1227" s="120" t="b">
        <v>0</v>
      </c>
      <c r="S1227" s="95"/>
      <c r="U1227" s="120" t="b">
        <v>0</v>
      </c>
      <c r="V1227" s="93"/>
      <c r="W1227" s="93"/>
      <c r="X1227" s="93"/>
      <c r="Y1227" s="93"/>
      <c r="AA1227" s="95"/>
      <c r="AB1227" s="121"/>
      <c r="AC1227" s="29" t="str">
        <f t="shared" si="5"/>
        <v>Sim</v>
      </c>
      <c r="AD1227" s="37" t="str">
        <f t="shared" si="1"/>
        <v>Não</v>
      </c>
      <c r="AE1227" s="94"/>
      <c r="AF1227" s="94"/>
      <c r="AG1227" s="95"/>
    </row>
    <row r="1228" hidden="1">
      <c r="A1228" s="115"/>
      <c r="B1228" s="93"/>
      <c r="E1228" s="116"/>
      <c r="F1228" s="95"/>
      <c r="G1228" s="95"/>
      <c r="H1228" s="94"/>
      <c r="I1228" s="94"/>
      <c r="J1228" s="117"/>
      <c r="K1228" s="118"/>
      <c r="L1228" s="119"/>
      <c r="M1228" s="94"/>
      <c r="N1228" s="94"/>
      <c r="O1228" s="93"/>
      <c r="P1228" s="120" t="b">
        <v>0</v>
      </c>
      <c r="Q1228" s="120" t="b">
        <v>0</v>
      </c>
      <c r="R1228" s="120" t="b">
        <v>0</v>
      </c>
      <c r="S1228" s="95"/>
      <c r="U1228" s="120" t="b">
        <v>0</v>
      </c>
      <c r="V1228" s="93"/>
      <c r="W1228" s="93"/>
      <c r="X1228" s="93"/>
      <c r="Y1228" s="93"/>
      <c r="AA1228" s="95"/>
      <c r="AB1228" s="121"/>
      <c r="AC1228" s="29" t="str">
        <f t="shared" si="5"/>
        <v>Sim</v>
      </c>
      <c r="AD1228" s="37" t="str">
        <f t="shared" si="1"/>
        <v>Não</v>
      </c>
      <c r="AE1228" s="94"/>
      <c r="AF1228" s="94"/>
      <c r="AG1228" s="95"/>
    </row>
    <row r="1229" hidden="1">
      <c r="A1229" s="115"/>
      <c r="B1229" s="93"/>
      <c r="E1229" s="116"/>
      <c r="F1229" s="95"/>
      <c r="G1229" s="95"/>
      <c r="H1229" s="94"/>
      <c r="I1229" s="94"/>
      <c r="J1229" s="117"/>
      <c r="K1229" s="118"/>
      <c r="L1229" s="119"/>
      <c r="M1229" s="94"/>
      <c r="N1229" s="94"/>
      <c r="O1229" s="93"/>
      <c r="P1229" s="120" t="b">
        <v>0</v>
      </c>
      <c r="Q1229" s="120" t="b">
        <v>0</v>
      </c>
      <c r="R1229" s="120" t="b">
        <v>0</v>
      </c>
      <c r="S1229" s="95"/>
      <c r="U1229" s="120" t="b">
        <v>0</v>
      </c>
      <c r="V1229" s="93"/>
      <c r="W1229" s="93"/>
      <c r="X1229" s="93"/>
      <c r="Y1229" s="93"/>
      <c r="AA1229" s="95"/>
      <c r="AB1229" s="121"/>
      <c r="AC1229" s="29" t="str">
        <f t="shared" si="5"/>
        <v>Sim</v>
      </c>
      <c r="AD1229" s="37" t="str">
        <f t="shared" si="1"/>
        <v>Não</v>
      </c>
      <c r="AE1229" s="94"/>
      <c r="AF1229" s="94"/>
      <c r="AG1229" s="95"/>
    </row>
    <row r="1230" hidden="1">
      <c r="A1230" s="115"/>
      <c r="B1230" s="93"/>
      <c r="E1230" s="116"/>
      <c r="F1230" s="95"/>
      <c r="G1230" s="95"/>
      <c r="H1230" s="94"/>
      <c r="I1230" s="94"/>
      <c r="J1230" s="117"/>
      <c r="K1230" s="118"/>
      <c r="L1230" s="119"/>
      <c r="M1230" s="94"/>
      <c r="N1230" s="94"/>
      <c r="O1230" s="93"/>
      <c r="P1230" s="120" t="b">
        <v>0</v>
      </c>
      <c r="Q1230" s="120" t="b">
        <v>0</v>
      </c>
      <c r="R1230" s="120" t="b">
        <v>0</v>
      </c>
      <c r="S1230" s="95"/>
      <c r="U1230" s="120" t="b">
        <v>0</v>
      </c>
      <c r="V1230" s="93"/>
      <c r="W1230" s="93"/>
      <c r="X1230" s="93"/>
      <c r="Y1230" s="93"/>
      <c r="AA1230" s="95"/>
      <c r="AB1230" s="121"/>
      <c r="AC1230" s="29" t="str">
        <f t="shared" si="5"/>
        <v>Sim</v>
      </c>
      <c r="AD1230" s="37" t="str">
        <f t="shared" si="1"/>
        <v>Não</v>
      </c>
      <c r="AE1230" s="94"/>
      <c r="AF1230" s="94"/>
      <c r="AG1230" s="95"/>
    </row>
    <row r="1231" hidden="1">
      <c r="A1231" s="115"/>
      <c r="B1231" s="93"/>
      <c r="E1231" s="116"/>
      <c r="F1231" s="95"/>
      <c r="G1231" s="95"/>
      <c r="H1231" s="94"/>
      <c r="I1231" s="94"/>
      <c r="J1231" s="117"/>
      <c r="K1231" s="118"/>
      <c r="L1231" s="119"/>
      <c r="M1231" s="94"/>
      <c r="N1231" s="94"/>
      <c r="O1231" s="93"/>
      <c r="P1231" s="120" t="b">
        <v>0</v>
      </c>
      <c r="Q1231" s="120" t="b">
        <v>0</v>
      </c>
      <c r="R1231" s="120" t="b">
        <v>0</v>
      </c>
      <c r="S1231" s="95"/>
      <c r="U1231" s="120" t="b">
        <v>0</v>
      </c>
      <c r="V1231" s="93"/>
      <c r="W1231" s="93"/>
      <c r="X1231" s="93"/>
      <c r="Y1231" s="93"/>
      <c r="AA1231" s="95"/>
      <c r="AB1231" s="121"/>
      <c r="AC1231" s="29" t="str">
        <f t="shared" si="5"/>
        <v>Sim</v>
      </c>
      <c r="AD1231" s="37" t="str">
        <f t="shared" si="1"/>
        <v>Não</v>
      </c>
      <c r="AE1231" s="94"/>
      <c r="AF1231" s="94"/>
      <c r="AG1231" s="95"/>
    </row>
    <row r="1232" hidden="1">
      <c r="A1232" s="115"/>
      <c r="B1232" s="93"/>
      <c r="E1232" s="116"/>
      <c r="F1232" s="95"/>
      <c r="G1232" s="95"/>
      <c r="H1232" s="94"/>
      <c r="I1232" s="94"/>
      <c r="J1232" s="117"/>
      <c r="K1232" s="118"/>
      <c r="L1232" s="119"/>
      <c r="M1232" s="94"/>
      <c r="N1232" s="94"/>
      <c r="O1232" s="93"/>
      <c r="P1232" s="120" t="b">
        <v>0</v>
      </c>
      <c r="Q1232" s="120" t="b">
        <v>0</v>
      </c>
      <c r="R1232" s="120" t="b">
        <v>0</v>
      </c>
      <c r="S1232" s="95"/>
      <c r="U1232" s="120" t="b">
        <v>0</v>
      </c>
      <c r="V1232" s="93"/>
      <c r="W1232" s="93"/>
      <c r="X1232" s="93"/>
      <c r="Y1232" s="93"/>
      <c r="AA1232" s="95"/>
      <c r="AB1232" s="121"/>
      <c r="AC1232" s="29" t="str">
        <f t="shared" si="5"/>
        <v>Sim</v>
      </c>
      <c r="AD1232" s="37" t="str">
        <f t="shared" si="1"/>
        <v>Não</v>
      </c>
      <c r="AE1232" s="94"/>
      <c r="AF1232" s="94"/>
      <c r="AG1232" s="95"/>
    </row>
    <row r="1233" hidden="1">
      <c r="A1233" s="115"/>
      <c r="B1233" s="93"/>
      <c r="E1233" s="116"/>
      <c r="F1233" s="95"/>
      <c r="G1233" s="95"/>
      <c r="H1233" s="94"/>
      <c r="I1233" s="94"/>
      <c r="J1233" s="117"/>
      <c r="K1233" s="118"/>
      <c r="L1233" s="119"/>
      <c r="M1233" s="94"/>
      <c r="N1233" s="94"/>
      <c r="O1233" s="93"/>
      <c r="P1233" s="120" t="b">
        <v>0</v>
      </c>
      <c r="Q1233" s="120" t="b">
        <v>0</v>
      </c>
      <c r="R1233" s="120" t="b">
        <v>0</v>
      </c>
      <c r="S1233" s="95"/>
      <c r="U1233" s="120" t="b">
        <v>0</v>
      </c>
      <c r="V1233" s="93"/>
      <c r="W1233" s="93"/>
      <c r="X1233" s="93"/>
      <c r="Y1233" s="93"/>
      <c r="AA1233" s="95"/>
      <c r="AB1233" s="121"/>
      <c r="AC1233" s="29" t="str">
        <f t="shared" si="5"/>
        <v>Sim</v>
      </c>
      <c r="AD1233" s="37" t="str">
        <f t="shared" si="1"/>
        <v>Não</v>
      </c>
      <c r="AE1233" s="94"/>
      <c r="AF1233" s="94"/>
      <c r="AG1233" s="95"/>
    </row>
    <row r="1234" hidden="1">
      <c r="A1234" s="115"/>
      <c r="B1234" s="93"/>
      <c r="E1234" s="116"/>
      <c r="F1234" s="95"/>
      <c r="G1234" s="95"/>
      <c r="H1234" s="94"/>
      <c r="I1234" s="94"/>
      <c r="J1234" s="117"/>
      <c r="K1234" s="118"/>
      <c r="L1234" s="119"/>
      <c r="M1234" s="94"/>
      <c r="N1234" s="94"/>
      <c r="O1234" s="93"/>
      <c r="P1234" s="120" t="b">
        <v>0</v>
      </c>
      <c r="Q1234" s="120" t="b">
        <v>0</v>
      </c>
      <c r="R1234" s="120" t="b">
        <v>0</v>
      </c>
      <c r="S1234" s="95"/>
      <c r="U1234" s="120" t="b">
        <v>0</v>
      </c>
      <c r="V1234" s="93"/>
      <c r="W1234" s="93"/>
      <c r="X1234" s="93"/>
      <c r="Y1234" s="93"/>
      <c r="AA1234" s="95"/>
      <c r="AB1234" s="121"/>
      <c r="AC1234" s="29" t="str">
        <f t="shared" si="5"/>
        <v>Sim</v>
      </c>
      <c r="AD1234" s="37" t="str">
        <f t="shared" si="1"/>
        <v>Não</v>
      </c>
      <c r="AE1234" s="94"/>
      <c r="AF1234" s="94"/>
      <c r="AG1234" s="95"/>
    </row>
    <row r="1235" hidden="1">
      <c r="A1235" s="115"/>
      <c r="B1235" s="93"/>
      <c r="E1235" s="116"/>
      <c r="F1235" s="95"/>
      <c r="G1235" s="95"/>
      <c r="H1235" s="94"/>
      <c r="I1235" s="94"/>
      <c r="J1235" s="117"/>
      <c r="K1235" s="118"/>
      <c r="L1235" s="119"/>
      <c r="M1235" s="94"/>
      <c r="N1235" s="94"/>
      <c r="O1235" s="93"/>
      <c r="P1235" s="120" t="b">
        <v>0</v>
      </c>
      <c r="Q1235" s="120" t="b">
        <v>0</v>
      </c>
      <c r="R1235" s="120" t="b">
        <v>0</v>
      </c>
      <c r="S1235" s="95"/>
      <c r="U1235" s="120" t="b">
        <v>0</v>
      </c>
      <c r="V1235" s="93"/>
      <c r="W1235" s="93"/>
      <c r="X1235" s="93"/>
      <c r="Y1235" s="93"/>
      <c r="AA1235" s="95"/>
      <c r="AB1235" s="121"/>
      <c r="AC1235" s="29" t="str">
        <f t="shared" si="5"/>
        <v>Sim</v>
      </c>
      <c r="AD1235" s="37" t="str">
        <f t="shared" si="1"/>
        <v>Não</v>
      </c>
      <c r="AE1235" s="94"/>
      <c r="AF1235" s="94"/>
      <c r="AG1235" s="95"/>
    </row>
    <row r="1236" hidden="1">
      <c r="A1236" s="115"/>
      <c r="B1236" s="93"/>
      <c r="E1236" s="116"/>
      <c r="F1236" s="95"/>
      <c r="G1236" s="95"/>
      <c r="H1236" s="94"/>
      <c r="I1236" s="94"/>
      <c r="J1236" s="117"/>
      <c r="K1236" s="118"/>
      <c r="L1236" s="119"/>
      <c r="M1236" s="94"/>
      <c r="N1236" s="94"/>
      <c r="O1236" s="93"/>
      <c r="P1236" s="120" t="b">
        <v>0</v>
      </c>
      <c r="Q1236" s="120" t="b">
        <v>0</v>
      </c>
      <c r="R1236" s="120" t="b">
        <v>0</v>
      </c>
      <c r="S1236" s="95"/>
      <c r="U1236" s="120" t="b">
        <v>0</v>
      </c>
      <c r="V1236" s="93"/>
      <c r="W1236" s="93"/>
      <c r="X1236" s="93"/>
      <c r="Y1236" s="93"/>
      <c r="AA1236" s="95"/>
      <c r="AB1236" s="121"/>
      <c r="AC1236" s="29" t="str">
        <f t="shared" si="5"/>
        <v>Sim</v>
      </c>
      <c r="AD1236" s="37" t="str">
        <f t="shared" si="1"/>
        <v>Não</v>
      </c>
      <c r="AE1236" s="94"/>
      <c r="AF1236" s="94"/>
      <c r="AG1236" s="95"/>
    </row>
    <row r="1237" hidden="1">
      <c r="A1237" s="115"/>
      <c r="B1237" s="93"/>
      <c r="E1237" s="116"/>
      <c r="F1237" s="95"/>
      <c r="G1237" s="95"/>
      <c r="H1237" s="94"/>
      <c r="I1237" s="94"/>
      <c r="J1237" s="117"/>
      <c r="K1237" s="118"/>
      <c r="L1237" s="119"/>
      <c r="M1237" s="94"/>
      <c r="N1237" s="94"/>
      <c r="O1237" s="93"/>
      <c r="P1237" s="120" t="b">
        <v>0</v>
      </c>
      <c r="Q1237" s="120" t="b">
        <v>0</v>
      </c>
      <c r="R1237" s="120" t="b">
        <v>0</v>
      </c>
      <c r="S1237" s="95"/>
      <c r="U1237" s="120" t="b">
        <v>0</v>
      </c>
      <c r="V1237" s="93"/>
      <c r="W1237" s="93"/>
      <c r="X1237" s="93"/>
      <c r="Y1237" s="93"/>
      <c r="AA1237" s="95"/>
      <c r="AB1237" s="121"/>
      <c r="AC1237" s="29" t="str">
        <f t="shared" si="5"/>
        <v>Sim</v>
      </c>
      <c r="AD1237" s="37" t="str">
        <f t="shared" si="1"/>
        <v>Não</v>
      </c>
      <c r="AE1237" s="94"/>
      <c r="AF1237" s="94"/>
      <c r="AG1237" s="95"/>
    </row>
    <row r="1238" hidden="1">
      <c r="A1238" s="115"/>
      <c r="B1238" s="93"/>
      <c r="E1238" s="116"/>
      <c r="F1238" s="95"/>
      <c r="G1238" s="95"/>
      <c r="H1238" s="94"/>
      <c r="I1238" s="94"/>
      <c r="J1238" s="117"/>
      <c r="K1238" s="118"/>
      <c r="L1238" s="119"/>
      <c r="M1238" s="94"/>
      <c r="N1238" s="94"/>
      <c r="O1238" s="93"/>
      <c r="P1238" s="120" t="b">
        <v>0</v>
      </c>
      <c r="Q1238" s="120" t="b">
        <v>0</v>
      </c>
      <c r="R1238" s="120" t="b">
        <v>0</v>
      </c>
      <c r="S1238" s="95"/>
      <c r="U1238" s="120" t="b">
        <v>0</v>
      </c>
      <c r="V1238" s="93"/>
      <c r="W1238" s="93"/>
      <c r="X1238" s="93"/>
      <c r="Y1238" s="93"/>
      <c r="AA1238" s="95"/>
      <c r="AB1238" s="121"/>
      <c r="AC1238" s="29" t="str">
        <f t="shared" si="5"/>
        <v>Sim</v>
      </c>
      <c r="AD1238" s="37" t="str">
        <f t="shared" si="1"/>
        <v>Não</v>
      </c>
      <c r="AE1238" s="94"/>
      <c r="AF1238" s="94"/>
      <c r="AG1238" s="95"/>
    </row>
    <row r="1239" hidden="1">
      <c r="A1239" s="115"/>
      <c r="B1239" s="93"/>
      <c r="E1239" s="116"/>
      <c r="F1239" s="95"/>
      <c r="G1239" s="95"/>
      <c r="H1239" s="94"/>
      <c r="I1239" s="94"/>
      <c r="J1239" s="117"/>
      <c r="K1239" s="118"/>
      <c r="L1239" s="119"/>
      <c r="M1239" s="94"/>
      <c r="N1239" s="94"/>
      <c r="O1239" s="93"/>
      <c r="P1239" s="120" t="b">
        <v>0</v>
      </c>
      <c r="Q1239" s="120" t="b">
        <v>0</v>
      </c>
      <c r="R1239" s="120" t="b">
        <v>0</v>
      </c>
      <c r="S1239" s="95"/>
      <c r="U1239" s="120" t="b">
        <v>0</v>
      </c>
      <c r="V1239" s="93"/>
      <c r="W1239" s="93"/>
      <c r="X1239" s="93"/>
      <c r="Y1239" s="93"/>
      <c r="AA1239" s="95"/>
      <c r="AB1239" s="121"/>
      <c r="AC1239" s="29" t="str">
        <f t="shared" si="5"/>
        <v>Sim</v>
      </c>
      <c r="AD1239" s="37" t="str">
        <f t="shared" si="1"/>
        <v>Não</v>
      </c>
      <c r="AE1239" s="94"/>
      <c r="AF1239" s="94"/>
      <c r="AG1239" s="95"/>
    </row>
    <row r="1240" hidden="1">
      <c r="A1240" s="115"/>
      <c r="B1240" s="93"/>
      <c r="E1240" s="116"/>
      <c r="F1240" s="95"/>
      <c r="G1240" s="95"/>
      <c r="H1240" s="94"/>
      <c r="I1240" s="94"/>
      <c r="J1240" s="117"/>
      <c r="K1240" s="118"/>
      <c r="L1240" s="119"/>
      <c r="M1240" s="94"/>
      <c r="N1240" s="94"/>
      <c r="O1240" s="93"/>
      <c r="P1240" s="120" t="b">
        <v>0</v>
      </c>
      <c r="Q1240" s="120" t="b">
        <v>0</v>
      </c>
      <c r="R1240" s="120" t="b">
        <v>0</v>
      </c>
      <c r="S1240" s="95"/>
      <c r="U1240" s="120" t="b">
        <v>0</v>
      </c>
      <c r="V1240" s="93"/>
      <c r="W1240" s="93"/>
      <c r="X1240" s="93"/>
      <c r="Y1240" s="93"/>
      <c r="AA1240" s="95"/>
      <c r="AB1240" s="121"/>
      <c r="AC1240" s="29" t="str">
        <f t="shared" si="5"/>
        <v>Sim</v>
      </c>
      <c r="AD1240" s="37" t="str">
        <f t="shared" si="1"/>
        <v>Não</v>
      </c>
      <c r="AE1240" s="94"/>
      <c r="AF1240" s="94"/>
      <c r="AG1240" s="95"/>
    </row>
    <row r="1241" hidden="1">
      <c r="A1241" s="115"/>
      <c r="B1241" s="93"/>
      <c r="E1241" s="116"/>
      <c r="F1241" s="95"/>
      <c r="G1241" s="95"/>
      <c r="H1241" s="94"/>
      <c r="I1241" s="94"/>
      <c r="J1241" s="117"/>
      <c r="K1241" s="118"/>
      <c r="L1241" s="119"/>
      <c r="M1241" s="94"/>
      <c r="N1241" s="94"/>
      <c r="O1241" s="93"/>
      <c r="P1241" s="120" t="b">
        <v>0</v>
      </c>
      <c r="Q1241" s="120" t="b">
        <v>0</v>
      </c>
      <c r="R1241" s="120" t="b">
        <v>0</v>
      </c>
      <c r="S1241" s="95"/>
      <c r="U1241" s="120" t="b">
        <v>0</v>
      </c>
      <c r="V1241" s="93"/>
      <c r="W1241" s="93"/>
      <c r="X1241" s="93"/>
      <c r="Y1241" s="93"/>
      <c r="AA1241" s="95"/>
      <c r="AB1241" s="121"/>
      <c r="AC1241" s="29" t="str">
        <f t="shared" si="5"/>
        <v>Sim</v>
      </c>
      <c r="AD1241" s="37" t="str">
        <f t="shared" si="1"/>
        <v>Não</v>
      </c>
      <c r="AE1241" s="94"/>
      <c r="AF1241" s="94"/>
      <c r="AG1241" s="95"/>
    </row>
    <row r="1242" hidden="1">
      <c r="A1242" s="115"/>
      <c r="B1242" s="93"/>
      <c r="E1242" s="116"/>
      <c r="F1242" s="95"/>
      <c r="G1242" s="95"/>
      <c r="H1242" s="94"/>
      <c r="I1242" s="94"/>
      <c r="J1242" s="117"/>
      <c r="K1242" s="118"/>
      <c r="L1242" s="119"/>
      <c r="M1242" s="94"/>
      <c r="N1242" s="94"/>
      <c r="O1242" s="93"/>
      <c r="P1242" s="120" t="b">
        <v>0</v>
      </c>
      <c r="Q1242" s="120" t="b">
        <v>0</v>
      </c>
      <c r="R1242" s="120" t="b">
        <v>0</v>
      </c>
      <c r="S1242" s="95"/>
      <c r="U1242" s="120" t="b">
        <v>0</v>
      </c>
      <c r="V1242" s="93"/>
      <c r="W1242" s="93"/>
      <c r="X1242" s="93"/>
      <c r="Y1242" s="93"/>
      <c r="AA1242" s="95"/>
      <c r="AB1242" s="121"/>
      <c r="AC1242" s="29" t="str">
        <f t="shared" si="5"/>
        <v>Sim</v>
      </c>
      <c r="AD1242" s="37" t="str">
        <f t="shared" si="1"/>
        <v>Não</v>
      </c>
      <c r="AE1242" s="94"/>
      <c r="AF1242" s="94"/>
      <c r="AG1242" s="95"/>
    </row>
    <row r="1243" hidden="1">
      <c r="A1243" s="115"/>
      <c r="B1243" s="93"/>
      <c r="E1243" s="116"/>
      <c r="F1243" s="95"/>
      <c r="G1243" s="95"/>
      <c r="H1243" s="94"/>
      <c r="I1243" s="94"/>
      <c r="J1243" s="117"/>
      <c r="K1243" s="118"/>
      <c r="L1243" s="119"/>
      <c r="M1243" s="94"/>
      <c r="N1243" s="94"/>
      <c r="O1243" s="93"/>
      <c r="P1243" s="120" t="b">
        <v>0</v>
      </c>
      <c r="Q1243" s="120" t="b">
        <v>0</v>
      </c>
      <c r="R1243" s="120" t="b">
        <v>0</v>
      </c>
      <c r="S1243" s="95"/>
      <c r="U1243" s="120" t="b">
        <v>0</v>
      </c>
      <c r="V1243" s="93"/>
      <c r="W1243" s="93"/>
      <c r="X1243" s="93"/>
      <c r="Y1243" s="93"/>
      <c r="AA1243" s="95"/>
      <c r="AB1243" s="121"/>
      <c r="AC1243" s="29" t="str">
        <f t="shared" si="5"/>
        <v>Sim</v>
      </c>
      <c r="AD1243" s="37" t="str">
        <f t="shared" si="1"/>
        <v>Não</v>
      </c>
      <c r="AE1243" s="94"/>
      <c r="AF1243" s="94"/>
      <c r="AG1243" s="95"/>
    </row>
    <row r="1244" hidden="1">
      <c r="A1244" s="115"/>
      <c r="B1244" s="93"/>
      <c r="E1244" s="116"/>
      <c r="F1244" s="95"/>
      <c r="G1244" s="95"/>
      <c r="H1244" s="94"/>
      <c r="I1244" s="94"/>
      <c r="J1244" s="117"/>
      <c r="K1244" s="118"/>
      <c r="L1244" s="119"/>
      <c r="M1244" s="94"/>
      <c r="N1244" s="94"/>
      <c r="O1244" s="93"/>
      <c r="P1244" s="120" t="b">
        <v>0</v>
      </c>
      <c r="Q1244" s="120" t="b">
        <v>0</v>
      </c>
      <c r="R1244" s="120" t="b">
        <v>0</v>
      </c>
      <c r="S1244" s="95"/>
      <c r="U1244" s="120" t="b">
        <v>0</v>
      </c>
      <c r="V1244" s="93"/>
      <c r="W1244" s="93"/>
      <c r="X1244" s="93"/>
      <c r="Y1244" s="93"/>
      <c r="AA1244" s="95"/>
      <c r="AB1244" s="121"/>
      <c r="AC1244" s="29" t="str">
        <f t="shared" si="5"/>
        <v>Sim</v>
      </c>
      <c r="AD1244" s="37" t="str">
        <f t="shared" si="1"/>
        <v>Não</v>
      </c>
      <c r="AE1244" s="94"/>
      <c r="AF1244" s="94"/>
      <c r="AG1244" s="95"/>
    </row>
    <row r="1245" hidden="1">
      <c r="A1245" s="115"/>
      <c r="B1245" s="93"/>
      <c r="E1245" s="116"/>
      <c r="F1245" s="95"/>
      <c r="G1245" s="95"/>
      <c r="H1245" s="94"/>
      <c r="I1245" s="94"/>
      <c r="J1245" s="117"/>
      <c r="K1245" s="118"/>
      <c r="L1245" s="119"/>
      <c r="M1245" s="94"/>
      <c r="N1245" s="94"/>
      <c r="O1245" s="93"/>
      <c r="P1245" s="120" t="b">
        <v>0</v>
      </c>
      <c r="Q1245" s="120" t="b">
        <v>0</v>
      </c>
      <c r="R1245" s="120" t="b">
        <v>0</v>
      </c>
      <c r="S1245" s="95"/>
      <c r="U1245" s="120" t="b">
        <v>0</v>
      </c>
      <c r="V1245" s="93"/>
      <c r="W1245" s="93"/>
      <c r="X1245" s="93"/>
      <c r="Y1245" s="93"/>
      <c r="AA1245" s="95"/>
      <c r="AB1245" s="121"/>
      <c r="AC1245" s="29" t="str">
        <f t="shared" si="5"/>
        <v>Sim</v>
      </c>
      <c r="AD1245" s="37" t="str">
        <f t="shared" si="1"/>
        <v>Não</v>
      </c>
      <c r="AE1245" s="94"/>
      <c r="AF1245" s="94"/>
      <c r="AG1245" s="95"/>
    </row>
    <row r="1246" hidden="1">
      <c r="A1246" s="115"/>
      <c r="B1246" s="93"/>
      <c r="E1246" s="116"/>
      <c r="F1246" s="95"/>
      <c r="G1246" s="95"/>
      <c r="H1246" s="94"/>
      <c r="I1246" s="94"/>
      <c r="J1246" s="117"/>
      <c r="K1246" s="118"/>
      <c r="L1246" s="119"/>
      <c r="M1246" s="94"/>
      <c r="N1246" s="94"/>
      <c r="O1246" s="93"/>
      <c r="P1246" s="120" t="b">
        <v>0</v>
      </c>
      <c r="Q1246" s="120" t="b">
        <v>0</v>
      </c>
      <c r="R1246" s="120" t="b">
        <v>0</v>
      </c>
      <c r="S1246" s="95"/>
      <c r="U1246" s="120" t="b">
        <v>0</v>
      </c>
      <c r="V1246" s="93"/>
      <c r="W1246" s="93"/>
      <c r="X1246" s="93"/>
      <c r="Y1246" s="93"/>
      <c r="AA1246" s="95"/>
      <c r="AB1246" s="121"/>
      <c r="AC1246" s="29" t="str">
        <f t="shared" si="5"/>
        <v>Sim</v>
      </c>
      <c r="AD1246" s="37" t="str">
        <f t="shared" si="1"/>
        <v>Não</v>
      </c>
      <c r="AE1246" s="94"/>
      <c r="AF1246" s="94"/>
      <c r="AG1246" s="95"/>
    </row>
    <row r="1247" hidden="1">
      <c r="A1247" s="115"/>
      <c r="B1247" s="93"/>
      <c r="E1247" s="116"/>
      <c r="F1247" s="95"/>
      <c r="G1247" s="95"/>
      <c r="H1247" s="94"/>
      <c r="I1247" s="94"/>
      <c r="J1247" s="117"/>
      <c r="K1247" s="118"/>
      <c r="L1247" s="119"/>
      <c r="M1247" s="94"/>
      <c r="N1247" s="94"/>
      <c r="O1247" s="93"/>
      <c r="P1247" s="120" t="b">
        <v>0</v>
      </c>
      <c r="Q1247" s="120" t="b">
        <v>0</v>
      </c>
      <c r="R1247" s="120" t="b">
        <v>0</v>
      </c>
      <c r="S1247" s="95"/>
      <c r="U1247" s="120" t="b">
        <v>0</v>
      </c>
      <c r="V1247" s="93"/>
      <c r="W1247" s="93"/>
      <c r="X1247" s="93"/>
      <c r="Y1247" s="93"/>
      <c r="AA1247" s="95"/>
      <c r="AB1247" s="121"/>
      <c r="AC1247" s="29" t="str">
        <f t="shared" si="5"/>
        <v>Sim</v>
      </c>
      <c r="AD1247" s="37" t="str">
        <f t="shared" si="1"/>
        <v>Não</v>
      </c>
      <c r="AE1247" s="94"/>
      <c r="AF1247" s="94"/>
      <c r="AG1247" s="95"/>
    </row>
    <row r="1248" hidden="1">
      <c r="A1248" s="115"/>
      <c r="B1248" s="93"/>
      <c r="E1248" s="116"/>
      <c r="F1248" s="95"/>
      <c r="G1248" s="95"/>
      <c r="H1248" s="94"/>
      <c r="I1248" s="94"/>
      <c r="J1248" s="117"/>
      <c r="K1248" s="118"/>
      <c r="L1248" s="119"/>
      <c r="M1248" s="94"/>
      <c r="N1248" s="94"/>
      <c r="O1248" s="93"/>
      <c r="P1248" s="120" t="b">
        <v>0</v>
      </c>
      <c r="Q1248" s="120" t="b">
        <v>0</v>
      </c>
      <c r="R1248" s="120" t="b">
        <v>0</v>
      </c>
      <c r="S1248" s="95"/>
      <c r="U1248" s="120" t="b">
        <v>0</v>
      </c>
      <c r="V1248" s="93"/>
      <c r="W1248" s="93"/>
      <c r="X1248" s="93"/>
      <c r="Y1248" s="93"/>
      <c r="AA1248" s="95"/>
      <c r="AB1248" s="121"/>
      <c r="AC1248" s="29" t="str">
        <f t="shared" si="5"/>
        <v>Sim</v>
      </c>
      <c r="AD1248" s="37" t="str">
        <f t="shared" si="1"/>
        <v>Não</v>
      </c>
      <c r="AE1248" s="94"/>
      <c r="AF1248" s="94"/>
      <c r="AG1248" s="95"/>
    </row>
    <row r="1249" hidden="1">
      <c r="A1249" s="115"/>
      <c r="B1249" s="93"/>
      <c r="E1249" s="116"/>
      <c r="F1249" s="95"/>
      <c r="G1249" s="95"/>
      <c r="H1249" s="94"/>
      <c r="I1249" s="94"/>
      <c r="J1249" s="117"/>
      <c r="K1249" s="118"/>
      <c r="L1249" s="119"/>
      <c r="M1249" s="94"/>
      <c r="N1249" s="94"/>
      <c r="O1249" s="93"/>
      <c r="P1249" s="120" t="b">
        <v>0</v>
      </c>
      <c r="Q1249" s="120" t="b">
        <v>0</v>
      </c>
      <c r="R1249" s="120" t="b">
        <v>0</v>
      </c>
      <c r="S1249" s="95"/>
      <c r="U1249" s="120" t="b">
        <v>0</v>
      </c>
      <c r="V1249" s="93"/>
      <c r="W1249" s="93"/>
      <c r="X1249" s="93"/>
      <c r="Y1249" s="93"/>
      <c r="AA1249" s="95"/>
      <c r="AB1249" s="121"/>
      <c r="AC1249" s="29" t="str">
        <f t="shared" si="5"/>
        <v>Sim</v>
      </c>
      <c r="AD1249" s="37" t="str">
        <f t="shared" si="1"/>
        <v>Não</v>
      </c>
      <c r="AE1249" s="94"/>
      <c r="AF1249" s="94"/>
      <c r="AG1249" s="95"/>
    </row>
    <row r="1250" hidden="1">
      <c r="A1250" s="115"/>
      <c r="B1250" s="93"/>
      <c r="E1250" s="116"/>
      <c r="F1250" s="95"/>
      <c r="G1250" s="95"/>
      <c r="H1250" s="94"/>
      <c r="I1250" s="94"/>
      <c r="J1250" s="117"/>
      <c r="K1250" s="118"/>
      <c r="L1250" s="119"/>
      <c r="M1250" s="94"/>
      <c r="N1250" s="94"/>
      <c r="O1250" s="93"/>
      <c r="P1250" s="120" t="b">
        <v>0</v>
      </c>
      <c r="Q1250" s="120" t="b">
        <v>0</v>
      </c>
      <c r="R1250" s="120" t="b">
        <v>0</v>
      </c>
      <c r="S1250" s="95"/>
      <c r="U1250" s="120" t="b">
        <v>0</v>
      </c>
      <c r="V1250" s="93"/>
      <c r="W1250" s="93"/>
      <c r="X1250" s="93"/>
      <c r="Y1250" s="93"/>
      <c r="AA1250" s="95"/>
      <c r="AB1250" s="121"/>
      <c r="AC1250" s="29" t="str">
        <f t="shared" si="5"/>
        <v>Sim</v>
      </c>
      <c r="AD1250" s="37" t="str">
        <f t="shared" si="1"/>
        <v>Não</v>
      </c>
      <c r="AE1250" s="94"/>
      <c r="AF1250" s="94"/>
      <c r="AG1250" s="95"/>
    </row>
    <row r="1251" hidden="1">
      <c r="A1251" s="115"/>
      <c r="B1251" s="93"/>
      <c r="E1251" s="116"/>
      <c r="F1251" s="95"/>
      <c r="G1251" s="95"/>
      <c r="H1251" s="94"/>
      <c r="I1251" s="94"/>
      <c r="J1251" s="117"/>
      <c r="K1251" s="118"/>
      <c r="L1251" s="119"/>
      <c r="M1251" s="94"/>
      <c r="N1251" s="94"/>
      <c r="O1251" s="93"/>
      <c r="P1251" s="120" t="b">
        <v>0</v>
      </c>
      <c r="Q1251" s="120" t="b">
        <v>0</v>
      </c>
      <c r="R1251" s="120" t="b">
        <v>0</v>
      </c>
      <c r="S1251" s="95"/>
      <c r="U1251" s="120" t="b">
        <v>0</v>
      </c>
      <c r="V1251" s="93"/>
      <c r="W1251" s="93"/>
      <c r="X1251" s="93"/>
      <c r="Y1251" s="93"/>
      <c r="AA1251" s="95"/>
      <c r="AB1251" s="121"/>
      <c r="AC1251" s="29" t="str">
        <f t="shared" si="5"/>
        <v>Sim</v>
      </c>
      <c r="AD1251" s="37" t="str">
        <f t="shared" si="1"/>
        <v>Não</v>
      </c>
      <c r="AE1251" s="94"/>
      <c r="AF1251" s="94"/>
      <c r="AG1251" s="95"/>
    </row>
    <row r="1252" hidden="1">
      <c r="A1252" s="115"/>
      <c r="B1252" s="93"/>
      <c r="E1252" s="116"/>
      <c r="F1252" s="95"/>
      <c r="G1252" s="95"/>
      <c r="H1252" s="94"/>
      <c r="I1252" s="94"/>
      <c r="J1252" s="117"/>
      <c r="K1252" s="118"/>
      <c r="L1252" s="119"/>
      <c r="M1252" s="94"/>
      <c r="N1252" s="94"/>
      <c r="O1252" s="93"/>
      <c r="P1252" s="120" t="b">
        <v>0</v>
      </c>
      <c r="Q1252" s="120" t="b">
        <v>0</v>
      </c>
      <c r="R1252" s="120" t="b">
        <v>0</v>
      </c>
      <c r="S1252" s="95"/>
      <c r="U1252" s="120" t="b">
        <v>0</v>
      </c>
      <c r="V1252" s="93"/>
      <c r="W1252" s="93"/>
      <c r="X1252" s="93"/>
      <c r="Y1252" s="93"/>
      <c r="AA1252" s="95"/>
      <c r="AB1252" s="121"/>
      <c r="AC1252" s="29" t="str">
        <f t="shared" si="5"/>
        <v>Sim</v>
      </c>
      <c r="AD1252" s="37" t="str">
        <f t="shared" si="1"/>
        <v>Não</v>
      </c>
      <c r="AE1252" s="94"/>
      <c r="AF1252" s="94"/>
      <c r="AG1252" s="95"/>
    </row>
    <row r="1253" hidden="1">
      <c r="A1253" s="115"/>
      <c r="B1253" s="93"/>
      <c r="E1253" s="116"/>
      <c r="F1253" s="95"/>
      <c r="G1253" s="95"/>
      <c r="H1253" s="94"/>
      <c r="I1253" s="94"/>
      <c r="J1253" s="117"/>
      <c r="K1253" s="118"/>
      <c r="L1253" s="119"/>
      <c r="M1253" s="94"/>
      <c r="N1253" s="94"/>
      <c r="O1253" s="93"/>
      <c r="P1253" s="120" t="b">
        <v>0</v>
      </c>
      <c r="Q1253" s="120" t="b">
        <v>0</v>
      </c>
      <c r="R1253" s="120" t="b">
        <v>0</v>
      </c>
      <c r="S1253" s="95"/>
      <c r="U1253" s="120" t="b">
        <v>0</v>
      </c>
      <c r="V1253" s="93"/>
      <c r="W1253" s="93"/>
      <c r="X1253" s="93"/>
      <c r="Y1253" s="93"/>
      <c r="AA1253" s="95"/>
      <c r="AB1253" s="121"/>
      <c r="AC1253" s="29" t="str">
        <f t="shared" si="5"/>
        <v>Sim</v>
      </c>
      <c r="AD1253" s="37" t="str">
        <f t="shared" si="1"/>
        <v>Não</v>
      </c>
      <c r="AE1253" s="94"/>
      <c r="AF1253" s="94"/>
      <c r="AG1253" s="95"/>
    </row>
    <row r="1254" hidden="1">
      <c r="A1254" s="115"/>
      <c r="B1254" s="93"/>
      <c r="E1254" s="116"/>
      <c r="F1254" s="95"/>
      <c r="G1254" s="95"/>
      <c r="H1254" s="94"/>
      <c r="I1254" s="94"/>
      <c r="J1254" s="117"/>
      <c r="K1254" s="118"/>
      <c r="L1254" s="119"/>
      <c r="M1254" s="94"/>
      <c r="N1254" s="94"/>
      <c r="O1254" s="93"/>
      <c r="P1254" s="120" t="b">
        <v>0</v>
      </c>
      <c r="Q1254" s="120" t="b">
        <v>0</v>
      </c>
      <c r="R1254" s="120" t="b">
        <v>0</v>
      </c>
      <c r="S1254" s="95"/>
      <c r="U1254" s="120" t="b">
        <v>0</v>
      </c>
      <c r="V1254" s="93"/>
      <c r="W1254" s="93"/>
      <c r="X1254" s="93"/>
      <c r="Y1254" s="93"/>
      <c r="AA1254" s="95"/>
      <c r="AB1254" s="121"/>
      <c r="AC1254" s="29" t="str">
        <f t="shared" si="5"/>
        <v>Sim</v>
      </c>
      <c r="AD1254" s="37" t="str">
        <f t="shared" si="1"/>
        <v>Não</v>
      </c>
      <c r="AE1254" s="94"/>
      <c r="AF1254" s="94"/>
      <c r="AG1254" s="95"/>
    </row>
    <row r="1255" hidden="1">
      <c r="A1255" s="115"/>
      <c r="B1255" s="93"/>
      <c r="E1255" s="116"/>
      <c r="F1255" s="95"/>
      <c r="G1255" s="95"/>
      <c r="H1255" s="94"/>
      <c r="I1255" s="94"/>
      <c r="J1255" s="117"/>
      <c r="K1255" s="118"/>
      <c r="L1255" s="119"/>
      <c r="M1255" s="94"/>
      <c r="N1255" s="94"/>
      <c r="O1255" s="93"/>
      <c r="P1255" s="120" t="b">
        <v>0</v>
      </c>
      <c r="Q1255" s="120" t="b">
        <v>0</v>
      </c>
      <c r="R1255" s="120" t="b">
        <v>0</v>
      </c>
      <c r="S1255" s="95"/>
      <c r="U1255" s="120" t="b">
        <v>0</v>
      </c>
      <c r="V1255" s="93"/>
      <c r="W1255" s="93"/>
      <c r="X1255" s="93"/>
      <c r="Y1255" s="93"/>
      <c r="AA1255" s="95"/>
      <c r="AB1255" s="121"/>
      <c r="AC1255" s="29" t="str">
        <f t="shared" si="5"/>
        <v>Sim</v>
      </c>
      <c r="AD1255" s="37" t="str">
        <f t="shared" si="1"/>
        <v>Não</v>
      </c>
      <c r="AE1255" s="94"/>
      <c r="AF1255" s="94"/>
      <c r="AG1255" s="95"/>
    </row>
    <row r="1256" hidden="1">
      <c r="A1256" s="115"/>
      <c r="B1256" s="93"/>
      <c r="E1256" s="116"/>
      <c r="F1256" s="95"/>
      <c r="G1256" s="95"/>
      <c r="H1256" s="94"/>
      <c r="I1256" s="94"/>
      <c r="J1256" s="117"/>
      <c r="K1256" s="118"/>
      <c r="L1256" s="119"/>
      <c r="M1256" s="94"/>
      <c r="N1256" s="94"/>
      <c r="O1256" s="93"/>
      <c r="P1256" s="120" t="b">
        <v>0</v>
      </c>
      <c r="Q1256" s="120" t="b">
        <v>0</v>
      </c>
      <c r="R1256" s="120" t="b">
        <v>0</v>
      </c>
      <c r="S1256" s="95"/>
      <c r="U1256" s="120" t="b">
        <v>0</v>
      </c>
      <c r="V1256" s="93"/>
      <c r="W1256" s="93"/>
      <c r="X1256" s="93"/>
      <c r="Y1256" s="93"/>
      <c r="AA1256" s="95"/>
      <c r="AB1256" s="121"/>
      <c r="AC1256" s="29" t="str">
        <f t="shared" si="5"/>
        <v>Sim</v>
      </c>
      <c r="AD1256" s="37" t="str">
        <f t="shared" si="1"/>
        <v>Não</v>
      </c>
      <c r="AE1256" s="94"/>
      <c r="AF1256" s="94"/>
      <c r="AG1256" s="95"/>
    </row>
    <row r="1257" hidden="1">
      <c r="A1257" s="115"/>
      <c r="B1257" s="93"/>
      <c r="E1257" s="116"/>
      <c r="F1257" s="95"/>
      <c r="G1257" s="95"/>
      <c r="H1257" s="94"/>
      <c r="I1257" s="94"/>
      <c r="J1257" s="117"/>
      <c r="K1257" s="118"/>
      <c r="L1257" s="119"/>
      <c r="M1257" s="94"/>
      <c r="N1257" s="94"/>
      <c r="O1257" s="93"/>
      <c r="P1257" s="120" t="b">
        <v>0</v>
      </c>
      <c r="Q1257" s="120" t="b">
        <v>0</v>
      </c>
      <c r="R1257" s="120" t="b">
        <v>0</v>
      </c>
      <c r="S1257" s="95"/>
      <c r="U1257" s="120" t="b">
        <v>0</v>
      </c>
      <c r="V1257" s="93"/>
      <c r="W1257" s="93"/>
      <c r="X1257" s="93"/>
      <c r="Y1257" s="93"/>
      <c r="AA1257" s="95"/>
      <c r="AB1257" s="121"/>
      <c r="AC1257" s="29" t="str">
        <f t="shared" si="5"/>
        <v>Sim</v>
      </c>
      <c r="AD1257" s="37" t="str">
        <f t="shared" si="1"/>
        <v>Não</v>
      </c>
      <c r="AE1257" s="94"/>
      <c r="AF1257" s="94"/>
      <c r="AG1257" s="95"/>
    </row>
    <row r="1258" hidden="1">
      <c r="A1258" s="115"/>
      <c r="B1258" s="93"/>
      <c r="E1258" s="116"/>
      <c r="F1258" s="95"/>
      <c r="G1258" s="95"/>
      <c r="H1258" s="94"/>
      <c r="I1258" s="94"/>
      <c r="J1258" s="117"/>
      <c r="K1258" s="118"/>
      <c r="L1258" s="119"/>
      <c r="M1258" s="94"/>
      <c r="N1258" s="94"/>
      <c r="O1258" s="93"/>
      <c r="P1258" s="120" t="b">
        <v>0</v>
      </c>
      <c r="Q1258" s="120" t="b">
        <v>0</v>
      </c>
      <c r="R1258" s="120" t="b">
        <v>0</v>
      </c>
      <c r="S1258" s="95"/>
      <c r="U1258" s="120" t="b">
        <v>0</v>
      </c>
      <c r="V1258" s="93"/>
      <c r="W1258" s="93"/>
      <c r="X1258" s="93"/>
      <c r="Y1258" s="93"/>
      <c r="AA1258" s="95"/>
      <c r="AB1258" s="121"/>
      <c r="AC1258" s="29" t="str">
        <f t="shared" si="5"/>
        <v>Sim</v>
      </c>
      <c r="AD1258" s="37" t="str">
        <f t="shared" si="1"/>
        <v>Não</v>
      </c>
      <c r="AE1258" s="94"/>
      <c r="AF1258" s="94"/>
      <c r="AG1258" s="95"/>
    </row>
    <row r="1259" hidden="1">
      <c r="A1259" s="115"/>
      <c r="B1259" s="93"/>
      <c r="E1259" s="116"/>
      <c r="F1259" s="95"/>
      <c r="G1259" s="95"/>
      <c r="H1259" s="94"/>
      <c r="I1259" s="94"/>
      <c r="J1259" s="117"/>
      <c r="K1259" s="118"/>
      <c r="L1259" s="119"/>
      <c r="M1259" s="94"/>
      <c r="N1259" s="94"/>
      <c r="O1259" s="93"/>
      <c r="P1259" s="120" t="b">
        <v>0</v>
      </c>
      <c r="Q1259" s="120" t="b">
        <v>0</v>
      </c>
      <c r="R1259" s="120" t="b">
        <v>0</v>
      </c>
      <c r="S1259" s="95"/>
      <c r="U1259" s="120" t="b">
        <v>0</v>
      </c>
      <c r="V1259" s="93"/>
      <c r="W1259" s="93"/>
      <c r="X1259" s="93"/>
      <c r="Y1259" s="93"/>
      <c r="AA1259" s="95"/>
      <c r="AB1259" s="121"/>
      <c r="AC1259" s="29" t="str">
        <f t="shared" si="5"/>
        <v>Sim</v>
      </c>
      <c r="AD1259" s="37" t="str">
        <f t="shared" si="1"/>
        <v>Não</v>
      </c>
      <c r="AE1259" s="94"/>
      <c r="AF1259" s="94"/>
      <c r="AG1259" s="95"/>
    </row>
    <row r="1260" hidden="1">
      <c r="A1260" s="115"/>
      <c r="B1260" s="93"/>
      <c r="E1260" s="116"/>
      <c r="F1260" s="95"/>
      <c r="G1260" s="95"/>
      <c r="H1260" s="94"/>
      <c r="I1260" s="94"/>
      <c r="J1260" s="117"/>
      <c r="K1260" s="118"/>
      <c r="L1260" s="119"/>
      <c r="M1260" s="94"/>
      <c r="N1260" s="94"/>
      <c r="O1260" s="93"/>
      <c r="P1260" s="120" t="b">
        <v>0</v>
      </c>
      <c r="Q1260" s="120" t="b">
        <v>0</v>
      </c>
      <c r="R1260" s="120" t="b">
        <v>0</v>
      </c>
      <c r="S1260" s="95"/>
      <c r="U1260" s="120" t="b">
        <v>0</v>
      </c>
      <c r="V1260" s="93"/>
      <c r="W1260" s="93"/>
      <c r="X1260" s="93"/>
      <c r="Y1260" s="93"/>
      <c r="AA1260" s="95"/>
      <c r="AB1260" s="121"/>
      <c r="AC1260" s="29" t="str">
        <f t="shared" si="5"/>
        <v>Sim</v>
      </c>
      <c r="AD1260" s="37" t="str">
        <f t="shared" si="1"/>
        <v>Não</v>
      </c>
      <c r="AE1260" s="94"/>
      <c r="AF1260" s="94"/>
      <c r="AG1260" s="95"/>
    </row>
    <row r="1261" hidden="1">
      <c r="A1261" s="115"/>
      <c r="B1261" s="93"/>
      <c r="E1261" s="116"/>
      <c r="F1261" s="95"/>
      <c r="G1261" s="95"/>
      <c r="H1261" s="94"/>
      <c r="I1261" s="94"/>
      <c r="J1261" s="117"/>
      <c r="K1261" s="118"/>
      <c r="L1261" s="119"/>
      <c r="M1261" s="94"/>
      <c r="N1261" s="94"/>
      <c r="O1261" s="93"/>
      <c r="P1261" s="120" t="b">
        <v>0</v>
      </c>
      <c r="Q1261" s="120" t="b">
        <v>0</v>
      </c>
      <c r="R1261" s="120" t="b">
        <v>0</v>
      </c>
      <c r="S1261" s="95"/>
      <c r="U1261" s="120" t="b">
        <v>0</v>
      </c>
      <c r="V1261" s="93"/>
      <c r="W1261" s="93"/>
      <c r="X1261" s="93"/>
      <c r="Y1261" s="93"/>
      <c r="AA1261" s="95"/>
      <c r="AB1261" s="121"/>
      <c r="AC1261" s="29" t="str">
        <f t="shared" si="5"/>
        <v>Sim</v>
      </c>
      <c r="AD1261" s="37" t="str">
        <f t="shared" si="1"/>
        <v>Não</v>
      </c>
      <c r="AE1261" s="94"/>
      <c r="AF1261" s="94"/>
      <c r="AG1261" s="95"/>
    </row>
    <row r="1262" hidden="1">
      <c r="A1262" s="115"/>
      <c r="B1262" s="93"/>
      <c r="E1262" s="116"/>
      <c r="F1262" s="95"/>
      <c r="G1262" s="95"/>
      <c r="H1262" s="94"/>
      <c r="I1262" s="94"/>
      <c r="J1262" s="117"/>
      <c r="K1262" s="118"/>
      <c r="L1262" s="119"/>
      <c r="M1262" s="94"/>
      <c r="N1262" s="94"/>
      <c r="O1262" s="93"/>
      <c r="P1262" s="120" t="b">
        <v>0</v>
      </c>
      <c r="Q1262" s="120" t="b">
        <v>0</v>
      </c>
      <c r="R1262" s="120" t="b">
        <v>0</v>
      </c>
      <c r="S1262" s="95"/>
      <c r="U1262" s="120" t="b">
        <v>0</v>
      </c>
      <c r="V1262" s="93"/>
      <c r="W1262" s="93"/>
      <c r="X1262" s="93"/>
      <c r="Y1262" s="93"/>
      <c r="AA1262" s="95"/>
      <c r="AB1262" s="121"/>
      <c r="AC1262" s="29" t="str">
        <f t="shared" si="5"/>
        <v>Sim</v>
      </c>
      <c r="AD1262" s="37" t="str">
        <f t="shared" si="1"/>
        <v>Não</v>
      </c>
      <c r="AE1262" s="94"/>
      <c r="AF1262" s="94"/>
      <c r="AG1262" s="95"/>
    </row>
    <row r="1263" hidden="1">
      <c r="A1263" s="115"/>
      <c r="B1263" s="93"/>
      <c r="E1263" s="116"/>
      <c r="F1263" s="95"/>
      <c r="G1263" s="95"/>
      <c r="H1263" s="94"/>
      <c r="I1263" s="94"/>
      <c r="J1263" s="117"/>
      <c r="K1263" s="118"/>
      <c r="L1263" s="119"/>
      <c r="M1263" s="94"/>
      <c r="N1263" s="94"/>
      <c r="O1263" s="93"/>
      <c r="P1263" s="120" t="b">
        <v>0</v>
      </c>
      <c r="Q1263" s="120" t="b">
        <v>0</v>
      </c>
      <c r="R1263" s="120" t="b">
        <v>0</v>
      </c>
      <c r="S1263" s="95"/>
      <c r="U1263" s="120" t="b">
        <v>0</v>
      </c>
      <c r="V1263" s="93"/>
      <c r="W1263" s="93"/>
      <c r="X1263" s="93"/>
      <c r="Y1263" s="93"/>
      <c r="AA1263" s="95"/>
      <c r="AB1263" s="121"/>
      <c r="AC1263" s="29" t="str">
        <f t="shared" si="5"/>
        <v>Sim</v>
      </c>
      <c r="AD1263" s="37" t="str">
        <f t="shared" si="1"/>
        <v>Não</v>
      </c>
      <c r="AE1263" s="94"/>
      <c r="AF1263" s="94"/>
      <c r="AG1263" s="95"/>
    </row>
    <row r="1264" hidden="1">
      <c r="A1264" s="115"/>
      <c r="B1264" s="93"/>
      <c r="E1264" s="116"/>
      <c r="F1264" s="95"/>
      <c r="G1264" s="95"/>
      <c r="H1264" s="94"/>
      <c r="I1264" s="94"/>
      <c r="J1264" s="117"/>
      <c r="K1264" s="118"/>
      <c r="L1264" s="119"/>
      <c r="M1264" s="94"/>
      <c r="N1264" s="94"/>
      <c r="O1264" s="93"/>
      <c r="P1264" s="120" t="b">
        <v>0</v>
      </c>
      <c r="Q1264" s="120" t="b">
        <v>0</v>
      </c>
      <c r="R1264" s="120" t="b">
        <v>0</v>
      </c>
      <c r="S1264" s="95"/>
      <c r="U1264" s="120" t="b">
        <v>0</v>
      </c>
      <c r="V1264" s="93"/>
      <c r="W1264" s="93"/>
      <c r="X1264" s="93"/>
      <c r="Y1264" s="93"/>
      <c r="AA1264" s="95"/>
      <c r="AB1264" s="121"/>
      <c r="AC1264" s="29" t="str">
        <f t="shared" si="5"/>
        <v>Sim</v>
      </c>
      <c r="AD1264" s="37" t="str">
        <f t="shared" si="1"/>
        <v>Não</v>
      </c>
      <c r="AE1264" s="94"/>
      <c r="AF1264" s="94"/>
      <c r="AG1264" s="95"/>
    </row>
    <row r="1265" hidden="1">
      <c r="A1265" s="115"/>
      <c r="B1265" s="93"/>
      <c r="E1265" s="116"/>
      <c r="F1265" s="95"/>
      <c r="G1265" s="95"/>
      <c r="H1265" s="94"/>
      <c r="I1265" s="94"/>
      <c r="J1265" s="117"/>
      <c r="K1265" s="118"/>
      <c r="L1265" s="119"/>
      <c r="M1265" s="94"/>
      <c r="N1265" s="94"/>
      <c r="O1265" s="93"/>
      <c r="P1265" s="120" t="b">
        <v>0</v>
      </c>
      <c r="Q1265" s="120" t="b">
        <v>0</v>
      </c>
      <c r="R1265" s="120" t="b">
        <v>0</v>
      </c>
      <c r="S1265" s="95"/>
      <c r="U1265" s="120" t="b">
        <v>0</v>
      </c>
      <c r="V1265" s="93"/>
      <c r="W1265" s="93"/>
      <c r="X1265" s="93"/>
      <c r="Y1265" s="93"/>
      <c r="AA1265" s="95"/>
      <c r="AB1265" s="121"/>
      <c r="AC1265" s="29" t="str">
        <f t="shared" si="5"/>
        <v>Sim</v>
      </c>
      <c r="AD1265" s="37" t="str">
        <f t="shared" si="1"/>
        <v>Não</v>
      </c>
      <c r="AE1265" s="94"/>
      <c r="AF1265" s="94"/>
      <c r="AG1265" s="95"/>
    </row>
    <row r="1266" hidden="1">
      <c r="A1266" s="115"/>
      <c r="B1266" s="93"/>
      <c r="E1266" s="116"/>
      <c r="F1266" s="95"/>
      <c r="G1266" s="95"/>
      <c r="H1266" s="94"/>
      <c r="I1266" s="94"/>
      <c r="J1266" s="117"/>
      <c r="K1266" s="118"/>
      <c r="L1266" s="119"/>
      <c r="M1266" s="94"/>
      <c r="N1266" s="94"/>
      <c r="O1266" s="93"/>
      <c r="P1266" s="120" t="b">
        <v>0</v>
      </c>
      <c r="Q1266" s="120" t="b">
        <v>0</v>
      </c>
      <c r="R1266" s="120" t="b">
        <v>0</v>
      </c>
      <c r="S1266" s="95"/>
      <c r="U1266" s="120" t="b">
        <v>0</v>
      </c>
      <c r="V1266" s="93"/>
      <c r="W1266" s="93"/>
      <c r="X1266" s="93"/>
      <c r="Y1266" s="93"/>
      <c r="AA1266" s="95"/>
      <c r="AB1266" s="121"/>
      <c r="AC1266" s="29" t="str">
        <f t="shared" si="5"/>
        <v>Sim</v>
      </c>
      <c r="AD1266" s="37" t="str">
        <f t="shared" si="1"/>
        <v>Não</v>
      </c>
      <c r="AE1266" s="94"/>
      <c r="AF1266" s="94"/>
      <c r="AG1266" s="95"/>
    </row>
    <row r="1267" hidden="1">
      <c r="A1267" s="115"/>
      <c r="B1267" s="93"/>
      <c r="E1267" s="116"/>
      <c r="F1267" s="95"/>
      <c r="G1267" s="95"/>
      <c r="H1267" s="94"/>
      <c r="I1267" s="94"/>
      <c r="J1267" s="117"/>
      <c r="K1267" s="118"/>
      <c r="L1267" s="119"/>
      <c r="M1267" s="94"/>
      <c r="N1267" s="94"/>
      <c r="O1267" s="93"/>
      <c r="P1267" s="120" t="b">
        <v>0</v>
      </c>
      <c r="Q1267" s="120" t="b">
        <v>0</v>
      </c>
      <c r="R1267" s="120" t="b">
        <v>0</v>
      </c>
      <c r="S1267" s="95"/>
      <c r="U1267" s="120" t="b">
        <v>0</v>
      </c>
      <c r="V1267" s="93"/>
      <c r="W1267" s="93"/>
      <c r="X1267" s="93"/>
      <c r="Y1267" s="93"/>
      <c r="AA1267" s="95"/>
      <c r="AB1267" s="121"/>
      <c r="AC1267" s="29" t="str">
        <f t="shared" si="5"/>
        <v>Sim</v>
      </c>
      <c r="AD1267" s="37" t="str">
        <f t="shared" si="1"/>
        <v>Não</v>
      </c>
      <c r="AE1267" s="94"/>
      <c r="AF1267" s="94"/>
      <c r="AG1267" s="95"/>
    </row>
    <row r="1268" hidden="1">
      <c r="A1268" s="115"/>
      <c r="B1268" s="93"/>
      <c r="E1268" s="116"/>
      <c r="F1268" s="95"/>
      <c r="G1268" s="95"/>
      <c r="H1268" s="94"/>
      <c r="I1268" s="94"/>
      <c r="J1268" s="117"/>
      <c r="K1268" s="118"/>
      <c r="L1268" s="119"/>
      <c r="M1268" s="94"/>
      <c r="N1268" s="94"/>
      <c r="O1268" s="93"/>
      <c r="P1268" s="120" t="b">
        <v>0</v>
      </c>
      <c r="Q1268" s="120" t="b">
        <v>0</v>
      </c>
      <c r="R1268" s="120" t="b">
        <v>0</v>
      </c>
      <c r="S1268" s="95"/>
      <c r="U1268" s="120" t="b">
        <v>0</v>
      </c>
      <c r="V1268" s="93"/>
      <c r="W1268" s="93"/>
      <c r="X1268" s="93"/>
      <c r="Y1268" s="93"/>
      <c r="AA1268" s="95"/>
      <c r="AB1268" s="121"/>
      <c r="AC1268" s="29" t="str">
        <f t="shared" si="5"/>
        <v>Sim</v>
      </c>
      <c r="AD1268" s="37" t="str">
        <f t="shared" si="1"/>
        <v>Não</v>
      </c>
      <c r="AE1268" s="94"/>
      <c r="AF1268" s="94"/>
      <c r="AG1268" s="95"/>
    </row>
    <row r="1269" hidden="1">
      <c r="A1269" s="115"/>
      <c r="B1269" s="93"/>
      <c r="E1269" s="116"/>
      <c r="F1269" s="95"/>
      <c r="G1269" s="95"/>
      <c r="H1269" s="94"/>
      <c r="I1269" s="94"/>
      <c r="J1269" s="117"/>
      <c r="K1269" s="118"/>
      <c r="L1269" s="119"/>
      <c r="M1269" s="94"/>
      <c r="N1269" s="94"/>
      <c r="O1269" s="93"/>
      <c r="P1269" s="120" t="b">
        <v>0</v>
      </c>
      <c r="Q1269" s="120" t="b">
        <v>0</v>
      </c>
      <c r="R1269" s="120" t="b">
        <v>0</v>
      </c>
      <c r="S1269" s="95"/>
      <c r="U1269" s="120" t="b">
        <v>0</v>
      </c>
      <c r="V1269" s="93"/>
      <c r="W1269" s="93"/>
      <c r="X1269" s="93"/>
      <c r="Y1269" s="93"/>
      <c r="AA1269" s="95"/>
      <c r="AB1269" s="121"/>
      <c r="AC1269" s="29" t="str">
        <f t="shared" si="5"/>
        <v>Sim</v>
      </c>
      <c r="AD1269" s="37" t="str">
        <f t="shared" si="1"/>
        <v>Não</v>
      </c>
      <c r="AE1269" s="94"/>
      <c r="AF1269" s="94"/>
      <c r="AG1269" s="95"/>
    </row>
    <row r="1270" hidden="1">
      <c r="A1270" s="115"/>
      <c r="B1270" s="93"/>
      <c r="E1270" s="116"/>
      <c r="F1270" s="95"/>
      <c r="G1270" s="95"/>
      <c r="H1270" s="94"/>
      <c r="I1270" s="94"/>
      <c r="J1270" s="117"/>
      <c r="K1270" s="118"/>
      <c r="L1270" s="119"/>
      <c r="M1270" s="94"/>
      <c r="N1270" s="94"/>
      <c r="O1270" s="93"/>
      <c r="P1270" s="120" t="b">
        <v>0</v>
      </c>
      <c r="Q1270" s="120" t="b">
        <v>0</v>
      </c>
      <c r="R1270" s="120" t="b">
        <v>0</v>
      </c>
      <c r="S1270" s="95"/>
      <c r="U1270" s="120" t="b">
        <v>0</v>
      </c>
      <c r="V1270" s="93"/>
      <c r="W1270" s="93"/>
      <c r="X1270" s="93"/>
      <c r="Y1270" s="93"/>
      <c r="AA1270" s="95"/>
      <c r="AB1270" s="121"/>
      <c r="AC1270" s="29" t="str">
        <f t="shared" si="5"/>
        <v>Sim</v>
      </c>
      <c r="AD1270" s="37" t="str">
        <f t="shared" si="1"/>
        <v>Não</v>
      </c>
      <c r="AE1270" s="94"/>
      <c r="AF1270" s="94"/>
      <c r="AG1270" s="95"/>
    </row>
    <row r="1271" hidden="1">
      <c r="A1271" s="115"/>
      <c r="B1271" s="93"/>
      <c r="E1271" s="116"/>
      <c r="F1271" s="95"/>
      <c r="G1271" s="95"/>
      <c r="H1271" s="94"/>
      <c r="I1271" s="94"/>
      <c r="J1271" s="117"/>
      <c r="K1271" s="118"/>
      <c r="L1271" s="119"/>
      <c r="M1271" s="94"/>
      <c r="N1271" s="94"/>
      <c r="O1271" s="93"/>
      <c r="P1271" s="120" t="b">
        <v>0</v>
      </c>
      <c r="Q1271" s="120" t="b">
        <v>0</v>
      </c>
      <c r="R1271" s="120" t="b">
        <v>0</v>
      </c>
      <c r="S1271" s="95"/>
      <c r="U1271" s="120" t="b">
        <v>0</v>
      </c>
      <c r="V1271" s="93"/>
      <c r="W1271" s="93"/>
      <c r="X1271" s="93"/>
      <c r="Y1271" s="93"/>
      <c r="AA1271" s="95"/>
      <c r="AB1271" s="121"/>
      <c r="AC1271" s="29" t="str">
        <f t="shared" si="5"/>
        <v>Sim</v>
      </c>
      <c r="AD1271" s="37" t="str">
        <f t="shared" si="1"/>
        <v>Não</v>
      </c>
      <c r="AE1271" s="94"/>
      <c r="AF1271" s="94"/>
      <c r="AG1271" s="95"/>
    </row>
    <row r="1272" hidden="1">
      <c r="A1272" s="115"/>
      <c r="B1272" s="93"/>
      <c r="E1272" s="116"/>
      <c r="F1272" s="95"/>
      <c r="G1272" s="95"/>
      <c r="H1272" s="94"/>
      <c r="I1272" s="94"/>
      <c r="J1272" s="117"/>
      <c r="K1272" s="118"/>
      <c r="L1272" s="119"/>
      <c r="M1272" s="94"/>
      <c r="N1272" s="94"/>
      <c r="O1272" s="93"/>
      <c r="P1272" s="120" t="b">
        <v>0</v>
      </c>
      <c r="Q1272" s="120" t="b">
        <v>0</v>
      </c>
      <c r="R1272" s="120" t="b">
        <v>0</v>
      </c>
      <c r="S1272" s="95"/>
      <c r="U1272" s="120" t="b">
        <v>0</v>
      </c>
      <c r="V1272" s="93"/>
      <c r="W1272" s="93"/>
      <c r="X1272" s="93"/>
      <c r="Y1272" s="93"/>
      <c r="AA1272" s="95"/>
      <c r="AB1272" s="121"/>
      <c r="AC1272" s="29" t="str">
        <f t="shared" si="5"/>
        <v>Sim</v>
      </c>
      <c r="AD1272" s="37" t="str">
        <f t="shared" si="1"/>
        <v>Não</v>
      </c>
      <c r="AE1272" s="94"/>
      <c r="AF1272" s="94"/>
      <c r="AG1272" s="95"/>
    </row>
    <row r="1273" hidden="1">
      <c r="A1273" s="115"/>
      <c r="B1273" s="93"/>
      <c r="E1273" s="116"/>
      <c r="F1273" s="95"/>
      <c r="G1273" s="95"/>
      <c r="H1273" s="94"/>
      <c r="I1273" s="94"/>
      <c r="J1273" s="117"/>
      <c r="K1273" s="118"/>
      <c r="L1273" s="119"/>
      <c r="M1273" s="94"/>
      <c r="N1273" s="94"/>
      <c r="O1273" s="93"/>
      <c r="P1273" s="120" t="b">
        <v>0</v>
      </c>
      <c r="Q1273" s="120" t="b">
        <v>0</v>
      </c>
      <c r="R1273" s="120" t="b">
        <v>0</v>
      </c>
      <c r="S1273" s="95"/>
      <c r="U1273" s="120" t="b">
        <v>0</v>
      </c>
      <c r="V1273" s="93"/>
      <c r="W1273" s="93"/>
      <c r="X1273" s="93"/>
      <c r="Y1273" s="93"/>
      <c r="AA1273" s="95"/>
      <c r="AB1273" s="121"/>
      <c r="AC1273" s="29" t="str">
        <f t="shared" si="5"/>
        <v>Sim</v>
      </c>
      <c r="AD1273" s="37" t="str">
        <f t="shared" si="1"/>
        <v>Não</v>
      </c>
      <c r="AE1273" s="94"/>
      <c r="AF1273" s="94"/>
      <c r="AG1273" s="95"/>
    </row>
    <row r="1274" hidden="1">
      <c r="A1274" s="115"/>
      <c r="B1274" s="93"/>
      <c r="E1274" s="116"/>
      <c r="F1274" s="95"/>
      <c r="G1274" s="95"/>
      <c r="H1274" s="94"/>
      <c r="I1274" s="94"/>
      <c r="J1274" s="117"/>
      <c r="K1274" s="118"/>
      <c r="L1274" s="119"/>
      <c r="M1274" s="94"/>
      <c r="N1274" s="94"/>
      <c r="O1274" s="93"/>
      <c r="P1274" s="120" t="b">
        <v>0</v>
      </c>
      <c r="Q1274" s="120" t="b">
        <v>0</v>
      </c>
      <c r="R1274" s="120" t="b">
        <v>0</v>
      </c>
      <c r="S1274" s="95"/>
      <c r="U1274" s="120" t="b">
        <v>0</v>
      </c>
      <c r="V1274" s="93"/>
      <c r="W1274" s="93"/>
      <c r="X1274" s="93"/>
      <c r="Y1274" s="93"/>
      <c r="AA1274" s="95"/>
      <c r="AB1274" s="121"/>
      <c r="AC1274" s="29" t="str">
        <f t="shared" si="5"/>
        <v>Sim</v>
      </c>
      <c r="AD1274" s="37" t="str">
        <f t="shared" si="1"/>
        <v>Não</v>
      </c>
      <c r="AE1274" s="94"/>
      <c r="AF1274" s="94"/>
      <c r="AG1274" s="95"/>
    </row>
    <row r="1275" hidden="1">
      <c r="A1275" s="115"/>
      <c r="B1275" s="93"/>
      <c r="E1275" s="116"/>
      <c r="F1275" s="95"/>
      <c r="G1275" s="95"/>
      <c r="H1275" s="94"/>
      <c r="I1275" s="94"/>
      <c r="J1275" s="117"/>
      <c r="K1275" s="118"/>
      <c r="L1275" s="119"/>
      <c r="M1275" s="94"/>
      <c r="N1275" s="94"/>
      <c r="O1275" s="93"/>
      <c r="P1275" s="120" t="b">
        <v>0</v>
      </c>
      <c r="Q1275" s="120" t="b">
        <v>0</v>
      </c>
      <c r="R1275" s="120" t="b">
        <v>0</v>
      </c>
      <c r="S1275" s="95"/>
      <c r="U1275" s="120" t="b">
        <v>0</v>
      </c>
      <c r="V1275" s="93"/>
      <c r="W1275" s="93"/>
      <c r="X1275" s="93"/>
      <c r="Y1275" s="93"/>
      <c r="AA1275" s="95"/>
      <c r="AB1275" s="121"/>
      <c r="AC1275" s="29" t="str">
        <f t="shared" si="5"/>
        <v>Sim</v>
      </c>
      <c r="AD1275" s="37" t="str">
        <f t="shared" si="1"/>
        <v>Não</v>
      </c>
      <c r="AE1275" s="94"/>
      <c r="AF1275" s="94"/>
      <c r="AG1275" s="95"/>
    </row>
    <row r="1276" hidden="1">
      <c r="A1276" s="115"/>
      <c r="B1276" s="93"/>
      <c r="E1276" s="116"/>
      <c r="F1276" s="95"/>
      <c r="G1276" s="95"/>
      <c r="H1276" s="94"/>
      <c r="I1276" s="94"/>
      <c r="J1276" s="117"/>
      <c r="K1276" s="118"/>
      <c r="L1276" s="119"/>
      <c r="M1276" s="94"/>
      <c r="N1276" s="94"/>
      <c r="O1276" s="93"/>
      <c r="P1276" s="120" t="b">
        <v>0</v>
      </c>
      <c r="Q1276" s="120" t="b">
        <v>0</v>
      </c>
      <c r="R1276" s="120" t="b">
        <v>0</v>
      </c>
      <c r="S1276" s="95"/>
      <c r="U1276" s="120" t="b">
        <v>0</v>
      </c>
      <c r="V1276" s="93"/>
      <c r="W1276" s="93"/>
      <c r="X1276" s="93"/>
      <c r="Y1276" s="93"/>
      <c r="AA1276" s="95"/>
      <c r="AB1276" s="121"/>
      <c r="AC1276" s="29" t="str">
        <f t="shared" si="5"/>
        <v>Sim</v>
      </c>
      <c r="AD1276" s="37" t="str">
        <f t="shared" si="1"/>
        <v>Não</v>
      </c>
      <c r="AE1276" s="94"/>
      <c r="AF1276" s="94"/>
      <c r="AG1276" s="95"/>
    </row>
    <row r="1277" hidden="1">
      <c r="A1277" s="115"/>
      <c r="B1277" s="93"/>
      <c r="E1277" s="116"/>
      <c r="F1277" s="95"/>
      <c r="G1277" s="95"/>
      <c r="H1277" s="94"/>
      <c r="I1277" s="94"/>
      <c r="J1277" s="117"/>
      <c r="K1277" s="118"/>
      <c r="L1277" s="119"/>
      <c r="M1277" s="94"/>
      <c r="N1277" s="94"/>
      <c r="O1277" s="93"/>
      <c r="P1277" s="120" t="b">
        <v>0</v>
      </c>
      <c r="Q1277" s="120" t="b">
        <v>0</v>
      </c>
      <c r="R1277" s="120" t="b">
        <v>0</v>
      </c>
      <c r="S1277" s="95"/>
      <c r="U1277" s="120" t="b">
        <v>0</v>
      </c>
      <c r="V1277" s="93"/>
      <c r="W1277" s="93"/>
      <c r="X1277" s="93"/>
      <c r="Y1277" s="93"/>
      <c r="AA1277" s="95"/>
      <c r="AB1277" s="121"/>
      <c r="AC1277" s="29" t="str">
        <f t="shared" si="5"/>
        <v>Sim</v>
      </c>
      <c r="AD1277" s="37" t="str">
        <f t="shared" si="1"/>
        <v>Não</v>
      </c>
      <c r="AE1277" s="94"/>
      <c r="AF1277" s="94"/>
      <c r="AG1277" s="95"/>
    </row>
    <row r="1278" hidden="1">
      <c r="A1278" s="115"/>
      <c r="B1278" s="93"/>
      <c r="E1278" s="116"/>
      <c r="F1278" s="95"/>
      <c r="G1278" s="95"/>
      <c r="H1278" s="94"/>
      <c r="I1278" s="94"/>
      <c r="J1278" s="117"/>
      <c r="K1278" s="118"/>
      <c r="L1278" s="119"/>
      <c r="M1278" s="94"/>
      <c r="N1278" s="94"/>
      <c r="O1278" s="93"/>
      <c r="P1278" s="120" t="b">
        <v>0</v>
      </c>
      <c r="Q1278" s="120" t="b">
        <v>0</v>
      </c>
      <c r="R1278" s="120" t="b">
        <v>0</v>
      </c>
      <c r="S1278" s="95"/>
      <c r="U1278" s="120" t="b">
        <v>0</v>
      </c>
      <c r="V1278" s="93"/>
      <c r="W1278" s="93"/>
      <c r="X1278" s="93"/>
      <c r="Y1278" s="93"/>
      <c r="AA1278" s="95"/>
      <c r="AB1278" s="121"/>
      <c r="AC1278" s="29" t="str">
        <f t="shared" si="5"/>
        <v>Sim</v>
      </c>
      <c r="AD1278" s="37" t="str">
        <f t="shared" si="1"/>
        <v>Não</v>
      </c>
      <c r="AE1278" s="94"/>
      <c r="AF1278" s="94"/>
      <c r="AG1278" s="95"/>
    </row>
    <row r="1279" hidden="1">
      <c r="A1279" s="115"/>
      <c r="B1279" s="93"/>
      <c r="E1279" s="116"/>
      <c r="F1279" s="95"/>
      <c r="G1279" s="95"/>
      <c r="H1279" s="94"/>
      <c r="I1279" s="94"/>
      <c r="J1279" s="117"/>
      <c r="K1279" s="118"/>
      <c r="L1279" s="119"/>
      <c r="M1279" s="94"/>
      <c r="N1279" s="94"/>
      <c r="O1279" s="93"/>
      <c r="P1279" s="120" t="b">
        <v>0</v>
      </c>
      <c r="Q1279" s="120" t="b">
        <v>0</v>
      </c>
      <c r="R1279" s="120" t="b">
        <v>0</v>
      </c>
      <c r="S1279" s="95"/>
      <c r="U1279" s="120" t="b">
        <v>0</v>
      </c>
      <c r="V1279" s="93"/>
      <c r="W1279" s="93"/>
      <c r="X1279" s="93"/>
      <c r="Y1279" s="93"/>
      <c r="AA1279" s="95"/>
      <c r="AB1279" s="121"/>
      <c r="AC1279" s="29" t="str">
        <f t="shared" si="5"/>
        <v>Sim</v>
      </c>
      <c r="AD1279" s="37" t="str">
        <f t="shared" si="1"/>
        <v>Não</v>
      </c>
      <c r="AE1279" s="94"/>
      <c r="AF1279" s="94"/>
      <c r="AG1279" s="95"/>
    </row>
    <row r="1280" hidden="1">
      <c r="A1280" s="115"/>
      <c r="B1280" s="93"/>
      <c r="E1280" s="116"/>
      <c r="F1280" s="95"/>
      <c r="G1280" s="95"/>
      <c r="H1280" s="94"/>
      <c r="I1280" s="94"/>
      <c r="J1280" s="117"/>
      <c r="K1280" s="118"/>
      <c r="L1280" s="119"/>
      <c r="M1280" s="94"/>
      <c r="N1280" s="94"/>
      <c r="O1280" s="93"/>
      <c r="P1280" s="120" t="b">
        <v>0</v>
      </c>
      <c r="Q1280" s="120" t="b">
        <v>0</v>
      </c>
      <c r="R1280" s="120" t="b">
        <v>0</v>
      </c>
      <c r="S1280" s="95"/>
      <c r="U1280" s="120" t="b">
        <v>0</v>
      </c>
      <c r="V1280" s="93"/>
      <c r="W1280" s="93"/>
      <c r="X1280" s="93"/>
      <c r="Y1280" s="93"/>
      <c r="AA1280" s="95"/>
      <c r="AB1280" s="121"/>
      <c r="AC1280" s="29" t="str">
        <f t="shared" si="5"/>
        <v>Sim</v>
      </c>
      <c r="AD1280" s="37" t="str">
        <f t="shared" si="1"/>
        <v>Não</v>
      </c>
      <c r="AE1280" s="94"/>
      <c r="AF1280" s="94"/>
      <c r="AG1280" s="95"/>
    </row>
    <row r="1281" hidden="1">
      <c r="A1281" s="115"/>
      <c r="B1281" s="93"/>
      <c r="E1281" s="116"/>
      <c r="F1281" s="95"/>
      <c r="G1281" s="95"/>
      <c r="H1281" s="94"/>
      <c r="I1281" s="94"/>
      <c r="J1281" s="117"/>
      <c r="K1281" s="118"/>
      <c r="L1281" s="119"/>
      <c r="M1281" s="94"/>
      <c r="N1281" s="94"/>
      <c r="O1281" s="93"/>
      <c r="P1281" s="120" t="b">
        <v>0</v>
      </c>
      <c r="Q1281" s="120" t="b">
        <v>0</v>
      </c>
      <c r="R1281" s="120" t="b">
        <v>0</v>
      </c>
      <c r="S1281" s="95"/>
      <c r="U1281" s="120" t="b">
        <v>0</v>
      </c>
      <c r="V1281" s="93"/>
      <c r="W1281" s="93"/>
      <c r="X1281" s="93"/>
      <c r="Y1281" s="93"/>
      <c r="AA1281" s="95"/>
      <c r="AB1281" s="121"/>
      <c r="AC1281" s="29" t="str">
        <f t="shared" si="5"/>
        <v>Sim</v>
      </c>
      <c r="AD1281" s="37" t="str">
        <f t="shared" si="1"/>
        <v>Não</v>
      </c>
      <c r="AE1281" s="94"/>
      <c r="AF1281" s="94"/>
      <c r="AG1281" s="95"/>
    </row>
    <row r="1282" hidden="1">
      <c r="A1282" s="115"/>
      <c r="B1282" s="93"/>
      <c r="E1282" s="116"/>
      <c r="F1282" s="95"/>
      <c r="G1282" s="95"/>
      <c r="H1282" s="94"/>
      <c r="I1282" s="94"/>
      <c r="J1282" s="117"/>
      <c r="K1282" s="118"/>
      <c r="L1282" s="119"/>
      <c r="M1282" s="94"/>
      <c r="N1282" s="94"/>
      <c r="O1282" s="93"/>
      <c r="P1282" s="120" t="b">
        <v>0</v>
      </c>
      <c r="Q1282" s="120" t="b">
        <v>0</v>
      </c>
      <c r="R1282" s="120" t="b">
        <v>0</v>
      </c>
      <c r="S1282" s="95"/>
      <c r="U1282" s="120" t="b">
        <v>0</v>
      </c>
      <c r="V1282" s="93"/>
      <c r="W1282" s="93"/>
      <c r="X1282" s="93"/>
      <c r="Y1282" s="93"/>
      <c r="AA1282" s="95"/>
      <c r="AB1282" s="121"/>
      <c r="AC1282" s="29" t="str">
        <f t="shared" si="5"/>
        <v>Sim</v>
      </c>
      <c r="AD1282" s="37" t="str">
        <f t="shared" si="1"/>
        <v>Não</v>
      </c>
      <c r="AE1282" s="94"/>
      <c r="AF1282" s="94"/>
      <c r="AG1282" s="95"/>
    </row>
    <row r="1283" hidden="1">
      <c r="A1283" s="115"/>
      <c r="B1283" s="93"/>
      <c r="E1283" s="116"/>
      <c r="F1283" s="95"/>
      <c r="G1283" s="95"/>
      <c r="H1283" s="94"/>
      <c r="I1283" s="94"/>
      <c r="J1283" s="117"/>
      <c r="K1283" s="118"/>
      <c r="L1283" s="119"/>
      <c r="M1283" s="94"/>
      <c r="N1283" s="94"/>
      <c r="O1283" s="93"/>
      <c r="P1283" s="120" t="b">
        <v>0</v>
      </c>
      <c r="Q1283" s="120" t="b">
        <v>0</v>
      </c>
      <c r="R1283" s="120" t="b">
        <v>0</v>
      </c>
      <c r="S1283" s="95"/>
      <c r="U1283" s="120" t="b">
        <v>0</v>
      </c>
      <c r="V1283" s="93"/>
      <c r="W1283" s="93"/>
      <c r="X1283" s="93"/>
      <c r="Y1283" s="93"/>
      <c r="AA1283" s="95"/>
      <c r="AB1283" s="121"/>
      <c r="AC1283" s="29" t="str">
        <f t="shared" si="5"/>
        <v>Sim</v>
      </c>
      <c r="AD1283" s="37" t="str">
        <f t="shared" si="1"/>
        <v>Não</v>
      </c>
      <c r="AE1283" s="94"/>
      <c r="AF1283" s="94"/>
      <c r="AG1283" s="95"/>
    </row>
    <row r="1284" hidden="1">
      <c r="A1284" s="115"/>
      <c r="B1284" s="93"/>
      <c r="E1284" s="116"/>
      <c r="F1284" s="95"/>
      <c r="G1284" s="95"/>
      <c r="H1284" s="94"/>
      <c r="I1284" s="94"/>
      <c r="J1284" s="117"/>
      <c r="K1284" s="118"/>
      <c r="L1284" s="119"/>
      <c r="M1284" s="94"/>
      <c r="N1284" s="94"/>
      <c r="O1284" s="93"/>
      <c r="P1284" s="120" t="b">
        <v>0</v>
      </c>
      <c r="Q1284" s="120" t="b">
        <v>0</v>
      </c>
      <c r="R1284" s="120" t="b">
        <v>0</v>
      </c>
      <c r="S1284" s="95"/>
      <c r="U1284" s="120" t="b">
        <v>0</v>
      </c>
      <c r="V1284" s="93"/>
      <c r="W1284" s="93"/>
      <c r="X1284" s="93"/>
      <c r="Y1284" s="93"/>
      <c r="AA1284" s="95"/>
      <c r="AB1284" s="121"/>
      <c r="AC1284" s="29" t="str">
        <f t="shared" si="5"/>
        <v>Sim</v>
      </c>
      <c r="AD1284" s="37" t="str">
        <f t="shared" si="1"/>
        <v>Não</v>
      </c>
      <c r="AE1284" s="94"/>
      <c r="AF1284" s="94"/>
      <c r="AG1284" s="95"/>
    </row>
    <row r="1285" hidden="1">
      <c r="A1285" s="115"/>
      <c r="B1285" s="93"/>
      <c r="E1285" s="116"/>
      <c r="F1285" s="95"/>
      <c r="G1285" s="95"/>
      <c r="H1285" s="94"/>
      <c r="I1285" s="94"/>
      <c r="J1285" s="117"/>
      <c r="K1285" s="118"/>
      <c r="L1285" s="119"/>
      <c r="M1285" s="94"/>
      <c r="N1285" s="94"/>
      <c r="O1285" s="93"/>
      <c r="P1285" s="120" t="b">
        <v>0</v>
      </c>
      <c r="Q1285" s="120" t="b">
        <v>0</v>
      </c>
      <c r="R1285" s="120" t="b">
        <v>0</v>
      </c>
      <c r="S1285" s="95"/>
      <c r="U1285" s="120" t="b">
        <v>0</v>
      </c>
      <c r="V1285" s="93"/>
      <c r="W1285" s="93"/>
      <c r="X1285" s="93"/>
      <c r="Y1285" s="93"/>
      <c r="AA1285" s="95"/>
      <c r="AB1285" s="121"/>
      <c r="AC1285" s="29" t="str">
        <f t="shared" si="5"/>
        <v>Sim</v>
      </c>
      <c r="AD1285" s="37" t="str">
        <f t="shared" si="1"/>
        <v>Não</v>
      </c>
      <c r="AE1285" s="94"/>
      <c r="AF1285" s="94"/>
      <c r="AG1285" s="95"/>
    </row>
    <row r="1286" hidden="1">
      <c r="A1286" s="115"/>
      <c r="B1286" s="93"/>
      <c r="E1286" s="116"/>
      <c r="F1286" s="95"/>
      <c r="G1286" s="95"/>
      <c r="H1286" s="94"/>
      <c r="I1286" s="94"/>
      <c r="J1286" s="117"/>
      <c r="K1286" s="118"/>
      <c r="L1286" s="119"/>
      <c r="M1286" s="94"/>
      <c r="N1286" s="94"/>
      <c r="O1286" s="93"/>
      <c r="P1286" s="120" t="b">
        <v>0</v>
      </c>
      <c r="Q1286" s="120" t="b">
        <v>0</v>
      </c>
      <c r="R1286" s="120" t="b">
        <v>0</v>
      </c>
      <c r="S1286" s="95"/>
      <c r="U1286" s="120" t="b">
        <v>0</v>
      </c>
      <c r="V1286" s="93"/>
      <c r="W1286" s="93"/>
      <c r="X1286" s="93"/>
      <c r="Y1286" s="93"/>
      <c r="AA1286" s="95"/>
      <c r="AB1286" s="121"/>
      <c r="AC1286" s="29" t="str">
        <f t="shared" si="5"/>
        <v>Sim</v>
      </c>
      <c r="AD1286" s="37" t="str">
        <f t="shared" si="1"/>
        <v>Não</v>
      </c>
      <c r="AE1286" s="94"/>
      <c r="AF1286" s="94"/>
      <c r="AG1286" s="95"/>
    </row>
    <row r="1287" hidden="1">
      <c r="A1287" s="115"/>
      <c r="B1287" s="93"/>
      <c r="E1287" s="116"/>
      <c r="F1287" s="95"/>
      <c r="G1287" s="95"/>
      <c r="H1287" s="94"/>
      <c r="I1287" s="94"/>
      <c r="J1287" s="117"/>
      <c r="K1287" s="118"/>
      <c r="L1287" s="119"/>
      <c r="M1287" s="94"/>
      <c r="N1287" s="94"/>
      <c r="O1287" s="93"/>
      <c r="P1287" s="120" t="b">
        <v>0</v>
      </c>
      <c r="Q1287" s="120" t="b">
        <v>0</v>
      </c>
      <c r="R1287" s="120" t="b">
        <v>0</v>
      </c>
      <c r="S1287" s="95"/>
      <c r="U1287" s="120" t="b">
        <v>0</v>
      </c>
      <c r="V1287" s="93"/>
      <c r="W1287" s="93"/>
      <c r="X1287" s="93"/>
      <c r="Y1287" s="93"/>
      <c r="AA1287" s="95"/>
      <c r="AB1287" s="121"/>
      <c r="AC1287" s="29" t="str">
        <f t="shared" si="5"/>
        <v>Sim</v>
      </c>
      <c r="AD1287" s="37" t="str">
        <f t="shared" si="1"/>
        <v>Não</v>
      </c>
      <c r="AE1287" s="94"/>
      <c r="AF1287" s="94"/>
      <c r="AG1287" s="95"/>
    </row>
    <row r="1288" hidden="1">
      <c r="A1288" s="115"/>
      <c r="B1288" s="93"/>
      <c r="E1288" s="116"/>
      <c r="F1288" s="95"/>
      <c r="G1288" s="95"/>
      <c r="H1288" s="94"/>
      <c r="I1288" s="94"/>
      <c r="J1288" s="117"/>
      <c r="K1288" s="118"/>
      <c r="L1288" s="119"/>
      <c r="M1288" s="94"/>
      <c r="N1288" s="94"/>
      <c r="O1288" s="93"/>
      <c r="P1288" s="120" t="b">
        <v>0</v>
      </c>
      <c r="Q1288" s="120" t="b">
        <v>0</v>
      </c>
      <c r="R1288" s="120" t="b">
        <v>0</v>
      </c>
      <c r="S1288" s="95"/>
      <c r="U1288" s="120" t="b">
        <v>0</v>
      </c>
      <c r="V1288" s="93"/>
      <c r="W1288" s="93"/>
      <c r="X1288" s="93"/>
      <c r="Y1288" s="93"/>
      <c r="AA1288" s="95"/>
      <c r="AB1288" s="121"/>
      <c r="AC1288" s="29" t="str">
        <f t="shared" si="5"/>
        <v>Sim</v>
      </c>
      <c r="AD1288" s="37" t="str">
        <f t="shared" si="1"/>
        <v>Não</v>
      </c>
      <c r="AE1288" s="94"/>
      <c r="AF1288" s="94"/>
      <c r="AG1288" s="95"/>
    </row>
    <row r="1289" hidden="1">
      <c r="A1289" s="115"/>
      <c r="B1289" s="93"/>
      <c r="E1289" s="116"/>
      <c r="F1289" s="95"/>
      <c r="G1289" s="95"/>
      <c r="H1289" s="94"/>
      <c r="I1289" s="94"/>
      <c r="J1289" s="117"/>
      <c r="K1289" s="118"/>
      <c r="L1289" s="119"/>
      <c r="M1289" s="94"/>
      <c r="N1289" s="94"/>
      <c r="O1289" s="93"/>
      <c r="P1289" s="120" t="b">
        <v>0</v>
      </c>
      <c r="Q1289" s="120" t="b">
        <v>0</v>
      </c>
      <c r="R1289" s="120" t="b">
        <v>0</v>
      </c>
      <c r="S1289" s="95"/>
      <c r="U1289" s="120" t="b">
        <v>0</v>
      </c>
      <c r="V1289" s="93"/>
      <c r="W1289" s="93"/>
      <c r="X1289" s="93"/>
      <c r="Y1289" s="93"/>
      <c r="AA1289" s="95"/>
      <c r="AB1289" s="121"/>
      <c r="AC1289" s="29" t="str">
        <f t="shared" si="5"/>
        <v>Sim</v>
      </c>
      <c r="AD1289" s="37" t="str">
        <f t="shared" si="1"/>
        <v>Não</v>
      </c>
      <c r="AE1289" s="94"/>
      <c r="AF1289" s="94"/>
      <c r="AG1289" s="95"/>
    </row>
    <row r="1290" hidden="1">
      <c r="A1290" s="115"/>
      <c r="B1290" s="93"/>
      <c r="E1290" s="116"/>
      <c r="F1290" s="95"/>
      <c r="G1290" s="95"/>
      <c r="H1290" s="94"/>
      <c r="I1290" s="94"/>
      <c r="J1290" s="117"/>
      <c r="K1290" s="118"/>
      <c r="L1290" s="119"/>
      <c r="M1290" s="94"/>
      <c r="N1290" s="94"/>
      <c r="O1290" s="93"/>
      <c r="P1290" s="120" t="b">
        <v>0</v>
      </c>
      <c r="Q1290" s="120" t="b">
        <v>0</v>
      </c>
      <c r="R1290" s="120" t="b">
        <v>0</v>
      </c>
      <c r="S1290" s="95"/>
      <c r="U1290" s="120" t="b">
        <v>0</v>
      </c>
      <c r="V1290" s="93"/>
      <c r="W1290" s="93"/>
      <c r="X1290" s="93"/>
      <c r="Y1290" s="93"/>
      <c r="AA1290" s="95"/>
      <c r="AB1290" s="121"/>
      <c r="AC1290" s="29" t="str">
        <f t="shared" si="5"/>
        <v>Sim</v>
      </c>
      <c r="AD1290" s="37" t="str">
        <f t="shared" si="1"/>
        <v>Não</v>
      </c>
      <c r="AE1290" s="94"/>
      <c r="AF1290" s="94"/>
      <c r="AG1290" s="95"/>
    </row>
    <row r="1291" hidden="1">
      <c r="A1291" s="115"/>
      <c r="B1291" s="93"/>
      <c r="E1291" s="116"/>
      <c r="F1291" s="95"/>
      <c r="G1291" s="95"/>
      <c r="H1291" s="94"/>
      <c r="I1291" s="94"/>
      <c r="J1291" s="117"/>
      <c r="K1291" s="118"/>
      <c r="L1291" s="119"/>
      <c r="M1291" s="94"/>
      <c r="N1291" s="94"/>
      <c r="O1291" s="93"/>
      <c r="P1291" s="120" t="b">
        <v>0</v>
      </c>
      <c r="Q1291" s="120" t="b">
        <v>0</v>
      </c>
      <c r="R1291" s="120" t="b">
        <v>0</v>
      </c>
      <c r="S1291" s="95"/>
      <c r="U1291" s="120" t="b">
        <v>0</v>
      </c>
      <c r="V1291" s="93"/>
      <c r="W1291" s="93"/>
      <c r="X1291" s="93"/>
      <c r="Y1291" s="93"/>
      <c r="AA1291" s="95"/>
      <c r="AB1291" s="121"/>
      <c r="AC1291" s="29" t="str">
        <f t="shared" si="5"/>
        <v>Sim</v>
      </c>
      <c r="AD1291" s="37" t="str">
        <f t="shared" si="1"/>
        <v>Não</v>
      </c>
      <c r="AE1291" s="94"/>
      <c r="AF1291" s="94"/>
      <c r="AG1291" s="95"/>
    </row>
    <row r="1292" hidden="1">
      <c r="A1292" s="115"/>
      <c r="B1292" s="93"/>
      <c r="E1292" s="116"/>
      <c r="F1292" s="95"/>
      <c r="G1292" s="95"/>
      <c r="H1292" s="94"/>
      <c r="I1292" s="94"/>
      <c r="J1292" s="117"/>
      <c r="K1292" s="118"/>
      <c r="L1292" s="119"/>
      <c r="M1292" s="94"/>
      <c r="N1292" s="94"/>
      <c r="O1292" s="93"/>
      <c r="P1292" s="120" t="b">
        <v>0</v>
      </c>
      <c r="Q1292" s="120" t="b">
        <v>0</v>
      </c>
      <c r="R1292" s="120" t="b">
        <v>0</v>
      </c>
      <c r="S1292" s="95"/>
      <c r="U1292" s="120" t="b">
        <v>0</v>
      </c>
      <c r="V1292" s="93"/>
      <c r="W1292" s="93"/>
      <c r="X1292" s="93"/>
      <c r="Y1292" s="93"/>
      <c r="AA1292" s="95"/>
      <c r="AB1292" s="121"/>
      <c r="AC1292" s="29" t="str">
        <f t="shared" si="5"/>
        <v>Sim</v>
      </c>
      <c r="AD1292" s="37" t="str">
        <f t="shared" si="1"/>
        <v>Não</v>
      </c>
      <c r="AE1292" s="94"/>
      <c r="AF1292" s="94"/>
      <c r="AG1292" s="95"/>
    </row>
    <row r="1293" hidden="1">
      <c r="A1293" s="115"/>
      <c r="B1293" s="93"/>
      <c r="E1293" s="116"/>
      <c r="F1293" s="95"/>
      <c r="G1293" s="95"/>
      <c r="H1293" s="94"/>
      <c r="I1293" s="94"/>
      <c r="J1293" s="117"/>
      <c r="K1293" s="118"/>
      <c r="L1293" s="119"/>
      <c r="M1293" s="94"/>
      <c r="N1293" s="94"/>
      <c r="O1293" s="93"/>
      <c r="P1293" s="120" t="b">
        <v>0</v>
      </c>
      <c r="Q1293" s="120" t="b">
        <v>0</v>
      </c>
      <c r="R1293" s="120" t="b">
        <v>0</v>
      </c>
      <c r="S1293" s="95"/>
      <c r="U1293" s="120" t="b">
        <v>0</v>
      </c>
      <c r="V1293" s="93"/>
      <c r="W1293" s="93"/>
      <c r="X1293" s="93"/>
      <c r="Y1293" s="93"/>
      <c r="AA1293" s="95"/>
      <c r="AB1293" s="121"/>
      <c r="AC1293" s="29" t="str">
        <f t="shared" si="5"/>
        <v>Sim</v>
      </c>
      <c r="AD1293" s="37" t="str">
        <f t="shared" si="1"/>
        <v>Não</v>
      </c>
      <c r="AE1293" s="94"/>
      <c r="AF1293" s="94"/>
      <c r="AG1293" s="95"/>
    </row>
    <row r="1294" hidden="1">
      <c r="A1294" s="115"/>
      <c r="B1294" s="93"/>
      <c r="E1294" s="116"/>
      <c r="F1294" s="95"/>
      <c r="G1294" s="95"/>
      <c r="H1294" s="94"/>
      <c r="I1294" s="94"/>
      <c r="J1294" s="117"/>
      <c r="K1294" s="118"/>
      <c r="L1294" s="119"/>
      <c r="M1294" s="94"/>
      <c r="N1294" s="94"/>
      <c r="O1294" s="93"/>
      <c r="P1294" s="120" t="b">
        <v>0</v>
      </c>
      <c r="Q1294" s="120" t="b">
        <v>0</v>
      </c>
      <c r="R1294" s="120" t="b">
        <v>0</v>
      </c>
      <c r="S1294" s="95"/>
      <c r="U1294" s="120" t="b">
        <v>0</v>
      </c>
      <c r="V1294" s="93"/>
      <c r="W1294" s="93"/>
      <c r="X1294" s="93"/>
      <c r="Y1294" s="93"/>
      <c r="AA1294" s="95"/>
      <c r="AB1294" s="121"/>
      <c r="AC1294" s="29" t="str">
        <f t="shared" si="5"/>
        <v>Sim</v>
      </c>
      <c r="AD1294" s="37" t="str">
        <f t="shared" si="1"/>
        <v>Não</v>
      </c>
      <c r="AE1294" s="94"/>
      <c r="AF1294" s="94"/>
      <c r="AG1294" s="95"/>
    </row>
    <row r="1295" hidden="1">
      <c r="A1295" s="115"/>
      <c r="B1295" s="93"/>
      <c r="E1295" s="116"/>
      <c r="F1295" s="95"/>
      <c r="G1295" s="95"/>
      <c r="H1295" s="94"/>
      <c r="I1295" s="94"/>
      <c r="J1295" s="117"/>
      <c r="K1295" s="118"/>
      <c r="L1295" s="119"/>
      <c r="M1295" s="94"/>
      <c r="N1295" s="94"/>
      <c r="O1295" s="93"/>
      <c r="P1295" s="120" t="b">
        <v>0</v>
      </c>
      <c r="Q1295" s="120" t="b">
        <v>0</v>
      </c>
      <c r="R1295" s="120" t="b">
        <v>0</v>
      </c>
      <c r="S1295" s="95"/>
      <c r="U1295" s="120" t="b">
        <v>0</v>
      </c>
      <c r="V1295" s="93"/>
      <c r="W1295" s="93"/>
      <c r="X1295" s="93"/>
      <c r="Y1295" s="93"/>
      <c r="AA1295" s="95"/>
      <c r="AB1295" s="121"/>
      <c r="AC1295" s="29" t="str">
        <f t="shared" si="5"/>
        <v>Sim</v>
      </c>
      <c r="AD1295" s="37" t="str">
        <f t="shared" si="1"/>
        <v>Não</v>
      </c>
      <c r="AE1295" s="94"/>
      <c r="AF1295" s="94"/>
      <c r="AG1295" s="95"/>
    </row>
    <row r="1296" hidden="1">
      <c r="A1296" s="115"/>
      <c r="B1296" s="93"/>
      <c r="E1296" s="116"/>
      <c r="F1296" s="95"/>
      <c r="G1296" s="95"/>
      <c r="H1296" s="94"/>
      <c r="I1296" s="94"/>
      <c r="J1296" s="117"/>
      <c r="K1296" s="118"/>
      <c r="L1296" s="119"/>
      <c r="M1296" s="94"/>
      <c r="N1296" s="94"/>
      <c r="O1296" s="93"/>
      <c r="P1296" s="120" t="b">
        <v>0</v>
      </c>
      <c r="Q1296" s="120" t="b">
        <v>0</v>
      </c>
      <c r="R1296" s="120" t="b">
        <v>0</v>
      </c>
      <c r="S1296" s="95"/>
      <c r="U1296" s="120" t="b">
        <v>0</v>
      </c>
      <c r="V1296" s="93"/>
      <c r="W1296" s="93"/>
      <c r="X1296" s="93"/>
      <c r="Y1296" s="93"/>
      <c r="AA1296" s="95"/>
      <c r="AB1296" s="121"/>
      <c r="AC1296" s="29" t="str">
        <f t="shared" si="5"/>
        <v>Sim</v>
      </c>
      <c r="AD1296" s="37" t="str">
        <f t="shared" si="1"/>
        <v>Não</v>
      </c>
      <c r="AE1296" s="94"/>
      <c r="AF1296" s="94"/>
      <c r="AG1296" s="95"/>
    </row>
    <row r="1297" hidden="1">
      <c r="A1297" s="115"/>
      <c r="B1297" s="93"/>
      <c r="E1297" s="116"/>
      <c r="F1297" s="95"/>
      <c r="G1297" s="95"/>
      <c r="H1297" s="94"/>
      <c r="I1297" s="94"/>
      <c r="J1297" s="117"/>
      <c r="K1297" s="118"/>
      <c r="L1297" s="119"/>
      <c r="M1297" s="94"/>
      <c r="N1297" s="94"/>
      <c r="O1297" s="93"/>
      <c r="P1297" s="120" t="b">
        <v>0</v>
      </c>
      <c r="Q1297" s="120" t="b">
        <v>0</v>
      </c>
      <c r="R1297" s="120" t="b">
        <v>0</v>
      </c>
      <c r="S1297" s="95"/>
      <c r="U1297" s="120" t="b">
        <v>0</v>
      </c>
      <c r="V1297" s="93"/>
      <c r="W1297" s="93"/>
      <c r="X1297" s="93"/>
      <c r="Y1297" s="93"/>
      <c r="AA1297" s="95"/>
      <c r="AB1297" s="121"/>
      <c r="AC1297" s="29" t="str">
        <f t="shared" si="5"/>
        <v>Sim</v>
      </c>
      <c r="AD1297" s="37" t="str">
        <f t="shared" si="1"/>
        <v>Não</v>
      </c>
      <c r="AE1297" s="94"/>
      <c r="AF1297" s="94"/>
      <c r="AG1297" s="95"/>
    </row>
    <row r="1298" hidden="1">
      <c r="A1298" s="115"/>
      <c r="B1298" s="93"/>
      <c r="E1298" s="116"/>
      <c r="F1298" s="95"/>
      <c r="G1298" s="95"/>
      <c r="H1298" s="94"/>
      <c r="I1298" s="94"/>
      <c r="J1298" s="117"/>
      <c r="K1298" s="118"/>
      <c r="L1298" s="119"/>
      <c r="M1298" s="94"/>
      <c r="N1298" s="94"/>
      <c r="O1298" s="93"/>
      <c r="P1298" s="120" t="b">
        <v>0</v>
      </c>
      <c r="Q1298" s="120" t="b">
        <v>0</v>
      </c>
      <c r="R1298" s="120" t="b">
        <v>0</v>
      </c>
      <c r="S1298" s="95"/>
      <c r="U1298" s="120" t="b">
        <v>0</v>
      </c>
      <c r="V1298" s="93"/>
      <c r="W1298" s="93"/>
      <c r="X1298" s="93"/>
      <c r="Y1298" s="93"/>
      <c r="AA1298" s="95"/>
      <c r="AB1298" s="121"/>
      <c r="AC1298" s="29" t="str">
        <f t="shared" si="5"/>
        <v>Sim</v>
      </c>
      <c r="AD1298" s="37" t="str">
        <f t="shared" si="1"/>
        <v>Não</v>
      </c>
      <c r="AE1298" s="94"/>
      <c r="AF1298" s="94"/>
      <c r="AG1298" s="95"/>
    </row>
    <row r="1299" hidden="1">
      <c r="A1299" s="115"/>
      <c r="B1299" s="93"/>
      <c r="E1299" s="116"/>
      <c r="F1299" s="95"/>
      <c r="G1299" s="95"/>
      <c r="H1299" s="94"/>
      <c r="I1299" s="94"/>
      <c r="J1299" s="117"/>
      <c r="K1299" s="118"/>
      <c r="L1299" s="119"/>
      <c r="M1299" s="94"/>
      <c r="N1299" s="94"/>
      <c r="O1299" s="93"/>
      <c r="P1299" s="120" t="b">
        <v>0</v>
      </c>
      <c r="Q1299" s="120" t="b">
        <v>0</v>
      </c>
      <c r="R1299" s="120" t="b">
        <v>0</v>
      </c>
      <c r="S1299" s="95"/>
      <c r="U1299" s="120" t="b">
        <v>0</v>
      </c>
      <c r="V1299" s="93"/>
      <c r="W1299" s="93"/>
      <c r="X1299" s="93"/>
      <c r="Y1299" s="93"/>
      <c r="AA1299" s="95"/>
      <c r="AB1299" s="121"/>
      <c r="AC1299" s="29" t="str">
        <f t="shared" si="5"/>
        <v>Sim</v>
      </c>
      <c r="AD1299" s="37" t="str">
        <f t="shared" si="1"/>
        <v>Não</v>
      </c>
      <c r="AE1299" s="94"/>
      <c r="AF1299" s="94"/>
      <c r="AG1299" s="95"/>
    </row>
    <row r="1300" hidden="1">
      <c r="A1300" s="115"/>
      <c r="B1300" s="93"/>
      <c r="E1300" s="116"/>
      <c r="F1300" s="95"/>
      <c r="G1300" s="95"/>
      <c r="H1300" s="94"/>
      <c r="I1300" s="94"/>
      <c r="J1300" s="117"/>
      <c r="K1300" s="118"/>
      <c r="L1300" s="119"/>
      <c r="M1300" s="94"/>
      <c r="N1300" s="94"/>
      <c r="O1300" s="93"/>
      <c r="P1300" s="120" t="b">
        <v>0</v>
      </c>
      <c r="Q1300" s="120" t="b">
        <v>0</v>
      </c>
      <c r="R1300" s="120" t="b">
        <v>0</v>
      </c>
      <c r="S1300" s="95"/>
      <c r="U1300" s="120" t="b">
        <v>0</v>
      </c>
      <c r="V1300" s="93"/>
      <c r="W1300" s="93"/>
      <c r="X1300" s="93"/>
      <c r="Y1300" s="93"/>
      <c r="AA1300" s="95"/>
      <c r="AB1300" s="121"/>
      <c r="AC1300" s="29" t="str">
        <f t="shared" si="5"/>
        <v>Sim</v>
      </c>
      <c r="AD1300" s="37" t="str">
        <f t="shared" si="1"/>
        <v>Não</v>
      </c>
      <c r="AE1300" s="94"/>
      <c r="AF1300" s="94"/>
      <c r="AG1300" s="95"/>
    </row>
    <row r="1301" hidden="1">
      <c r="A1301" s="115"/>
      <c r="B1301" s="93"/>
      <c r="E1301" s="116"/>
      <c r="F1301" s="95"/>
      <c r="G1301" s="95"/>
      <c r="H1301" s="94"/>
      <c r="I1301" s="94"/>
      <c r="J1301" s="117"/>
      <c r="K1301" s="118"/>
      <c r="L1301" s="119"/>
      <c r="M1301" s="94"/>
      <c r="N1301" s="94"/>
      <c r="O1301" s="93"/>
      <c r="P1301" s="120" t="b">
        <v>0</v>
      </c>
      <c r="Q1301" s="120" t="b">
        <v>0</v>
      </c>
      <c r="R1301" s="120" t="b">
        <v>0</v>
      </c>
      <c r="S1301" s="95"/>
      <c r="U1301" s="120" t="b">
        <v>0</v>
      </c>
      <c r="V1301" s="93"/>
      <c r="W1301" s="93"/>
      <c r="X1301" s="93"/>
      <c r="Y1301" s="93"/>
      <c r="AA1301" s="95"/>
      <c r="AB1301" s="121"/>
      <c r="AC1301" s="29" t="str">
        <f t="shared" si="5"/>
        <v>Sim</v>
      </c>
      <c r="AD1301" s="37" t="str">
        <f t="shared" si="1"/>
        <v>Não</v>
      </c>
      <c r="AE1301" s="94"/>
      <c r="AF1301" s="94"/>
      <c r="AG1301" s="95"/>
    </row>
    <row r="1302" hidden="1">
      <c r="A1302" s="115"/>
      <c r="B1302" s="93"/>
      <c r="E1302" s="116"/>
      <c r="F1302" s="95"/>
      <c r="G1302" s="95"/>
      <c r="H1302" s="94"/>
      <c r="I1302" s="94"/>
      <c r="J1302" s="117"/>
      <c r="K1302" s="118"/>
      <c r="L1302" s="119"/>
      <c r="M1302" s="94"/>
      <c r="N1302" s="94"/>
      <c r="O1302" s="93"/>
      <c r="P1302" s="120" t="b">
        <v>0</v>
      </c>
      <c r="Q1302" s="120" t="b">
        <v>0</v>
      </c>
      <c r="R1302" s="120" t="b">
        <v>0</v>
      </c>
      <c r="S1302" s="95"/>
      <c r="U1302" s="120" t="b">
        <v>0</v>
      </c>
      <c r="V1302" s="93"/>
      <c r="W1302" s="93"/>
      <c r="X1302" s="93"/>
      <c r="Y1302" s="93"/>
      <c r="AA1302" s="95"/>
      <c r="AB1302" s="121"/>
      <c r="AC1302" s="29" t="str">
        <f t="shared" si="5"/>
        <v>Sim</v>
      </c>
      <c r="AD1302" s="37" t="str">
        <f t="shared" si="1"/>
        <v>Não</v>
      </c>
      <c r="AE1302" s="94"/>
      <c r="AF1302" s="94"/>
      <c r="AG1302" s="95"/>
    </row>
    <row r="1303" hidden="1">
      <c r="A1303" s="115"/>
      <c r="B1303" s="93"/>
      <c r="E1303" s="116"/>
      <c r="F1303" s="95"/>
      <c r="G1303" s="95"/>
      <c r="H1303" s="94"/>
      <c r="I1303" s="94"/>
      <c r="J1303" s="117"/>
      <c r="K1303" s="118"/>
      <c r="L1303" s="119"/>
      <c r="M1303" s="94"/>
      <c r="N1303" s="94"/>
      <c r="O1303" s="93"/>
      <c r="P1303" s="120" t="b">
        <v>0</v>
      </c>
      <c r="Q1303" s="120" t="b">
        <v>0</v>
      </c>
      <c r="R1303" s="120" t="b">
        <v>0</v>
      </c>
      <c r="S1303" s="95"/>
      <c r="U1303" s="120" t="b">
        <v>0</v>
      </c>
      <c r="V1303" s="93"/>
      <c r="W1303" s="93"/>
      <c r="X1303" s="93"/>
      <c r="Y1303" s="93"/>
      <c r="AA1303" s="95"/>
      <c r="AB1303" s="121"/>
      <c r="AC1303" s="29" t="str">
        <f t="shared" si="5"/>
        <v>Sim</v>
      </c>
      <c r="AD1303" s="37" t="str">
        <f t="shared" si="1"/>
        <v>Não</v>
      </c>
      <c r="AE1303" s="94"/>
      <c r="AF1303" s="94"/>
      <c r="AG1303" s="95"/>
    </row>
    <row r="1304" hidden="1">
      <c r="A1304" s="115"/>
      <c r="B1304" s="93"/>
      <c r="E1304" s="116"/>
      <c r="F1304" s="95"/>
      <c r="G1304" s="95"/>
      <c r="H1304" s="94"/>
      <c r="I1304" s="94"/>
      <c r="J1304" s="117"/>
      <c r="K1304" s="118"/>
      <c r="L1304" s="119"/>
      <c r="M1304" s="94"/>
      <c r="N1304" s="94"/>
      <c r="O1304" s="93"/>
      <c r="P1304" s="120" t="b">
        <v>0</v>
      </c>
      <c r="Q1304" s="120" t="b">
        <v>0</v>
      </c>
      <c r="R1304" s="120" t="b">
        <v>0</v>
      </c>
      <c r="S1304" s="95"/>
      <c r="U1304" s="120" t="b">
        <v>0</v>
      </c>
      <c r="V1304" s="93"/>
      <c r="W1304" s="93"/>
      <c r="X1304" s="93"/>
      <c r="Y1304" s="93"/>
      <c r="AA1304" s="95"/>
      <c r="AB1304" s="121"/>
      <c r="AC1304" s="29" t="str">
        <f t="shared" si="5"/>
        <v>Sim</v>
      </c>
      <c r="AD1304" s="37" t="str">
        <f t="shared" si="1"/>
        <v>Não</v>
      </c>
      <c r="AE1304" s="94"/>
      <c r="AF1304" s="94"/>
      <c r="AG1304" s="95"/>
    </row>
    <row r="1305" hidden="1">
      <c r="A1305" s="115"/>
      <c r="B1305" s="93"/>
      <c r="E1305" s="116"/>
      <c r="F1305" s="95"/>
      <c r="G1305" s="95"/>
      <c r="H1305" s="94"/>
      <c r="I1305" s="94"/>
      <c r="J1305" s="117"/>
      <c r="K1305" s="118"/>
      <c r="L1305" s="119"/>
      <c r="M1305" s="94"/>
      <c r="N1305" s="94"/>
      <c r="O1305" s="93"/>
      <c r="P1305" s="120" t="b">
        <v>0</v>
      </c>
      <c r="Q1305" s="120" t="b">
        <v>0</v>
      </c>
      <c r="R1305" s="120" t="b">
        <v>0</v>
      </c>
      <c r="S1305" s="95"/>
      <c r="U1305" s="120" t="b">
        <v>0</v>
      </c>
      <c r="V1305" s="93"/>
      <c r="W1305" s="93"/>
      <c r="X1305" s="93"/>
      <c r="Y1305" s="93"/>
      <c r="AA1305" s="95"/>
      <c r="AB1305" s="121"/>
      <c r="AC1305" s="29" t="str">
        <f t="shared" si="5"/>
        <v>Sim</v>
      </c>
      <c r="AD1305" s="37" t="str">
        <f t="shared" si="1"/>
        <v>Não</v>
      </c>
      <c r="AE1305" s="94"/>
      <c r="AF1305" s="94"/>
      <c r="AG1305" s="95"/>
    </row>
    <row r="1306" hidden="1">
      <c r="A1306" s="115"/>
      <c r="B1306" s="93"/>
      <c r="E1306" s="116"/>
      <c r="F1306" s="95"/>
      <c r="G1306" s="95"/>
      <c r="H1306" s="94"/>
      <c r="I1306" s="94"/>
      <c r="J1306" s="117"/>
      <c r="K1306" s="118"/>
      <c r="L1306" s="119"/>
      <c r="M1306" s="94"/>
      <c r="N1306" s="94"/>
      <c r="O1306" s="93"/>
      <c r="P1306" s="120" t="b">
        <v>0</v>
      </c>
      <c r="Q1306" s="120" t="b">
        <v>0</v>
      </c>
      <c r="R1306" s="120" t="b">
        <v>0</v>
      </c>
      <c r="S1306" s="95"/>
      <c r="U1306" s="120" t="b">
        <v>0</v>
      </c>
      <c r="V1306" s="93"/>
      <c r="W1306" s="93"/>
      <c r="X1306" s="93"/>
      <c r="Y1306" s="93"/>
      <c r="AA1306" s="95"/>
      <c r="AB1306" s="121"/>
      <c r="AC1306" s="29" t="str">
        <f t="shared" si="5"/>
        <v>Sim</v>
      </c>
      <c r="AD1306" s="37" t="str">
        <f t="shared" si="1"/>
        <v>Não</v>
      </c>
      <c r="AE1306" s="94"/>
      <c r="AF1306" s="94"/>
      <c r="AG1306" s="95"/>
    </row>
    <row r="1307" hidden="1">
      <c r="A1307" s="115"/>
      <c r="B1307" s="93"/>
      <c r="E1307" s="116"/>
      <c r="F1307" s="95"/>
      <c r="G1307" s="95"/>
      <c r="H1307" s="94"/>
      <c r="I1307" s="94"/>
      <c r="J1307" s="117"/>
      <c r="K1307" s="118"/>
      <c r="L1307" s="119"/>
      <c r="M1307" s="94"/>
      <c r="N1307" s="94"/>
      <c r="O1307" s="93"/>
      <c r="P1307" s="120" t="b">
        <v>0</v>
      </c>
      <c r="Q1307" s="120" t="b">
        <v>0</v>
      </c>
      <c r="R1307" s="120" t="b">
        <v>0</v>
      </c>
      <c r="S1307" s="95"/>
      <c r="U1307" s="120" t="b">
        <v>0</v>
      </c>
      <c r="V1307" s="93"/>
      <c r="W1307" s="93"/>
      <c r="X1307" s="93"/>
      <c r="Y1307" s="93"/>
      <c r="AA1307" s="95"/>
      <c r="AB1307" s="121"/>
      <c r="AC1307" s="29" t="str">
        <f t="shared" si="5"/>
        <v>Sim</v>
      </c>
      <c r="AD1307" s="37" t="str">
        <f t="shared" si="1"/>
        <v>Não</v>
      </c>
      <c r="AE1307" s="94"/>
      <c r="AF1307" s="94"/>
      <c r="AG1307" s="95"/>
    </row>
    <row r="1308" hidden="1">
      <c r="A1308" s="115"/>
      <c r="B1308" s="93"/>
      <c r="E1308" s="116"/>
      <c r="F1308" s="95"/>
      <c r="G1308" s="95"/>
      <c r="H1308" s="94"/>
      <c r="I1308" s="94"/>
      <c r="J1308" s="117"/>
      <c r="K1308" s="118"/>
      <c r="L1308" s="119"/>
      <c r="M1308" s="94"/>
      <c r="N1308" s="94"/>
      <c r="O1308" s="93"/>
      <c r="P1308" s="120" t="b">
        <v>0</v>
      </c>
      <c r="Q1308" s="120" t="b">
        <v>0</v>
      </c>
      <c r="R1308" s="120" t="b">
        <v>0</v>
      </c>
      <c r="S1308" s="95"/>
      <c r="U1308" s="120" t="b">
        <v>0</v>
      </c>
      <c r="V1308" s="93"/>
      <c r="W1308" s="93"/>
      <c r="X1308" s="93"/>
      <c r="Y1308" s="93"/>
      <c r="AA1308" s="95"/>
      <c r="AB1308" s="121"/>
      <c r="AC1308" s="29" t="str">
        <f t="shared" si="5"/>
        <v>Sim</v>
      </c>
      <c r="AD1308" s="37" t="str">
        <f t="shared" si="1"/>
        <v>Não</v>
      </c>
      <c r="AE1308" s="94"/>
      <c r="AF1308" s="94"/>
      <c r="AG1308" s="95"/>
    </row>
    <row r="1309" hidden="1">
      <c r="A1309" s="115"/>
      <c r="B1309" s="93"/>
      <c r="E1309" s="116"/>
      <c r="F1309" s="95"/>
      <c r="G1309" s="95"/>
      <c r="H1309" s="94"/>
      <c r="I1309" s="94"/>
      <c r="J1309" s="117"/>
      <c r="K1309" s="118"/>
      <c r="L1309" s="119"/>
      <c r="M1309" s="94"/>
      <c r="N1309" s="94"/>
      <c r="O1309" s="93"/>
      <c r="P1309" s="120" t="b">
        <v>0</v>
      </c>
      <c r="Q1309" s="120" t="b">
        <v>0</v>
      </c>
      <c r="R1309" s="120" t="b">
        <v>0</v>
      </c>
      <c r="S1309" s="95"/>
      <c r="U1309" s="120" t="b">
        <v>0</v>
      </c>
      <c r="V1309" s="93"/>
      <c r="W1309" s="93"/>
      <c r="X1309" s="93"/>
      <c r="Y1309" s="93"/>
      <c r="AA1309" s="95"/>
      <c r="AB1309" s="121"/>
      <c r="AC1309" s="29" t="str">
        <f t="shared" si="5"/>
        <v>Sim</v>
      </c>
      <c r="AD1309" s="37" t="str">
        <f t="shared" si="1"/>
        <v>Não</v>
      </c>
      <c r="AE1309" s="94"/>
      <c r="AF1309" s="94"/>
      <c r="AG1309" s="95"/>
    </row>
    <row r="1310" hidden="1">
      <c r="A1310" s="115"/>
      <c r="B1310" s="93"/>
      <c r="E1310" s="116"/>
      <c r="F1310" s="95"/>
      <c r="G1310" s="95"/>
      <c r="H1310" s="94"/>
      <c r="I1310" s="94"/>
      <c r="J1310" s="117"/>
      <c r="K1310" s="118"/>
      <c r="L1310" s="119"/>
      <c r="M1310" s="94"/>
      <c r="N1310" s="94"/>
      <c r="O1310" s="93"/>
      <c r="P1310" s="120" t="b">
        <v>0</v>
      </c>
      <c r="Q1310" s="120" t="b">
        <v>0</v>
      </c>
      <c r="R1310" s="120" t="b">
        <v>0</v>
      </c>
      <c r="S1310" s="95"/>
      <c r="U1310" s="120" t="b">
        <v>0</v>
      </c>
      <c r="V1310" s="93"/>
      <c r="W1310" s="93"/>
      <c r="X1310" s="93"/>
      <c r="Y1310" s="93"/>
      <c r="AA1310" s="95"/>
      <c r="AB1310" s="121"/>
      <c r="AC1310" s="29" t="str">
        <f t="shared" si="5"/>
        <v>Sim</v>
      </c>
      <c r="AD1310" s="37" t="str">
        <f t="shared" si="1"/>
        <v>Não</v>
      </c>
      <c r="AE1310" s="94"/>
      <c r="AF1310" s="94"/>
      <c r="AG1310" s="95"/>
    </row>
    <row r="1311" hidden="1">
      <c r="A1311" s="115"/>
      <c r="B1311" s="93"/>
      <c r="E1311" s="116"/>
      <c r="F1311" s="95"/>
      <c r="G1311" s="95"/>
      <c r="H1311" s="94"/>
      <c r="I1311" s="94"/>
      <c r="J1311" s="117"/>
      <c r="K1311" s="118"/>
      <c r="L1311" s="119"/>
      <c r="M1311" s="94"/>
      <c r="N1311" s="94"/>
      <c r="O1311" s="93"/>
      <c r="P1311" s="120" t="b">
        <v>0</v>
      </c>
      <c r="Q1311" s="120" t="b">
        <v>0</v>
      </c>
      <c r="R1311" s="120" t="b">
        <v>0</v>
      </c>
      <c r="S1311" s="95"/>
      <c r="U1311" s="120" t="b">
        <v>0</v>
      </c>
      <c r="V1311" s="93"/>
      <c r="W1311" s="93"/>
      <c r="X1311" s="93"/>
      <c r="Y1311" s="93"/>
      <c r="AA1311" s="95"/>
      <c r="AB1311" s="121"/>
      <c r="AC1311" s="29" t="str">
        <f t="shared" si="5"/>
        <v>Sim</v>
      </c>
      <c r="AD1311" s="37" t="str">
        <f t="shared" si="1"/>
        <v>Não</v>
      </c>
      <c r="AE1311" s="94"/>
      <c r="AF1311" s="94"/>
      <c r="AG1311" s="95"/>
    </row>
    <row r="1312" hidden="1">
      <c r="A1312" s="115"/>
      <c r="B1312" s="93"/>
      <c r="E1312" s="116"/>
      <c r="F1312" s="95"/>
      <c r="G1312" s="95"/>
      <c r="H1312" s="94"/>
      <c r="I1312" s="94"/>
      <c r="J1312" s="117"/>
      <c r="K1312" s="118"/>
      <c r="L1312" s="119"/>
      <c r="M1312" s="94"/>
      <c r="N1312" s="94"/>
      <c r="O1312" s="93"/>
      <c r="P1312" s="120" t="b">
        <v>0</v>
      </c>
      <c r="Q1312" s="120" t="b">
        <v>0</v>
      </c>
      <c r="R1312" s="120" t="b">
        <v>0</v>
      </c>
      <c r="S1312" s="95"/>
      <c r="U1312" s="120" t="b">
        <v>0</v>
      </c>
      <c r="V1312" s="93"/>
      <c r="W1312" s="93"/>
      <c r="X1312" s="93"/>
      <c r="Y1312" s="93"/>
      <c r="AA1312" s="95"/>
      <c r="AB1312" s="121"/>
      <c r="AC1312" s="29" t="str">
        <f t="shared" si="5"/>
        <v>Sim</v>
      </c>
      <c r="AD1312" s="37" t="str">
        <f t="shared" si="1"/>
        <v>Não</v>
      </c>
      <c r="AE1312" s="94"/>
      <c r="AF1312" s="94"/>
      <c r="AG1312" s="95"/>
    </row>
    <row r="1313" hidden="1">
      <c r="A1313" s="115"/>
      <c r="B1313" s="93"/>
      <c r="E1313" s="116"/>
      <c r="F1313" s="95"/>
      <c r="G1313" s="95"/>
      <c r="H1313" s="94"/>
      <c r="I1313" s="94"/>
      <c r="J1313" s="117"/>
      <c r="K1313" s="118"/>
      <c r="L1313" s="119"/>
      <c r="M1313" s="94"/>
      <c r="N1313" s="94"/>
      <c r="O1313" s="93"/>
      <c r="P1313" s="120" t="b">
        <v>0</v>
      </c>
      <c r="Q1313" s="120" t="b">
        <v>0</v>
      </c>
      <c r="R1313" s="120" t="b">
        <v>0</v>
      </c>
      <c r="S1313" s="95"/>
      <c r="U1313" s="120" t="b">
        <v>0</v>
      </c>
      <c r="V1313" s="93"/>
      <c r="W1313" s="93"/>
      <c r="X1313" s="93"/>
      <c r="Y1313" s="93"/>
      <c r="AA1313" s="95"/>
      <c r="AB1313" s="121"/>
      <c r="AC1313" s="29" t="str">
        <f t="shared" si="5"/>
        <v>Sim</v>
      </c>
      <c r="AD1313" s="37" t="str">
        <f t="shared" si="1"/>
        <v>Não</v>
      </c>
      <c r="AE1313" s="94"/>
      <c r="AF1313" s="94"/>
      <c r="AG1313" s="95"/>
    </row>
    <row r="1314" hidden="1">
      <c r="A1314" s="115"/>
      <c r="B1314" s="93"/>
      <c r="E1314" s="116"/>
      <c r="F1314" s="95"/>
      <c r="G1314" s="95"/>
      <c r="H1314" s="94"/>
      <c r="I1314" s="94"/>
      <c r="J1314" s="117"/>
      <c r="K1314" s="118"/>
      <c r="L1314" s="119"/>
      <c r="M1314" s="94"/>
      <c r="N1314" s="94"/>
      <c r="O1314" s="93"/>
      <c r="P1314" s="120" t="b">
        <v>0</v>
      </c>
      <c r="Q1314" s="120" t="b">
        <v>0</v>
      </c>
      <c r="R1314" s="120" t="b">
        <v>0</v>
      </c>
      <c r="S1314" s="95"/>
      <c r="U1314" s="120" t="b">
        <v>0</v>
      </c>
      <c r="V1314" s="93"/>
      <c r="W1314" s="93"/>
      <c r="X1314" s="93"/>
      <c r="Y1314" s="93"/>
      <c r="AA1314" s="95"/>
      <c r="AB1314" s="121"/>
      <c r="AC1314" s="29" t="str">
        <f t="shared" si="5"/>
        <v>Sim</v>
      </c>
      <c r="AD1314" s="37" t="str">
        <f t="shared" si="1"/>
        <v>Não</v>
      </c>
      <c r="AE1314" s="94"/>
      <c r="AF1314" s="94"/>
      <c r="AG1314" s="95"/>
    </row>
    <row r="1315" hidden="1">
      <c r="A1315" s="115"/>
      <c r="B1315" s="93"/>
      <c r="E1315" s="116"/>
      <c r="F1315" s="95"/>
      <c r="G1315" s="95"/>
      <c r="H1315" s="94"/>
      <c r="I1315" s="94"/>
      <c r="J1315" s="117"/>
      <c r="K1315" s="118"/>
      <c r="L1315" s="119"/>
      <c r="M1315" s="94"/>
      <c r="N1315" s="94"/>
      <c r="O1315" s="93"/>
      <c r="P1315" s="120" t="b">
        <v>0</v>
      </c>
      <c r="Q1315" s="120" t="b">
        <v>0</v>
      </c>
      <c r="R1315" s="120" t="b">
        <v>0</v>
      </c>
      <c r="S1315" s="95"/>
      <c r="U1315" s="120" t="b">
        <v>0</v>
      </c>
      <c r="V1315" s="93"/>
      <c r="W1315" s="93"/>
      <c r="X1315" s="93"/>
      <c r="Y1315" s="93"/>
      <c r="AA1315" s="95"/>
      <c r="AB1315" s="121"/>
      <c r="AC1315" s="29" t="str">
        <f t="shared" si="5"/>
        <v>Sim</v>
      </c>
      <c r="AD1315" s="37" t="str">
        <f t="shared" si="1"/>
        <v>Não</v>
      </c>
      <c r="AE1315" s="94"/>
      <c r="AF1315" s="94"/>
      <c r="AG1315" s="95"/>
    </row>
    <row r="1316" hidden="1">
      <c r="A1316" s="115"/>
      <c r="B1316" s="93"/>
      <c r="E1316" s="116"/>
      <c r="F1316" s="95"/>
      <c r="G1316" s="95"/>
      <c r="H1316" s="94"/>
      <c r="I1316" s="94"/>
      <c r="J1316" s="117"/>
      <c r="K1316" s="118"/>
      <c r="L1316" s="119"/>
      <c r="M1316" s="94"/>
      <c r="N1316" s="94"/>
      <c r="O1316" s="93"/>
      <c r="P1316" s="120" t="b">
        <v>0</v>
      </c>
      <c r="Q1316" s="120" t="b">
        <v>0</v>
      </c>
      <c r="R1316" s="120" t="b">
        <v>0</v>
      </c>
      <c r="S1316" s="95"/>
      <c r="U1316" s="120" t="b">
        <v>0</v>
      </c>
      <c r="V1316" s="93"/>
      <c r="W1316" s="93"/>
      <c r="X1316" s="93"/>
      <c r="Y1316" s="93"/>
      <c r="AA1316" s="95"/>
      <c r="AB1316" s="121"/>
      <c r="AC1316" s="29" t="str">
        <f t="shared" si="5"/>
        <v>Sim</v>
      </c>
      <c r="AD1316" s="37" t="str">
        <f t="shared" si="1"/>
        <v>Não</v>
      </c>
      <c r="AE1316" s="94"/>
      <c r="AF1316" s="94"/>
      <c r="AG1316" s="95"/>
    </row>
    <row r="1317" hidden="1">
      <c r="A1317" s="115"/>
      <c r="B1317" s="93"/>
      <c r="E1317" s="116"/>
      <c r="F1317" s="95"/>
      <c r="G1317" s="95"/>
      <c r="H1317" s="94"/>
      <c r="I1317" s="94"/>
      <c r="J1317" s="117"/>
      <c r="K1317" s="118"/>
      <c r="L1317" s="119"/>
      <c r="M1317" s="94"/>
      <c r="N1317" s="94"/>
      <c r="O1317" s="93"/>
      <c r="P1317" s="120" t="b">
        <v>0</v>
      </c>
      <c r="Q1317" s="120" t="b">
        <v>0</v>
      </c>
      <c r="R1317" s="120" t="b">
        <v>0</v>
      </c>
      <c r="S1317" s="95"/>
      <c r="U1317" s="120" t="b">
        <v>0</v>
      </c>
      <c r="V1317" s="93"/>
      <c r="W1317" s="93"/>
      <c r="X1317" s="93"/>
      <c r="Y1317" s="93"/>
      <c r="AA1317" s="95"/>
      <c r="AB1317" s="121"/>
      <c r="AC1317" s="29" t="str">
        <f t="shared" si="5"/>
        <v>Sim</v>
      </c>
      <c r="AD1317" s="37" t="str">
        <f t="shared" si="1"/>
        <v>Não</v>
      </c>
      <c r="AE1317" s="94"/>
      <c r="AF1317" s="94"/>
      <c r="AG1317" s="95"/>
    </row>
    <row r="1318" hidden="1">
      <c r="A1318" s="115"/>
      <c r="B1318" s="93"/>
      <c r="E1318" s="116"/>
      <c r="F1318" s="95"/>
      <c r="G1318" s="95"/>
      <c r="H1318" s="94"/>
      <c r="I1318" s="94"/>
      <c r="J1318" s="117"/>
      <c r="K1318" s="118"/>
      <c r="L1318" s="119"/>
      <c r="M1318" s="94"/>
      <c r="N1318" s="94"/>
      <c r="O1318" s="93"/>
      <c r="P1318" s="120" t="b">
        <v>0</v>
      </c>
      <c r="Q1318" s="120" t="b">
        <v>0</v>
      </c>
      <c r="R1318" s="120" t="b">
        <v>0</v>
      </c>
      <c r="S1318" s="95"/>
      <c r="U1318" s="120" t="b">
        <v>0</v>
      </c>
      <c r="V1318" s="93"/>
      <c r="W1318" s="93"/>
      <c r="X1318" s="93"/>
      <c r="Y1318" s="93"/>
      <c r="AA1318" s="95"/>
      <c r="AB1318" s="121"/>
      <c r="AC1318" s="29" t="str">
        <f t="shared" si="5"/>
        <v>Sim</v>
      </c>
      <c r="AD1318" s="37" t="str">
        <f t="shared" si="1"/>
        <v>Não</v>
      </c>
      <c r="AE1318" s="94"/>
      <c r="AF1318" s="94"/>
      <c r="AG1318" s="95"/>
    </row>
    <row r="1319" hidden="1">
      <c r="A1319" s="115"/>
      <c r="B1319" s="93"/>
      <c r="E1319" s="116"/>
      <c r="F1319" s="95"/>
      <c r="G1319" s="95"/>
      <c r="H1319" s="94"/>
      <c r="I1319" s="94"/>
      <c r="J1319" s="117"/>
      <c r="K1319" s="118"/>
      <c r="L1319" s="119"/>
      <c r="M1319" s="94"/>
      <c r="N1319" s="94"/>
      <c r="O1319" s="93"/>
      <c r="P1319" s="120" t="b">
        <v>0</v>
      </c>
      <c r="Q1319" s="120" t="b">
        <v>0</v>
      </c>
      <c r="R1319" s="120" t="b">
        <v>0</v>
      </c>
      <c r="S1319" s="95"/>
      <c r="U1319" s="120" t="b">
        <v>0</v>
      </c>
      <c r="V1319" s="93"/>
      <c r="W1319" s="93"/>
      <c r="X1319" s="93"/>
      <c r="Y1319" s="93"/>
      <c r="AA1319" s="95"/>
      <c r="AB1319" s="121"/>
      <c r="AC1319" s="29" t="str">
        <f t="shared" si="5"/>
        <v>Sim</v>
      </c>
      <c r="AD1319" s="37" t="str">
        <f t="shared" si="1"/>
        <v>Não</v>
      </c>
      <c r="AE1319" s="94"/>
      <c r="AF1319" s="94"/>
      <c r="AG1319" s="95"/>
    </row>
    <row r="1320" hidden="1">
      <c r="A1320" s="115"/>
      <c r="B1320" s="93"/>
      <c r="E1320" s="116"/>
      <c r="F1320" s="95"/>
      <c r="G1320" s="95"/>
      <c r="H1320" s="94"/>
      <c r="I1320" s="94"/>
      <c r="J1320" s="117"/>
      <c r="K1320" s="118"/>
      <c r="L1320" s="119"/>
      <c r="M1320" s="94"/>
      <c r="N1320" s="94"/>
      <c r="O1320" s="93"/>
      <c r="P1320" s="120" t="b">
        <v>0</v>
      </c>
      <c r="Q1320" s="120" t="b">
        <v>0</v>
      </c>
      <c r="R1320" s="120" t="b">
        <v>0</v>
      </c>
      <c r="S1320" s="95"/>
      <c r="U1320" s="120" t="b">
        <v>0</v>
      </c>
      <c r="V1320" s="93"/>
      <c r="W1320" s="93"/>
      <c r="X1320" s="93"/>
      <c r="Y1320" s="93"/>
      <c r="AA1320" s="95"/>
      <c r="AB1320" s="121"/>
      <c r="AC1320" s="29" t="str">
        <f t="shared" si="5"/>
        <v>Sim</v>
      </c>
      <c r="AD1320" s="37" t="str">
        <f t="shared" si="1"/>
        <v>Não</v>
      </c>
      <c r="AE1320" s="94"/>
      <c r="AF1320" s="94"/>
      <c r="AG1320" s="95"/>
    </row>
    <row r="1321" hidden="1">
      <c r="A1321" s="115"/>
      <c r="B1321" s="93"/>
      <c r="E1321" s="116"/>
      <c r="F1321" s="95"/>
      <c r="G1321" s="95"/>
      <c r="H1321" s="94"/>
      <c r="I1321" s="94"/>
      <c r="J1321" s="117"/>
      <c r="K1321" s="118"/>
      <c r="L1321" s="119"/>
      <c r="M1321" s="94"/>
      <c r="N1321" s="94"/>
      <c r="O1321" s="93"/>
      <c r="P1321" s="120" t="b">
        <v>0</v>
      </c>
      <c r="Q1321" s="120" t="b">
        <v>0</v>
      </c>
      <c r="R1321" s="120" t="b">
        <v>0</v>
      </c>
      <c r="S1321" s="95"/>
      <c r="U1321" s="120" t="b">
        <v>0</v>
      </c>
      <c r="V1321" s="93"/>
      <c r="W1321" s="93"/>
      <c r="X1321" s="93"/>
      <c r="Y1321" s="93"/>
      <c r="AA1321" s="95"/>
      <c r="AB1321" s="121"/>
      <c r="AC1321" s="29" t="str">
        <f t="shared" si="5"/>
        <v>Sim</v>
      </c>
      <c r="AD1321" s="37" t="str">
        <f t="shared" si="1"/>
        <v>Não</v>
      </c>
      <c r="AE1321" s="94"/>
      <c r="AF1321" s="94"/>
      <c r="AG1321" s="95"/>
    </row>
    <row r="1322" hidden="1">
      <c r="A1322" s="115"/>
      <c r="B1322" s="93"/>
      <c r="E1322" s="116"/>
      <c r="F1322" s="95"/>
      <c r="G1322" s="95"/>
      <c r="H1322" s="94"/>
      <c r="I1322" s="94"/>
      <c r="J1322" s="117"/>
      <c r="K1322" s="118"/>
      <c r="L1322" s="119"/>
      <c r="M1322" s="94"/>
      <c r="N1322" s="94"/>
      <c r="O1322" s="93"/>
      <c r="P1322" s="120" t="b">
        <v>0</v>
      </c>
      <c r="Q1322" s="120" t="b">
        <v>0</v>
      </c>
      <c r="R1322" s="120" t="b">
        <v>0</v>
      </c>
      <c r="S1322" s="95"/>
      <c r="U1322" s="120" t="b">
        <v>0</v>
      </c>
      <c r="V1322" s="93"/>
      <c r="W1322" s="93"/>
      <c r="X1322" s="93"/>
      <c r="Y1322" s="93"/>
      <c r="AA1322" s="95"/>
      <c r="AB1322" s="121"/>
      <c r="AC1322" s="29" t="str">
        <f t="shared" si="5"/>
        <v>Sim</v>
      </c>
      <c r="AD1322" s="37" t="str">
        <f t="shared" si="1"/>
        <v>Não</v>
      </c>
      <c r="AE1322" s="94"/>
      <c r="AF1322" s="94"/>
      <c r="AG1322" s="95"/>
    </row>
    <row r="1323" hidden="1">
      <c r="A1323" s="115"/>
      <c r="B1323" s="93"/>
      <c r="E1323" s="116"/>
      <c r="F1323" s="95"/>
      <c r="G1323" s="95"/>
      <c r="H1323" s="94"/>
      <c r="I1323" s="94"/>
      <c r="J1323" s="117"/>
      <c r="K1323" s="118"/>
      <c r="L1323" s="119"/>
      <c r="M1323" s="94"/>
      <c r="N1323" s="94"/>
      <c r="O1323" s="93"/>
      <c r="P1323" s="120" t="b">
        <v>0</v>
      </c>
      <c r="Q1323" s="120" t="b">
        <v>0</v>
      </c>
      <c r="R1323" s="120" t="b">
        <v>0</v>
      </c>
      <c r="S1323" s="95"/>
      <c r="U1323" s="120" t="b">
        <v>0</v>
      </c>
      <c r="V1323" s="93"/>
      <c r="W1323" s="93"/>
      <c r="X1323" s="93"/>
      <c r="Y1323" s="93"/>
      <c r="AA1323" s="95"/>
      <c r="AB1323" s="121"/>
      <c r="AC1323" s="29" t="str">
        <f t="shared" si="5"/>
        <v>Sim</v>
      </c>
      <c r="AD1323" s="37" t="str">
        <f t="shared" si="1"/>
        <v>Não</v>
      </c>
      <c r="AE1323" s="94"/>
      <c r="AF1323" s="94"/>
      <c r="AG1323" s="95"/>
    </row>
    <row r="1324" hidden="1">
      <c r="A1324" s="115"/>
      <c r="B1324" s="93"/>
      <c r="E1324" s="116"/>
      <c r="F1324" s="95"/>
      <c r="G1324" s="95"/>
      <c r="H1324" s="94"/>
      <c r="I1324" s="94"/>
      <c r="J1324" s="117"/>
      <c r="K1324" s="118"/>
      <c r="L1324" s="119"/>
      <c r="M1324" s="94"/>
      <c r="N1324" s="94"/>
      <c r="O1324" s="93"/>
      <c r="P1324" s="120" t="b">
        <v>0</v>
      </c>
      <c r="Q1324" s="120" t="b">
        <v>0</v>
      </c>
      <c r="R1324" s="120" t="b">
        <v>0</v>
      </c>
      <c r="S1324" s="95"/>
      <c r="U1324" s="120" t="b">
        <v>0</v>
      </c>
      <c r="V1324" s="93"/>
      <c r="W1324" s="93"/>
      <c r="X1324" s="93"/>
      <c r="Y1324" s="93"/>
      <c r="AA1324" s="95"/>
      <c r="AB1324" s="121"/>
      <c r="AC1324" s="29" t="str">
        <f t="shared" si="5"/>
        <v>Sim</v>
      </c>
      <c r="AD1324" s="37" t="str">
        <f t="shared" si="1"/>
        <v>Não</v>
      </c>
      <c r="AE1324" s="94"/>
      <c r="AF1324" s="94"/>
      <c r="AG1324" s="95"/>
    </row>
    <row r="1325" hidden="1">
      <c r="A1325" s="115"/>
      <c r="B1325" s="93"/>
      <c r="E1325" s="116"/>
      <c r="F1325" s="95"/>
      <c r="G1325" s="95"/>
      <c r="H1325" s="94"/>
      <c r="I1325" s="94"/>
      <c r="J1325" s="117"/>
      <c r="K1325" s="118"/>
      <c r="L1325" s="119"/>
      <c r="M1325" s="94"/>
      <c r="N1325" s="94"/>
      <c r="O1325" s="93"/>
      <c r="P1325" s="120" t="b">
        <v>0</v>
      </c>
      <c r="Q1325" s="120" t="b">
        <v>0</v>
      </c>
      <c r="R1325" s="120" t="b">
        <v>0</v>
      </c>
      <c r="S1325" s="95"/>
      <c r="U1325" s="120" t="b">
        <v>0</v>
      </c>
      <c r="V1325" s="93"/>
      <c r="W1325" s="93"/>
      <c r="X1325" s="93"/>
      <c r="Y1325" s="93"/>
      <c r="AA1325" s="95"/>
      <c r="AB1325" s="121"/>
      <c r="AC1325" s="29" t="str">
        <f t="shared" si="5"/>
        <v>Sim</v>
      </c>
      <c r="AD1325" s="37" t="str">
        <f t="shared" si="1"/>
        <v>Não</v>
      </c>
      <c r="AE1325" s="94"/>
      <c r="AF1325" s="94"/>
      <c r="AG1325" s="95"/>
    </row>
    <row r="1326" hidden="1">
      <c r="A1326" s="115"/>
      <c r="B1326" s="93"/>
      <c r="E1326" s="116"/>
      <c r="F1326" s="95"/>
      <c r="G1326" s="95"/>
      <c r="H1326" s="94"/>
      <c r="I1326" s="94"/>
      <c r="J1326" s="117"/>
      <c r="K1326" s="118"/>
      <c r="L1326" s="119"/>
      <c r="M1326" s="94"/>
      <c r="N1326" s="94"/>
      <c r="O1326" s="93"/>
      <c r="P1326" s="120" t="b">
        <v>0</v>
      </c>
      <c r="Q1326" s="120" t="b">
        <v>0</v>
      </c>
      <c r="R1326" s="120" t="b">
        <v>0</v>
      </c>
      <c r="S1326" s="95"/>
      <c r="U1326" s="120" t="b">
        <v>0</v>
      </c>
      <c r="V1326" s="93"/>
      <c r="W1326" s="93"/>
      <c r="X1326" s="93"/>
      <c r="Y1326" s="93"/>
      <c r="AA1326" s="95"/>
      <c r="AB1326" s="121"/>
      <c r="AC1326" s="29" t="str">
        <f t="shared" si="5"/>
        <v>Sim</v>
      </c>
      <c r="AD1326" s="37" t="str">
        <f t="shared" si="1"/>
        <v>Não</v>
      </c>
      <c r="AE1326" s="94"/>
      <c r="AF1326" s="94"/>
      <c r="AG1326" s="95"/>
    </row>
    <row r="1327" hidden="1">
      <c r="A1327" s="115"/>
      <c r="B1327" s="93"/>
      <c r="E1327" s="116"/>
      <c r="F1327" s="95"/>
      <c r="G1327" s="95"/>
      <c r="H1327" s="94"/>
      <c r="I1327" s="94"/>
      <c r="J1327" s="117"/>
      <c r="K1327" s="118"/>
      <c r="L1327" s="119"/>
      <c r="M1327" s="94"/>
      <c r="N1327" s="94"/>
      <c r="O1327" s="93"/>
      <c r="P1327" s="120" t="b">
        <v>0</v>
      </c>
      <c r="Q1327" s="120" t="b">
        <v>0</v>
      </c>
      <c r="R1327" s="120" t="b">
        <v>0</v>
      </c>
      <c r="S1327" s="95"/>
      <c r="U1327" s="120" t="b">
        <v>0</v>
      </c>
      <c r="V1327" s="93"/>
      <c r="W1327" s="93"/>
      <c r="X1327" s="93"/>
      <c r="Y1327" s="93"/>
      <c r="AA1327" s="95"/>
      <c r="AB1327" s="121"/>
      <c r="AC1327" s="29" t="str">
        <f t="shared" si="5"/>
        <v>Sim</v>
      </c>
      <c r="AD1327" s="37" t="str">
        <f t="shared" si="1"/>
        <v>Não</v>
      </c>
      <c r="AE1327" s="94"/>
      <c r="AF1327" s="94"/>
      <c r="AG1327" s="95"/>
    </row>
    <row r="1328" hidden="1">
      <c r="A1328" s="115"/>
      <c r="B1328" s="93"/>
      <c r="E1328" s="116"/>
      <c r="F1328" s="95"/>
      <c r="G1328" s="95"/>
      <c r="H1328" s="94"/>
      <c r="I1328" s="94"/>
      <c r="J1328" s="117"/>
      <c r="K1328" s="118"/>
      <c r="L1328" s="119"/>
      <c r="M1328" s="94"/>
      <c r="N1328" s="94"/>
      <c r="O1328" s="93"/>
      <c r="P1328" s="120" t="b">
        <v>0</v>
      </c>
      <c r="Q1328" s="120" t="b">
        <v>0</v>
      </c>
      <c r="R1328" s="120" t="b">
        <v>0</v>
      </c>
      <c r="S1328" s="95"/>
      <c r="U1328" s="120" t="b">
        <v>0</v>
      </c>
      <c r="V1328" s="93"/>
      <c r="W1328" s="93"/>
      <c r="X1328" s="93"/>
      <c r="Y1328" s="93"/>
      <c r="AA1328" s="95"/>
      <c r="AB1328" s="121"/>
      <c r="AC1328" s="29" t="str">
        <f t="shared" si="5"/>
        <v>Sim</v>
      </c>
      <c r="AD1328" s="37" t="str">
        <f t="shared" si="1"/>
        <v>Não</v>
      </c>
      <c r="AE1328" s="94"/>
      <c r="AF1328" s="94"/>
      <c r="AG1328" s="95"/>
    </row>
    <row r="1329" hidden="1">
      <c r="A1329" s="115"/>
      <c r="B1329" s="93"/>
      <c r="E1329" s="116"/>
      <c r="F1329" s="95"/>
      <c r="G1329" s="95"/>
      <c r="H1329" s="94"/>
      <c r="I1329" s="94"/>
      <c r="J1329" s="117"/>
      <c r="K1329" s="118"/>
      <c r="L1329" s="119"/>
      <c r="M1329" s="94"/>
      <c r="N1329" s="94"/>
      <c r="O1329" s="93"/>
      <c r="P1329" s="120" t="b">
        <v>0</v>
      </c>
      <c r="Q1329" s="120" t="b">
        <v>0</v>
      </c>
      <c r="R1329" s="120" t="b">
        <v>0</v>
      </c>
      <c r="S1329" s="95"/>
      <c r="U1329" s="120" t="b">
        <v>0</v>
      </c>
      <c r="V1329" s="93"/>
      <c r="W1329" s="93"/>
      <c r="X1329" s="93"/>
      <c r="Y1329" s="93"/>
      <c r="AA1329" s="95"/>
      <c r="AB1329" s="121"/>
      <c r="AC1329" s="29" t="str">
        <f t="shared" si="5"/>
        <v>Sim</v>
      </c>
      <c r="AD1329" s="37" t="str">
        <f t="shared" si="1"/>
        <v>Não</v>
      </c>
      <c r="AE1329" s="94"/>
      <c r="AF1329" s="94"/>
      <c r="AG1329" s="95"/>
    </row>
    <row r="1330" hidden="1">
      <c r="A1330" s="115"/>
      <c r="B1330" s="93"/>
      <c r="E1330" s="116"/>
      <c r="F1330" s="95"/>
      <c r="G1330" s="95"/>
      <c r="H1330" s="94"/>
      <c r="I1330" s="94"/>
      <c r="J1330" s="117"/>
      <c r="K1330" s="118"/>
      <c r="L1330" s="119"/>
      <c r="M1330" s="94"/>
      <c r="N1330" s="94"/>
      <c r="O1330" s="93"/>
      <c r="P1330" s="120" t="b">
        <v>0</v>
      </c>
      <c r="Q1330" s="120" t="b">
        <v>0</v>
      </c>
      <c r="R1330" s="120" t="b">
        <v>0</v>
      </c>
      <c r="S1330" s="95"/>
      <c r="U1330" s="120" t="b">
        <v>0</v>
      </c>
      <c r="V1330" s="93"/>
      <c r="W1330" s="93"/>
      <c r="X1330" s="93"/>
      <c r="Y1330" s="93"/>
      <c r="AA1330" s="95"/>
      <c r="AB1330" s="121"/>
      <c r="AC1330" s="29" t="str">
        <f t="shared" si="5"/>
        <v>Sim</v>
      </c>
      <c r="AD1330" s="37" t="str">
        <f t="shared" si="1"/>
        <v>Não</v>
      </c>
      <c r="AE1330" s="94"/>
      <c r="AF1330" s="94"/>
      <c r="AG1330" s="95"/>
    </row>
    <row r="1331" hidden="1">
      <c r="A1331" s="115"/>
      <c r="B1331" s="93"/>
      <c r="E1331" s="116"/>
      <c r="F1331" s="95"/>
      <c r="G1331" s="95"/>
      <c r="H1331" s="94"/>
      <c r="I1331" s="94"/>
      <c r="J1331" s="117"/>
      <c r="K1331" s="118"/>
      <c r="L1331" s="119"/>
      <c r="M1331" s="94"/>
      <c r="N1331" s="94"/>
      <c r="O1331" s="93"/>
      <c r="P1331" s="120" t="b">
        <v>0</v>
      </c>
      <c r="Q1331" s="120" t="b">
        <v>0</v>
      </c>
      <c r="R1331" s="120" t="b">
        <v>0</v>
      </c>
      <c r="S1331" s="95"/>
      <c r="U1331" s="120" t="b">
        <v>0</v>
      </c>
      <c r="V1331" s="93"/>
      <c r="W1331" s="93"/>
      <c r="X1331" s="93"/>
      <c r="Y1331" s="93"/>
      <c r="AA1331" s="95"/>
      <c r="AB1331" s="121"/>
      <c r="AC1331" s="29" t="str">
        <f t="shared" si="5"/>
        <v>Sim</v>
      </c>
      <c r="AD1331" s="37" t="str">
        <f t="shared" si="1"/>
        <v>Não</v>
      </c>
      <c r="AE1331" s="94"/>
      <c r="AF1331" s="94"/>
      <c r="AG1331" s="95"/>
    </row>
    <row r="1332" hidden="1">
      <c r="A1332" s="115"/>
      <c r="B1332" s="93"/>
      <c r="E1332" s="116"/>
      <c r="F1332" s="95"/>
      <c r="G1332" s="95"/>
      <c r="H1332" s="94"/>
      <c r="I1332" s="94"/>
      <c r="J1332" s="117"/>
      <c r="K1332" s="118"/>
      <c r="L1332" s="119"/>
      <c r="M1332" s="94"/>
      <c r="N1332" s="94"/>
      <c r="O1332" s="93"/>
      <c r="P1332" s="120" t="b">
        <v>0</v>
      </c>
      <c r="Q1332" s="120" t="b">
        <v>0</v>
      </c>
      <c r="R1332" s="120" t="b">
        <v>0</v>
      </c>
      <c r="S1332" s="95"/>
      <c r="U1332" s="120" t="b">
        <v>0</v>
      </c>
      <c r="V1332" s="93"/>
      <c r="W1332" s="93"/>
      <c r="X1332" s="93"/>
      <c r="Y1332" s="93"/>
      <c r="AA1332" s="95"/>
      <c r="AB1332" s="121"/>
      <c r="AC1332" s="29" t="str">
        <f t="shared" si="5"/>
        <v>Sim</v>
      </c>
      <c r="AD1332" s="37" t="str">
        <f t="shared" si="1"/>
        <v>Não</v>
      </c>
      <c r="AE1332" s="94"/>
      <c r="AF1332" s="94"/>
      <c r="AG1332" s="95"/>
    </row>
    <row r="1333" hidden="1">
      <c r="A1333" s="115"/>
      <c r="B1333" s="93"/>
      <c r="E1333" s="116"/>
      <c r="F1333" s="95"/>
      <c r="G1333" s="95"/>
      <c r="H1333" s="94"/>
      <c r="I1333" s="94"/>
      <c r="J1333" s="117"/>
      <c r="K1333" s="118"/>
      <c r="L1333" s="119"/>
      <c r="M1333" s="94"/>
      <c r="N1333" s="94"/>
      <c r="O1333" s="93"/>
      <c r="P1333" s="120" t="b">
        <v>0</v>
      </c>
      <c r="Q1333" s="120" t="b">
        <v>0</v>
      </c>
      <c r="R1333" s="120" t="b">
        <v>0</v>
      </c>
      <c r="S1333" s="95"/>
      <c r="U1333" s="120" t="b">
        <v>0</v>
      </c>
      <c r="V1333" s="93"/>
      <c r="W1333" s="93"/>
      <c r="X1333" s="93"/>
      <c r="Y1333" s="93"/>
      <c r="AA1333" s="95"/>
      <c r="AB1333" s="121"/>
      <c r="AC1333" s="29" t="str">
        <f t="shared" si="5"/>
        <v>Sim</v>
      </c>
      <c r="AD1333" s="37" t="str">
        <f t="shared" si="1"/>
        <v>Não</v>
      </c>
      <c r="AE1333" s="94"/>
      <c r="AF1333" s="94"/>
      <c r="AG1333" s="95"/>
    </row>
    <row r="1334" hidden="1">
      <c r="A1334" s="115"/>
      <c r="B1334" s="93"/>
      <c r="E1334" s="116"/>
      <c r="F1334" s="95"/>
      <c r="G1334" s="95"/>
      <c r="H1334" s="94"/>
      <c r="I1334" s="94"/>
      <c r="J1334" s="117"/>
      <c r="K1334" s="118"/>
      <c r="L1334" s="119"/>
      <c r="M1334" s="94"/>
      <c r="N1334" s="94"/>
      <c r="O1334" s="93"/>
      <c r="P1334" s="120" t="b">
        <v>0</v>
      </c>
      <c r="Q1334" s="120" t="b">
        <v>0</v>
      </c>
      <c r="R1334" s="120" t="b">
        <v>0</v>
      </c>
      <c r="S1334" s="95"/>
      <c r="U1334" s="120" t="b">
        <v>0</v>
      </c>
      <c r="V1334" s="93"/>
      <c r="W1334" s="93"/>
      <c r="X1334" s="93"/>
      <c r="Y1334" s="93"/>
      <c r="AA1334" s="95"/>
      <c r="AB1334" s="121"/>
      <c r="AC1334" s="29" t="str">
        <f t="shared" si="5"/>
        <v>Sim</v>
      </c>
      <c r="AD1334" s="37" t="str">
        <f t="shared" si="1"/>
        <v>Não</v>
      </c>
      <c r="AE1334" s="94"/>
      <c r="AF1334" s="94"/>
      <c r="AG1334" s="95"/>
    </row>
    <row r="1335" hidden="1">
      <c r="A1335" s="115"/>
      <c r="B1335" s="93"/>
      <c r="E1335" s="116"/>
      <c r="F1335" s="95"/>
      <c r="G1335" s="95"/>
      <c r="H1335" s="94"/>
      <c r="I1335" s="94"/>
      <c r="J1335" s="117"/>
      <c r="K1335" s="118"/>
      <c r="L1335" s="119"/>
      <c r="M1335" s="94"/>
      <c r="N1335" s="94"/>
      <c r="O1335" s="93"/>
      <c r="P1335" s="120" t="b">
        <v>0</v>
      </c>
      <c r="Q1335" s="120" t="b">
        <v>0</v>
      </c>
      <c r="R1335" s="120" t="b">
        <v>0</v>
      </c>
      <c r="S1335" s="95"/>
      <c r="U1335" s="120" t="b">
        <v>0</v>
      </c>
      <c r="V1335" s="93"/>
      <c r="W1335" s="93"/>
      <c r="X1335" s="93"/>
      <c r="Y1335" s="93"/>
      <c r="AA1335" s="95"/>
      <c r="AB1335" s="121"/>
      <c r="AC1335" s="29" t="str">
        <f t="shared" si="5"/>
        <v>Sim</v>
      </c>
      <c r="AD1335" s="37" t="str">
        <f t="shared" si="1"/>
        <v>Não</v>
      </c>
      <c r="AE1335" s="94"/>
      <c r="AF1335" s="94"/>
      <c r="AG1335" s="95"/>
    </row>
    <row r="1336" hidden="1">
      <c r="A1336" s="115"/>
      <c r="B1336" s="93"/>
      <c r="E1336" s="116"/>
      <c r="F1336" s="95"/>
      <c r="G1336" s="95"/>
      <c r="H1336" s="94"/>
      <c r="I1336" s="94"/>
      <c r="J1336" s="117"/>
      <c r="K1336" s="118"/>
      <c r="L1336" s="119"/>
      <c r="M1336" s="94"/>
      <c r="N1336" s="94"/>
      <c r="O1336" s="93"/>
      <c r="P1336" s="120" t="b">
        <v>0</v>
      </c>
      <c r="Q1336" s="120" t="b">
        <v>0</v>
      </c>
      <c r="R1336" s="120" t="b">
        <v>0</v>
      </c>
      <c r="S1336" s="95"/>
      <c r="U1336" s="120" t="b">
        <v>0</v>
      </c>
      <c r="V1336" s="93"/>
      <c r="W1336" s="93"/>
      <c r="X1336" s="93"/>
      <c r="Y1336" s="93"/>
      <c r="AA1336" s="95"/>
      <c r="AB1336" s="121"/>
      <c r="AC1336" s="29" t="str">
        <f t="shared" si="5"/>
        <v>Sim</v>
      </c>
      <c r="AD1336" s="37" t="str">
        <f t="shared" si="1"/>
        <v>Não</v>
      </c>
      <c r="AE1336" s="94"/>
      <c r="AF1336" s="94"/>
      <c r="AG1336" s="95"/>
    </row>
    <row r="1337" hidden="1">
      <c r="A1337" s="115"/>
      <c r="B1337" s="93"/>
      <c r="E1337" s="116"/>
      <c r="F1337" s="95"/>
      <c r="G1337" s="95"/>
      <c r="H1337" s="94"/>
      <c r="I1337" s="94"/>
      <c r="J1337" s="117"/>
      <c r="K1337" s="118"/>
      <c r="L1337" s="119"/>
      <c r="M1337" s="94"/>
      <c r="N1337" s="94"/>
      <c r="O1337" s="93"/>
      <c r="P1337" s="120" t="b">
        <v>0</v>
      </c>
      <c r="Q1337" s="120" t="b">
        <v>0</v>
      </c>
      <c r="R1337" s="120" t="b">
        <v>0</v>
      </c>
      <c r="S1337" s="95"/>
      <c r="U1337" s="120" t="b">
        <v>0</v>
      </c>
      <c r="V1337" s="93"/>
      <c r="W1337" s="93"/>
      <c r="X1337" s="93"/>
      <c r="Y1337" s="93"/>
      <c r="AA1337" s="95"/>
      <c r="AB1337" s="121"/>
      <c r="AC1337" s="29" t="str">
        <f t="shared" si="5"/>
        <v>Sim</v>
      </c>
      <c r="AD1337" s="37" t="str">
        <f t="shared" si="1"/>
        <v>Não</v>
      </c>
      <c r="AE1337" s="94"/>
      <c r="AF1337" s="94"/>
      <c r="AG1337" s="95"/>
    </row>
    <row r="1338" hidden="1">
      <c r="A1338" s="115"/>
      <c r="B1338" s="93"/>
      <c r="E1338" s="116"/>
      <c r="F1338" s="95"/>
      <c r="G1338" s="95"/>
      <c r="H1338" s="94"/>
      <c r="I1338" s="94"/>
      <c r="J1338" s="117"/>
      <c r="K1338" s="118"/>
      <c r="L1338" s="119"/>
      <c r="M1338" s="94"/>
      <c r="N1338" s="94"/>
      <c r="O1338" s="93"/>
      <c r="P1338" s="120" t="b">
        <v>0</v>
      </c>
      <c r="Q1338" s="120" t="b">
        <v>0</v>
      </c>
      <c r="R1338" s="120" t="b">
        <v>0</v>
      </c>
      <c r="S1338" s="95"/>
      <c r="U1338" s="120" t="b">
        <v>0</v>
      </c>
      <c r="V1338" s="93"/>
      <c r="W1338" s="93"/>
      <c r="X1338" s="93"/>
      <c r="Y1338" s="93"/>
      <c r="AA1338" s="95"/>
      <c r="AB1338" s="121"/>
      <c r="AC1338" s="29" t="str">
        <f t="shared" si="5"/>
        <v>Sim</v>
      </c>
      <c r="AD1338" s="37" t="str">
        <f t="shared" si="1"/>
        <v>Não</v>
      </c>
      <c r="AE1338" s="94"/>
      <c r="AF1338" s="94"/>
      <c r="AG1338" s="95"/>
    </row>
    <row r="1339" hidden="1">
      <c r="A1339" s="115"/>
      <c r="B1339" s="93"/>
      <c r="E1339" s="116"/>
      <c r="F1339" s="95"/>
      <c r="G1339" s="95"/>
      <c r="H1339" s="94"/>
      <c r="I1339" s="94"/>
      <c r="J1339" s="117"/>
      <c r="K1339" s="118"/>
      <c r="L1339" s="119"/>
      <c r="M1339" s="94"/>
      <c r="N1339" s="94"/>
      <c r="O1339" s="93"/>
      <c r="P1339" s="120" t="b">
        <v>0</v>
      </c>
      <c r="Q1339" s="120" t="b">
        <v>0</v>
      </c>
      <c r="R1339" s="120" t="b">
        <v>0</v>
      </c>
      <c r="S1339" s="95"/>
      <c r="U1339" s="120" t="b">
        <v>0</v>
      </c>
      <c r="V1339" s="93"/>
      <c r="W1339" s="93"/>
      <c r="X1339" s="93"/>
      <c r="Y1339" s="93"/>
      <c r="AA1339" s="95"/>
      <c r="AB1339" s="121"/>
      <c r="AC1339" s="29" t="str">
        <f t="shared" si="5"/>
        <v>Sim</v>
      </c>
      <c r="AD1339" s="37" t="str">
        <f t="shared" si="1"/>
        <v>Não</v>
      </c>
      <c r="AE1339" s="94"/>
      <c r="AF1339" s="94"/>
      <c r="AG1339" s="95"/>
    </row>
    <row r="1340" hidden="1">
      <c r="A1340" s="115"/>
      <c r="B1340" s="93"/>
      <c r="E1340" s="116"/>
      <c r="F1340" s="95"/>
      <c r="G1340" s="95"/>
      <c r="H1340" s="94"/>
      <c r="I1340" s="94"/>
      <c r="J1340" s="117"/>
      <c r="K1340" s="118"/>
      <c r="L1340" s="119"/>
      <c r="M1340" s="94"/>
      <c r="N1340" s="94"/>
      <c r="O1340" s="93"/>
      <c r="P1340" s="120" t="b">
        <v>0</v>
      </c>
      <c r="Q1340" s="120" t="b">
        <v>0</v>
      </c>
      <c r="R1340" s="120" t="b">
        <v>0</v>
      </c>
      <c r="S1340" s="95"/>
      <c r="U1340" s="120" t="b">
        <v>0</v>
      </c>
      <c r="V1340" s="93"/>
      <c r="W1340" s="93"/>
      <c r="X1340" s="93"/>
      <c r="Y1340" s="93"/>
      <c r="AA1340" s="95"/>
      <c r="AB1340" s="121"/>
      <c r="AC1340" s="29" t="str">
        <f t="shared" si="5"/>
        <v>Sim</v>
      </c>
      <c r="AD1340" s="37" t="str">
        <f t="shared" si="1"/>
        <v>Não</v>
      </c>
      <c r="AE1340" s="94"/>
      <c r="AF1340" s="94"/>
      <c r="AG1340" s="95"/>
    </row>
    <row r="1341" hidden="1">
      <c r="A1341" s="115"/>
      <c r="B1341" s="93"/>
      <c r="E1341" s="116"/>
      <c r="F1341" s="95"/>
      <c r="G1341" s="95"/>
      <c r="H1341" s="94"/>
      <c r="I1341" s="94"/>
      <c r="J1341" s="117"/>
      <c r="K1341" s="118"/>
      <c r="L1341" s="119"/>
      <c r="M1341" s="94"/>
      <c r="N1341" s="94"/>
      <c r="O1341" s="93"/>
      <c r="P1341" s="120" t="b">
        <v>0</v>
      </c>
      <c r="Q1341" s="120" t="b">
        <v>0</v>
      </c>
      <c r="R1341" s="120" t="b">
        <v>0</v>
      </c>
      <c r="S1341" s="95"/>
      <c r="U1341" s="120" t="b">
        <v>0</v>
      </c>
      <c r="V1341" s="93"/>
      <c r="W1341" s="93"/>
      <c r="X1341" s="93"/>
      <c r="Y1341" s="93"/>
      <c r="AA1341" s="95"/>
      <c r="AB1341" s="121"/>
      <c r="AC1341" s="29" t="str">
        <f t="shared" si="5"/>
        <v>Sim</v>
      </c>
      <c r="AD1341" s="37" t="str">
        <f t="shared" si="1"/>
        <v>Não</v>
      </c>
      <c r="AE1341" s="94"/>
      <c r="AF1341" s="94"/>
      <c r="AG1341" s="95"/>
    </row>
    <row r="1342" hidden="1">
      <c r="A1342" s="115"/>
      <c r="B1342" s="93"/>
      <c r="E1342" s="116"/>
      <c r="F1342" s="95"/>
      <c r="G1342" s="95"/>
      <c r="H1342" s="94"/>
      <c r="I1342" s="94"/>
      <c r="J1342" s="117"/>
      <c r="K1342" s="118"/>
      <c r="L1342" s="119"/>
      <c r="M1342" s="94"/>
      <c r="N1342" s="94"/>
      <c r="O1342" s="93"/>
      <c r="P1342" s="120" t="b">
        <v>0</v>
      </c>
      <c r="Q1342" s="120" t="b">
        <v>0</v>
      </c>
      <c r="R1342" s="120" t="b">
        <v>0</v>
      </c>
      <c r="S1342" s="95"/>
      <c r="U1342" s="120" t="b">
        <v>0</v>
      </c>
      <c r="V1342" s="93"/>
      <c r="W1342" s="93"/>
      <c r="X1342" s="93"/>
      <c r="Y1342" s="93"/>
      <c r="AA1342" s="95"/>
      <c r="AB1342" s="121"/>
      <c r="AC1342" s="29" t="str">
        <f t="shared" si="5"/>
        <v>Sim</v>
      </c>
      <c r="AD1342" s="37" t="str">
        <f t="shared" si="1"/>
        <v>Não</v>
      </c>
      <c r="AE1342" s="94"/>
      <c r="AF1342" s="94"/>
      <c r="AG1342" s="95"/>
    </row>
    <row r="1343" hidden="1">
      <c r="A1343" s="115"/>
      <c r="B1343" s="93"/>
      <c r="E1343" s="116"/>
      <c r="F1343" s="95"/>
      <c r="G1343" s="95"/>
      <c r="H1343" s="94"/>
      <c r="I1343" s="94"/>
      <c r="J1343" s="117"/>
      <c r="K1343" s="118"/>
      <c r="L1343" s="119"/>
      <c r="M1343" s="94"/>
      <c r="N1343" s="94"/>
      <c r="O1343" s="93"/>
      <c r="P1343" s="120" t="b">
        <v>0</v>
      </c>
      <c r="Q1343" s="120" t="b">
        <v>0</v>
      </c>
      <c r="R1343" s="120" t="b">
        <v>0</v>
      </c>
      <c r="S1343" s="95"/>
      <c r="U1343" s="120" t="b">
        <v>0</v>
      </c>
      <c r="V1343" s="93"/>
      <c r="W1343" s="93"/>
      <c r="X1343" s="93"/>
      <c r="Y1343" s="93"/>
      <c r="AA1343" s="95"/>
      <c r="AB1343" s="121"/>
      <c r="AC1343" s="29" t="str">
        <f t="shared" si="5"/>
        <v>Sim</v>
      </c>
      <c r="AD1343" s="37" t="str">
        <f t="shared" si="1"/>
        <v>Não</v>
      </c>
      <c r="AE1343" s="94"/>
      <c r="AF1343" s="94"/>
      <c r="AG1343" s="95"/>
    </row>
    <row r="1344" hidden="1">
      <c r="A1344" s="115"/>
      <c r="B1344" s="93"/>
      <c r="E1344" s="116"/>
      <c r="F1344" s="95"/>
      <c r="G1344" s="95"/>
      <c r="H1344" s="94"/>
      <c r="I1344" s="94"/>
      <c r="J1344" s="117"/>
      <c r="K1344" s="118"/>
      <c r="L1344" s="119"/>
      <c r="M1344" s="94"/>
      <c r="N1344" s="94"/>
      <c r="O1344" s="93"/>
      <c r="P1344" s="120" t="b">
        <v>0</v>
      </c>
      <c r="Q1344" s="120" t="b">
        <v>0</v>
      </c>
      <c r="R1344" s="120" t="b">
        <v>0</v>
      </c>
      <c r="S1344" s="95"/>
      <c r="U1344" s="120" t="b">
        <v>0</v>
      </c>
      <c r="V1344" s="93"/>
      <c r="W1344" s="93"/>
      <c r="X1344" s="93"/>
      <c r="Y1344" s="93"/>
      <c r="AA1344" s="95"/>
      <c r="AB1344" s="121"/>
      <c r="AC1344" s="29" t="str">
        <f t="shared" si="5"/>
        <v>Sim</v>
      </c>
      <c r="AD1344" s="37" t="str">
        <f t="shared" si="1"/>
        <v>Não</v>
      </c>
      <c r="AE1344" s="94"/>
      <c r="AF1344" s="94"/>
      <c r="AG1344" s="95"/>
    </row>
    <row r="1345" hidden="1">
      <c r="A1345" s="115"/>
      <c r="B1345" s="93"/>
      <c r="E1345" s="116"/>
      <c r="F1345" s="95"/>
      <c r="G1345" s="95"/>
      <c r="H1345" s="94"/>
      <c r="I1345" s="94"/>
      <c r="J1345" s="117"/>
      <c r="K1345" s="118"/>
      <c r="L1345" s="119"/>
      <c r="M1345" s="94"/>
      <c r="N1345" s="94"/>
      <c r="O1345" s="93"/>
      <c r="P1345" s="120" t="b">
        <v>0</v>
      </c>
      <c r="Q1345" s="120" t="b">
        <v>0</v>
      </c>
      <c r="R1345" s="120" t="b">
        <v>0</v>
      </c>
      <c r="S1345" s="95"/>
      <c r="U1345" s="120" t="b">
        <v>0</v>
      </c>
      <c r="V1345" s="93"/>
      <c r="W1345" s="93"/>
      <c r="X1345" s="93"/>
      <c r="Y1345" s="93"/>
      <c r="AA1345" s="95"/>
      <c r="AB1345" s="121"/>
      <c r="AC1345" s="29" t="str">
        <f t="shared" si="5"/>
        <v>Sim</v>
      </c>
      <c r="AD1345" s="37" t="str">
        <f t="shared" si="1"/>
        <v>Não</v>
      </c>
      <c r="AE1345" s="94"/>
      <c r="AF1345" s="94"/>
      <c r="AG1345" s="95"/>
    </row>
    <row r="1346" hidden="1">
      <c r="A1346" s="115"/>
      <c r="B1346" s="93"/>
      <c r="E1346" s="116"/>
      <c r="F1346" s="95"/>
      <c r="G1346" s="95"/>
      <c r="H1346" s="94"/>
      <c r="I1346" s="94"/>
      <c r="J1346" s="117"/>
      <c r="K1346" s="118"/>
      <c r="L1346" s="119"/>
      <c r="M1346" s="94"/>
      <c r="N1346" s="94"/>
      <c r="O1346" s="93"/>
      <c r="P1346" s="120" t="b">
        <v>0</v>
      </c>
      <c r="Q1346" s="120" t="b">
        <v>0</v>
      </c>
      <c r="R1346" s="120" t="b">
        <v>0</v>
      </c>
      <c r="S1346" s="95"/>
      <c r="U1346" s="120" t="b">
        <v>0</v>
      </c>
      <c r="V1346" s="93"/>
      <c r="W1346" s="93"/>
      <c r="X1346" s="93"/>
      <c r="Y1346" s="93"/>
      <c r="AA1346" s="95"/>
      <c r="AB1346" s="121"/>
      <c r="AC1346" s="29" t="str">
        <f t="shared" si="5"/>
        <v>Sim</v>
      </c>
      <c r="AD1346" s="37" t="str">
        <f t="shared" si="1"/>
        <v>Não</v>
      </c>
      <c r="AE1346" s="94"/>
      <c r="AF1346" s="94"/>
      <c r="AG1346" s="95"/>
    </row>
    <row r="1347" hidden="1">
      <c r="A1347" s="115"/>
      <c r="B1347" s="93"/>
      <c r="E1347" s="116"/>
      <c r="F1347" s="95"/>
      <c r="G1347" s="95"/>
      <c r="H1347" s="94"/>
      <c r="I1347" s="94"/>
      <c r="J1347" s="117"/>
      <c r="K1347" s="118"/>
      <c r="L1347" s="119"/>
      <c r="M1347" s="94"/>
      <c r="N1347" s="94"/>
      <c r="O1347" s="93"/>
      <c r="P1347" s="120" t="b">
        <v>0</v>
      </c>
      <c r="Q1347" s="120" t="b">
        <v>0</v>
      </c>
      <c r="R1347" s="120" t="b">
        <v>0</v>
      </c>
      <c r="S1347" s="95"/>
      <c r="U1347" s="120" t="b">
        <v>0</v>
      </c>
      <c r="V1347" s="93"/>
      <c r="W1347" s="93"/>
      <c r="X1347" s="93"/>
      <c r="Y1347" s="93"/>
      <c r="AA1347" s="95"/>
      <c r="AB1347" s="121"/>
      <c r="AC1347" s="29" t="str">
        <f t="shared" si="5"/>
        <v>Sim</v>
      </c>
      <c r="AD1347" s="37" t="str">
        <f t="shared" si="1"/>
        <v>Não</v>
      </c>
      <c r="AE1347" s="94"/>
      <c r="AF1347" s="94"/>
      <c r="AG1347" s="95"/>
    </row>
    <row r="1348" hidden="1">
      <c r="A1348" s="115"/>
      <c r="B1348" s="93"/>
      <c r="E1348" s="116"/>
      <c r="F1348" s="95"/>
      <c r="G1348" s="95"/>
      <c r="H1348" s="94"/>
      <c r="I1348" s="94"/>
      <c r="J1348" s="117"/>
      <c r="K1348" s="118"/>
      <c r="L1348" s="119"/>
      <c r="M1348" s="94"/>
      <c r="N1348" s="94"/>
      <c r="O1348" s="93"/>
      <c r="P1348" s="120" t="b">
        <v>0</v>
      </c>
      <c r="Q1348" s="120" t="b">
        <v>0</v>
      </c>
      <c r="R1348" s="120" t="b">
        <v>0</v>
      </c>
      <c r="S1348" s="95"/>
      <c r="U1348" s="120" t="b">
        <v>0</v>
      </c>
      <c r="V1348" s="93"/>
      <c r="W1348" s="93"/>
      <c r="X1348" s="93"/>
      <c r="Y1348" s="93"/>
      <c r="AA1348" s="95"/>
      <c r="AB1348" s="121"/>
      <c r="AC1348" s="29" t="str">
        <f t="shared" si="5"/>
        <v>Sim</v>
      </c>
      <c r="AD1348" s="37" t="str">
        <f t="shared" si="1"/>
        <v>Não</v>
      </c>
      <c r="AE1348" s="94"/>
      <c r="AF1348" s="94"/>
      <c r="AG1348" s="95"/>
    </row>
    <row r="1349" hidden="1">
      <c r="A1349" s="115"/>
      <c r="B1349" s="93"/>
      <c r="E1349" s="116"/>
      <c r="F1349" s="95"/>
      <c r="G1349" s="95"/>
      <c r="H1349" s="94"/>
      <c r="I1349" s="94"/>
      <c r="J1349" s="117"/>
      <c r="K1349" s="118"/>
      <c r="L1349" s="119"/>
      <c r="M1349" s="94"/>
      <c r="N1349" s="94"/>
      <c r="O1349" s="93"/>
      <c r="P1349" s="120" t="b">
        <v>0</v>
      </c>
      <c r="Q1349" s="120" t="b">
        <v>0</v>
      </c>
      <c r="R1349" s="120" t="b">
        <v>0</v>
      </c>
      <c r="S1349" s="95"/>
      <c r="U1349" s="120" t="b">
        <v>0</v>
      </c>
      <c r="V1349" s="93"/>
      <c r="W1349" s="93"/>
      <c r="X1349" s="93"/>
      <c r="Y1349" s="93"/>
      <c r="AA1349" s="95"/>
      <c r="AB1349" s="121"/>
      <c r="AC1349" s="29" t="str">
        <f t="shared" si="5"/>
        <v>Sim</v>
      </c>
      <c r="AD1349" s="37" t="str">
        <f t="shared" si="1"/>
        <v>Não</v>
      </c>
      <c r="AE1349" s="94"/>
      <c r="AF1349" s="94"/>
      <c r="AG1349" s="95"/>
    </row>
    <row r="1350" hidden="1">
      <c r="A1350" s="115"/>
      <c r="B1350" s="93"/>
      <c r="E1350" s="116"/>
      <c r="F1350" s="95"/>
      <c r="G1350" s="95"/>
      <c r="H1350" s="94"/>
      <c r="I1350" s="94"/>
      <c r="J1350" s="117"/>
      <c r="K1350" s="118"/>
      <c r="L1350" s="119"/>
      <c r="M1350" s="94"/>
      <c r="N1350" s="94"/>
      <c r="O1350" s="93"/>
      <c r="P1350" s="120" t="b">
        <v>0</v>
      </c>
      <c r="Q1350" s="120" t="b">
        <v>0</v>
      </c>
      <c r="R1350" s="120" t="b">
        <v>0</v>
      </c>
      <c r="S1350" s="95"/>
      <c r="U1350" s="120" t="b">
        <v>0</v>
      </c>
      <c r="V1350" s="93"/>
      <c r="W1350" s="93"/>
      <c r="X1350" s="93"/>
      <c r="Y1350" s="93"/>
      <c r="AA1350" s="95"/>
      <c r="AB1350" s="121"/>
      <c r="AC1350" s="29" t="str">
        <f t="shared" si="5"/>
        <v>Sim</v>
      </c>
      <c r="AD1350" s="37" t="str">
        <f t="shared" si="1"/>
        <v>Não</v>
      </c>
      <c r="AE1350" s="94"/>
      <c r="AF1350" s="94"/>
      <c r="AG1350" s="95"/>
    </row>
    <row r="1351" hidden="1">
      <c r="A1351" s="115"/>
      <c r="B1351" s="93"/>
      <c r="E1351" s="116"/>
      <c r="F1351" s="95"/>
      <c r="G1351" s="95"/>
      <c r="H1351" s="94"/>
      <c r="I1351" s="94"/>
      <c r="J1351" s="117"/>
      <c r="K1351" s="118"/>
      <c r="L1351" s="119"/>
      <c r="M1351" s="94"/>
      <c r="N1351" s="94"/>
      <c r="O1351" s="93"/>
      <c r="P1351" s="120" t="b">
        <v>0</v>
      </c>
      <c r="Q1351" s="120" t="b">
        <v>0</v>
      </c>
      <c r="R1351" s="120" t="b">
        <v>0</v>
      </c>
      <c r="S1351" s="95"/>
      <c r="U1351" s="120" t="b">
        <v>0</v>
      </c>
      <c r="V1351" s="93"/>
      <c r="W1351" s="93"/>
      <c r="X1351" s="93"/>
      <c r="Y1351" s="93"/>
      <c r="AA1351" s="95"/>
      <c r="AB1351" s="121"/>
      <c r="AC1351" s="29" t="str">
        <f t="shared" si="5"/>
        <v>Sim</v>
      </c>
      <c r="AD1351" s="37" t="str">
        <f t="shared" si="1"/>
        <v>Não</v>
      </c>
      <c r="AE1351" s="94"/>
      <c r="AF1351" s="94"/>
      <c r="AG1351" s="95"/>
    </row>
    <row r="1352" hidden="1">
      <c r="A1352" s="115"/>
      <c r="B1352" s="93"/>
      <c r="E1352" s="116"/>
      <c r="F1352" s="95"/>
      <c r="G1352" s="95"/>
      <c r="H1352" s="94"/>
      <c r="I1352" s="94"/>
      <c r="J1352" s="117"/>
      <c r="K1352" s="118"/>
      <c r="L1352" s="119"/>
      <c r="M1352" s="94"/>
      <c r="N1352" s="94"/>
      <c r="O1352" s="93"/>
      <c r="P1352" s="120" t="b">
        <v>0</v>
      </c>
      <c r="Q1352" s="120" t="b">
        <v>0</v>
      </c>
      <c r="R1352" s="120" t="b">
        <v>0</v>
      </c>
      <c r="S1352" s="95"/>
      <c r="U1352" s="120" t="b">
        <v>0</v>
      </c>
      <c r="V1352" s="93"/>
      <c r="W1352" s="93"/>
      <c r="X1352" s="93"/>
      <c r="Y1352" s="93"/>
      <c r="AA1352" s="95"/>
      <c r="AB1352" s="121"/>
      <c r="AC1352" s="29" t="str">
        <f t="shared" si="5"/>
        <v>Sim</v>
      </c>
      <c r="AD1352" s="37" t="str">
        <f t="shared" si="1"/>
        <v>Não</v>
      </c>
      <c r="AE1352" s="94"/>
      <c r="AF1352" s="94"/>
      <c r="AG1352" s="95"/>
    </row>
    <row r="1353" hidden="1">
      <c r="A1353" s="115"/>
      <c r="B1353" s="93"/>
      <c r="E1353" s="116"/>
      <c r="F1353" s="95"/>
      <c r="G1353" s="95"/>
      <c r="H1353" s="94"/>
      <c r="I1353" s="94"/>
      <c r="J1353" s="117"/>
      <c r="K1353" s="118"/>
      <c r="L1353" s="119"/>
      <c r="M1353" s="94"/>
      <c r="N1353" s="94"/>
      <c r="O1353" s="93"/>
      <c r="P1353" s="120" t="b">
        <v>0</v>
      </c>
      <c r="Q1353" s="120" t="b">
        <v>0</v>
      </c>
      <c r="R1353" s="120" t="b">
        <v>0</v>
      </c>
      <c r="S1353" s="95"/>
      <c r="U1353" s="120" t="b">
        <v>0</v>
      </c>
      <c r="V1353" s="93"/>
      <c r="W1353" s="93"/>
      <c r="X1353" s="93"/>
      <c r="Y1353" s="93"/>
      <c r="AA1353" s="95"/>
      <c r="AB1353" s="121"/>
      <c r="AC1353" s="29" t="str">
        <f t="shared" si="5"/>
        <v>Sim</v>
      </c>
      <c r="AD1353" s="37" t="str">
        <f t="shared" si="1"/>
        <v>Não</v>
      </c>
      <c r="AE1353" s="94"/>
      <c r="AF1353" s="94"/>
      <c r="AG1353" s="95"/>
    </row>
    <row r="1354" hidden="1">
      <c r="A1354" s="115"/>
      <c r="B1354" s="93"/>
      <c r="E1354" s="116"/>
      <c r="F1354" s="95"/>
      <c r="G1354" s="95"/>
      <c r="H1354" s="94"/>
      <c r="I1354" s="94"/>
      <c r="J1354" s="117"/>
      <c r="K1354" s="118"/>
      <c r="L1354" s="119"/>
      <c r="M1354" s="94"/>
      <c r="N1354" s="94"/>
      <c r="O1354" s="93"/>
      <c r="P1354" s="120" t="b">
        <v>0</v>
      </c>
      <c r="Q1354" s="120" t="b">
        <v>0</v>
      </c>
      <c r="R1354" s="120" t="b">
        <v>0</v>
      </c>
      <c r="S1354" s="95"/>
      <c r="U1354" s="120" t="b">
        <v>0</v>
      </c>
      <c r="V1354" s="93"/>
      <c r="W1354" s="93"/>
      <c r="X1354" s="93"/>
      <c r="Y1354" s="93"/>
      <c r="AA1354" s="95"/>
      <c r="AB1354" s="121"/>
      <c r="AC1354" s="29" t="str">
        <f t="shared" si="5"/>
        <v>Sim</v>
      </c>
      <c r="AD1354" s="37" t="str">
        <f t="shared" si="1"/>
        <v>Não</v>
      </c>
      <c r="AE1354" s="94"/>
      <c r="AF1354" s="94"/>
      <c r="AG1354" s="95"/>
    </row>
    <row r="1355" hidden="1">
      <c r="A1355" s="115"/>
      <c r="B1355" s="93"/>
      <c r="E1355" s="116"/>
      <c r="F1355" s="95"/>
      <c r="G1355" s="95"/>
      <c r="H1355" s="94"/>
      <c r="I1355" s="94"/>
      <c r="J1355" s="117"/>
      <c r="K1355" s="118"/>
      <c r="L1355" s="119"/>
      <c r="M1355" s="94"/>
      <c r="N1355" s="94"/>
      <c r="O1355" s="93"/>
      <c r="P1355" s="120" t="b">
        <v>0</v>
      </c>
      <c r="Q1355" s="120" t="b">
        <v>0</v>
      </c>
      <c r="R1355" s="120" t="b">
        <v>0</v>
      </c>
      <c r="S1355" s="95"/>
      <c r="U1355" s="120" t="b">
        <v>0</v>
      </c>
      <c r="V1355" s="93"/>
      <c r="W1355" s="93"/>
      <c r="X1355" s="93"/>
      <c r="Y1355" s="93"/>
      <c r="AA1355" s="95"/>
      <c r="AB1355" s="121"/>
      <c r="AC1355" s="29" t="str">
        <f t="shared" si="5"/>
        <v>Sim</v>
      </c>
      <c r="AD1355" s="37" t="str">
        <f t="shared" si="1"/>
        <v>Não</v>
      </c>
      <c r="AE1355" s="94"/>
      <c r="AF1355" s="94"/>
      <c r="AG1355" s="95"/>
    </row>
    <row r="1356" hidden="1">
      <c r="A1356" s="115"/>
      <c r="B1356" s="93"/>
      <c r="E1356" s="116"/>
      <c r="F1356" s="95"/>
      <c r="G1356" s="95"/>
      <c r="H1356" s="94"/>
      <c r="I1356" s="94"/>
      <c r="J1356" s="117"/>
      <c r="K1356" s="118"/>
      <c r="L1356" s="119"/>
      <c r="M1356" s="94"/>
      <c r="N1356" s="94"/>
      <c r="O1356" s="93"/>
      <c r="P1356" s="120" t="b">
        <v>0</v>
      </c>
      <c r="Q1356" s="120" t="b">
        <v>0</v>
      </c>
      <c r="R1356" s="120" t="b">
        <v>0</v>
      </c>
      <c r="S1356" s="95"/>
      <c r="U1356" s="120" t="b">
        <v>0</v>
      </c>
      <c r="V1356" s="93"/>
      <c r="W1356" s="93"/>
      <c r="X1356" s="93"/>
      <c r="Y1356" s="93"/>
      <c r="AA1356" s="95"/>
      <c r="AB1356" s="121"/>
      <c r="AC1356" s="29" t="str">
        <f t="shared" si="5"/>
        <v>Sim</v>
      </c>
      <c r="AD1356" s="37" t="str">
        <f t="shared" si="1"/>
        <v>Não</v>
      </c>
      <c r="AE1356" s="94"/>
      <c r="AF1356" s="94"/>
      <c r="AG1356" s="95"/>
    </row>
    <row r="1357" hidden="1">
      <c r="A1357" s="115"/>
      <c r="B1357" s="93"/>
      <c r="E1357" s="116"/>
      <c r="F1357" s="95"/>
      <c r="G1357" s="95"/>
      <c r="H1357" s="94"/>
      <c r="I1357" s="94"/>
      <c r="J1357" s="117"/>
      <c r="K1357" s="118"/>
      <c r="L1357" s="119"/>
      <c r="M1357" s="94"/>
      <c r="N1357" s="94"/>
      <c r="O1357" s="93"/>
      <c r="P1357" s="120" t="b">
        <v>0</v>
      </c>
      <c r="Q1357" s="120" t="b">
        <v>0</v>
      </c>
      <c r="R1357" s="120" t="b">
        <v>0</v>
      </c>
      <c r="S1357" s="95"/>
      <c r="U1357" s="120" t="b">
        <v>0</v>
      </c>
      <c r="V1357" s="93"/>
      <c r="W1357" s="93"/>
      <c r="X1357" s="93"/>
      <c r="Y1357" s="93"/>
      <c r="AA1357" s="95"/>
      <c r="AB1357" s="121"/>
      <c r="AC1357" s="29" t="str">
        <f t="shared" si="5"/>
        <v>Sim</v>
      </c>
      <c r="AD1357" s="37" t="str">
        <f t="shared" si="1"/>
        <v>Não</v>
      </c>
      <c r="AE1357" s="94"/>
      <c r="AF1357" s="94"/>
      <c r="AG1357" s="95"/>
    </row>
    <row r="1358" hidden="1">
      <c r="A1358" s="115"/>
      <c r="B1358" s="93"/>
      <c r="E1358" s="116"/>
      <c r="F1358" s="95"/>
      <c r="G1358" s="95"/>
      <c r="H1358" s="94"/>
      <c r="I1358" s="94"/>
      <c r="J1358" s="117"/>
      <c r="K1358" s="118"/>
      <c r="L1358" s="119"/>
      <c r="M1358" s="94"/>
      <c r="N1358" s="94"/>
      <c r="O1358" s="93"/>
      <c r="P1358" s="120" t="b">
        <v>0</v>
      </c>
      <c r="Q1358" s="120" t="b">
        <v>0</v>
      </c>
      <c r="R1358" s="120" t="b">
        <v>0</v>
      </c>
      <c r="S1358" s="95"/>
      <c r="U1358" s="120" t="b">
        <v>0</v>
      </c>
      <c r="V1358" s="93"/>
      <c r="W1358" s="93"/>
      <c r="X1358" s="93"/>
      <c r="Y1358" s="93"/>
      <c r="AA1358" s="95"/>
      <c r="AB1358" s="121"/>
      <c r="AC1358" s="29" t="str">
        <f t="shared" si="5"/>
        <v>Sim</v>
      </c>
      <c r="AD1358" s="37" t="str">
        <f t="shared" si="1"/>
        <v>Não</v>
      </c>
      <c r="AE1358" s="94"/>
      <c r="AF1358" s="94"/>
      <c r="AG1358" s="95"/>
    </row>
    <row r="1359" hidden="1">
      <c r="A1359" s="115"/>
      <c r="B1359" s="93"/>
      <c r="E1359" s="116"/>
      <c r="F1359" s="95"/>
      <c r="G1359" s="95"/>
      <c r="H1359" s="94"/>
      <c r="I1359" s="94"/>
      <c r="J1359" s="117"/>
      <c r="K1359" s="118"/>
      <c r="L1359" s="119"/>
      <c r="M1359" s="94"/>
      <c r="N1359" s="94"/>
      <c r="O1359" s="93"/>
      <c r="P1359" s="120" t="b">
        <v>0</v>
      </c>
      <c r="Q1359" s="120" t="b">
        <v>0</v>
      </c>
      <c r="R1359" s="120" t="b">
        <v>0</v>
      </c>
      <c r="S1359" s="95"/>
      <c r="U1359" s="120" t="b">
        <v>0</v>
      </c>
      <c r="V1359" s="93"/>
      <c r="W1359" s="93"/>
      <c r="X1359" s="93"/>
      <c r="Y1359" s="93"/>
      <c r="AA1359" s="95"/>
      <c r="AB1359" s="121"/>
      <c r="AC1359" s="29" t="str">
        <f t="shared" si="5"/>
        <v>Sim</v>
      </c>
      <c r="AD1359" s="37" t="str">
        <f t="shared" si="1"/>
        <v>Não</v>
      </c>
      <c r="AE1359" s="94"/>
      <c r="AF1359" s="94"/>
      <c r="AG1359" s="95"/>
    </row>
    <row r="1360" hidden="1">
      <c r="A1360" s="115"/>
      <c r="B1360" s="93"/>
      <c r="E1360" s="116"/>
      <c r="F1360" s="95"/>
      <c r="G1360" s="95"/>
      <c r="H1360" s="94"/>
      <c r="I1360" s="94"/>
      <c r="J1360" s="117"/>
      <c r="K1360" s="118"/>
      <c r="L1360" s="119"/>
      <c r="M1360" s="94"/>
      <c r="N1360" s="94"/>
      <c r="O1360" s="93"/>
      <c r="P1360" s="120" t="b">
        <v>0</v>
      </c>
      <c r="Q1360" s="120" t="b">
        <v>0</v>
      </c>
      <c r="R1360" s="120" t="b">
        <v>0</v>
      </c>
      <c r="S1360" s="95"/>
      <c r="U1360" s="120" t="b">
        <v>0</v>
      </c>
      <c r="V1360" s="93"/>
      <c r="W1360" s="93"/>
      <c r="X1360" s="93"/>
      <c r="Y1360" s="93"/>
      <c r="AA1360" s="95"/>
      <c r="AB1360" s="121"/>
      <c r="AC1360" s="29" t="str">
        <f t="shared" si="5"/>
        <v>Sim</v>
      </c>
      <c r="AD1360" s="37" t="str">
        <f t="shared" si="1"/>
        <v>Não</v>
      </c>
      <c r="AE1360" s="94"/>
      <c r="AF1360" s="94"/>
      <c r="AG1360" s="95"/>
    </row>
    <row r="1361" hidden="1">
      <c r="A1361" s="115"/>
      <c r="B1361" s="93"/>
      <c r="E1361" s="116"/>
      <c r="F1361" s="95"/>
      <c r="G1361" s="95"/>
      <c r="H1361" s="94"/>
      <c r="I1361" s="94"/>
      <c r="J1361" s="117"/>
      <c r="K1361" s="118"/>
      <c r="L1361" s="119"/>
      <c r="M1361" s="94"/>
      <c r="N1361" s="94"/>
      <c r="O1361" s="93"/>
      <c r="P1361" s="120" t="b">
        <v>0</v>
      </c>
      <c r="Q1361" s="120" t="b">
        <v>0</v>
      </c>
      <c r="R1361" s="120" t="b">
        <v>0</v>
      </c>
      <c r="S1361" s="95"/>
      <c r="U1361" s="120" t="b">
        <v>0</v>
      </c>
      <c r="V1361" s="93"/>
      <c r="W1361" s="93"/>
      <c r="X1361" s="93"/>
      <c r="Y1361" s="93"/>
      <c r="AA1361" s="95"/>
      <c r="AB1361" s="121"/>
      <c r="AC1361" s="29" t="str">
        <f t="shared" si="5"/>
        <v>Sim</v>
      </c>
      <c r="AD1361" s="37" t="str">
        <f t="shared" si="1"/>
        <v>Não</v>
      </c>
      <c r="AE1361" s="94"/>
      <c r="AF1361" s="94"/>
      <c r="AG1361" s="95"/>
    </row>
    <row r="1362" hidden="1">
      <c r="A1362" s="115"/>
      <c r="B1362" s="93"/>
      <c r="E1362" s="116"/>
      <c r="F1362" s="95"/>
      <c r="G1362" s="95"/>
      <c r="H1362" s="94"/>
      <c r="I1362" s="94"/>
      <c r="J1362" s="117"/>
      <c r="K1362" s="118"/>
      <c r="L1362" s="119"/>
      <c r="M1362" s="94"/>
      <c r="N1362" s="94"/>
      <c r="O1362" s="93"/>
      <c r="P1362" s="120" t="b">
        <v>0</v>
      </c>
      <c r="Q1362" s="120" t="b">
        <v>0</v>
      </c>
      <c r="R1362" s="120" t="b">
        <v>0</v>
      </c>
      <c r="S1362" s="95"/>
      <c r="U1362" s="120" t="b">
        <v>0</v>
      </c>
      <c r="V1362" s="93"/>
      <c r="W1362" s="93"/>
      <c r="X1362" s="93"/>
      <c r="Y1362" s="93"/>
      <c r="AA1362" s="95"/>
      <c r="AB1362" s="121"/>
      <c r="AC1362" s="29" t="str">
        <f t="shared" si="5"/>
        <v>Sim</v>
      </c>
      <c r="AD1362" s="37" t="str">
        <f t="shared" si="1"/>
        <v>Não</v>
      </c>
      <c r="AE1362" s="94"/>
      <c r="AF1362" s="94"/>
      <c r="AG1362" s="95"/>
    </row>
    <row r="1363" hidden="1">
      <c r="A1363" s="115"/>
      <c r="B1363" s="93"/>
      <c r="E1363" s="116"/>
      <c r="F1363" s="95"/>
      <c r="G1363" s="95"/>
      <c r="H1363" s="94"/>
      <c r="I1363" s="94"/>
      <c r="J1363" s="117"/>
      <c r="K1363" s="118"/>
      <c r="L1363" s="119"/>
      <c r="M1363" s="94"/>
      <c r="N1363" s="94"/>
      <c r="O1363" s="93"/>
      <c r="P1363" s="120" t="b">
        <v>0</v>
      </c>
      <c r="Q1363" s="120" t="b">
        <v>0</v>
      </c>
      <c r="R1363" s="120" t="b">
        <v>0</v>
      </c>
      <c r="S1363" s="95"/>
      <c r="U1363" s="120" t="b">
        <v>0</v>
      </c>
      <c r="V1363" s="93"/>
      <c r="W1363" s="93"/>
      <c r="X1363" s="93"/>
      <c r="Y1363" s="93"/>
      <c r="AA1363" s="95"/>
      <c r="AB1363" s="121"/>
      <c r="AC1363" s="29" t="str">
        <f t="shared" si="5"/>
        <v>Sim</v>
      </c>
      <c r="AD1363" s="37" t="str">
        <f t="shared" si="1"/>
        <v>Não</v>
      </c>
      <c r="AE1363" s="94"/>
      <c r="AF1363" s="94"/>
      <c r="AG1363" s="95"/>
    </row>
    <row r="1364" hidden="1">
      <c r="A1364" s="115"/>
      <c r="B1364" s="93"/>
      <c r="E1364" s="116"/>
      <c r="F1364" s="95"/>
      <c r="G1364" s="95"/>
      <c r="H1364" s="94"/>
      <c r="I1364" s="94"/>
      <c r="J1364" s="117"/>
      <c r="K1364" s="118"/>
      <c r="L1364" s="119"/>
      <c r="M1364" s="94"/>
      <c r="N1364" s="94"/>
      <c r="O1364" s="93"/>
      <c r="P1364" s="120" t="b">
        <v>0</v>
      </c>
      <c r="Q1364" s="120" t="b">
        <v>0</v>
      </c>
      <c r="R1364" s="120" t="b">
        <v>0</v>
      </c>
      <c r="S1364" s="95"/>
      <c r="U1364" s="120" t="b">
        <v>0</v>
      </c>
      <c r="V1364" s="93"/>
      <c r="W1364" s="93"/>
      <c r="X1364" s="93"/>
      <c r="Y1364" s="93"/>
      <c r="AA1364" s="95"/>
      <c r="AB1364" s="121"/>
      <c r="AC1364" s="29" t="str">
        <f t="shared" si="5"/>
        <v>Sim</v>
      </c>
      <c r="AD1364" s="37" t="str">
        <f t="shared" si="1"/>
        <v>Não</v>
      </c>
      <c r="AE1364" s="94"/>
      <c r="AF1364" s="94"/>
      <c r="AG1364" s="95"/>
    </row>
    <row r="1365" hidden="1">
      <c r="A1365" s="115"/>
      <c r="B1365" s="93"/>
      <c r="E1365" s="116"/>
      <c r="F1365" s="95"/>
      <c r="G1365" s="95"/>
      <c r="H1365" s="94"/>
      <c r="I1365" s="94"/>
      <c r="J1365" s="117"/>
      <c r="K1365" s="118"/>
      <c r="L1365" s="119"/>
      <c r="M1365" s="94"/>
      <c r="N1365" s="94"/>
      <c r="O1365" s="93"/>
      <c r="P1365" s="120" t="b">
        <v>0</v>
      </c>
      <c r="Q1365" s="120" t="b">
        <v>0</v>
      </c>
      <c r="R1365" s="120" t="b">
        <v>0</v>
      </c>
      <c r="S1365" s="95"/>
      <c r="U1365" s="120" t="b">
        <v>0</v>
      </c>
      <c r="V1365" s="93"/>
      <c r="W1365" s="93"/>
      <c r="X1365" s="93"/>
      <c r="Y1365" s="93"/>
      <c r="AA1365" s="95"/>
      <c r="AB1365" s="121"/>
      <c r="AC1365" s="29" t="str">
        <f t="shared" si="5"/>
        <v>Sim</v>
      </c>
      <c r="AD1365" s="37" t="str">
        <f t="shared" si="1"/>
        <v>Não</v>
      </c>
      <c r="AE1365" s="94"/>
      <c r="AF1365" s="94"/>
      <c r="AG1365" s="95"/>
    </row>
    <row r="1366" hidden="1">
      <c r="A1366" s="115"/>
      <c r="B1366" s="93"/>
      <c r="E1366" s="116"/>
      <c r="F1366" s="95"/>
      <c r="G1366" s="95"/>
      <c r="H1366" s="94"/>
      <c r="I1366" s="94"/>
      <c r="J1366" s="117"/>
      <c r="K1366" s="118"/>
      <c r="L1366" s="119"/>
      <c r="M1366" s="94"/>
      <c r="N1366" s="94"/>
      <c r="O1366" s="93"/>
      <c r="P1366" s="120" t="b">
        <v>0</v>
      </c>
      <c r="Q1366" s="120" t="b">
        <v>0</v>
      </c>
      <c r="R1366" s="120" t="b">
        <v>0</v>
      </c>
      <c r="S1366" s="95"/>
      <c r="U1366" s="120" t="b">
        <v>0</v>
      </c>
      <c r="V1366" s="93"/>
      <c r="W1366" s="93"/>
      <c r="X1366" s="93"/>
      <c r="Y1366" s="93"/>
      <c r="AA1366" s="95"/>
      <c r="AB1366" s="121"/>
      <c r="AC1366" s="29" t="str">
        <f t="shared" si="5"/>
        <v>Sim</v>
      </c>
      <c r="AD1366" s="37" t="str">
        <f t="shared" si="1"/>
        <v>Não</v>
      </c>
      <c r="AE1366" s="94"/>
      <c r="AF1366" s="94"/>
      <c r="AG1366" s="95"/>
    </row>
    <row r="1367" hidden="1">
      <c r="A1367" s="115"/>
      <c r="B1367" s="93"/>
      <c r="E1367" s="116"/>
      <c r="F1367" s="95"/>
      <c r="G1367" s="95"/>
      <c r="H1367" s="94"/>
      <c r="I1367" s="94"/>
      <c r="J1367" s="117"/>
      <c r="K1367" s="118"/>
      <c r="L1367" s="119"/>
      <c r="M1367" s="94"/>
      <c r="N1367" s="94"/>
      <c r="O1367" s="93"/>
      <c r="P1367" s="120" t="b">
        <v>0</v>
      </c>
      <c r="Q1367" s="120" t="b">
        <v>0</v>
      </c>
      <c r="R1367" s="120" t="b">
        <v>0</v>
      </c>
      <c r="S1367" s="95"/>
      <c r="U1367" s="120" t="b">
        <v>0</v>
      </c>
      <c r="V1367" s="93"/>
      <c r="W1367" s="93"/>
      <c r="X1367" s="93"/>
      <c r="Y1367" s="93"/>
      <c r="AA1367" s="95"/>
      <c r="AB1367" s="121"/>
      <c r="AC1367" s="29" t="str">
        <f t="shared" si="5"/>
        <v>Sim</v>
      </c>
      <c r="AD1367" s="37" t="str">
        <f t="shared" si="1"/>
        <v>Não</v>
      </c>
      <c r="AE1367" s="94"/>
      <c r="AF1367" s="94"/>
      <c r="AG1367" s="95"/>
    </row>
    <row r="1368" hidden="1">
      <c r="A1368" s="115"/>
      <c r="B1368" s="93"/>
      <c r="E1368" s="116"/>
      <c r="F1368" s="95"/>
      <c r="G1368" s="95"/>
      <c r="H1368" s="94"/>
      <c r="I1368" s="94"/>
      <c r="J1368" s="117"/>
      <c r="K1368" s="118"/>
      <c r="L1368" s="119"/>
      <c r="M1368" s="94"/>
      <c r="N1368" s="94"/>
      <c r="O1368" s="93"/>
      <c r="P1368" s="120" t="b">
        <v>0</v>
      </c>
      <c r="Q1368" s="120" t="b">
        <v>0</v>
      </c>
      <c r="R1368" s="120" t="b">
        <v>0</v>
      </c>
      <c r="S1368" s="95"/>
      <c r="U1368" s="120" t="b">
        <v>0</v>
      </c>
      <c r="V1368" s="93"/>
      <c r="W1368" s="93"/>
      <c r="X1368" s="93"/>
      <c r="Y1368" s="93"/>
      <c r="AA1368" s="95"/>
      <c r="AB1368" s="121"/>
      <c r="AC1368" s="29" t="str">
        <f t="shared" si="5"/>
        <v>Sim</v>
      </c>
      <c r="AD1368" s="37" t="str">
        <f t="shared" si="1"/>
        <v>Não</v>
      </c>
      <c r="AE1368" s="94"/>
      <c r="AF1368" s="94"/>
      <c r="AG1368" s="95"/>
    </row>
    <row r="1369" hidden="1">
      <c r="A1369" s="115"/>
      <c r="B1369" s="93"/>
      <c r="E1369" s="116"/>
      <c r="F1369" s="95"/>
      <c r="G1369" s="95"/>
      <c r="H1369" s="94"/>
      <c r="I1369" s="94"/>
      <c r="J1369" s="117"/>
      <c r="K1369" s="118"/>
      <c r="L1369" s="119"/>
      <c r="M1369" s="94"/>
      <c r="N1369" s="94"/>
      <c r="O1369" s="93"/>
      <c r="P1369" s="120" t="b">
        <v>0</v>
      </c>
      <c r="Q1369" s="120" t="b">
        <v>0</v>
      </c>
      <c r="R1369" s="120" t="b">
        <v>0</v>
      </c>
      <c r="S1369" s="95"/>
      <c r="U1369" s="120" t="b">
        <v>0</v>
      </c>
      <c r="V1369" s="93"/>
      <c r="W1369" s="93"/>
      <c r="X1369" s="93"/>
      <c r="Y1369" s="93"/>
      <c r="AA1369" s="95"/>
      <c r="AB1369" s="121"/>
      <c r="AC1369" s="29" t="str">
        <f t="shared" si="5"/>
        <v>Sim</v>
      </c>
      <c r="AD1369" s="37" t="str">
        <f t="shared" si="1"/>
        <v>Não</v>
      </c>
      <c r="AE1369" s="94"/>
      <c r="AF1369" s="94"/>
      <c r="AG1369" s="95"/>
    </row>
    <row r="1370" hidden="1">
      <c r="A1370" s="115"/>
      <c r="B1370" s="93"/>
      <c r="E1370" s="116"/>
      <c r="F1370" s="95"/>
      <c r="G1370" s="95"/>
      <c r="H1370" s="94"/>
      <c r="I1370" s="94"/>
      <c r="J1370" s="117"/>
      <c r="K1370" s="118"/>
      <c r="L1370" s="119"/>
      <c r="M1370" s="94"/>
      <c r="N1370" s="94"/>
      <c r="O1370" s="93"/>
      <c r="P1370" s="120" t="b">
        <v>0</v>
      </c>
      <c r="Q1370" s="120" t="b">
        <v>0</v>
      </c>
      <c r="R1370" s="120" t="b">
        <v>0</v>
      </c>
      <c r="S1370" s="95"/>
      <c r="U1370" s="120" t="b">
        <v>0</v>
      </c>
      <c r="V1370" s="93"/>
      <c r="W1370" s="93"/>
      <c r="X1370" s="93"/>
      <c r="Y1370" s="93"/>
      <c r="AA1370" s="95"/>
      <c r="AB1370" s="121"/>
      <c r="AC1370" s="29" t="str">
        <f t="shared" si="5"/>
        <v>Sim</v>
      </c>
      <c r="AD1370" s="37" t="str">
        <f t="shared" si="1"/>
        <v>Não</v>
      </c>
      <c r="AE1370" s="94"/>
      <c r="AF1370" s="94"/>
      <c r="AG1370" s="95"/>
    </row>
    <row r="1371" hidden="1">
      <c r="A1371" s="115"/>
      <c r="B1371" s="93"/>
      <c r="E1371" s="116"/>
      <c r="F1371" s="95"/>
      <c r="G1371" s="95"/>
      <c r="H1371" s="94"/>
      <c r="I1371" s="94"/>
      <c r="J1371" s="117"/>
      <c r="K1371" s="118"/>
      <c r="L1371" s="119"/>
      <c r="M1371" s="94"/>
      <c r="N1371" s="94"/>
      <c r="O1371" s="93"/>
      <c r="P1371" s="120" t="b">
        <v>0</v>
      </c>
      <c r="Q1371" s="120" t="b">
        <v>0</v>
      </c>
      <c r="R1371" s="120" t="b">
        <v>0</v>
      </c>
      <c r="S1371" s="95"/>
      <c r="U1371" s="120" t="b">
        <v>0</v>
      </c>
      <c r="V1371" s="93"/>
      <c r="W1371" s="93"/>
      <c r="X1371" s="93"/>
      <c r="Y1371" s="93"/>
      <c r="AA1371" s="95"/>
      <c r="AB1371" s="121"/>
      <c r="AC1371" s="29" t="str">
        <f t="shared" si="5"/>
        <v>Sim</v>
      </c>
      <c r="AD1371" s="37" t="str">
        <f t="shared" si="1"/>
        <v>Não</v>
      </c>
      <c r="AE1371" s="94"/>
      <c r="AF1371" s="94"/>
      <c r="AG1371" s="95"/>
    </row>
    <row r="1372" hidden="1">
      <c r="A1372" s="115"/>
      <c r="B1372" s="93"/>
      <c r="E1372" s="116"/>
      <c r="F1372" s="95"/>
      <c r="G1372" s="95"/>
      <c r="H1372" s="94"/>
      <c r="I1372" s="94"/>
      <c r="J1372" s="117"/>
      <c r="K1372" s="118"/>
      <c r="L1372" s="119"/>
      <c r="M1372" s="94"/>
      <c r="N1372" s="94"/>
      <c r="O1372" s="93"/>
      <c r="P1372" s="120" t="b">
        <v>0</v>
      </c>
      <c r="Q1372" s="120" t="b">
        <v>0</v>
      </c>
      <c r="R1372" s="120" t="b">
        <v>0</v>
      </c>
      <c r="S1372" s="95"/>
      <c r="U1372" s="120" t="b">
        <v>0</v>
      </c>
      <c r="V1372" s="93"/>
      <c r="W1372" s="93"/>
      <c r="X1372" s="93"/>
      <c r="Y1372" s="93"/>
      <c r="AA1372" s="95"/>
      <c r="AB1372" s="121"/>
      <c r="AC1372" s="29" t="str">
        <f t="shared" si="5"/>
        <v>Sim</v>
      </c>
      <c r="AD1372" s="37" t="str">
        <f t="shared" si="1"/>
        <v>Não</v>
      </c>
      <c r="AE1372" s="94"/>
      <c r="AF1372" s="94"/>
      <c r="AG1372" s="95"/>
    </row>
    <row r="1373" hidden="1">
      <c r="A1373" s="115"/>
      <c r="B1373" s="93"/>
      <c r="E1373" s="116"/>
      <c r="F1373" s="95"/>
      <c r="G1373" s="95"/>
      <c r="H1373" s="94"/>
      <c r="I1373" s="94"/>
      <c r="J1373" s="117"/>
      <c r="K1373" s="118"/>
      <c r="L1373" s="119"/>
      <c r="M1373" s="94"/>
      <c r="N1373" s="94"/>
      <c r="O1373" s="93"/>
      <c r="P1373" s="120" t="b">
        <v>0</v>
      </c>
      <c r="Q1373" s="120" t="b">
        <v>0</v>
      </c>
      <c r="R1373" s="120" t="b">
        <v>0</v>
      </c>
      <c r="S1373" s="95"/>
      <c r="U1373" s="120" t="b">
        <v>0</v>
      </c>
      <c r="V1373" s="93"/>
      <c r="W1373" s="93"/>
      <c r="X1373" s="93"/>
      <c r="Y1373" s="93"/>
      <c r="AA1373" s="95"/>
      <c r="AB1373" s="121"/>
      <c r="AC1373" s="29" t="str">
        <f t="shared" si="5"/>
        <v>Sim</v>
      </c>
      <c r="AD1373" s="37" t="str">
        <f t="shared" si="1"/>
        <v>Não</v>
      </c>
      <c r="AE1373" s="94"/>
      <c r="AF1373" s="94"/>
      <c r="AG1373" s="95"/>
    </row>
    <row r="1374" hidden="1">
      <c r="A1374" s="115"/>
      <c r="B1374" s="93"/>
      <c r="E1374" s="116"/>
      <c r="F1374" s="95"/>
      <c r="G1374" s="95"/>
      <c r="H1374" s="94"/>
      <c r="I1374" s="94"/>
      <c r="J1374" s="117"/>
      <c r="K1374" s="118"/>
      <c r="L1374" s="119"/>
      <c r="M1374" s="94"/>
      <c r="N1374" s="94"/>
      <c r="O1374" s="93"/>
      <c r="P1374" s="120" t="b">
        <v>0</v>
      </c>
      <c r="Q1374" s="120" t="b">
        <v>0</v>
      </c>
      <c r="R1374" s="120" t="b">
        <v>0</v>
      </c>
      <c r="S1374" s="95"/>
      <c r="U1374" s="120" t="b">
        <v>0</v>
      </c>
      <c r="V1374" s="93"/>
      <c r="W1374" s="93"/>
      <c r="X1374" s="93"/>
      <c r="Y1374" s="93"/>
      <c r="AA1374" s="95"/>
      <c r="AB1374" s="121"/>
      <c r="AC1374" s="29" t="str">
        <f t="shared" si="5"/>
        <v>Sim</v>
      </c>
      <c r="AD1374" s="37" t="str">
        <f t="shared" si="1"/>
        <v>Não</v>
      </c>
      <c r="AE1374" s="94"/>
      <c r="AF1374" s="94"/>
      <c r="AG1374" s="95"/>
    </row>
    <row r="1375" hidden="1">
      <c r="A1375" s="115"/>
      <c r="B1375" s="93"/>
      <c r="E1375" s="116"/>
      <c r="F1375" s="95"/>
      <c r="G1375" s="95"/>
      <c r="H1375" s="94"/>
      <c r="I1375" s="94"/>
      <c r="J1375" s="117"/>
      <c r="K1375" s="118"/>
      <c r="L1375" s="119"/>
      <c r="M1375" s="94"/>
      <c r="N1375" s="94"/>
      <c r="O1375" s="93"/>
      <c r="P1375" s="120" t="b">
        <v>0</v>
      </c>
      <c r="Q1375" s="120" t="b">
        <v>0</v>
      </c>
      <c r="R1375" s="120" t="b">
        <v>0</v>
      </c>
      <c r="S1375" s="95"/>
      <c r="U1375" s="120" t="b">
        <v>0</v>
      </c>
      <c r="V1375" s="93"/>
      <c r="W1375" s="93"/>
      <c r="X1375" s="93"/>
      <c r="Y1375" s="93"/>
      <c r="AA1375" s="95"/>
      <c r="AB1375" s="121"/>
      <c r="AC1375" s="29" t="str">
        <f t="shared" si="5"/>
        <v>Sim</v>
      </c>
      <c r="AD1375" s="37" t="str">
        <f t="shared" si="1"/>
        <v>Não</v>
      </c>
      <c r="AE1375" s="94"/>
      <c r="AF1375" s="94"/>
      <c r="AG1375" s="95"/>
    </row>
    <row r="1376" hidden="1">
      <c r="A1376" s="115"/>
      <c r="B1376" s="93"/>
      <c r="E1376" s="116"/>
      <c r="F1376" s="95"/>
      <c r="G1376" s="95"/>
      <c r="H1376" s="94"/>
      <c r="I1376" s="94"/>
      <c r="J1376" s="117"/>
      <c r="K1376" s="118"/>
      <c r="L1376" s="119"/>
      <c r="M1376" s="94"/>
      <c r="N1376" s="94"/>
      <c r="O1376" s="93"/>
      <c r="P1376" s="120" t="b">
        <v>0</v>
      </c>
      <c r="Q1376" s="120" t="b">
        <v>0</v>
      </c>
      <c r="R1376" s="120" t="b">
        <v>0</v>
      </c>
      <c r="S1376" s="95"/>
      <c r="U1376" s="120" t="b">
        <v>0</v>
      </c>
      <c r="V1376" s="93"/>
      <c r="W1376" s="93"/>
      <c r="X1376" s="93"/>
      <c r="Y1376" s="93"/>
      <c r="AA1376" s="95"/>
      <c r="AB1376" s="121"/>
      <c r="AC1376" s="29" t="str">
        <f t="shared" si="5"/>
        <v>Sim</v>
      </c>
      <c r="AD1376" s="37" t="str">
        <f t="shared" si="1"/>
        <v>Não</v>
      </c>
      <c r="AE1376" s="94"/>
      <c r="AF1376" s="94"/>
      <c r="AG1376" s="95"/>
    </row>
    <row r="1377" hidden="1">
      <c r="A1377" s="115"/>
      <c r="B1377" s="93"/>
      <c r="E1377" s="116"/>
      <c r="F1377" s="95"/>
      <c r="G1377" s="95"/>
      <c r="H1377" s="94"/>
      <c r="I1377" s="94"/>
      <c r="J1377" s="117"/>
      <c r="K1377" s="118"/>
      <c r="L1377" s="119"/>
      <c r="M1377" s="94"/>
      <c r="N1377" s="94"/>
      <c r="O1377" s="93"/>
      <c r="P1377" s="120" t="b">
        <v>0</v>
      </c>
      <c r="Q1377" s="120" t="b">
        <v>0</v>
      </c>
      <c r="R1377" s="120" t="b">
        <v>0</v>
      </c>
      <c r="S1377" s="95"/>
      <c r="U1377" s="120" t="b">
        <v>0</v>
      </c>
      <c r="V1377" s="93"/>
      <c r="W1377" s="93"/>
      <c r="X1377" s="93"/>
      <c r="Y1377" s="93"/>
      <c r="AA1377" s="95"/>
      <c r="AB1377" s="121"/>
      <c r="AC1377" s="29" t="str">
        <f t="shared" si="5"/>
        <v>Sim</v>
      </c>
      <c r="AD1377" s="37" t="str">
        <f t="shared" si="1"/>
        <v>Não</v>
      </c>
      <c r="AE1377" s="94"/>
      <c r="AF1377" s="94"/>
      <c r="AG1377" s="95"/>
    </row>
    <row r="1378" hidden="1">
      <c r="A1378" s="115"/>
      <c r="B1378" s="93"/>
      <c r="E1378" s="116"/>
      <c r="F1378" s="95"/>
      <c r="G1378" s="95"/>
      <c r="H1378" s="94"/>
      <c r="I1378" s="94"/>
      <c r="J1378" s="117"/>
      <c r="K1378" s="118"/>
      <c r="L1378" s="119"/>
      <c r="M1378" s="94"/>
      <c r="N1378" s="94"/>
      <c r="O1378" s="93"/>
      <c r="P1378" s="120" t="b">
        <v>0</v>
      </c>
      <c r="Q1378" s="120" t="b">
        <v>0</v>
      </c>
      <c r="R1378" s="120" t="b">
        <v>0</v>
      </c>
      <c r="S1378" s="95"/>
      <c r="U1378" s="120" t="b">
        <v>0</v>
      </c>
      <c r="V1378" s="93"/>
      <c r="W1378" s="93"/>
      <c r="X1378" s="93"/>
      <c r="Y1378" s="93"/>
      <c r="AA1378" s="95"/>
      <c r="AB1378" s="121"/>
      <c r="AC1378" s="29" t="str">
        <f t="shared" si="5"/>
        <v>Sim</v>
      </c>
      <c r="AD1378" s="37" t="str">
        <f t="shared" si="1"/>
        <v>Não</v>
      </c>
      <c r="AE1378" s="94"/>
      <c r="AF1378" s="94"/>
      <c r="AG1378" s="95"/>
    </row>
    <row r="1379" hidden="1">
      <c r="A1379" s="115"/>
      <c r="B1379" s="93"/>
      <c r="E1379" s="116"/>
      <c r="F1379" s="95"/>
      <c r="G1379" s="95"/>
      <c r="H1379" s="94"/>
      <c r="I1379" s="94"/>
      <c r="J1379" s="117"/>
      <c r="K1379" s="118"/>
      <c r="L1379" s="119"/>
      <c r="M1379" s="94"/>
      <c r="N1379" s="94"/>
      <c r="O1379" s="93"/>
      <c r="P1379" s="120" t="b">
        <v>0</v>
      </c>
      <c r="Q1379" s="120" t="b">
        <v>0</v>
      </c>
      <c r="R1379" s="120" t="b">
        <v>0</v>
      </c>
      <c r="S1379" s="95"/>
      <c r="U1379" s="120" t="b">
        <v>0</v>
      </c>
      <c r="V1379" s="93"/>
      <c r="W1379" s="93"/>
      <c r="X1379" s="93"/>
      <c r="Y1379" s="93"/>
      <c r="AA1379" s="95"/>
      <c r="AB1379" s="121"/>
      <c r="AC1379" s="29" t="str">
        <f t="shared" si="5"/>
        <v>Sim</v>
      </c>
      <c r="AD1379" s="37" t="str">
        <f t="shared" si="1"/>
        <v>Não</v>
      </c>
      <c r="AE1379" s="94"/>
      <c r="AF1379" s="94"/>
      <c r="AG1379" s="95"/>
    </row>
    <row r="1380" hidden="1">
      <c r="A1380" s="115"/>
      <c r="B1380" s="93"/>
      <c r="E1380" s="116"/>
      <c r="F1380" s="95"/>
      <c r="G1380" s="95"/>
      <c r="H1380" s="94"/>
      <c r="I1380" s="94"/>
      <c r="J1380" s="117"/>
      <c r="K1380" s="118"/>
      <c r="L1380" s="119"/>
      <c r="M1380" s="94"/>
      <c r="N1380" s="94"/>
      <c r="O1380" s="93"/>
      <c r="P1380" s="120" t="b">
        <v>0</v>
      </c>
      <c r="Q1380" s="120" t="b">
        <v>0</v>
      </c>
      <c r="R1380" s="120" t="b">
        <v>0</v>
      </c>
      <c r="S1380" s="95"/>
      <c r="U1380" s="120" t="b">
        <v>0</v>
      </c>
      <c r="V1380" s="93"/>
      <c r="W1380" s="93"/>
      <c r="X1380" s="93"/>
      <c r="Y1380" s="93"/>
      <c r="AA1380" s="95"/>
      <c r="AB1380" s="121"/>
      <c r="AC1380" s="29" t="str">
        <f t="shared" si="5"/>
        <v>Sim</v>
      </c>
      <c r="AD1380" s="37" t="str">
        <f t="shared" si="1"/>
        <v>Não</v>
      </c>
      <c r="AE1380" s="94"/>
      <c r="AF1380" s="94"/>
      <c r="AG1380" s="95"/>
    </row>
    <row r="1381" hidden="1">
      <c r="A1381" s="115"/>
      <c r="B1381" s="93"/>
      <c r="E1381" s="116"/>
      <c r="F1381" s="95"/>
      <c r="G1381" s="95"/>
      <c r="H1381" s="94"/>
      <c r="I1381" s="94"/>
      <c r="J1381" s="117"/>
      <c r="K1381" s="118"/>
      <c r="L1381" s="119"/>
      <c r="M1381" s="94"/>
      <c r="N1381" s="94"/>
      <c r="O1381" s="93"/>
      <c r="P1381" s="120" t="b">
        <v>0</v>
      </c>
      <c r="Q1381" s="120" t="b">
        <v>0</v>
      </c>
      <c r="R1381" s="120" t="b">
        <v>0</v>
      </c>
      <c r="S1381" s="95"/>
      <c r="U1381" s="120" t="b">
        <v>0</v>
      </c>
      <c r="V1381" s="93"/>
      <c r="W1381" s="93"/>
      <c r="X1381" s="93"/>
      <c r="Y1381" s="93"/>
      <c r="AA1381" s="95"/>
      <c r="AB1381" s="121"/>
      <c r="AC1381" s="29" t="str">
        <f t="shared" si="5"/>
        <v>Sim</v>
      </c>
      <c r="AD1381" s="37" t="str">
        <f t="shared" si="1"/>
        <v>Não</v>
      </c>
      <c r="AE1381" s="94"/>
      <c r="AF1381" s="94"/>
      <c r="AG1381" s="95"/>
    </row>
    <row r="1382" hidden="1">
      <c r="A1382" s="115"/>
      <c r="B1382" s="93"/>
      <c r="E1382" s="116"/>
      <c r="F1382" s="95"/>
      <c r="G1382" s="95"/>
      <c r="H1382" s="94"/>
      <c r="I1382" s="94"/>
      <c r="J1382" s="117"/>
      <c r="K1382" s="118"/>
      <c r="L1382" s="119"/>
      <c r="M1382" s="94"/>
      <c r="N1382" s="94"/>
      <c r="O1382" s="93"/>
      <c r="P1382" s="120" t="b">
        <v>0</v>
      </c>
      <c r="Q1382" s="120" t="b">
        <v>0</v>
      </c>
      <c r="R1382" s="120" t="b">
        <v>0</v>
      </c>
      <c r="S1382" s="95"/>
      <c r="U1382" s="120" t="b">
        <v>0</v>
      </c>
      <c r="V1382" s="93"/>
      <c r="W1382" s="93"/>
      <c r="X1382" s="93"/>
      <c r="Y1382" s="93"/>
      <c r="AA1382" s="95"/>
      <c r="AB1382" s="121"/>
      <c r="AC1382" s="29" t="str">
        <f t="shared" si="5"/>
        <v>Sim</v>
      </c>
      <c r="AD1382" s="37" t="str">
        <f t="shared" si="1"/>
        <v>Não</v>
      </c>
      <c r="AE1382" s="94"/>
      <c r="AF1382" s="94"/>
      <c r="AG1382" s="95"/>
    </row>
    <row r="1383" hidden="1">
      <c r="A1383" s="115"/>
      <c r="B1383" s="93"/>
      <c r="E1383" s="116"/>
      <c r="F1383" s="95"/>
      <c r="G1383" s="95"/>
      <c r="H1383" s="94"/>
      <c r="I1383" s="94"/>
      <c r="J1383" s="117"/>
      <c r="K1383" s="118"/>
      <c r="L1383" s="119"/>
      <c r="M1383" s="94"/>
      <c r="N1383" s="94"/>
      <c r="O1383" s="93"/>
      <c r="P1383" s="120" t="b">
        <v>0</v>
      </c>
      <c r="Q1383" s="120" t="b">
        <v>0</v>
      </c>
      <c r="R1383" s="120" t="b">
        <v>0</v>
      </c>
      <c r="S1383" s="95"/>
      <c r="U1383" s="120" t="b">
        <v>0</v>
      </c>
      <c r="V1383" s="93"/>
      <c r="W1383" s="93"/>
      <c r="X1383" s="93"/>
      <c r="Y1383" s="93"/>
      <c r="AA1383" s="95"/>
      <c r="AB1383" s="121"/>
      <c r="AC1383" s="29" t="str">
        <f t="shared" si="5"/>
        <v>Sim</v>
      </c>
      <c r="AD1383" s="37" t="str">
        <f t="shared" si="1"/>
        <v>Não</v>
      </c>
      <c r="AE1383" s="94"/>
      <c r="AF1383" s="94"/>
      <c r="AG1383" s="95"/>
    </row>
    <row r="1384" hidden="1">
      <c r="A1384" s="115"/>
      <c r="B1384" s="93"/>
      <c r="E1384" s="116"/>
      <c r="F1384" s="95"/>
      <c r="G1384" s="95"/>
      <c r="H1384" s="94"/>
      <c r="I1384" s="94"/>
      <c r="J1384" s="117"/>
      <c r="K1384" s="118"/>
      <c r="L1384" s="119"/>
      <c r="M1384" s="94"/>
      <c r="N1384" s="94"/>
      <c r="O1384" s="93"/>
      <c r="P1384" s="120" t="b">
        <v>0</v>
      </c>
      <c r="Q1384" s="120" t="b">
        <v>0</v>
      </c>
      <c r="R1384" s="120" t="b">
        <v>0</v>
      </c>
      <c r="S1384" s="95"/>
      <c r="U1384" s="120" t="b">
        <v>0</v>
      </c>
      <c r="V1384" s="93"/>
      <c r="W1384" s="93"/>
      <c r="X1384" s="93"/>
      <c r="Y1384" s="93"/>
      <c r="AA1384" s="95"/>
      <c r="AB1384" s="121"/>
      <c r="AC1384" s="29" t="str">
        <f t="shared" si="5"/>
        <v>Sim</v>
      </c>
      <c r="AD1384" s="37" t="str">
        <f t="shared" si="1"/>
        <v>Não</v>
      </c>
      <c r="AE1384" s="94"/>
      <c r="AF1384" s="94"/>
      <c r="AG1384" s="95"/>
    </row>
    <row r="1385" hidden="1">
      <c r="A1385" s="115"/>
      <c r="B1385" s="93"/>
      <c r="E1385" s="116"/>
      <c r="F1385" s="95"/>
      <c r="G1385" s="95"/>
      <c r="H1385" s="94"/>
      <c r="I1385" s="94"/>
      <c r="J1385" s="117"/>
      <c r="K1385" s="118"/>
      <c r="L1385" s="119"/>
      <c r="M1385" s="94"/>
      <c r="N1385" s="94"/>
      <c r="O1385" s="93"/>
      <c r="P1385" s="120" t="b">
        <v>0</v>
      </c>
      <c r="Q1385" s="120" t="b">
        <v>0</v>
      </c>
      <c r="R1385" s="120" t="b">
        <v>0</v>
      </c>
      <c r="S1385" s="95"/>
      <c r="U1385" s="120" t="b">
        <v>0</v>
      </c>
      <c r="V1385" s="93"/>
      <c r="W1385" s="93"/>
      <c r="X1385" s="93"/>
      <c r="Y1385" s="93"/>
      <c r="AA1385" s="95"/>
      <c r="AB1385" s="121"/>
      <c r="AC1385" s="29" t="str">
        <f t="shared" si="5"/>
        <v>Sim</v>
      </c>
      <c r="AD1385" s="37" t="str">
        <f t="shared" si="1"/>
        <v>Não</v>
      </c>
      <c r="AE1385" s="94"/>
      <c r="AF1385" s="94"/>
      <c r="AG1385" s="95"/>
    </row>
    <row r="1386" hidden="1">
      <c r="A1386" s="115"/>
      <c r="B1386" s="93"/>
      <c r="E1386" s="116"/>
      <c r="F1386" s="95"/>
      <c r="G1386" s="95"/>
      <c r="H1386" s="94"/>
      <c r="I1386" s="94"/>
      <c r="J1386" s="117"/>
      <c r="K1386" s="118"/>
      <c r="L1386" s="119"/>
      <c r="M1386" s="94"/>
      <c r="N1386" s="94"/>
      <c r="O1386" s="93"/>
      <c r="P1386" s="120" t="b">
        <v>0</v>
      </c>
      <c r="Q1386" s="120" t="b">
        <v>0</v>
      </c>
      <c r="R1386" s="120" t="b">
        <v>0</v>
      </c>
      <c r="S1386" s="95"/>
      <c r="U1386" s="120" t="b">
        <v>0</v>
      </c>
      <c r="V1386" s="93"/>
      <c r="W1386" s="93"/>
      <c r="X1386" s="93"/>
      <c r="Y1386" s="93"/>
      <c r="AA1386" s="95"/>
      <c r="AB1386" s="121"/>
      <c r="AC1386" s="29" t="str">
        <f t="shared" si="5"/>
        <v>Sim</v>
      </c>
      <c r="AD1386" s="37" t="str">
        <f t="shared" si="1"/>
        <v>Não</v>
      </c>
      <c r="AE1386" s="94"/>
      <c r="AF1386" s="94"/>
      <c r="AG1386" s="95"/>
    </row>
    <row r="1387" hidden="1">
      <c r="A1387" s="115"/>
      <c r="B1387" s="93"/>
      <c r="E1387" s="116"/>
      <c r="F1387" s="95"/>
      <c r="G1387" s="95"/>
      <c r="H1387" s="94"/>
      <c r="I1387" s="94"/>
      <c r="J1387" s="117"/>
      <c r="K1387" s="118"/>
      <c r="L1387" s="119"/>
      <c r="M1387" s="94"/>
      <c r="N1387" s="94"/>
      <c r="O1387" s="93"/>
      <c r="P1387" s="120" t="b">
        <v>0</v>
      </c>
      <c r="Q1387" s="120" t="b">
        <v>0</v>
      </c>
      <c r="R1387" s="120" t="b">
        <v>0</v>
      </c>
      <c r="S1387" s="95"/>
      <c r="U1387" s="120" t="b">
        <v>0</v>
      </c>
      <c r="V1387" s="93"/>
      <c r="W1387" s="93"/>
      <c r="X1387" s="93"/>
      <c r="Y1387" s="93"/>
      <c r="AA1387" s="95"/>
      <c r="AB1387" s="121"/>
      <c r="AC1387" s="29" t="str">
        <f t="shared" si="5"/>
        <v>Sim</v>
      </c>
      <c r="AD1387" s="37" t="str">
        <f t="shared" si="1"/>
        <v>Não</v>
      </c>
      <c r="AE1387" s="94"/>
      <c r="AF1387" s="94"/>
      <c r="AG1387" s="95"/>
    </row>
    <row r="1388" hidden="1">
      <c r="A1388" s="115"/>
      <c r="B1388" s="93"/>
      <c r="E1388" s="116"/>
      <c r="F1388" s="95"/>
      <c r="G1388" s="95"/>
      <c r="H1388" s="94"/>
      <c r="I1388" s="94"/>
      <c r="J1388" s="117"/>
      <c r="K1388" s="118"/>
      <c r="L1388" s="119"/>
      <c r="M1388" s="94"/>
      <c r="N1388" s="94"/>
      <c r="O1388" s="93"/>
      <c r="P1388" s="120" t="b">
        <v>0</v>
      </c>
      <c r="Q1388" s="120" t="b">
        <v>0</v>
      </c>
      <c r="R1388" s="120" t="b">
        <v>0</v>
      </c>
      <c r="S1388" s="95"/>
      <c r="U1388" s="120" t="b">
        <v>0</v>
      </c>
      <c r="V1388" s="93"/>
      <c r="W1388" s="93"/>
      <c r="X1388" s="93"/>
      <c r="Y1388" s="93"/>
      <c r="AA1388" s="95"/>
      <c r="AB1388" s="121"/>
      <c r="AC1388" s="29" t="str">
        <f t="shared" si="5"/>
        <v>Sim</v>
      </c>
      <c r="AD1388" s="37" t="str">
        <f t="shared" si="1"/>
        <v>Não</v>
      </c>
      <c r="AE1388" s="94"/>
      <c r="AF1388" s="94"/>
      <c r="AG1388" s="95"/>
    </row>
    <row r="1389" hidden="1">
      <c r="A1389" s="115"/>
      <c r="B1389" s="93"/>
      <c r="E1389" s="116"/>
      <c r="F1389" s="95"/>
      <c r="G1389" s="95"/>
      <c r="H1389" s="94"/>
      <c r="I1389" s="94"/>
      <c r="J1389" s="117"/>
      <c r="K1389" s="118"/>
      <c r="L1389" s="119"/>
      <c r="M1389" s="94"/>
      <c r="N1389" s="94"/>
      <c r="O1389" s="93"/>
      <c r="P1389" s="120" t="b">
        <v>0</v>
      </c>
      <c r="Q1389" s="120" t="b">
        <v>0</v>
      </c>
      <c r="R1389" s="120" t="b">
        <v>0</v>
      </c>
      <c r="S1389" s="95"/>
      <c r="U1389" s="120" t="b">
        <v>0</v>
      </c>
      <c r="V1389" s="93"/>
      <c r="W1389" s="93"/>
      <c r="X1389" s="93"/>
      <c r="Y1389" s="93"/>
      <c r="AA1389" s="95"/>
      <c r="AB1389" s="121"/>
      <c r="AC1389" s="29" t="str">
        <f t="shared" si="5"/>
        <v>Sim</v>
      </c>
      <c r="AD1389" s="37" t="str">
        <f t="shared" si="1"/>
        <v>Não</v>
      </c>
      <c r="AE1389" s="94"/>
      <c r="AF1389" s="94"/>
      <c r="AG1389" s="95"/>
    </row>
    <row r="1390" hidden="1">
      <c r="A1390" s="115"/>
      <c r="B1390" s="93"/>
      <c r="E1390" s="116"/>
      <c r="F1390" s="95"/>
      <c r="G1390" s="95"/>
      <c r="H1390" s="94"/>
      <c r="I1390" s="94"/>
      <c r="J1390" s="117"/>
      <c r="K1390" s="118"/>
      <c r="L1390" s="119"/>
      <c r="M1390" s="94"/>
      <c r="N1390" s="94"/>
      <c r="O1390" s="93"/>
      <c r="P1390" s="120" t="b">
        <v>0</v>
      </c>
      <c r="Q1390" s="120" t="b">
        <v>0</v>
      </c>
      <c r="R1390" s="120" t="b">
        <v>0</v>
      </c>
      <c r="S1390" s="95"/>
      <c r="U1390" s="120" t="b">
        <v>0</v>
      </c>
      <c r="V1390" s="93"/>
      <c r="W1390" s="93"/>
      <c r="X1390" s="93"/>
      <c r="Y1390" s="93"/>
      <c r="AA1390" s="95"/>
      <c r="AB1390" s="121"/>
      <c r="AC1390" s="29" t="str">
        <f t="shared" si="5"/>
        <v>Sim</v>
      </c>
      <c r="AD1390" s="37" t="str">
        <f t="shared" si="1"/>
        <v>Não</v>
      </c>
      <c r="AE1390" s="94"/>
      <c r="AF1390" s="94"/>
      <c r="AG1390" s="95"/>
    </row>
    <row r="1391" hidden="1">
      <c r="A1391" s="115"/>
      <c r="B1391" s="93"/>
      <c r="E1391" s="116"/>
      <c r="F1391" s="95"/>
      <c r="G1391" s="95"/>
      <c r="H1391" s="94"/>
      <c r="I1391" s="94"/>
      <c r="J1391" s="117"/>
      <c r="K1391" s="118"/>
      <c r="L1391" s="119"/>
      <c r="M1391" s="94"/>
      <c r="N1391" s="94"/>
      <c r="O1391" s="93"/>
      <c r="P1391" s="120" t="b">
        <v>0</v>
      </c>
      <c r="Q1391" s="120" t="b">
        <v>0</v>
      </c>
      <c r="R1391" s="120" t="b">
        <v>0</v>
      </c>
      <c r="S1391" s="95"/>
      <c r="U1391" s="120" t="b">
        <v>0</v>
      </c>
      <c r="V1391" s="93"/>
      <c r="W1391" s="93"/>
      <c r="X1391" s="93"/>
      <c r="Y1391" s="93"/>
      <c r="AA1391" s="95"/>
      <c r="AB1391" s="121"/>
      <c r="AC1391" s="29" t="str">
        <f t="shared" si="5"/>
        <v>Sim</v>
      </c>
      <c r="AD1391" s="37" t="str">
        <f t="shared" si="1"/>
        <v>Não</v>
      </c>
      <c r="AE1391" s="94"/>
      <c r="AF1391" s="94"/>
      <c r="AG1391" s="95"/>
    </row>
    <row r="1392" hidden="1">
      <c r="A1392" s="115"/>
      <c r="B1392" s="93"/>
      <c r="E1392" s="116"/>
      <c r="F1392" s="95"/>
      <c r="G1392" s="95"/>
      <c r="H1392" s="94"/>
      <c r="I1392" s="94"/>
      <c r="J1392" s="117"/>
      <c r="K1392" s="118"/>
      <c r="L1392" s="119"/>
      <c r="M1392" s="94"/>
      <c r="N1392" s="94"/>
      <c r="O1392" s="93"/>
      <c r="P1392" s="120" t="b">
        <v>0</v>
      </c>
      <c r="Q1392" s="120" t="b">
        <v>0</v>
      </c>
      <c r="R1392" s="120" t="b">
        <v>0</v>
      </c>
      <c r="S1392" s="95"/>
      <c r="U1392" s="120" t="b">
        <v>0</v>
      </c>
      <c r="V1392" s="93"/>
      <c r="W1392" s="93"/>
      <c r="X1392" s="93"/>
      <c r="Y1392" s="93"/>
      <c r="AA1392" s="95"/>
      <c r="AB1392" s="121"/>
      <c r="AC1392" s="29" t="str">
        <f t="shared" si="5"/>
        <v>Sim</v>
      </c>
      <c r="AD1392" s="37" t="str">
        <f t="shared" si="1"/>
        <v>Não</v>
      </c>
      <c r="AE1392" s="94"/>
      <c r="AF1392" s="94"/>
      <c r="AG1392" s="95"/>
    </row>
    <row r="1393" hidden="1">
      <c r="A1393" s="115"/>
      <c r="B1393" s="93"/>
      <c r="E1393" s="116"/>
      <c r="F1393" s="95"/>
      <c r="G1393" s="95"/>
      <c r="H1393" s="94"/>
      <c r="I1393" s="94"/>
      <c r="J1393" s="117"/>
      <c r="K1393" s="118"/>
      <c r="L1393" s="119"/>
      <c r="M1393" s="94"/>
      <c r="N1393" s="94"/>
      <c r="O1393" s="93"/>
      <c r="P1393" s="120" t="b">
        <v>0</v>
      </c>
      <c r="Q1393" s="120" t="b">
        <v>0</v>
      </c>
      <c r="R1393" s="120" t="b">
        <v>0</v>
      </c>
      <c r="S1393" s="95"/>
      <c r="U1393" s="120" t="b">
        <v>0</v>
      </c>
      <c r="V1393" s="93"/>
      <c r="W1393" s="93"/>
      <c r="X1393" s="93"/>
      <c r="Y1393" s="93"/>
      <c r="AA1393" s="95"/>
      <c r="AB1393" s="121"/>
      <c r="AC1393" s="29" t="str">
        <f t="shared" si="5"/>
        <v>Sim</v>
      </c>
      <c r="AD1393" s="37" t="str">
        <f t="shared" si="1"/>
        <v>Não</v>
      </c>
      <c r="AE1393" s="94"/>
      <c r="AF1393" s="94"/>
      <c r="AG1393" s="95"/>
    </row>
    <row r="1394" hidden="1">
      <c r="A1394" s="115"/>
      <c r="B1394" s="93"/>
      <c r="E1394" s="116"/>
      <c r="F1394" s="95"/>
      <c r="G1394" s="95"/>
      <c r="H1394" s="94"/>
      <c r="I1394" s="94"/>
      <c r="J1394" s="117"/>
      <c r="K1394" s="118"/>
      <c r="L1394" s="119"/>
      <c r="M1394" s="94"/>
      <c r="N1394" s="94"/>
      <c r="O1394" s="93"/>
      <c r="P1394" s="120" t="b">
        <v>0</v>
      </c>
      <c r="Q1394" s="120" t="b">
        <v>0</v>
      </c>
      <c r="R1394" s="120" t="b">
        <v>0</v>
      </c>
      <c r="S1394" s="95"/>
      <c r="U1394" s="120" t="b">
        <v>0</v>
      </c>
      <c r="V1394" s="93"/>
      <c r="W1394" s="93"/>
      <c r="X1394" s="93"/>
      <c r="Y1394" s="93"/>
      <c r="AA1394" s="95"/>
      <c r="AB1394" s="121"/>
      <c r="AC1394" s="29" t="str">
        <f t="shared" si="5"/>
        <v>Sim</v>
      </c>
      <c r="AD1394" s="37" t="str">
        <f t="shared" si="1"/>
        <v>Não</v>
      </c>
      <c r="AE1394" s="94"/>
      <c r="AF1394" s="94"/>
      <c r="AG1394" s="95"/>
    </row>
    <row r="1395" hidden="1">
      <c r="A1395" s="115"/>
      <c r="B1395" s="93"/>
      <c r="E1395" s="116"/>
      <c r="F1395" s="95"/>
      <c r="G1395" s="95"/>
      <c r="H1395" s="94"/>
      <c r="I1395" s="94"/>
      <c r="J1395" s="117"/>
      <c r="K1395" s="118"/>
      <c r="L1395" s="119"/>
      <c r="M1395" s="94"/>
      <c r="N1395" s="94"/>
      <c r="O1395" s="93"/>
      <c r="P1395" s="120" t="b">
        <v>0</v>
      </c>
      <c r="Q1395" s="120" t="b">
        <v>0</v>
      </c>
      <c r="R1395" s="120" t="b">
        <v>0</v>
      </c>
      <c r="S1395" s="95"/>
      <c r="U1395" s="120" t="b">
        <v>0</v>
      </c>
      <c r="V1395" s="93"/>
      <c r="W1395" s="93"/>
      <c r="X1395" s="93"/>
      <c r="Y1395" s="93"/>
      <c r="AA1395" s="95"/>
      <c r="AB1395" s="121"/>
      <c r="AC1395" s="29" t="str">
        <f t="shared" si="5"/>
        <v>Sim</v>
      </c>
      <c r="AD1395" s="37" t="str">
        <f t="shared" si="1"/>
        <v>Não</v>
      </c>
      <c r="AE1395" s="94"/>
      <c r="AF1395" s="94"/>
      <c r="AG1395" s="95"/>
    </row>
    <row r="1396" hidden="1">
      <c r="A1396" s="115"/>
      <c r="B1396" s="93"/>
      <c r="E1396" s="116"/>
      <c r="F1396" s="95"/>
      <c r="G1396" s="95"/>
      <c r="H1396" s="94"/>
      <c r="I1396" s="94"/>
      <c r="J1396" s="117"/>
      <c r="K1396" s="118"/>
      <c r="L1396" s="119"/>
      <c r="M1396" s="94"/>
      <c r="N1396" s="94"/>
      <c r="O1396" s="93"/>
      <c r="P1396" s="120" t="b">
        <v>0</v>
      </c>
      <c r="Q1396" s="120" t="b">
        <v>0</v>
      </c>
      <c r="R1396" s="120" t="b">
        <v>0</v>
      </c>
      <c r="S1396" s="95"/>
      <c r="U1396" s="120" t="b">
        <v>0</v>
      </c>
      <c r="V1396" s="93"/>
      <c r="W1396" s="93"/>
      <c r="X1396" s="93"/>
      <c r="Y1396" s="93"/>
      <c r="AA1396" s="95"/>
      <c r="AB1396" s="121"/>
      <c r="AC1396" s="29" t="str">
        <f t="shared" si="5"/>
        <v>Sim</v>
      </c>
      <c r="AD1396" s="37" t="str">
        <f t="shared" si="1"/>
        <v>Não</v>
      </c>
      <c r="AE1396" s="94"/>
      <c r="AF1396" s="94"/>
      <c r="AG1396" s="95"/>
    </row>
    <row r="1397" hidden="1">
      <c r="A1397" s="115"/>
      <c r="B1397" s="93"/>
      <c r="E1397" s="116"/>
      <c r="F1397" s="95"/>
      <c r="G1397" s="95"/>
      <c r="H1397" s="94"/>
      <c r="I1397" s="94"/>
      <c r="J1397" s="117"/>
      <c r="K1397" s="118"/>
      <c r="L1397" s="119"/>
      <c r="M1397" s="94"/>
      <c r="N1397" s="94"/>
      <c r="O1397" s="93"/>
      <c r="P1397" s="120" t="b">
        <v>0</v>
      </c>
      <c r="Q1397" s="120" t="b">
        <v>0</v>
      </c>
      <c r="R1397" s="120" t="b">
        <v>0</v>
      </c>
      <c r="S1397" s="95"/>
      <c r="U1397" s="120" t="b">
        <v>0</v>
      </c>
      <c r="V1397" s="93"/>
      <c r="W1397" s="93"/>
      <c r="X1397" s="93"/>
      <c r="Y1397" s="93"/>
      <c r="AA1397" s="95"/>
      <c r="AB1397" s="121"/>
      <c r="AC1397" s="29" t="str">
        <f t="shared" si="5"/>
        <v>Sim</v>
      </c>
      <c r="AD1397" s="37" t="str">
        <f t="shared" si="1"/>
        <v>Não</v>
      </c>
      <c r="AE1397" s="94"/>
      <c r="AF1397" s="94"/>
      <c r="AG1397" s="95"/>
    </row>
    <row r="1398" hidden="1">
      <c r="A1398" s="115"/>
      <c r="B1398" s="93"/>
      <c r="E1398" s="116"/>
      <c r="F1398" s="95"/>
      <c r="G1398" s="95"/>
      <c r="H1398" s="94"/>
      <c r="I1398" s="94"/>
      <c r="J1398" s="117"/>
      <c r="K1398" s="118"/>
      <c r="L1398" s="119"/>
      <c r="M1398" s="94"/>
      <c r="N1398" s="94"/>
      <c r="O1398" s="93"/>
      <c r="P1398" s="120" t="b">
        <v>0</v>
      </c>
      <c r="Q1398" s="120" t="b">
        <v>0</v>
      </c>
      <c r="R1398" s="120" t="b">
        <v>0</v>
      </c>
      <c r="S1398" s="95"/>
      <c r="U1398" s="120" t="b">
        <v>0</v>
      </c>
      <c r="V1398" s="93"/>
      <c r="W1398" s="93"/>
      <c r="X1398" s="93"/>
      <c r="Y1398" s="93"/>
      <c r="AA1398" s="95"/>
      <c r="AB1398" s="121"/>
      <c r="AC1398" s="29" t="str">
        <f t="shared" si="5"/>
        <v>Sim</v>
      </c>
      <c r="AD1398" s="37" t="str">
        <f t="shared" si="1"/>
        <v>Não</v>
      </c>
      <c r="AE1398" s="94"/>
      <c r="AF1398" s="94"/>
      <c r="AG1398" s="95"/>
    </row>
    <row r="1399" hidden="1">
      <c r="A1399" s="115"/>
      <c r="B1399" s="93"/>
      <c r="E1399" s="116"/>
      <c r="F1399" s="95"/>
      <c r="G1399" s="95"/>
      <c r="H1399" s="94"/>
      <c r="I1399" s="94"/>
      <c r="J1399" s="117"/>
      <c r="K1399" s="118"/>
      <c r="L1399" s="119"/>
      <c r="M1399" s="94"/>
      <c r="N1399" s="94"/>
      <c r="O1399" s="93"/>
      <c r="P1399" s="120" t="b">
        <v>0</v>
      </c>
      <c r="Q1399" s="120" t="b">
        <v>0</v>
      </c>
      <c r="R1399" s="120" t="b">
        <v>0</v>
      </c>
      <c r="S1399" s="95"/>
      <c r="U1399" s="120" t="b">
        <v>0</v>
      </c>
      <c r="V1399" s="93"/>
      <c r="W1399" s="93"/>
      <c r="X1399" s="93"/>
      <c r="Y1399" s="93"/>
      <c r="AA1399" s="95"/>
      <c r="AB1399" s="121"/>
      <c r="AC1399" s="29" t="str">
        <f t="shared" si="5"/>
        <v>Sim</v>
      </c>
      <c r="AD1399" s="37" t="str">
        <f t="shared" si="1"/>
        <v>Não</v>
      </c>
      <c r="AE1399" s="94"/>
      <c r="AF1399" s="94"/>
      <c r="AG1399" s="95"/>
    </row>
    <row r="1400" hidden="1">
      <c r="A1400" s="115"/>
      <c r="B1400" s="93"/>
      <c r="E1400" s="116"/>
      <c r="F1400" s="95"/>
      <c r="G1400" s="95"/>
      <c r="H1400" s="94"/>
      <c r="I1400" s="94"/>
      <c r="J1400" s="117"/>
      <c r="K1400" s="118"/>
      <c r="L1400" s="119"/>
      <c r="M1400" s="94"/>
      <c r="N1400" s="94"/>
      <c r="O1400" s="93"/>
      <c r="P1400" s="120" t="b">
        <v>0</v>
      </c>
      <c r="Q1400" s="120" t="b">
        <v>0</v>
      </c>
      <c r="R1400" s="120" t="b">
        <v>0</v>
      </c>
      <c r="S1400" s="95"/>
      <c r="U1400" s="120" t="b">
        <v>0</v>
      </c>
      <c r="V1400" s="93"/>
      <c r="W1400" s="93"/>
      <c r="X1400" s="93"/>
      <c r="Y1400" s="93"/>
      <c r="AA1400" s="95"/>
      <c r="AB1400" s="121"/>
      <c r="AC1400" s="29" t="str">
        <f t="shared" si="5"/>
        <v>Sim</v>
      </c>
      <c r="AD1400" s="37" t="str">
        <f t="shared" si="1"/>
        <v>Não</v>
      </c>
      <c r="AE1400" s="94"/>
      <c r="AF1400" s="94"/>
      <c r="AG1400" s="95"/>
    </row>
    <row r="1401" hidden="1">
      <c r="A1401" s="115"/>
      <c r="B1401" s="93"/>
      <c r="E1401" s="116"/>
      <c r="F1401" s="95"/>
      <c r="G1401" s="95"/>
      <c r="H1401" s="94"/>
      <c r="I1401" s="94"/>
      <c r="J1401" s="117"/>
      <c r="K1401" s="118"/>
      <c r="L1401" s="119"/>
      <c r="M1401" s="94"/>
      <c r="N1401" s="94"/>
      <c r="O1401" s="93"/>
      <c r="P1401" s="120" t="b">
        <v>0</v>
      </c>
      <c r="Q1401" s="120" t="b">
        <v>0</v>
      </c>
      <c r="R1401" s="120" t="b">
        <v>0</v>
      </c>
      <c r="S1401" s="95"/>
      <c r="U1401" s="120" t="b">
        <v>0</v>
      </c>
      <c r="V1401" s="93"/>
      <c r="W1401" s="93"/>
      <c r="X1401" s="93"/>
      <c r="Y1401" s="93"/>
      <c r="AA1401" s="95"/>
      <c r="AB1401" s="121"/>
      <c r="AC1401" s="29" t="str">
        <f t="shared" si="5"/>
        <v>Sim</v>
      </c>
      <c r="AD1401" s="37" t="str">
        <f t="shared" si="1"/>
        <v>Não</v>
      </c>
      <c r="AE1401" s="94"/>
      <c r="AF1401" s="94"/>
      <c r="AG1401" s="95"/>
    </row>
    <row r="1402" hidden="1">
      <c r="A1402" s="115"/>
      <c r="B1402" s="93"/>
      <c r="E1402" s="116"/>
      <c r="F1402" s="95"/>
      <c r="G1402" s="95"/>
      <c r="H1402" s="94"/>
      <c r="I1402" s="94"/>
      <c r="J1402" s="117"/>
      <c r="K1402" s="118"/>
      <c r="L1402" s="119"/>
      <c r="M1402" s="94"/>
      <c r="N1402" s="94"/>
      <c r="O1402" s="93"/>
      <c r="P1402" s="120" t="b">
        <v>0</v>
      </c>
      <c r="Q1402" s="120" t="b">
        <v>0</v>
      </c>
      <c r="R1402" s="120" t="b">
        <v>0</v>
      </c>
      <c r="S1402" s="95"/>
      <c r="U1402" s="120" t="b">
        <v>0</v>
      </c>
      <c r="V1402" s="93"/>
      <c r="W1402" s="93"/>
      <c r="X1402" s="93"/>
      <c r="Y1402" s="93"/>
      <c r="AA1402" s="95"/>
      <c r="AB1402" s="121"/>
      <c r="AC1402" s="29" t="str">
        <f t="shared" si="5"/>
        <v>Sim</v>
      </c>
      <c r="AD1402" s="37" t="str">
        <f t="shared" si="1"/>
        <v>Não</v>
      </c>
      <c r="AE1402" s="94"/>
      <c r="AF1402" s="94"/>
      <c r="AG1402" s="95"/>
    </row>
    <row r="1403" hidden="1">
      <c r="A1403" s="115"/>
      <c r="B1403" s="93"/>
      <c r="E1403" s="116"/>
      <c r="F1403" s="95"/>
      <c r="G1403" s="95"/>
      <c r="H1403" s="94"/>
      <c r="I1403" s="94"/>
      <c r="J1403" s="117"/>
      <c r="K1403" s="118"/>
      <c r="L1403" s="119"/>
      <c r="M1403" s="94"/>
      <c r="N1403" s="94"/>
      <c r="O1403" s="93"/>
      <c r="P1403" s="120" t="b">
        <v>0</v>
      </c>
      <c r="Q1403" s="120" t="b">
        <v>0</v>
      </c>
      <c r="R1403" s="120" t="b">
        <v>0</v>
      </c>
      <c r="S1403" s="95"/>
      <c r="U1403" s="120" t="b">
        <v>0</v>
      </c>
      <c r="V1403" s="93"/>
      <c r="W1403" s="93"/>
      <c r="X1403" s="93"/>
      <c r="Y1403" s="93"/>
      <c r="AA1403" s="95"/>
      <c r="AB1403" s="121"/>
      <c r="AC1403" s="29" t="str">
        <f t="shared" si="5"/>
        <v>Sim</v>
      </c>
      <c r="AD1403" s="37" t="str">
        <f t="shared" si="1"/>
        <v>Não</v>
      </c>
      <c r="AE1403" s="94"/>
      <c r="AF1403" s="94"/>
      <c r="AG1403" s="95"/>
    </row>
    <row r="1404" hidden="1">
      <c r="A1404" s="115"/>
      <c r="B1404" s="93"/>
      <c r="E1404" s="116"/>
      <c r="F1404" s="95"/>
      <c r="G1404" s="95"/>
      <c r="H1404" s="94"/>
      <c r="I1404" s="94"/>
      <c r="J1404" s="117"/>
      <c r="K1404" s="118"/>
      <c r="L1404" s="119"/>
      <c r="M1404" s="94"/>
      <c r="N1404" s="94"/>
      <c r="O1404" s="93"/>
      <c r="P1404" s="120" t="b">
        <v>0</v>
      </c>
      <c r="Q1404" s="120" t="b">
        <v>0</v>
      </c>
      <c r="R1404" s="120" t="b">
        <v>0</v>
      </c>
      <c r="S1404" s="95"/>
      <c r="U1404" s="120" t="b">
        <v>0</v>
      </c>
      <c r="V1404" s="93"/>
      <c r="W1404" s="93"/>
      <c r="X1404" s="93"/>
      <c r="Y1404" s="93"/>
      <c r="AA1404" s="95"/>
      <c r="AB1404" s="121"/>
      <c r="AC1404" s="29" t="str">
        <f t="shared" si="5"/>
        <v>Sim</v>
      </c>
      <c r="AD1404" s="37" t="str">
        <f t="shared" si="1"/>
        <v>Não</v>
      </c>
      <c r="AE1404" s="94"/>
      <c r="AF1404" s="94"/>
      <c r="AG1404" s="95"/>
    </row>
    <row r="1405" hidden="1">
      <c r="A1405" s="115"/>
      <c r="B1405" s="93"/>
      <c r="E1405" s="116"/>
      <c r="F1405" s="95"/>
      <c r="G1405" s="95"/>
      <c r="H1405" s="94"/>
      <c r="I1405" s="94"/>
      <c r="J1405" s="117"/>
      <c r="K1405" s="118"/>
      <c r="L1405" s="119"/>
      <c r="M1405" s="94"/>
      <c r="N1405" s="94"/>
      <c r="O1405" s="93"/>
      <c r="P1405" s="120" t="b">
        <v>0</v>
      </c>
      <c r="Q1405" s="120" t="b">
        <v>0</v>
      </c>
      <c r="R1405" s="120" t="b">
        <v>0</v>
      </c>
      <c r="S1405" s="95"/>
      <c r="U1405" s="120" t="b">
        <v>0</v>
      </c>
      <c r="V1405" s="93"/>
      <c r="W1405" s="93"/>
      <c r="X1405" s="93"/>
      <c r="Y1405" s="93"/>
      <c r="AA1405" s="95"/>
      <c r="AB1405" s="121"/>
      <c r="AC1405" s="29" t="str">
        <f t="shared" si="5"/>
        <v>Sim</v>
      </c>
      <c r="AD1405" s="37" t="str">
        <f t="shared" si="1"/>
        <v>Não</v>
      </c>
      <c r="AE1405" s="94"/>
      <c r="AF1405" s="94"/>
      <c r="AG1405" s="95"/>
    </row>
    <row r="1406" hidden="1">
      <c r="A1406" s="115"/>
      <c r="B1406" s="93"/>
      <c r="E1406" s="116"/>
      <c r="F1406" s="95"/>
      <c r="G1406" s="95"/>
      <c r="H1406" s="94"/>
      <c r="I1406" s="94"/>
      <c r="J1406" s="117"/>
      <c r="K1406" s="118"/>
      <c r="L1406" s="119"/>
      <c r="M1406" s="94"/>
      <c r="N1406" s="94"/>
      <c r="O1406" s="93"/>
      <c r="P1406" s="120" t="b">
        <v>0</v>
      </c>
      <c r="Q1406" s="120" t="b">
        <v>0</v>
      </c>
      <c r="R1406" s="120" t="b">
        <v>0</v>
      </c>
      <c r="S1406" s="95"/>
      <c r="U1406" s="120" t="b">
        <v>0</v>
      </c>
      <c r="V1406" s="93"/>
      <c r="W1406" s="93"/>
      <c r="X1406" s="93"/>
      <c r="Y1406" s="93"/>
      <c r="AA1406" s="95"/>
      <c r="AB1406" s="121"/>
      <c r="AC1406" s="29" t="str">
        <f t="shared" si="5"/>
        <v>Sim</v>
      </c>
      <c r="AD1406" s="37" t="str">
        <f t="shared" si="1"/>
        <v>Não</v>
      </c>
      <c r="AE1406" s="94"/>
      <c r="AF1406" s="94"/>
      <c r="AG1406" s="95"/>
    </row>
    <row r="1407" hidden="1">
      <c r="A1407" s="115"/>
      <c r="B1407" s="93"/>
      <c r="E1407" s="116"/>
      <c r="F1407" s="95"/>
      <c r="G1407" s="95"/>
      <c r="H1407" s="94"/>
      <c r="I1407" s="94"/>
      <c r="J1407" s="117"/>
      <c r="K1407" s="118"/>
      <c r="L1407" s="119"/>
      <c r="M1407" s="94"/>
      <c r="N1407" s="94"/>
      <c r="O1407" s="93"/>
      <c r="P1407" s="120" t="b">
        <v>0</v>
      </c>
      <c r="Q1407" s="120" t="b">
        <v>0</v>
      </c>
      <c r="R1407" s="120" t="b">
        <v>0</v>
      </c>
      <c r="S1407" s="95"/>
      <c r="U1407" s="120" t="b">
        <v>0</v>
      </c>
      <c r="V1407" s="93"/>
      <c r="W1407" s="93"/>
      <c r="X1407" s="93"/>
      <c r="Y1407" s="93"/>
      <c r="AA1407" s="95"/>
      <c r="AB1407" s="121"/>
      <c r="AC1407" s="29" t="str">
        <f t="shared" si="5"/>
        <v>Sim</v>
      </c>
      <c r="AD1407" s="37" t="str">
        <f t="shared" si="1"/>
        <v>Não</v>
      </c>
      <c r="AE1407" s="94"/>
      <c r="AF1407" s="94"/>
      <c r="AG1407" s="95"/>
    </row>
    <row r="1408" hidden="1">
      <c r="A1408" s="115"/>
      <c r="B1408" s="93"/>
      <c r="E1408" s="116"/>
      <c r="F1408" s="95"/>
      <c r="G1408" s="95"/>
      <c r="H1408" s="94"/>
      <c r="I1408" s="94"/>
      <c r="J1408" s="117"/>
      <c r="K1408" s="118"/>
      <c r="L1408" s="119"/>
      <c r="M1408" s="94"/>
      <c r="N1408" s="94"/>
      <c r="O1408" s="93"/>
      <c r="P1408" s="120" t="b">
        <v>0</v>
      </c>
      <c r="Q1408" s="120" t="b">
        <v>0</v>
      </c>
      <c r="R1408" s="120" t="b">
        <v>0</v>
      </c>
      <c r="S1408" s="95"/>
      <c r="U1408" s="120" t="b">
        <v>0</v>
      </c>
      <c r="V1408" s="93"/>
      <c r="W1408" s="93"/>
      <c r="X1408" s="93"/>
      <c r="Y1408" s="93"/>
      <c r="AA1408" s="95"/>
      <c r="AB1408" s="121"/>
      <c r="AC1408" s="29" t="str">
        <f t="shared" si="5"/>
        <v>Sim</v>
      </c>
      <c r="AD1408" s="37" t="str">
        <f t="shared" si="1"/>
        <v>Não</v>
      </c>
      <c r="AE1408" s="94"/>
      <c r="AF1408" s="94"/>
      <c r="AG1408" s="95"/>
    </row>
    <row r="1409" hidden="1">
      <c r="A1409" s="115"/>
      <c r="B1409" s="93"/>
      <c r="E1409" s="116"/>
      <c r="F1409" s="95"/>
      <c r="G1409" s="95"/>
      <c r="H1409" s="94"/>
      <c r="I1409" s="94"/>
      <c r="J1409" s="117"/>
      <c r="K1409" s="118"/>
      <c r="L1409" s="119"/>
      <c r="M1409" s="94"/>
      <c r="N1409" s="94"/>
      <c r="O1409" s="93"/>
      <c r="P1409" s="120" t="b">
        <v>0</v>
      </c>
      <c r="Q1409" s="120" t="b">
        <v>0</v>
      </c>
      <c r="R1409" s="120" t="b">
        <v>0</v>
      </c>
      <c r="S1409" s="95"/>
      <c r="U1409" s="120" t="b">
        <v>0</v>
      </c>
      <c r="V1409" s="93"/>
      <c r="W1409" s="93"/>
      <c r="X1409" s="93"/>
      <c r="Y1409" s="93"/>
      <c r="AA1409" s="95"/>
      <c r="AB1409" s="121"/>
      <c r="AC1409" s="29" t="str">
        <f t="shared" si="5"/>
        <v>Sim</v>
      </c>
      <c r="AD1409" s="37" t="str">
        <f t="shared" si="1"/>
        <v>Não</v>
      </c>
      <c r="AE1409" s="94"/>
      <c r="AF1409" s="94"/>
      <c r="AG1409" s="95"/>
    </row>
    <row r="1410" hidden="1">
      <c r="A1410" s="115"/>
      <c r="B1410" s="93"/>
      <c r="E1410" s="116"/>
      <c r="F1410" s="95"/>
      <c r="G1410" s="95"/>
      <c r="H1410" s="94"/>
      <c r="I1410" s="94"/>
      <c r="J1410" s="117"/>
      <c r="K1410" s="118"/>
      <c r="L1410" s="119"/>
      <c r="M1410" s="94"/>
      <c r="N1410" s="94"/>
      <c r="O1410" s="93"/>
      <c r="P1410" s="120" t="b">
        <v>0</v>
      </c>
      <c r="Q1410" s="120" t="b">
        <v>0</v>
      </c>
      <c r="R1410" s="120" t="b">
        <v>0</v>
      </c>
      <c r="S1410" s="95"/>
      <c r="U1410" s="120" t="b">
        <v>0</v>
      </c>
      <c r="V1410" s="93"/>
      <c r="W1410" s="93"/>
      <c r="X1410" s="93"/>
      <c r="Y1410" s="93"/>
      <c r="AA1410" s="95"/>
      <c r="AB1410" s="121"/>
      <c r="AC1410" s="29" t="str">
        <f t="shared" si="5"/>
        <v>Sim</v>
      </c>
      <c r="AD1410" s="37" t="str">
        <f t="shared" si="1"/>
        <v>Não</v>
      </c>
      <c r="AE1410" s="94"/>
      <c r="AF1410" s="94"/>
      <c r="AG1410" s="95"/>
    </row>
    <row r="1411" hidden="1">
      <c r="A1411" s="115"/>
      <c r="B1411" s="93"/>
      <c r="E1411" s="116"/>
      <c r="F1411" s="95"/>
      <c r="G1411" s="95"/>
      <c r="H1411" s="94"/>
      <c r="I1411" s="94"/>
      <c r="J1411" s="117"/>
      <c r="K1411" s="118"/>
      <c r="L1411" s="119"/>
      <c r="M1411" s="94"/>
      <c r="N1411" s="94"/>
      <c r="O1411" s="93"/>
      <c r="P1411" s="120" t="b">
        <v>0</v>
      </c>
      <c r="Q1411" s="120" t="b">
        <v>0</v>
      </c>
      <c r="R1411" s="120" t="b">
        <v>0</v>
      </c>
      <c r="S1411" s="95"/>
      <c r="U1411" s="120" t="b">
        <v>0</v>
      </c>
      <c r="V1411" s="93"/>
      <c r="W1411" s="93"/>
      <c r="X1411" s="93"/>
      <c r="Y1411" s="93"/>
      <c r="AA1411" s="95"/>
      <c r="AB1411" s="121"/>
      <c r="AC1411" s="29" t="str">
        <f t="shared" si="5"/>
        <v>Sim</v>
      </c>
      <c r="AD1411" s="37" t="str">
        <f t="shared" si="1"/>
        <v>Não</v>
      </c>
      <c r="AE1411" s="94"/>
      <c r="AF1411" s="94"/>
      <c r="AG1411" s="95"/>
    </row>
    <row r="1412" hidden="1">
      <c r="A1412" s="115"/>
      <c r="B1412" s="93"/>
      <c r="E1412" s="116"/>
      <c r="F1412" s="95"/>
      <c r="G1412" s="95"/>
      <c r="H1412" s="94"/>
      <c r="I1412" s="94"/>
      <c r="J1412" s="117"/>
      <c r="K1412" s="118"/>
      <c r="L1412" s="119"/>
      <c r="M1412" s="94"/>
      <c r="N1412" s="94"/>
      <c r="O1412" s="93"/>
      <c r="P1412" s="120" t="b">
        <v>0</v>
      </c>
      <c r="Q1412" s="120" t="b">
        <v>0</v>
      </c>
      <c r="R1412" s="120" t="b">
        <v>0</v>
      </c>
      <c r="S1412" s="95"/>
      <c r="U1412" s="120" t="b">
        <v>0</v>
      </c>
      <c r="V1412" s="93"/>
      <c r="W1412" s="93"/>
      <c r="X1412" s="93"/>
      <c r="Y1412" s="93"/>
      <c r="AA1412" s="95"/>
      <c r="AB1412" s="121"/>
      <c r="AC1412" s="29" t="str">
        <f t="shared" si="5"/>
        <v>Sim</v>
      </c>
      <c r="AD1412" s="37" t="str">
        <f t="shared" si="1"/>
        <v>Não</v>
      </c>
      <c r="AE1412" s="94"/>
      <c r="AF1412" s="94"/>
      <c r="AG1412" s="95"/>
    </row>
    <row r="1413" hidden="1">
      <c r="A1413" s="115"/>
      <c r="B1413" s="93"/>
      <c r="E1413" s="116"/>
      <c r="F1413" s="95"/>
      <c r="G1413" s="95"/>
      <c r="H1413" s="94"/>
      <c r="I1413" s="94"/>
      <c r="J1413" s="117"/>
      <c r="K1413" s="118"/>
      <c r="L1413" s="119"/>
      <c r="M1413" s="94"/>
      <c r="N1413" s="94"/>
      <c r="O1413" s="93"/>
      <c r="P1413" s="120" t="b">
        <v>0</v>
      </c>
      <c r="Q1413" s="120" t="b">
        <v>0</v>
      </c>
      <c r="R1413" s="120" t="b">
        <v>0</v>
      </c>
      <c r="S1413" s="95"/>
      <c r="U1413" s="120" t="b">
        <v>0</v>
      </c>
      <c r="V1413" s="93"/>
      <c r="W1413" s="93"/>
      <c r="X1413" s="93"/>
      <c r="Y1413" s="93"/>
      <c r="AA1413" s="95"/>
      <c r="AB1413" s="121"/>
      <c r="AC1413" s="29" t="str">
        <f t="shared" si="5"/>
        <v>Sim</v>
      </c>
      <c r="AD1413" s="37" t="str">
        <f t="shared" si="1"/>
        <v>Não</v>
      </c>
      <c r="AE1413" s="94"/>
      <c r="AF1413" s="94"/>
      <c r="AG1413" s="95"/>
    </row>
    <row r="1414" hidden="1">
      <c r="A1414" s="115"/>
      <c r="B1414" s="93"/>
      <c r="E1414" s="116"/>
      <c r="F1414" s="95"/>
      <c r="G1414" s="95"/>
      <c r="H1414" s="94"/>
      <c r="I1414" s="94"/>
      <c r="J1414" s="117"/>
      <c r="K1414" s="118"/>
      <c r="L1414" s="119"/>
      <c r="M1414" s="94"/>
      <c r="N1414" s="94"/>
      <c r="O1414" s="93"/>
      <c r="P1414" s="120" t="b">
        <v>0</v>
      </c>
      <c r="Q1414" s="120" t="b">
        <v>0</v>
      </c>
      <c r="R1414" s="120" t="b">
        <v>0</v>
      </c>
      <c r="S1414" s="95"/>
      <c r="U1414" s="120" t="b">
        <v>0</v>
      </c>
      <c r="V1414" s="93"/>
      <c r="W1414" s="93"/>
      <c r="X1414" s="93"/>
      <c r="Y1414" s="93"/>
      <c r="AA1414" s="95"/>
      <c r="AB1414" s="121"/>
      <c r="AC1414" s="29" t="str">
        <f t="shared" si="5"/>
        <v>Sim</v>
      </c>
      <c r="AD1414" s="37" t="str">
        <f t="shared" si="1"/>
        <v>Não</v>
      </c>
      <c r="AE1414" s="94"/>
      <c r="AF1414" s="94"/>
      <c r="AG1414" s="95"/>
    </row>
    <row r="1415" hidden="1">
      <c r="A1415" s="115"/>
      <c r="B1415" s="93"/>
      <c r="E1415" s="116"/>
      <c r="F1415" s="95"/>
      <c r="G1415" s="95"/>
      <c r="H1415" s="94"/>
      <c r="I1415" s="94"/>
      <c r="J1415" s="117"/>
      <c r="K1415" s="118"/>
      <c r="L1415" s="119"/>
      <c r="M1415" s="94"/>
      <c r="N1415" s="94"/>
      <c r="O1415" s="93"/>
      <c r="P1415" s="120" t="b">
        <v>0</v>
      </c>
      <c r="Q1415" s="120" t="b">
        <v>0</v>
      </c>
      <c r="R1415" s="120" t="b">
        <v>0</v>
      </c>
      <c r="S1415" s="95"/>
      <c r="U1415" s="120" t="b">
        <v>0</v>
      </c>
      <c r="V1415" s="93"/>
      <c r="W1415" s="93"/>
      <c r="X1415" s="93"/>
      <c r="Y1415" s="93"/>
      <c r="AA1415" s="95"/>
      <c r="AB1415" s="121"/>
      <c r="AC1415" s="29" t="str">
        <f t="shared" si="5"/>
        <v>Sim</v>
      </c>
      <c r="AD1415" s="37" t="str">
        <f t="shared" si="1"/>
        <v>Não</v>
      </c>
      <c r="AE1415" s="94"/>
      <c r="AF1415" s="94"/>
      <c r="AG1415" s="95"/>
    </row>
    <row r="1416" hidden="1">
      <c r="A1416" s="115"/>
      <c r="B1416" s="93"/>
      <c r="E1416" s="116"/>
      <c r="F1416" s="95"/>
      <c r="G1416" s="95"/>
      <c r="H1416" s="94"/>
      <c r="I1416" s="94"/>
      <c r="J1416" s="117"/>
      <c r="K1416" s="118"/>
      <c r="L1416" s="119"/>
      <c r="M1416" s="94"/>
      <c r="N1416" s="94"/>
      <c r="O1416" s="93"/>
      <c r="P1416" s="120" t="b">
        <v>0</v>
      </c>
      <c r="Q1416" s="120" t="b">
        <v>0</v>
      </c>
      <c r="R1416" s="120" t="b">
        <v>0</v>
      </c>
      <c r="S1416" s="95"/>
      <c r="U1416" s="120" t="b">
        <v>0</v>
      </c>
      <c r="V1416" s="93"/>
      <c r="W1416" s="93"/>
      <c r="X1416" s="93"/>
      <c r="Y1416" s="93"/>
      <c r="AA1416" s="95"/>
      <c r="AB1416" s="121"/>
      <c r="AC1416" s="29" t="str">
        <f t="shared" si="5"/>
        <v>Sim</v>
      </c>
      <c r="AD1416" s="37" t="str">
        <f t="shared" si="1"/>
        <v>Não</v>
      </c>
      <c r="AE1416" s="94"/>
      <c r="AF1416" s="94"/>
      <c r="AG1416" s="95"/>
    </row>
    <row r="1417" hidden="1">
      <c r="A1417" s="115"/>
      <c r="B1417" s="93"/>
      <c r="E1417" s="116"/>
      <c r="F1417" s="95"/>
      <c r="G1417" s="95"/>
      <c r="H1417" s="94"/>
      <c r="I1417" s="94"/>
      <c r="J1417" s="117"/>
      <c r="K1417" s="118"/>
      <c r="L1417" s="119"/>
      <c r="M1417" s="94"/>
      <c r="N1417" s="94"/>
      <c r="O1417" s="93"/>
      <c r="P1417" s="120" t="b">
        <v>0</v>
      </c>
      <c r="Q1417" s="120" t="b">
        <v>0</v>
      </c>
      <c r="R1417" s="120" t="b">
        <v>0</v>
      </c>
      <c r="S1417" s="95"/>
      <c r="U1417" s="120" t="b">
        <v>0</v>
      </c>
      <c r="V1417" s="93"/>
      <c r="W1417" s="93"/>
      <c r="X1417" s="93"/>
      <c r="Y1417" s="93"/>
      <c r="AA1417" s="95"/>
      <c r="AB1417" s="121"/>
      <c r="AC1417" s="29" t="str">
        <f t="shared" si="5"/>
        <v>Sim</v>
      </c>
      <c r="AD1417" s="37" t="str">
        <f t="shared" si="1"/>
        <v>Não</v>
      </c>
      <c r="AE1417" s="94"/>
      <c r="AF1417" s="94"/>
      <c r="AG1417" s="95"/>
    </row>
    <row r="1418" hidden="1">
      <c r="A1418" s="115"/>
      <c r="B1418" s="93"/>
      <c r="E1418" s="116"/>
      <c r="F1418" s="95"/>
      <c r="G1418" s="95"/>
      <c r="H1418" s="94"/>
      <c r="I1418" s="94"/>
      <c r="J1418" s="117"/>
      <c r="K1418" s="118"/>
      <c r="L1418" s="119"/>
      <c r="M1418" s="94"/>
      <c r="N1418" s="94"/>
      <c r="O1418" s="93"/>
      <c r="P1418" s="120" t="b">
        <v>0</v>
      </c>
      <c r="Q1418" s="120" t="b">
        <v>0</v>
      </c>
      <c r="R1418" s="120" t="b">
        <v>0</v>
      </c>
      <c r="S1418" s="95"/>
      <c r="U1418" s="120" t="b">
        <v>0</v>
      </c>
      <c r="V1418" s="93"/>
      <c r="W1418" s="93"/>
      <c r="X1418" s="93"/>
      <c r="Y1418" s="93"/>
      <c r="AA1418" s="95"/>
      <c r="AB1418" s="121"/>
      <c r="AC1418" s="29" t="str">
        <f t="shared" si="5"/>
        <v>Sim</v>
      </c>
      <c r="AD1418" s="37" t="str">
        <f t="shared" si="1"/>
        <v>Não</v>
      </c>
      <c r="AE1418" s="94"/>
      <c r="AF1418" s="94"/>
      <c r="AG1418" s="95"/>
    </row>
    <row r="1419" hidden="1">
      <c r="A1419" s="115"/>
      <c r="B1419" s="93"/>
      <c r="E1419" s="116"/>
      <c r="F1419" s="95"/>
      <c r="G1419" s="95"/>
      <c r="H1419" s="94"/>
      <c r="I1419" s="94"/>
      <c r="J1419" s="117"/>
      <c r="K1419" s="118"/>
      <c r="L1419" s="119"/>
      <c r="M1419" s="94"/>
      <c r="N1419" s="94"/>
      <c r="O1419" s="93"/>
      <c r="P1419" s="120" t="b">
        <v>0</v>
      </c>
      <c r="Q1419" s="120" t="b">
        <v>0</v>
      </c>
      <c r="R1419" s="120" t="b">
        <v>0</v>
      </c>
      <c r="S1419" s="95"/>
      <c r="U1419" s="120" t="b">
        <v>0</v>
      </c>
      <c r="V1419" s="93"/>
      <c r="W1419" s="93"/>
      <c r="X1419" s="93"/>
      <c r="Y1419" s="93"/>
      <c r="AA1419" s="95"/>
      <c r="AB1419" s="121"/>
      <c r="AC1419" s="29" t="str">
        <f t="shared" si="5"/>
        <v>Sim</v>
      </c>
      <c r="AD1419" s="37" t="str">
        <f t="shared" si="1"/>
        <v>Não</v>
      </c>
      <c r="AE1419" s="94"/>
      <c r="AF1419" s="94"/>
      <c r="AG1419" s="95"/>
    </row>
    <row r="1420" hidden="1">
      <c r="A1420" s="115"/>
      <c r="B1420" s="93"/>
      <c r="E1420" s="116"/>
      <c r="F1420" s="95"/>
      <c r="G1420" s="95"/>
      <c r="H1420" s="94"/>
      <c r="I1420" s="94"/>
      <c r="J1420" s="117"/>
      <c r="K1420" s="118"/>
      <c r="L1420" s="119"/>
      <c r="M1420" s="94"/>
      <c r="N1420" s="94"/>
      <c r="O1420" s="93"/>
      <c r="P1420" s="120" t="b">
        <v>0</v>
      </c>
      <c r="Q1420" s="120" t="b">
        <v>0</v>
      </c>
      <c r="R1420" s="120" t="b">
        <v>0</v>
      </c>
      <c r="S1420" s="95"/>
      <c r="U1420" s="120" t="b">
        <v>0</v>
      </c>
      <c r="V1420" s="93"/>
      <c r="W1420" s="93"/>
      <c r="X1420" s="93"/>
      <c r="Y1420" s="93"/>
      <c r="AA1420" s="95"/>
      <c r="AB1420" s="121"/>
      <c r="AC1420" s="29" t="str">
        <f t="shared" si="5"/>
        <v>Sim</v>
      </c>
      <c r="AD1420" s="37" t="str">
        <f t="shared" si="1"/>
        <v>Não</v>
      </c>
      <c r="AE1420" s="94"/>
      <c r="AF1420" s="94"/>
      <c r="AG1420" s="95"/>
    </row>
    <row r="1421" hidden="1">
      <c r="A1421" s="115"/>
      <c r="B1421" s="93"/>
      <c r="E1421" s="116"/>
      <c r="F1421" s="95"/>
      <c r="G1421" s="95"/>
      <c r="H1421" s="94"/>
      <c r="I1421" s="94"/>
      <c r="J1421" s="117"/>
      <c r="K1421" s="118"/>
      <c r="L1421" s="119"/>
      <c r="M1421" s="94"/>
      <c r="N1421" s="94"/>
      <c r="O1421" s="93"/>
      <c r="P1421" s="120" t="b">
        <v>0</v>
      </c>
      <c r="Q1421" s="120" t="b">
        <v>0</v>
      </c>
      <c r="R1421" s="120" t="b">
        <v>0</v>
      </c>
      <c r="S1421" s="95"/>
      <c r="U1421" s="120" t="b">
        <v>0</v>
      </c>
      <c r="V1421" s="93"/>
      <c r="W1421" s="93"/>
      <c r="X1421" s="93"/>
      <c r="Y1421" s="93"/>
      <c r="AA1421" s="95"/>
      <c r="AB1421" s="121"/>
      <c r="AC1421" s="29" t="str">
        <f t="shared" si="5"/>
        <v>Sim</v>
      </c>
      <c r="AD1421" s="37" t="str">
        <f t="shared" si="1"/>
        <v>Não</v>
      </c>
      <c r="AE1421" s="94"/>
      <c r="AF1421" s="94"/>
      <c r="AG1421" s="95"/>
    </row>
    <row r="1422" hidden="1">
      <c r="A1422" s="115"/>
      <c r="B1422" s="93"/>
      <c r="E1422" s="116"/>
      <c r="F1422" s="95"/>
      <c r="G1422" s="95"/>
      <c r="H1422" s="94"/>
      <c r="I1422" s="94"/>
      <c r="J1422" s="117"/>
      <c r="K1422" s="118"/>
      <c r="L1422" s="119"/>
      <c r="M1422" s="94"/>
      <c r="N1422" s="94"/>
      <c r="O1422" s="93"/>
      <c r="P1422" s="120" t="b">
        <v>0</v>
      </c>
      <c r="Q1422" s="120" t="b">
        <v>0</v>
      </c>
      <c r="R1422" s="120" t="b">
        <v>0</v>
      </c>
      <c r="S1422" s="95"/>
      <c r="U1422" s="120" t="b">
        <v>0</v>
      </c>
      <c r="V1422" s="93"/>
      <c r="W1422" s="93"/>
      <c r="X1422" s="93"/>
      <c r="Y1422" s="93"/>
      <c r="AA1422" s="95"/>
      <c r="AB1422" s="121"/>
      <c r="AC1422" s="29" t="str">
        <f t="shared" si="5"/>
        <v>Sim</v>
      </c>
      <c r="AD1422" s="37" t="str">
        <f t="shared" si="1"/>
        <v>Não</v>
      </c>
      <c r="AE1422" s="94"/>
      <c r="AF1422" s="94"/>
      <c r="AG1422" s="95"/>
    </row>
    <row r="1423" hidden="1">
      <c r="A1423" s="115"/>
      <c r="B1423" s="93"/>
      <c r="E1423" s="116"/>
      <c r="F1423" s="95"/>
      <c r="G1423" s="95"/>
      <c r="H1423" s="94"/>
      <c r="I1423" s="94"/>
      <c r="J1423" s="117"/>
      <c r="K1423" s="118"/>
      <c r="L1423" s="119"/>
      <c r="M1423" s="94"/>
      <c r="N1423" s="94"/>
      <c r="O1423" s="93"/>
      <c r="P1423" s="120" t="b">
        <v>0</v>
      </c>
      <c r="Q1423" s="120" t="b">
        <v>0</v>
      </c>
      <c r="R1423" s="120" t="b">
        <v>0</v>
      </c>
      <c r="S1423" s="95"/>
      <c r="U1423" s="120" t="b">
        <v>0</v>
      </c>
      <c r="V1423" s="93"/>
      <c r="W1423" s="93"/>
      <c r="X1423" s="93"/>
      <c r="Y1423" s="93"/>
      <c r="AA1423" s="95"/>
      <c r="AB1423" s="121"/>
      <c r="AC1423" s="29" t="str">
        <f t="shared" si="5"/>
        <v>Sim</v>
      </c>
      <c r="AD1423" s="37" t="str">
        <f t="shared" si="1"/>
        <v>Não</v>
      </c>
      <c r="AE1423" s="94"/>
      <c r="AF1423" s="94"/>
      <c r="AG1423" s="95"/>
    </row>
    <row r="1424" hidden="1">
      <c r="A1424" s="115"/>
      <c r="B1424" s="93"/>
      <c r="E1424" s="116"/>
      <c r="F1424" s="95"/>
      <c r="G1424" s="95"/>
      <c r="H1424" s="94"/>
      <c r="I1424" s="94"/>
      <c r="J1424" s="117"/>
      <c r="K1424" s="118"/>
      <c r="L1424" s="119"/>
      <c r="M1424" s="94"/>
      <c r="N1424" s="94"/>
      <c r="O1424" s="93"/>
      <c r="P1424" s="120" t="b">
        <v>0</v>
      </c>
      <c r="Q1424" s="120" t="b">
        <v>0</v>
      </c>
      <c r="R1424" s="120" t="b">
        <v>0</v>
      </c>
      <c r="S1424" s="95"/>
      <c r="U1424" s="120" t="b">
        <v>0</v>
      </c>
      <c r="V1424" s="93"/>
      <c r="W1424" s="93"/>
      <c r="X1424" s="93"/>
      <c r="Y1424" s="93"/>
      <c r="AA1424" s="95"/>
      <c r="AB1424" s="121"/>
      <c r="AC1424" s="29" t="str">
        <f t="shared" si="5"/>
        <v>Sim</v>
      </c>
      <c r="AD1424" s="37" t="str">
        <f t="shared" si="1"/>
        <v>Não</v>
      </c>
      <c r="AE1424" s="94"/>
      <c r="AF1424" s="94"/>
      <c r="AG1424" s="95"/>
    </row>
    <row r="1425" hidden="1">
      <c r="A1425" s="115"/>
      <c r="B1425" s="93"/>
      <c r="E1425" s="116"/>
      <c r="F1425" s="95"/>
      <c r="G1425" s="95"/>
      <c r="H1425" s="94"/>
      <c r="I1425" s="94"/>
      <c r="J1425" s="117"/>
      <c r="K1425" s="118"/>
      <c r="L1425" s="119"/>
      <c r="M1425" s="94"/>
      <c r="N1425" s="94"/>
      <c r="O1425" s="93"/>
      <c r="P1425" s="120" t="b">
        <v>0</v>
      </c>
      <c r="Q1425" s="120" t="b">
        <v>0</v>
      </c>
      <c r="R1425" s="120" t="b">
        <v>0</v>
      </c>
      <c r="S1425" s="95"/>
      <c r="U1425" s="120" t="b">
        <v>0</v>
      </c>
      <c r="V1425" s="93"/>
      <c r="W1425" s="93"/>
      <c r="X1425" s="93"/>
      <c r="Y1425" s="93"/>
      <c r="AA1425" s="95"/>
      <c r="AB1425" s="121"/>
      <c r="AC1425" s="29" t="str">
        <f t="shared" si="5"/>
        <v>Sim</v>
      </c>
      <c r="AD1425" s="37" t="str">
        <f t="shared" si="1"/>
        <v>Não</v>
      </c>
      <c r="AE1425" s="94"/>
      <c r="AF1425" s="94"/>
      <c r="AG1425" s="95"/>
    </row>
    <row r="1426" hidden="1">
      <c r="A1426" s="115"/>
      <c r="B1426" s="93"/>
      <c r="E1426" s="116"/>
      <c r="F1426" s="95"/>
      <c r="G1426" s="95"/>
      <c r="H1426" s="94"/>
      <c r="I1426" s="94"/>
      <c r="J1426" s="117"/>
      <c r="K1426" s="118"/>
      <c r="L1426" s="119"/>
      <c r="M1426" s="94"/>
      <c r="N1426" s="94"/>
      <c r="O1426" s="93"/>
      <c r="P1426" s="120" t="b">
        <v>0</v>
      </c>
      <c r="Q1426" s="120" t="b">
        <v>0</v>
      </c>
      <c r="R1426" s="120" t="b">
        <v>0</v>
      </c>
      <c r="S1426" s="95"/>
      <c r="U1426" s="120" t="b">
        <v>0</v>
      </c>
      <c r="V1426" s="93"/>
      <c r="W1426" s="93"/>
      <c r="X1426" s="93"/>
      <c r="Y1426" s="93"/>
      <c r="AA1426" s="95"/>
      <c r="AB1426" s="121"/>
      <c r="AC1426" s="29" t="str">
        <f t="shared" si="5"/>
        <v>Sim</v>
      </c>
      <c r="AD1426" s="37" t="str">
        <f t="shared" si="1"/>
        <v>Não</v>
      </c>
      <c r="AE1426" s="94"/>
      <c r="AF1426" s="94"/>
      <c r="AG1426" s="95"/>
    </row>
    <row r="1427" hidden="1">
      <c r="A1427" s="115"/>
      <c r="B1427" s="93"/>
      <c r="E1427" s="116"/>
      <c r="F1427" s="95"/>
      <c r="G1427" s="95"/>
      <c r="H1427" s="94"/>
      <c r="I1427" s="94"/>
      <c r="J1427" s="117"/>
      <c r="K1427" s="118"/>
      <c r="L1427" s="119"/>
      <c r="M1427" s="94"/>
      <c r="N1427" s="94"/>
      <c r="O1427" s="93"/>
      <c r="P1427" s="120" t="b">
        <v>0</v>
      </c>
      <c r="Q1427" s="120" t="b">
        <v>0</v>
      </c>
      <c r="R1427" s="120" t="b">
        <v>0</v>
      </c>
      <c r="S1427" s="95"/>
      <c r="U1427" s="120" t="b">
        <v>0</v>
      </c>
      <c r="V1427" s="93"/>
      <c r="W1427" s="93"/>
      <c r="X1427" s="93"/>
      <c r="Y1427" s="93"/>
      <c r="AA1427" s="95"/>
      <c r="AB1427" s="121"/>
      <c r="AC1427" s="29" t="str">
        <f t="shared" si="5"/>
        <v>Sim</v>
      </c>
      <c r="AD1427" s="37" t="str">
        <f t="shared" si="1"/>
        <v>Não</v>
      </c>
      <c r="AE1427" s="94"/>
      <c r="AF1427" s="94"/>
      <c r="AG1427" s="95"/>
    </row>
    <row r="1428" hidden="1">
      <c r="A1428" s="115"/>
      <c r="B1428" s="93"/>
      <c r="E1428" s="116"/>
      <c r="F1428" s="95"/>
      <c r="G1428" s="95"/>
      <c r="H1428" s="94"/>
      <c r="I1428" s="94"/>
      <c r="J1428" s="117"/>
      <c r="K1428" s="118"/>
      <c r="L1428" s="119"/>
      <c r="M1428" s="94"/>
      <c r="N1428" s="94"/>
      <c r="O1428" s="93"/>
      <c r="P1428" s="120" t="b">
        <v>0</v>
      </c>
      <c r="Q1428" s="120" t="b">
        <v>0</v>
      </c>
      <c r="R1428" s="120" t="b">
        <v>0</v>
      </c>
      <c r="S1428" s="95"/>
      <c r="U1428" s="120" t="b">
        <v>0</v>
      </c>
      <c r="V1428" s="93"/>
      <c r="W1428" s="93"/>
      <c r="X1428" s="93"/>
      <c r="Y1428" s="93"/>
      <c r="AA1428" s="95"/>
      <c r="AB1428" s="121"/>
      <c r="AC1428" s="29" t="str">
        <f t="shared" si="5"/>
        <v>Sim</v>
      </c>
      <c r="AD1428" s="37" t="str">
        <f t="shared" si="1"/>
        <v>Não</v>
      </c>
      <c r="AE1428" s="94"/>
      <c r="AF1428" s="94"/>
      <c r="AG1428" s="95"/>
    </row>
    <row r="1429" hidden="1">
      <c r="A1429" s="115"/>
      <c r="B1429" s="93"/>
      <c r="E1429" s="116"/>
      <c r="F1429" s="95"/>
      <c r="G1429" s="95"/>
      <c r="H1429" s="94"/>
      <c r="I1429" s="94"/>
      <c r="J1429" s="117"/>
      <c r="K1429" s="118"/>
      <c r="L1429" s="119"/>
      <c r="M1429" s="94"/>
      <c r="N1429" s="94"/>
      <c r="O1429" s="93"/>
      <c r="P1429" s="120" t="b">
        <v>0</v>
      </c>
      <c r="Q1429" s="120" t="b">
        <v>0</v>
      </c>
      <c r="R1429" s="120" t="b">
        <v>0</v>
      </c>
      <c r="S1429" s="95"/>
      <c r="U1429" s="120" t="b">
        <v>0</v>
      </c>
      <c r="V1429" s="93"/>
      <c r="W1429" s="93"/>
      <c r="X1429" s="93"/>
      <c r="Y1429" s="93"/>
      <c r="AA1429" s="95"/>
      <c r="AB1429" s="121"/>
      <c r="AC1429" s="29" t="str">
        <f t="shared" si="5"/>
        <v>Sim</v>
      </c>
      <c r="AD1429" s="37" t="str">
        <f t="shared" si="1"/>
        <v>Não</v>
      </c>
      <c r="AE1429" s="94"/>
      <c r="AF1429" s="94"/>
      <c r="AG1429" s="95"/>
    </row>
    <row r="1430" hidden="1">
      <c r="A1430" s="115"/>
      <c r="B1430" s="93"/>
      <c r="E1430" s="116"/>
      <c r="F1430" s="95"/>
      <c r="G1430" s="95"/>
      <c r="H1430" s="94"/>
      <c r="I1430" s="94"/>
      <c r="J1430" s="117"/>
      <c r="K1430" s="118"/>
      <c r="L1430" s="119"/>
      <c r="M1430" s="94"/>
      <c r="N1430" s="94"/>
      <c r="O1430" s="93"/>
      <c r="P1430" s="120" t="b">
        <v>0</v>
      </c>
      <c r="Q1430" s="120" t="b">
        <v>0</v>
      </c>
      <c r="R1430" s="120" t="b">
        <v>0</v>
      </c>
      <c r="S1430" s="95"/>
      <c r="U1430" s="120" t="b">
        <v>0</v>
      </c>
      <c r="V1430" s="93"/>
      <c r="W1430" s="93"/>
      <c r="X1430" s="93"/>
      <c r="Y1430" s="93"/>
      <c r="AA1430" s="95"/>
      <c r="AB1430" s="121"/>
      <c r="AC1430" s="29" t="str">
        <f t="shared" si="5"/>
        <v>Sim</v>
      </c>
      <c r="AD1430" s="37" t="str">
        <f t="shared" si="1"/>
        <v>Não</v>
      </c>
      <c r="AE1430" s="94"/>
      <c r="AF1430" s="94"/>
      <c r="AG1430" s="95"/>
    </row>
    <row r="1431" hidden="1">
      <c r="A1431" s="115"/>
      <c r="B1431" s="93"/>
      <c r="E1431" s="116"/>
      <c r="F1431" s="95"/>
      <c r="G1431" s="95"/>
      <c r="H1431" s="94"/>
      <c r="I1431" s="94"/>
      <c r="J1431" s="117"/>
      <c r="K1431" s="118"/>
      <c r="L1431" s="119"/>
      <c r="M1431" s="94"/>
      <c r="N1431" s="94"/>
      <c r="O1431" s="93"/>
      <c r="P1431" s="120" t="b">
        <v>0</v>
      </c>
      <c r="Q1431" s="120" t="b">
        <v>0</v>
      </c>
      <c r="R1431" s="120" t="b">
        <v>0</v>
      </c>
      <c r="S1431" s="95"/>
      <c r="U1431" s="120" t="b">
        <v>0</v>
      </c>
      <c r="V1431" s="93"/>
      <c r="W1431" s="93"/>
      <c r="X1431" s="93"/>
      <c r="Y1431" s="93"/>
      <c r="AA1431" s="95"/>
      <c r="AB1431" s="121"/>
      <c r="AC1431" s="29" t="str">
        <f t="shared" si="5"/>
        <v>Sim</v>
      </c>
      <c r="AD1431" s="37" t="str">
        <f t="shared" si="1"/>
        <v>Não</v>
      </c>
      <c r="AE1431" s="94"/>
      <c r="AF1431" s="94"/>
      <c r="AG1431" s="95"/>
    </row>
    <row r="1432" hidden="1">
      <c r="A1432" s="115"/>
      <c r="B1432" s="93"/>
      <c r="E1432" s="116"/>
      <c r="F1432" s="95"/>
      <c r="G1432" s="95"/>
      <c r="H1432" s="94"/>
      <c r="I1432" s="94"/>
      <c r="J1432" s="117"/>
      <c r="K1432" s="118"/>
      <c r="L1432" s="119"/>
      <c r="M1432" s="94"/>
      <c r="N1432" s="94"/>
      <c r="O1432" s="93"/>
      <c r="P1432" s="120" t="b">
        <v>0</v>
      </c>
      <c r="Q1432" s="120" t="b">
        <v>0</v>
      </c>
      <c r="R1432" s="120" t="b">
        <v>0</v>
      </c>
      <c r="S1432" s="95"/>
      <c r="U1432" s="120" t="b">
        <v>0</v>
      </c>
      <c r="V1432" s="93"/>
      <c r="W1432" s="93"/>
      <c r="X1432" s="93"/>
      <c r="Y1432" s="93"/>
      <c r="AA1432" s="95"/>
      <c r="AB1432" s="121"/>
      <c r="AC1432" s="29" t="str">
        <f t="shared" si="5"/>
        <v>Sim</v>
      </c>
      <c r="AD1432" s="37" t="str">
        <f t="shared" si="1"/>
        <v>Não</v>
      </c>
      <c r="AE1432" s="94"/>
      <c r="AF1432" s="94"/>
      <c r="AG1432" s="95"/>
    </row>
    <row r="1433" hidden="1">
      <c r="A1433" s="115"/>
      <c r="B1433" s="93"/>
      <c r="E1433" s="116"/>
      <c r="F1433" s="95"/>
      <c r="G1433" s="95"/>
      <c r="H1433" s="94"/>
      <c r="I1433" s="94"/>
      <c r="J1433" s="117"/>
      <c r="K1433" s="118"/>
      <c r="L1433" s="119"/>
      <c r="M1433" s="94"/>
      <c r="N1433" s="94"/>
      <c r="O1433" s="93"/>
      <c r="P1433" s="120" t="b">
        <v>0</v>
      </c>
      <c r="Q1433" s="120" t="b">
        <v>0</v>
      </c>
      <c r="R1433" s="120" t="b">
        <v>0</v>
      </c>
      <c r="S1433" s="95"/>
      <c r="U1433" s="120" t="b">
        <v>0</v>
      </c>
      <c r="V1433" s="93"/>
      <c r="W1433" s="93"/>
      <c r="X1433" s="93"/>
      <c r="Y1433" s="93"/>
      <c r="AA1433" s="95"/>
      <c r="AB1433" s="121"/>
      <c r="AC1433" s="29" t="str">
        <f t="shared" si="5"/>
        <v>Sim</v>
      </c>
      <c r="AD1433" s="37" t="str">
        <f t="shared" si="1"/>
        <v>Não</v>
      </c>
      <c r="AE1433" s="94"/>
      <c r="AF1433" s="94"/>
      <c r="AG1433" s="95"/>
    </row>
    <row r="1434" hidden="1">
      <c r="A1434" s="115"/>
      <c r="B1434" s="93"/>
      <c r="E1434" s="116"/>
      <c r="F1434" s="95"/>
      <c r="G1434" s="95"/>
      <c r="H1434" s="94"/>
      <c r="I1434" s="94"/>
      <c r="J1434" s="117"/>
      <c r="K1434" s="118"/>
      <c r="L1434" s="119"/>
      <c r="M1434" s="94"/>
      <c r="N1434" s="94"/>
      <c r="O1434" s="93"/>
      <c r="P1434" s="120" t="b">
        <v>0</v>
      </c>
      <c r="Q1434" s="120" t="b">
        <v>0</v>
      </c>
      <c r="R1434" s="120" t="b">
        <v>0</v>
      </c>
      <c r="S1434" s="95"/>
      <c r="U1434" s="120" t="b">
        <v>0</v>
      </c>
      <c r="V1434" s="93"/>
      <c r="W1434" s="93"/>
      <c r="X1434" s="93"/>
      <c r="Y1434" s="93"/>
      <c r="AA1434" s="95"/>
      <c r="AB1434" s="121"/>
      <c r="AC1434" s="29" t="str">
        <f t="shared" si="5"/>
        <v>Sim</v>
      </c>
      <c r="AD1434" s="37" t="str">
        <f t="shared" si="1"/>
        <v>Não</v>
      </c>
      <c r="AE1434" s="94"/>
      <c r="AF1434" s="94"/>
      <c r="AG1434" s="95"/>
    </row>
    <row r="1435" hidden="1">
      <c r="A1435" s="115"/>
      <c r="B1435" s="93"/>
      <c r="E1435" s="116"/>
      <c r="F1435" s="95"/>
      <c r="G1435" s="95"/>
      <c r="H1435" s="94"/>
      <c r="I1435" s="94"/>
      <c r="J1435" s="117"/>
      <c r="K1435" s="118"/>
      <c r="L1435" s="119"/>
      <c r="M1435" s="94"/>
      <c r="N1435" s="94"/>
      <c r="O1435" s="93"/>
      <c r="P1435" s="120" t="b">
        <v>0</v>
      </c>
      <c r="Q1435" s="120" t="b">
        <v>0</v>
      </c>
      <c r="R1435" s="120" t="b">
        <v>0</v>
      </c>
      <c r="S1435" s="95"/>
      <c r="U1435" s="120" t="b">
        <v>0</v>
      </c>
      <c r="V1435" s="93"/>
      <c r="W1435" s="93"/>
      <c r="X1435" s="93"/>
      <c r="Y1435" s="93"/>
      <c r="AA1435" s="95"/>
      <c r="AB1435" s="121"/>
      <c r="AC1435" s="29" t="str">
        <f t="shared" si="5"/>
        <v>Sim</v>
      </c>
      <c r="AD1435" s="37" t="str">
        <f t="shared" si="1"/>
        <v>Não</v>
      </c>
      <c r="AE1435" s="94"/>
      <c r="AF1435" s="94"/>
      <c r="AG1435" s="95"/>
    </row>
    <row r="1436" hidden="1">
      <c r="A1436" s="115"/>
      <c r="B1436" s="93"/>
      <c r="E1436" s="116"/>
      <c r="F1436" s="95"/>
      <c r="G1436" s="95"/>
      <c r="H1436" s="94"/>
      <c r="I1436" s="94"/>
      <c r="J1436" s="117"/>
      <c r="K1436" s="118"/>
      <c r="L1436" s="119"/>
      <c r="M1436" s="94"/>
      <c r="N1436" s="94"/>
      <c r="O1436" s="93"/>
      <c r="P1436" s="120" t="b">
        <v>0</v>
      </c>
      <c r="Q1436" s="120" t="b">
        <v>0</v>
      </c>
      <c r="R1436" s="120" t="b">
        <v>0</v>
      </c>
      <c r="S1436" s="95"/>
      <c r="U1436" s="120" t="b">
        <v>0</v>
      </c>
      <c r="V1436" s="93"/>
      <c r="W1436" s="93"/>
      <c r="X1436" s="93"/>
      <c r="Y1436" s="93"/>
      <c r="AA1436" s="95"/>
      <c r="AB1436" s="121"/>
      <c r="AC1436" s="29" t="str">
        <f t="shared" si="5"/>
        <v>Sim</v>
      </c>
      <c r="AD1436" s="37" t="str">
        <f t="shared" si="1"/>
        <v>Não</v>
      </c>
      <c r="AE1436" s="94"/>
      <c r="AF1436" s="94"/>
      <c r="AG1436" s="95"/>
    </row>
    <row r="1437" hidden="1">
      <c r="A1437" s="115"/>
      <c r="B1437" s="93"/>
      <c r="E1437" s="116"/>
      <c r="F1437" s="95"/>
      <c r="G1437" s="95"/>
      <c r="H1437" s="94"/>
      <c r="I1437" s="94"/>
      <c r="J1437" s="117"/>
      <c r="K1437" s="118"/>
      <c r="L1437" s="119"/>
      <c r="M1437" s="94"/>
      <c r="N1437" s="94"/>
      <c r="O1437" s="93"/>
      <c r="P1437" s="120" t="b">
        <v>0</v>
      </c>
      <c r="Q1437" s="120" t="b">
        <v>0</v>
      </c>
      <c r="R1437" s="120" t="b">
        <v>0</v>
      </c>
      <c r="S1437" s="95"/>
      <c r="U1437" s="120" t="b">
        <v>0</v>
      </c>
      <c r="V1437" s="93"/>
      <c r="W1437" s="93"/>
      <c r="X1437" s="93"/>
      <c r="Y1437" s="93"/>
      <c r="AA1437" s="95"/>
      <c r="AB1437" s="121"/>
      <c r="AC1437" s="29" t="str">
        <f t="shared" si="5"/>
        <v>Sim</v>
      </c>
      <c r="AD1437" s="37" t="str">
        <f t="shared" si="1"/>
        <v>Não</v>
      </c>
      <c r="AE1437" s="94"/>
      <c r="AF1437" s="94"/>
      <c r="AG1437" s="95"/>
    </row>
    <row r="1438" hidden="1">
      <c r="A1438" s="115"/>
      <c r="B1438" s="93"/>
      <c r="E1438" s="116"/>
      <c r="F1438" s="95"/>
      <c r="G1438" s="95"/>
      <c r="H1438" s="94"/>
      <c r="I1438" s="94"/>
      <c r="J1438" s="117"/>
      <c r="K1438" s="118"/>
      <c r="L1438" s="119"/>
      <c r="M1438" s="94"/>
      <c r="N1438" s="94"/>
      <c r="O1438" s="93"/>
      <c r="P1438" s="120" t="b">
        <v>0</v>
      </c>
      <c r="Q1438" s="120" t="b">
        <v>0</v>
      </c>
      <c r="R1438" s="120" t="b">
        <v>0</v>
      </c>
      <c r="S1438" s="95"/>
      <c r="U1438" s="120" t="b">
        <v>0</v>
      </c>
      <c r="V1438" s="93"/>
      <c r="W1438" s="93"/>
      <c r="X1438" s="93"/>
      <c r="Y1438" s="93"/>
      <c r="AA1438" s="95"/>
      <c r="AB1438" s="121"/>
      <c r="AC1438" s="29" t="str">
        <f t="shared" si="5"/>
        <v>Sim</v>
      </c>
      <c r="AD1438" s="37" t="str">
        <f t="shared" si="1"/>
        <v>Não</v>
      </c>
      <c r="AE1438" s="94"/>
      <c r="AF1438" s="94"/>
      <c r="AG1438" s="95"/>
    </row>
    <row r="1439" hidden="1">
      <c r="A1439" s="115"/>
      <c r="B1439" s="93"/>
      <c r="E1439" s="116"/>
      <c r="F1439" s="95"/>
      <c r="G1439" s="95"/>
      <c r="H1439" s="94"/>
      <c r="I1439" s="94"/>
      <c r="J1439" s="117"/>
      <c r="K1439" s="118"/>
      <c r="L1439" s="119"/>
      <c r="M1439" s="94"/>
      <c r="N1439" s="94"/>
      <c r="O1439" s="93"/>
      <c r="P1439" s="120" t="b">
        <v>0</v>
      </c>
      <c r="Q1439" s="120" t="b">
        <v>0</v>
      </c>
      <c r="R1439" s="120" t="b">
        <v>0</v>
      </c>
      <c r="S1439" s="95"/>
      <c r="U1439" s="120" t="b">
        <v>0</v>
      </c>
      <c r="V1439" s="93"/>
      <c r="W1439" s="93"/>
      <c r="X1439" s="93"/>
      <c r="Y1439" s="93"/>
      <c r="AA1439" s="95"/>
      <c r="AB1439" s="121"/>
      <c r="AC1439" s="29" t="str">
        <f t="shared" si="5"/>
        <v>Sim</v>
      </c>
      <c r="AD1439" s="37" t="str">
        <f t="shared" si="1"/>
        <v>Não</v>
      </c>
      <c r="AE1439" s="94"/>
      <c r="AF1439" s="94"/>
      <c r="AG1439" s="95"/>
    </row>
    <row r="1440" hidden="1">
      <c r="A1440" s="115"/>
      <c r="B1440" s="93"/>
      <c r="E1440" s="116"/>
      <c r="F1440" s="95"/>
      <c r="G1440" s="95"/>
      <c r="H1440" s="94"/>
      <c r="I1440" s="94"/>
      <c r="J1440" s="117"/>
      <c r="K1440" s="118"/>
      <c r="L1440" s="119"/>
      <c r="M1440" s="94"/>
      <c r="N1440" s="94"/>
      <c r="O1440" s="93"/>
      <c r="P1440" s="120" t="b">
        <v>0</v>
      </c>
      <c r="Q1440" s="120" t="b">
        <v>0</v>
      </c>
      <c r="R1440" s="120" t="b">
        <v>0</v>
      </c>
      <c r="S1440" s="95"/>
      <c r="U1440" s="120" t="b">
        <v>0</v>
      </c>
      <c r="V1440" s="93"/>
      <c r="W1440" s="93"/>
      <c r="X1440" s="93"/>
      <c r="Y1440" s="93"/>
      <c r="AA1440" s="95"/>
      <c r="AB1440" s="121"/>
      <c r="AC1440" s="29" t="str">
        <f t="shared" si="5"/>
        <v>Sim</v>
      </c>
      <c r="AD1440" s="37" t="str">
        <f t="shared" si="1"/>
        <v>Não</v>
      </c>
      <c r="AE1440" s="94"/>
      <c r="AF1440" s="94"/>
      <c r="AG1440" s="95"/>
    </row>
    <row r="1441" hidden="1">
      <c r="A1441" s="115"/>
      <c r="B1441" s="93"/>
      <c r="E1441" s="116"/>
      <c r="F1441" s="95"/>
      <c r="G1441" s="95"/>
      <c r="H1441" s="94"/>
      <c r="I1441" s="94"/>
      <c r="J1441" s="117"/>
      <c r="K1441" s="118"/>
      <c r="L1441" s="119"/>
      <c r="M1441" s="94"/>
      <c r="N1441" s="94"/>
      <c r="O1441" s="93"/>
      <c r="P1441" s="120" t="b">
        <v>0</v>
      </c>
      <c r="Q1441" s="120" t="b">
        <v>0</v>
      </c>
      <c r="R1441" s="120" t="b">
        <v>0</v>
      </c>
      <c r="S1441" s="95"/>
      <c r="U1441" s="120" t="b">
        <v>0</v>
      </c>
      <c r="V1441" s="93"/>
      <c r="W1441" s="93"/>
      <c r="X1441" s="93"/>
      <c r="Y1441" s="93"/>
      <c r="AA1441" s="95"/>
      <c r="AB1441" s="121"/>
      <c r="AC1441" s="29" t="str">
        <f t="shared" si="5"/>
        <v>Sim</v>
      </c>
      <c r="AD1441" s="37" t="str">
        <f t="shared" si="1"/>
        <v>Não</v>
      </c>
      <c r="AE1441" s="94"/>
      <c r="AF1441" s="94"/>
      <c r="AG1441" s="95"/>
    </row>
    <row r="1442" hidden="1">
      <c r="A1442" s="115"/>
      <c r="B1442" s="93"/>
      <c r="E1442" s="116"/>
      <c r="F1442" s="95"/>
      <c r="G1442" s="95"/>
      <c r="H1442" s="94"/>
      <c r="I1442" s="94"/>
      <c r="J1442" s="117"/>
      <c r="K1442" s="118"/>
      <c r="L1442" s="119"/>
      <c r="M1442" s="94"/>
      <c r="N1442" s="94"/>
      <c r="O1442" s="93"/>
      <c r="P1442" s="120" t="b">
        <v>0</v>
      </c>
      <c r="Q1442" s="120" t="b">
        <v>0</v>
      </c>
      <c r="R1442" s="120" t="b">
        <v>0</v>
      </c>
      <c r="S1442" s="95"/>
      <c r="U1442" s="120" t="b">
        <v>0</v>
      </c>
      <c r="V1442" s="93"/>
      <c r="W1442" s="93"/>
      <c r="X1442" s="93"/>
      <c r="Y1442" s="93"/>
      <c r="AA1442" s="95"/>
      <c r="AB1442" s="121"/>
      <c r="AC1442" s="29" t="str">
        <f t="shared" si="5"/>
        <v>Sim</v>
      </c>
      <c r="AD1442" s="37" t="str">
        <f t="shared" si="1"/>
        <v>Não</v>
      </c>
      <c r="AE1442" s="94"/>
      <c r="AF1442" s="94"/>
      <c r="AG1442" s="95"/>
    </row>
    <row r="1443" hidden="1">
      <c r="A1443" s="115"/>
      <c r="B1443" s="93"/>
      <c r="E1443" s="116"/>
      <c r="F1443" s="95"/>
      <c r="G1443" s="95"/>
      <c r="H1443" s="94"/>
      <c r="I1443" s="94"/>
      <c r="J1443" s="117"/>
      <c r="K1443" s="118"/>
      <c r="L1443" s="119"/>
      <c r="M1443" s="94"/>
      <c r="N1443" s="94"/>
      <c r="O1443" s="93"/>
      <c r="P1443" s="120" t="b">
        <v>0</v>
      </c>
      <c r="Q1443" s="120" t="b">
        <v>0</v>
      </c>
      <c r="R1443" s="120" t="b">
        <v>0</v>
      </c>
      <c r="S1443" s="95"/>
      <c r="U1443" s="120" t="b">
        <v>0</v>
      </c>
      <c r="V1443" s="93"/>
      <c r="W1443" s="93"/>
      <c r="X1443" s="93"/>
      <c r="Y1443" s="93"/>
      <c r="AA1443" s="95"/>
      <c r="AB1443" s="121"/>
      <c r="AC1443" s="29" t="str">
        <f t="shared" si="5"/>
        <v>Sim</v>
      </c>
      <c r="AD1443" s="37" t="str">
        <f t="shared" si="1"/>
        <v>Não</v>
      </c>
      <c r="AE1443" s="94"/>
      <c r="AF1443" s="94"/>
      <c r="AG1443" s="95"/>
    </row>
    <row r="1444" hidden="1">
      <c r="A1444" s="115"/>
      <c r="B1444" s="93"/>
      <c r="E1444" s="116"/>
      <c r="F1444" s="95"/>
      <c r="G1444" s="95"/>
      <c r="H1444" s="94"/>
      <c r="I1444" s="94"/>
      <c r="J1444" s="117"/>
      <c r="K1444" s="118"/>
      <c r="L1444" s="119"/>
      <c r="M1444" s="94"/>
      <c r="N1444" s="94"/>
      <c r="O1444" s="93"/>
      <c r="P1444" s="120" t="b">
        <v>0</v>
      </c>
      <c r="Q1444" s="120" t="b">
        <v>0</v>
      </c>
      <c r="R1444" s="120" t="b">
        <v>0</v>
      </c>
      <c r="S1444" s="95"/>
      <c r="U1444" s="120" t="b">
        <v>0</v>
      </c>
      <c r="V1444" s="93"/>
      <c r="W1444" s="93"/>
      <c r="X1444" s="93"/>
      <c r="Y1444" s="93"/>
      <c r="AA1444" s="95"/>
      <c r="AB1444" s="121"/>
      <c r="AC1444" s="29" t="str">
        <f t="shared" si="5"/>
        <v>Sim</v>
      </c>
      <c r="AD1444" s="37" t="str">
        <f t="shared" si="1"/>
        <v>Não</v>
      </c>
      <c r="AE1444" s="94"/>
      <c r="AF1444" s="94"/>
      <c r="AG1444" s="95"/>
    </row>
    <row r="1445" hidden="1">
      <c r="A1445" s="115"/>
      <c r="B1445" s="93"/>
      <c r="E1445" s="116"/>
      <c r="F1445" s="95"/>
      <c r="G1445" s="95"/>
      <c r="H1445" s="94"/>
      <c r="I1445" s="94"/>
      <c r="J1445" s="117"/>
      <c r="K1445" s="118"/>
      <c r="L1445" s="119"/>
      <c r="M1445" s="94"/>
      <c r="N1445" s="94"/>
      <c r="O1445" s="93"/>
      <c r="P1445" s="120" t="b">
        <v>0</v>
      </c>
      <c r="Q1445" s="120" t="b">
        <v>0</v>
      </c>
      <c r="R1445" s="120" t="b">
        <v>0</v>
      </c>
      <c r="S1445" s="95"/>
      <c r="U1445" s="120" t="b">
        <v>0</v>
      </c>
      <c r="V1445" s="93"/>
      <c r="W1445" s="93"/>
      <c r="X1445" s="93"/>
      <c r="Y1445" s="93"/>
      <c r="AA1445" s="95"/>
      <c r="AB1445" s="121"/>
      <c r="AC1445" s="29" t="str">
        <f t="shared" si="5"/>
        <v>Sim</v>
      </c>
      <c r="AD1445" s="37" t="str">
        <f t="shared" si="1"/>
        <v>Não</v>
      </c>
      <c r="AE1445" s="94"/>
      <c r="AF1445" s="94"/>
      <c r="AG1445" s="95"/>
    </row>
    <row r="1446" hidden="1">
      <c r="A1446" s="115"/>
      <c r="B1446" s="93"/>
      <c r="E1446" s="116"/>
      <c r="F1446" s="95"/>
      <c r="G1446" s="95"/>
      <c r="H1446" s="94"/>
      <c r="I1446" s="94"/>
      <c r="J1446" s="117"/>
      <c r="K1446" s="118"/>
      <c r="L1446" s="119"/>
      <c r="M1446" s="94"/>
      <c r="N1446" s="94"/>
      <c r="O1446" s="93"/>
      <c r="P1446" s="120" t="b">
        <v>0</v>
      </c>
      <c r="Q1446" s="120" t="b">
        <v>0</v>
      </c>
      <c r="R1446" s="120" t="b">
        <v>0</v>
      </c>
      <c r="S1446" s="95"/>
      <c r="U1446" s="120" t="b">
        <v>0</v>
      </c>
      <c r="V1446" s="93"/>
      <c r="W1446" s="93"/>
      <c r="X1446" s="93"/>
      <c r="Y1446" s="93"/>
      <c r="AA1446" s="95"/>
      <c r="AB1446" s="121"/>
      <c r="AC1446" s="29" t="str">
        <f t="shared" si="5"/>
        <v>Sim</v>
      </c>
      <c r="AD1446" s="37" t="str">
        <f t="shared" si="1"/>
        <v>Não</v>
      </c>
      <c r="AE1446" s="94"/>
      <c r="AF1446" s="94"/>
      <c r="AG1446" s="95"/>
    </row>
    <row r="1447" hidden="1">
      <c r="A1447" s="115"/>
      <c r="B1447" s="93"/>
      <c r="E1447" s="116"/>
      <c r="F1447" s="95"/>
      <c r="G1447" s="95"/>
      <c r="H1447" s="94"/>
      <c r="I1447" s="94"/>
      <c r="J1447" s="117"/>
      <c r="K1447" s="118"/>
      <c r="L1447" s="119"/>
      <c r="M1447" s="94"/>
      <c r="N1447" s="94"/>
      <c r="O1447" s="93"/>
      <c r="P1447" s="120" t="b">
        <v>0</v>
      </c>
      <c r="Q1447" s="120" t="b">
        <v>0</v>
      </c>
      <c r="R1447" s="120" t="b">
        <v>0</v>
      </c>
      <c r="S1447" s="95"/>
      <c r="U1447" s="120" t="b">
        <v>0</v>
      </c>
      <c r="V1447" s="93"/>
      <c r="W1447" s="93"/>
      <c r="X1447" s="93"/>
      <c r="Y1447" s="93"/>
      <c r="AA1447" s="95"/>
      <c r="AB1447" s="121"/>
      <c r="AC1447" s="29" t="str">
        <f t="shared" si="5"/>
        <v>Sim</v>
      </c>
      <c r="AD1447" s="37" t="str">
        <f t="shared" si="1"/>
        <v>Não</v>
      </c>
      <c r="AE1447" s="94"/>
      <c r="AF1447" s="94"/>
      <c r="AG1447" s="95"/>
    </row>
    <row r="1448" hidden="1">
      <c r="A1448" s="115"/>
      <c r="B1448" s="93"/>
      <c r="E1448" s="116"/>
      <c r="F1448" s="95"/>
      <c r="G1448" s="95"/>
      <c r="H1448" s="94"/>
      <c r="I1448" s="94"/>
      <c r="J1448" s="117"/>
      <c r="K1448" s="118"/>
      <c r="L1448" s="119"/>
      <c r="M1448" s="94"/>
      <c r="N1448" s="94"/>
      <c r="O1448" s="93"/>
      <c r="P1448" s="120" t="b">
        <v>0</v>
      </c>
      <c r="Q1448" s="120" t="b">
        <v>0</v>
      </c>
      <c r="R1448" s="120" t="b">
        <v>0</v>
      </c>
      <c r="S1448" s="95"/>
      <c r="U1448" s="120" t="b">
        <v>0</v>
      </c>
      <c r="V1448" s="93"/>
      <c r="W1448" s="93"/>
      <c r="X1448" s="93"/>
      <c r="Y1448" s="93"/>
      <c r="AA1448" s="95"/>
      <c r="AB1448" s="121"/>
      <c r="AC1448" s="29" t="str">
        <f t="shared" si="5"/>
        <v>Sim</v>
      </c>
      <c r="AD1448" s="37" t="str">
        <f t="shared" si="1"/>
        <v>Não</v>
      </c>
      <c r="AE1448" s="94"/>
      <c r="AF1448" s="94"/>
      <c r="AG1448" s="95"/>
    </row>
    <row r="1449" hidden="1">
      <c r="A1449" s="115"/>
      <c r="B1449" s="93"/>
      <c r="E1449" s="116"/>
      <c r="F1449" s="95"/>
      <c r="G1449" s="95"/>
      <c r="H1449" s="94"/>
      <c r="I1449" s="94"/>
      <c r="J1449" s="117"/>
      <c r="K1449" s="118"/>
      <c r="L1449" s="119"/>
      <c r="M1449" s="94"/>
      <c r="N1449" s="94"/>
      <c r="O1449" s="93"/>
      <c r="P1449" s="120" t="b">
        <v>0</v>
      </c>
      <c r="Q1449" s="120" t="b">
        <v>0</v>
      </c>
      <c r="R1449" s="120" t="b">
        <v>0</v>
      </c>
      <c r="S1449" s="95"/>
      <c r="U1449" s="120" t="b">
        <v>0</v>
      </c>
      <c r="V1449" s="93"/>
      <c r="W1449" s="93"/>
      <c r="X1449" s="93"/>
      <c r="Y1449" s="93"/>
      <c r="AA1449" s="95"/>
      <c r="AB1449" s="121"/>
      <c r="AC1449" s="29" t="str">
        <f t="shared" si="5"/>
        <v>Sim</v>
      </c>
      <c r="AD1449" s="37" t="str">
        <f t="shared" si="1"/>
        <v>Não</v>
      </c>
      <c r="AE1449" s="94"/>
      <c r="AF1449" s="94"/>
      <c r="AG1449" s="95"/>
    </row>
    <row r="1450" hidden="1">
      <c r="A1450" s="115"/>
      <c r="B1450" s="93"/>
      <c r="E1450" s="116"/>
      <c r="F1450" s="95"/>
      <c r="G1450" s="95"/>
      <c r="H1450" s="94"/>
      <c r="I1450" s="94"/>
      <c r="J1450" s="117"/>
      <c r="K1450" s="118"/>
      <c r="L1450" s="119"/>
      <c r="M1450" s="94"/>
      <c r="N1450" s="94"/>
      <c r="O1450" s="93"/>
      <c r="P1450" s="120" t="b">
        <v>0</v>
      </c>
      <c r="Q1450" s="120" t="b">
        <v>0</v>
      </c>
      <c r="R1450" s="120" t="b">
        <v>0</v>
      </c>
      <c r="S1450" s="95"/>
      <c r="U1450" s="120" t="b">
        <v>0</v>
      </c>
      <c r="V1450" s="93"/>
      <c r="W1450" s="93"/>
      <c r="X1450" s="93"/>
      <c r="Y1450" s="93"/>
      <c r="AA1450" s="95"/>
      <c r="AB1450" s="121"/>
      <c r="AC1450" s="29" t="str">
        <f t="shared" si="5"/>
        <v>Sim</v>
      </c>
      <c r="AD1450" s="37" t="str">
        <f t="shared" si="1"/>
        <v>Não</v>
      </c>
      <c r="AE1450" s="94"/>
      <c r="AF1450" s="94"/>
      <c r="AG1450" s="95"/>
    </row>
    <row r="1451" hidden="1">
      <c r="A1451" s="115"/>
      <c r="B1451" s="93"/>
      <c r="E1451" s="116"/>
      <c r="F1451" s="95"/>
      <c r="G1451" s="95"/>
      <c r="H1451" s="94"/>
      <c r="I1451" s="94"/>
      <c r="J1451" s="117"/>
      <c r="K1451" s="118"/>
      <c r="L1451" s="119"/>
      <c r="M1451" s="94"/>
      <c r="N1451" s="94"/>
      <c r="O1451" s="93"/>
      <c r="P1451" s="120" t="b">
        <v>0</v>
      </c>
      <c r="Q1451" s="120" t="b">
        <v>0</v>
      </c>
      <c r="R1451" s="120" t="b">
        <v>0</v>
      </c>
      <c r="S1451" s="95"/>
      <c r="U1451" s="120" t="b">
        <v>0</v>
      </c>
      <c r="V1451" s="93"/>
      <c r="W1451" s="93"/>
      <c r="X1451" s="93"/>
      <c r="Y1451" s="93"/>
      <c r="AA1451" s="95"/>
      <c r="AB1451" s="121"/>
      <c r="AC1451" s="29" t="str">
        <f t="shared" si="5"/>
        <v>Sim</v>
      </c>
      <c r="AD1451" s="37" t="str">
        <f t="shared" si="1"/>
        <v>Não</v>
      </c>
      <c r="AE1451" s="94"/>
      <c r="AF1451" s="94"/>
      <c r="AG1451" s="95"/>
    </row>
    <row r="1452" hidden="1">
      <c r="A1452" s="115"/>
      <c r="B1452" s="93"/>
      <c r="E1452" s="116"/>
      <c r="F1452" s="95"/>
      <c r="G1452" s="95"/>
      <c r="H1452" s="94"/>
      <c r="I1452" s="94"/>
      <c r="J1452" s="117"/>
      <c r="K1452" s="118"/>
      <c r="L1452" s="119"/>
      <c r="M1452" s="94"/>
      <c r="N1452" s="94"/>
      <c r="O1452" s="93"/>
      <c r="P1452" s="120" t="b">
        <v>0</v>
      </c>
      <c r="Q1452" s="120" t="b">
        <v>0</v>
      </c>
      <c r="R1452" s="120" t="b">
        <v>0</v>
      </c>
      <c r="S1452" s="95"/>
      <c r="U1452" s="120" t="b">
        <v>0</v>
      </c>
      <c r="V1452" s="93"/>
      <c r="W1452" s="93"/>
      <c r="X1452" s="93"/>
      <c r="Y1452" s="93"/>
      <c r="AA1452" s="95"/>
      <c r="AB1452" s="121"/>
      <c r="AC1452" s="29" t="str">
        <f t="shared" si="5"/>
        <v>Sim</v>
      </c>
      <c r="AD1452" s="37" t="str">
        <f t="shared" si="1"/>
        <v>Não</v>
      </c>
      <c r="AE1452" s="94"/>
      <c r="AF1452" s="94"/>
      <c r="AG1452" s="95"/>
    </row>
    <row r="1453" hidden="1">
      <c r="A1453" s="115"/>
      <c r="B1453" s="93"/>
      <c r="E1453" s="116"/>
      <c r="F1453" s="95"/>
      <c r="G1453" s="95"/>
      <c r="H1453" s="94"/>
      <c r="I1453" s="94"/>
      <c r="J1453" s="117"/>
      <c r="K1453" s="118"/>
      <c r="L1453" s="119"/>
      <c r="M1453" s="94"/>
      <c r="N1453" s="94"/>
      <c r="O1453" s="93"/>
      <c r="P1453" s="120" t="b">
        <v>0</v>
      </c>
      <c r="Q1453" s="120" t="b">
        <v>0</v>
      </c>
      <c r="R1453" s="120" t="b">
        <v>0</v>
      </c>
      <c r="S1453" s="95"/>
      <c r="U1453" s="120" t="b">
        <v>0</v>
      </c>
      <c r="V1453" s="93"/>
      <c r="W1453" s="93"/>
      <c r="X1453" s="93"/>
      <c r="Y1453" s="93"/>
      <c r="AA1453" s="95"/>
      <c r="AB1453" s="121"/>
      <c r="AC1453" s="29" t="str">
        <f t="shared" si="5"/>
        <v>Sim</v>
      </c>
      <c r="AD1453" s="37" t="str">
        <f t="shared" si="1"/>
        <v>Não</v>
      </c>
      <c r="AE1453" s="94"/>
      <c r="AF1453" s="94"/>
      <c r="AG1453" s="95"/>
    </row>
    <row r="1454" hidden="1">
      <c r="A1454" s="115"/>
      <c r="B1454" s="93"/>
      <c r="E1454" s="116"/>
      <c r="F1454" s="95"/>
      <c r="G1454" s="95"/>
      <c r="H1454" s="94"/>
      <c r="I1454" s="94"/>
      <c r="J1454" s="117"/>
      <c r="K1454" s="118"/>
      <c r="L1454" s="119"/>
      <c r="M1454" s="94"/>
      <c r="N1454" s="94"/>
      <c r="O1454" s="93"/>
      <c r="P1454" s="120" t="b">
        <v>0</v>
      </c>
      <c r="Q1454" s="120" t="b">
        <v>0</v>
      </c>
      <c r="R1454" s="120" t="b">
        <v>0</v>
      </c>
      <c r="S1454" s="95"/>
      <c r="U1454" s="120" t="b">
        <v>0</v>
      </c>
      <c r="V1454" s="93"/>
      <c r="W1454" s="93"/>
      <c r="X1454" s="93"/>
      <c r="Y1454" s="93"/>
      <c r="AA1454" s="95"/>
      <c r="AB1454" s="121"/>
      <c r="AC1454" s="29" t="str">
        <f t="shared" si="5"/>
        <v>Sim</v>
      </c>
      <c r="AD1454" s="37" t="str">
        <f t="shared" si="1"/>
        <v>Não</v>
      </c>
      <c r="AE1454" s="94"/>
      <c r="AF1454" s="94"/>
      <c r="AG1454" s="95"/>
    </row>
    <row r="1455" hidden="1">
      <c r="A1455" s="115"/>
      <c r="B1455" s="93"/>
      <c r="E1455" s="116"/>
      <c r="F1455" s="95"/>
      <c r="G1455" s="95"/>
      <c r="H1455" s="94"/>
      <c r="I1455" s="94"/>
      <c r="J1455" s="117"/>
      <c r="K1455" s="118"/>
      <c r="L1455" s="119"/>
      <c r="M1455" s="94"/>
      <c r="N1455" s="94"/>
      <c r="O1455" s="93"/>
      <c r="P1455" s="120" t="b">
        <v>0</v>
      </c>
      <c r="Q1455" s="120" t="b">
        <v>0</v>
      </c>
      <c r="R1455" s="120" t="b">
        <v>0</v>
      </c>
      <c r="S1455" s="95"/>
      <c r="U1455" s="120" t="b">
        <v>0</v>
      </c>
      <c r="V1455" s="93"/>
      <c r="W1455" s="93"/>
      <c r="X1455" s="93"/>
      <c r="Y1455" s="93"/>
      <c r="AA1455" s="95"/>
      <c r="AB1455" s="121"/>
      <c r="AC1455" s="29" t="str">
        <f t="shared" si="5"/>
        <v>Sim</v>
      </c>
      <c r="AD1455" s="37" t="str">
        <f t="shared" si="1"/>
        <v>Não</v>
      </c>
      <c r="AE1455" s="94"/>
      <c r="AF1455" s="94"/>
      <c r="AG1455" s="95"/>
    </row>
    <row r="1456" hidden="1">
      <c r="A1456" s="115"/>
      <c r="B1456" s="93"/>
      <c r="E1456" s="116"/>
      <c r="F1456" s="95"/>
      <c r="G1456" s="95"/>
      <c r="H1456" s="94"/>
      <c r="I1456" s="94"/>
      <c r="J1456" s="117"/>
      <c r="K1456" s="118"/>
      <c r="L1456" s="119"/>
      <c r="M1456" s="94"/>
      <c r="N1456" s="94"/>
      <c r="O1456" s="93"/>
      <c r="P1456" s="120" t="b">
        <v>0</v>
      </c>
      <c r="Q1456" s="120" t="b">
        <v>0</v>
      </c>
      <c r="R1456" s="120" t="b">
        <v>0</v>
      </c>
      <c r="S1456" s="95"/>
      <c r="U1456" s="120" t="b">
        <v>0</v>
      </c>
      <c r="V1456" s="93"/>
      <c r="W1456" s="93"/>
      <c r="X1456" s="93"/>
      <c r="Y1456" s="93"/>
      <c r="AA1456" s="95"/>
      <c r="AB1456" s="121"/>
      <c r="AC1456" s="29" t="str">
        <f t="shared" si="5"/>
        <v>Sim</v>
      </c>
      <c r="AD1456" s="37" t="str">
        <f t="shared" si="1"/>
        <v>Não</v>
      </c>
      <c r="AE1456" s="94"/>
      <c r="AF1456" s="94"/>
      <c r="AG1456" s="95"/>
    </row>
    <row r="1457" hidden="1">
      <c r="A1457" s="115"/>
      <c r="B1457" s="93"/>
      <c r="E1457" s="116"/>
      <c r="F1457" s="95"/>
      <c r="G1457" s="95"/>
      <c r="H1457" s="94"/>
      <c r="I1457" s="94"/>
      <c r="J1457" s="117"/>
      <c r="K1457" s="118"/>
      <c r="L1457" s="119"/>
      <c r="M1457" s="94"/>
      <c r="N1457" s="94"/>
      <c r="O1457" s="93"/>
      <c r="P1457" s="120" t="b">
        <v>0</v>
      </c>
      <c r="Q1457" s="120" t="b">
        <v>0</v>
      </c>
      <c r="R1457" s="120" t="b">
        <v>0</v>
      </c>
      <c r="S1457" s="95"/>
      <c r="U1457" s="120" t="b">
        <v>0</v>
      </c>
      <c r="V1457" s="93"/>
      <c r="W1457" s="93"/>
      <c r="X1457" s="93"/>
      <c r="Y1457" s="93"/>
      <c r="AA1457" s="95"/>
      <c r="AB1457" s="121"/>
      <c r="AC1457" s="29" t="str">
        <f t="shared" si="5"/>
        <v>Sim</v>
      </c>
      <c r="AD1457" s="37" t="str">
        <f t="shared" si="1"/>
        <v>Não</v>
      </c>
      <c r="AE1457" s="94"/>
      <c r="AF1457" s="94"/>
      <c r="AG1457" s="95"/>
    </row>
    <row r="1458" hidden="1">
      <c r="A1458" s="115"/>
      <c r="B1458" s="93"/>
      <c r="E1458" s="116"/>
      <c r="F1458" s="95"/>
      <c r="G1458" s="95"/>
      <c r="H1458" s="94"/>
      <c r="I1458" s="94"/>
      <c r="J1458" s="117"/>
      <c r="K1458" s="118"/>
      <c r="L1458" s="119"/>
      <c r="M1458" s="94"/>
      <c r="N1458" s="94"/>
      <c r="O1458" s="93"/>
      <c r="P1458" s="120" t="b">
        <v>0</v>
      </c>
      <c r="Q1458" s="120" t="b">
        <v>0</v>
      </c>
      <c r="R1458" s="120" t="b">
        <v>0</v>
      </c>
      <c r="S1458" s="95"/>
      <c r="U1458" s="120" t="b">
        <v>0</v>
      </c>
      <c r="V1458" s="93"/>
      <c r="W1458" s="93"/>
      <c r="X1458" s="93"/>
      <c r="Y1458" s="93"/>
      <c r="AA1458" s="95"/>
      <c r="AB1458" s="121"/>
      <c r="AC1458" s="29" t="str">
        <f t="shared" si="5"/>
        <v>Sim</v>
      </c>
      <c r="AD1458" s="37" t="str">
        <f t="shared" si="1"/>
        <v>Não</v>
      </c>
      <c r="AE1458" s="94"/>
      <c r="AF1458" s="94"/>
      <c r="AG1458" s="95"/>
    </row>
    <row r="1459" hidden="1">
      <c r="A1459" s="115"/>
      <c r="B1459" s="93"/>
      <c r="E1459" s="116"/>
      <c r="F1459" s="95"/>
      <c r="G1459" s="95"/>
      <c r="H1459" s="94"/>
      <c r="I1459" s="94"/>
      <c r="J1459" s="117"/>
      <c r="K1459" s="118"/>
      <c r="L1459" s="119"/>
      <c r="M1459" s="94"/>
      <c r="N1459" s="94"/>
      <c r="O1459" s="93"/>
      <c r="P1459" s="120" t="b">
        <v>0</v>
      </c>
      <c r="Q1459" s="120" t="b">
        <v>0</v>
      </c>
      <c r="R1459" s="120" t="b">
        <v>0</v>
      </c>
      <c r="S1459" s="95"/>
      <c r="U1459" s="120" t="b">
        <v>0</v>
      </c>
      <c r="V1459" s="93"/>
      <c r="W1459" s="93"/>
      <c r="X1459" s="93"/>
      <c r="Y1459" s="93"/>
      <c r="AA1459" s="95"/>
      <c r="AB1459" s="121"/>
      <c r="AC1459" s="29" t="str">
        <f t="shared" si="5"/>
        <v>Sim</v>
      </c>
      <c r="AD1459" s="37" t="str">
        <f t="shared" si="1"/>
        <v>Não</v>
      </c>
      <c r="AE1459" s="94"/>
      <c r="AF1459" s="94"/>
      <c r="AG1459" s="95"/>
    </row>
    <row r="1460" hidden="1">
      <c r="A1460" s="115"/>
      <c r="B1460" s="93"/>
      <c r="E1460" s="116"/>
      <c r="F1460" s="95"/>
      <c r="G1460" s="95"/>
      <c r="H1460" s="94"/>
      <c r="I1460" s="94"/>
      <c r="J1460" s="117"/>
      <c r="K1460" s="118"/>
      <c r="L1460" s="119"/>
      <c r="M1460" s="94"/>
      <c r="N1460" s="94"/>
      <c r="O1460" s="93"/>
      <c r="P1460" s="120" t="b">
        <v>0</v>
      </c>
      <c r="Q1460" s="120" t="b">
        <v>0</v>
      </c>
      <c r="R1460" s="120" t="b">
        <v>0</v>
      </c>
      <c r="S1460" s="95"/>
      <c r="U1460" s="120" t="b">
        <v>0</v>
      </c>
      <c r="V1460" s="93"/>
      <c r="W1460" s="93"/>
      <c r="X1460" s="93"/>
      <c r="Y1460" s="93"/>
      <c r="AA1460" s="95"/>
      <c r="AB1460" s="121"/>
      <c r="AC1460" s="29" t="str">
        <f t="shared" si="5"/>
        <v>Sim</v>
      </c>
      <c r="AD1460" s="37" t="str">
        <f t="shared" si="1"/>
        <v>Não</v>
      </c>
      <c r="AE1460" s="94"/>
      <c r="AF1460" s="94"/>
      <c r="AG1460" s="95"/>
    </row>
    <row r="1461" hidden="1">
      <c r="A1461" s="115"/>
      <c r="B1461" s="93"/>
      <c r="E1461" s="116"/>
      <c r="F1461" s="95"/>
      <c r="G1461" s="95"/>
      <c r="H1461" s="94"/>
      <c r="I1461" s="94"/>
      <c r="J1461" s="117"/>
      <c r="K1461" s="118"/>
      <c r="L1461" s="119"/>
      <c r="M1461" s="94"/>
      <c r="N1461" s="94"/>
      <c r="O1461" s="93"/>
      <c r="P1461" s="120" t="b">
        <v>0</v>
      </c>
      <c r="Q1461" s="120" t="b">
        <v>0</v>
      </c>
      <c r="R1461" s="120" t="b">
        <v>0</v>
      </c>
      <c r="S1461" s="95"/>
      <c r="U1461" s="120" t="b">
        <v>0</v>
      </c>
      <c r="V1461" s="93"/>
      <c r="W1461" s="93"/>
      <c r="X1461" s="93"/>
      <c r="Y1461" s="93"/>
      <c r="AA1461" s="95"/>
      <c r="AB1461" s="121"/>
      <c r="AC1461" s="29" t="str">
        <f t="shared" si="5"/>
        <v>Sim</v>
      </c>
      <c r="AD1461" s="37" t="str">
        <f t="shared" si="1"/>
        <v>Não</v>
      </c>
      <c r="AE1461" s="94"/>
      <c r="AF1461" s="94"/>
      <c r="AG1461" s="95"/>
    </row>
    <row r="1462" hidden="1">
      <c r="A1462" s="115"/>
      <c r="B1462" s="93"/>
      <c r="E1462" s="116"/>
      <c r="F1462" s="95"/>
      <c r="G1462" s="95"/>
      <c r="H1462" s="94"/>
      <c r="I1462" s="94"/>
      <c r="J1462" s="117"/>
      <c r="K1462" s="118"/>
      <c r="L1462" s="119"/>
      <c r="M1462" s="94"/>
      <c r="N1462" s="94"/>
      <c r="O1462" s="93"/>
      <c r="P1462" s="120" t="b">
        <v>0</v>
      </c>
      <c r="Q1462" s="120" t="b">
        <v>0</v>
      </c>
      <c r="R1462" s="120" t="b">
        <v>0</v>
      </c>
      <c r="S1462" s="95"/>
      <c r="U1462" s="120" t="b">
        <v>0</v>
      </c>
      <c r="V1462" s="93"/>
      <c r="W1462" s="93"/>
      <c r="X1462" s="93"/>
      <c r="Y1462" s="93"/>
      <c r="AA1462" s="95"/>
      <c r="AB1462" s="121"/>
      <c r="AC1462" s="29" t="str">
        <f t="shared" si="5"/>
        <v>Sim</v>
      </c>
      <c r="AD1462" s="37" t="str">
        <f t="shared" si="1"/>
        <v>Não</v>
      </c>
      <c r="AE1462" s="94"/>
      <c r="AF1462" s="94"/>
      <c r="AG1462" s="95"/>
    </row>
    <row r="1463" hidden="1">
      <c r="A1463" s="115"/>
      <c r="B1463" s="93"/>
      <c r="E1463" s="116"/>
      <c r="F1463" s="95"/>
      <c r="G1463" s="95"/>
      <c r="H1463" s="94"/>
      <c r="I1463" s="94"/>
      <c r="J1463" s="117"/>
      <c r="K1463" s="118"/>
      <c r="L1463" s="119"/>
      <c r="M1463" s="94"/>
      <c r="N1463" s="94"/>
      <c r="O1463" s="93"/>
      <c r="P1463" s="120" t="b">
        <v>0</v>
      </c>
      <c r="Q1463" s="120" t="b">
        <v>0</v>
      </c>
      <c r="R1463" s="120" t="b">
        <v>0</v>
      </c>
      <c r="S1463" s="95"/>
      <c r="U1463" s="120" t="b">
        <v>0</v>
      </c>
      <c r="V1463" s="93"/>
      <c r="W1463" s="93"/>
      <c r="X1463" s="93"/>
      <c r="Y1463" s="93"/>
      <c r="AA1463" s="95"/>
      <c r="AB1463" s="121"/>
      <c r="AC1463" s="29" t="str">
        <f t="shared" si="5"/>
        <v>Sim</v>
      </c>
      <c r="AD1463" s="37" t="str">
        <f t="shared" si="1"/>
        <v>Não</v>
      </c>
      <c r="AE1463" s="94"/>
      <c r="AF1463" s="94"/>
      <c r="AG1463" s="95"/>
    </row>
    <row r="1464" hidden="1">
      <c r="A1464" s="115"/>
      <c r="B1464" s="93"/>
      <c r="E1464" s="116"/>
      <c r="F1464" s="95"/>
      <c r="G1464" s="95"/>
      <c r="H1464" s="94"/>
      <c r="I1464" s="94"/>
      <c r="J1464" s="117"/>
      <c r="K1464" s="118"/>
      <c r="L1464" s="119"/>
      <c r="M1464" s="94"/>
      <c r="N1464" s="94"/>
      <c r="O1464" s="93"/>
      <c r="P1464" s="120" t="b">
        <v>0</v>
      </c>
      <c r="Q1464" s="120" t="b">
        <v>0</v>
      </c>
      <c r="R1464" s="120" t="b">
        <v>0</v>
      </c>
      <c r="S1464" s="95"/>
      <c r="U1464" s="120" t="b">
        <v>0</v>
      </c>
      <c r="V1464" s="93"/>
      <c r="W1464" s="93"/>
      <c r="X1464" s="93"/>
      <c r="Y1464" s="93"/>
      <c r="AA1464" s="95"/>
      <c r="AB1464" s="121"/>
      <c r="AC1464" s="29" t="str">
        <f t="shared" si="5"/>
        <v>Sim</v>
      </c>
      <c r="AD1464" s="37" t="str">
        <f t="shared" si="1"/>
        <v>Não</v>
      </c>
      <c r="AE1464" s="94"/>
      <c r="AF1464" s="94"/>
      <c r="AG1464" s="95"/>
    </row>
    <row r="1465" hidden="1">
      <c r="A1465" s="115"/>
      <c r="B1465" s="93"/>
      <c r="E1465" s="116"/>
      <c r="F1465" s="95"/>
      <c r="G1465" s="95"/>
      <c r="H1465" s="94"/>
      <c r="I1465" s="94"/>
      <c r="J1465" s="117"/>
      <c r="K1465" s="118"/>
      <c r="L1465" s="119"/>
      <c r="M1465" s="94"/>
      <c r="N1465" s="94"/>
      <c r="O1465" s="93"/>
      <c r="P1465" s="120" t="b">
        <v>0</v>
      </c>
      <c r="Q1465" s="120" t="b">
        <v>0</v>
      </c>
      <c r="R1465" s="120" t="b">
        <v>0</v>
      </c>
      <c r="S1465" s="95"/>
      <c r="U1465" s="120" t="b">
        <v>0</v>
      </c>
      <c r="V1465" s="93"/>
      <c r="W1465" s="93"/>
      <c r="X1465" s="93"/>
      <c r="Y1465" s="93"/>
      <c r="AA1465" s="95"/>
      <c r="AB1465" s="121"/>
      <c r="AC1465" s="29" t="str">
        <f t="shared" si="5"/>
        <v>Sim</v>
      </c>
      <c r="AD1465" s="37" t="str">
        <f t="shared" si="1"/>
        <v>Não</v>
      </c>
      <c r="AE1465" s="94"/>
      <c r="AF1465" s="94"/>
      <c r="AG1465" s="95"/>
    </row>
    <row r="1466" hidden="1">
      <c r="A1466" s="115"/>
      <c r="B1466" s="93"/>
      <c r="E1466" s="116"/>
      <c r="F1466" s="95"/>
      <c r="G1466" s="95"/>
      <c r="H1466" s="94"/>
      <c r="I1466" s="94"/>
      <c r="J1466" s="117"/>
      <c r="K1466" s="118"/>
      <c r="L1466" s="119"/>
      <c r="M1466" s="94"/>
      <c r="N1466" s="94"/>
      <c r="O1466" s="93"/>
      <c r="P1466" s="120" t="b">
        <v>0</v>
      </c>
      <c r="Q1466" s="120" t="b">
        <v>0</v>
      </c>
      <c r="R1466" s="120" t="b">
        <v>0</v>
      </c>
      <c r="S1466" s="95"/>
      <c r="U1466" s="120" t="b">
        <v>0</v>
      </c>
      <c r="V1466" s="93"/>
      <c r="W1466" s="93"/>
      <c r="X1466" s="93"/>
      <c r="Y1466" s="93"/>
      <c r="AA1466" s="95"/>
      <c r="AB1466" s="121"/>
      <c r="AC1466" s="29" t="str">
        <f t="shared" si="5"/>
        <v>Sim</v>
      </c>
      <c r="AD1466" s="37" t="str">
        <f t="shared" si="1"/>
        <v>Não</v>
      </c>
      <c r="AE1466" s="94"/>
      <c r="AF1466" s="94"/>
      <c r="AG1466" s="95"/>
    </row>
    <row r="1467" hidden="1">
      <c r="A1467" s="115"/>
      <c r="B1467" s="93"/>
      <c r="E1467" s="116"/>
      <c r="F1467" s="95"/>
      <c r="G1467" s="95"/>
      <c r="H1467" s="94"/>
      <c r="I1467" s="94"/>
      <c r="J1467" s="117"/>
      <c r="K1467" s="118"/>
      <c r="L1467" s="119"/>
      <c r="M1467" s="94"/>
      <c r="N1467" s="94"/>
      <c r="O1467" s="93"/>
      <c r="P1467" s="120" t="b">
        <v>0</v>
      </c>
      <c r="Q1467" s="120" t="b">
        <v>0</v>
      </c>
      <c r="R1467" s="120" t="b">
        <v>0</v>
      </c>
      <c r="S1467" s="95"/>
      <c r="U1467" s="120" t="b">
        <v>0</v>
      </c>
      <c r="V1467" s="93"/>
      <c r="W1467" s="93"/>
      <c r="X1467" s="93"/>
      <c r="Y1467" s="93"/>
      <c r="AA1467" s="95"/>
      <c r="AB1467" s="121"/>
      <c r="AC1467" s="29" t="str">
        <f t="shared" si="5"/>
        <v>Sim</v>
      </c>
      <c r="AD1467" s="37" t="str">
        <f t="shared" si="1"/>
        <v>Não</v>
      </c>
      <c r="AE1467" s="94"/>
      <c r="AF1467" s="94"/>
      <c r="AG1467" s="95"/>
    </row>
    <row r="1468" hidden="1">
      <c r="A1468" s="115"/>
      <c r="B1468" s="93"/>
      <c r="E1468" s="116"/>
      <c r="F1468" s="95"/>
      <c r="G1468" s="95"/>
      <c r="H1468" s="94"/>
      <c r="I1468" s="94"/>
      <c r="J1468" s="117"/>
      <c r="K1468" s="118"/>
      <c r="L1468" s="119"/>
      <c r="M1468" s="94"/>
      <c r="N1468" s="94"/>
      <c r="O1468" s="93"/>
      <c r="P1468" s="120" t="b">
        <v>0</v>
      </c>
      <c r="Q1468" s="120" t="b">
        <v>0</v>
      </c>
      <c r="R1468" s="120" t="b">
        <v>0</v>
      </c>
      <c r="S1468" s="95"/>
      <c r="U1468" s="120" t="b">
        <v>0</v>
      </c>
      <c r="V1468" s="93"/>
      <c r="W1468" s="93"/>
      <c r="X1468" s="93"/>
      <c r="Y1468" s="93"/>
      <c r="AA1468" s="95"/>
      <c r="AB1468" s="121"/>
      <c r="AC1468" s="29" t="str">
        <f t="shared" si="5"/>
        <v>Sim</v>
      </c>
      <c r="AD1468" s="37" t="str">
        <f t="shared" si="1"/>
        <v>Não</v>
      </c>
      <c r="AE1468" s="94"/>
      <c r="AF1468" s="94"/>
      <c r="AG1468" s="95"/>
    </row>
    <row r="1469" hidden="1">
      <c r="A1469" s="115"/>
      <c r="B1469" s="93"/>
      <c r="E1469" s="116"/>
      <c r="F1469" s="95"/>
      <c r="G1469" s="95"/>
      <c r="H1469" s="94"/>
      <c r="I1469" s="94"/>
      <c r="J1469" s="117"/>
      <c r="K1469" s="118"/>
      <c r="L1469" s="119"/>
      <c r="M1469" s="94"/>
      <c r="N1469" s="94"/>
      <c r="O1469" s="93"/>
      <c r="P1469" s="120" t="b">
        <v>0</v>
      </c>
      <c r="Q1469" s="120" t="b">
        <v>0</v>
      </c>
      <c r="R1469" s="120" t="b">
        <v>0</v>
      </c>
      <c r="S1469" s="95"/>
      <c r="U1469" s="120" t="b">
        <v>0</v>
      </c>
      <c r="V1469" s="93"/>
      <c r="W1469" s="93"/>
      <c r="X1469" s="93"/>
      <c r="Y1469" s="93"/>
      <c r="AA1469" s="95"/>
      <c r="AB1469" s="121"/>
      <c r="AC1469" s="29" t="str">
        <f t="shared" si="5"/>
        <v>Sim</v>
      </c>
      <c r="AD1469" s="37" t="str">
        <f t="shared" si="1"/>
        <v>Não</v>
      </c>
      <c r="AE1469" s="94"/>
      <c r="AF1469" s="94"/>
      <c r="AG1469" s="95"/>
    </row>
    <row r="1470" hidden="1">
      <c r="A1470" s="115"/>
      <c r="B1470" s="93"/>
      <c r="E1470" s="116"/>
      <c r="F1470" s="95"/>
      <c r="G1470" s="95"/>
      <c r="H1470" s="94"/>
      <c r="I1470" s="94"/>
      <c r="J1470" s="117"/>
      <c r="K1470" s="118"/>
      <c r="L1470" s="119"/>
      <c r="M1470" s="94"/>
      <c r="N1470" s="94"/>
      <c r="O1470" s="93"/>
      <c r="P1470" s="120" t="b">
        <v>0</v>
      </c>
      <c r="Q1470" s="120" t="b">
        <v>0</v>
      </c>
      <c r="R1470" s="120" t="b">
        <v>0</v>
      </c>
      <c r="S1470" s="95"/>
      <c r="U1470" s="120" t="b">
        <v>0</v>
      </c>
      <c r="V1470" s="93"/>
      <c r="W1470" s="93"/>
      <c r="X1470" s="93"/>
      <c r="Y1470" s="93"/>
      <c r="AA1470" s="95"/>
      <c r="AB1470" s="121"/>
      <c r="AC1470" s="29" t="str">
        <f t="shared" si="5"/>
        <v>Sim</v>
      </c>
      <c r="AD1470" s="37" t="str">
        <f t="shared" si="1"/>
        <v>Não</v>
      </c>
      <c r="AE1470" s="94"/>
      <c r="AF1470" s="94"/>
      <c r="AG1470" s="95"/>
    </row>
    <row r="1471" hidden="1">
      <c r="A1471" s="115"/>
      <c r="B1471" s="93"/>
      <c r="E1471" s="116"/>
      <c r="F1471" s="95"/>
      <c r="G1471" s="95"/>
      <c r="H1471" s="94"/>
      <c r="I1471" s="94"/>
      <c r="J1471" s="117"/>
      <c r="K1471" s="118"/>
      <c r="L1471" s="119"/>
      <c r="M1471" s="94"/>
      <c r="N1471" s="94"/>
      <c r="O1471" s="93"/>
      <c r="P1471" s="120" t="b">
        <v>0</v>
      </c>
      <c r="Q1471" s="120" t="b">
        <v>0</v>
      </c>
      <c r="R1471" s="120" t="b">
        <v>0</v>
      </c>
      <c r="S1471" s="95"/>
      <c r="U1471" s="120" t="b">
        <v>0</v>
      </c>
      <c r="V1471" s="93"/>
      <c r="W1471" s="93"/>
      <c r="X1471" s="93"/>
      <c r="Y1471" s="93"/>
      <c r="AA1471" s="95"/>
      <c r="AB1471" s="121"/>
      <c r="AC1471" s="29" t="str">
        <f t="shared" si="5"/>
        <v>Sim</v>
      </c>
      <c r="AD1471" s="37" t="str">
        <f t="shared" si="1"/>
        <v>Não</v>
      </c>
      <c r="AE1471" s="94"/>
      <c r="AF1471" s="94"/>
      <c r="AG1471" s="95"/>
    </row>
    <row r="1472" hidden="1">
      <c r="A1472" s="115"/>
      <c r="B1472" s="93"/>
      <c r="E1472" s="116"/>
      <c r="F1472" s="95"/>
      <c r="G1472" s="95"/>
      <c r="H1472" s="94"/>
      <c r="I1472" s="94"/>
      <c r="J1472" s="117"/>
      <c r="K1472" s="118"/>
      <c r="L1472" s="119"/>
      <c r="M1472" s="94"/>
      <c r="N1472" s="94"/>
      <c r="O1472" s="93"/>
      <c r="P1472" s="120" t="b">
        <v>0</v>
      </c>
      <c r="Q1472" s="120" t="b">
        <v>0</v>
      </c>
      <c r="R1472" s="120" t="b">
        <v>0</v>
      </c>
      <c r="S1472" s="95"/>
      <c r="U1472" s="120" t="b">
        <v>0</v>
      </c>
      <c r="V1472" s="93"/>
      <c r="W1472" s="93"/>
      <c r="X1472" s="93"/>
      <c r="Y1472" s="93"/>
      <c r="AA1472" s="95"/>
      <c r="AB1472" s="121"/>
      <c r="AC1472" s="29" t="str">
        <f t="shared" si="5"/>
        <v>Sim</v>
      </c>
      <c r="AD1472" s="37" t="str">
        <f t="shared" si="1"/>
        <v>Não</v>
      </c>
      <c r="AE1472" s="94"/>
      <c r="AF1472" s="94"/>
      <c r="AG1472" s="95"/>
    </row>
    <row r="1473" hidden="1">
      <c r="A1473" s="115"/>
      <c r="B1473" s="93"/>
      <c r="E1473" s="116"/>
      <c r="F1473" s="95"/>
      <c r="G1473" s="95"/>
      <c r="H1473" s="94"/>
      <c r="I1473" s="94"/>
      <c r="J1473" s="117"/>
      <c r="K1473" s="118"/>
      <c r="L1473" s="119"/>
      <c r="M1473" s="94"/>
      <c r="N1473" s="94"/>
      <c r="O1473" s="93"/>
      <c r="P1473" s="120" t="b">
        <v>0</v>
      </c>
      <c r="Q1473" s="120" t="b">
        <v>0</v>
      </c>
      <c r="R1473" s="120" t="b">
        <v>0</v>
      </c>
      <c r="S1473" s="95"/>
      <c r="U1473" s="120" t="b">
        <v>0</v>
      </c>
      <c r="V1473" s="93"/>
      <c r="W1473" s="93"/>
      <c r="X1473" s="93"/>
      <c r="Y1473" s="93"/>
      <c r="AA1473" s="95"/>
      <c r="AB1473" s="121"/>
      <c r="AC1473" s="29" t="str">
        <f t="shared" si="5"/>
        <v>Sim</v>
      </c>
      <c r="AD1473" s="37" t="str">
        <f t="shared" si="1"/>
        <v>Não</v>
      </c>
      <c r="AE1473" s="94"/>
      <c r="AF1473" s="94"/>
      <c r="AG1473" s="95"/>
    </row>
    <row r="1474" hidden="1">
      <c r="A1474" s="115"/>
      <c r="B1474" s="93"/>
      <c r="E1474" s="116"/>
      <c r="F1474" s="95"/>
      <c r="G1474" s="95"/>
      <c r="H1474" s="94"/>
      <c r="I1474" s="94"/>
      <c r="J1474" s="117"/>
      <c r="K1474" s="118"/>
      <c r="L1474" s="119"/>
      <c r="M1474" s="94"/>
      <c r="N1474" s="94"/>
      <c r="O1474" s="93"/>
      <c r="P1474" s="120" t="b">
        <v>0</v>
      </c>
      <c r="Q1474" s="120" t="b">
        <v>0</v>
      </c>
      <c r="R1474" s="120" t="b">
        <v>0</v>
      </c>
      <c r="S1474" s="95"/>
      <c r="U1474" s="120" t="b">
        <v>0</v>
      </c>
      <c r="V1474" s="93"/>
      <c r="W1474" s="93"/>
      <c r="X1474" s="93"/>
      <c r="Y1474" s="93"/>
      <c r="AA1474" s="95"/>
      <c r="AB1474" s="121"/>
      <c r="AC1474" s="29" t="str">
        <f t="shared" si="5"/>
        <v>Sim</v>
      </c>
      <c r="AD1474" s="37" t="str">
        <f t="shared" si="1"/>
        <v>Não</v>
      </c>
      <c r="AE1474" s="94"/>
      <c r="AF1474" s="94"/>
      <c r="AG1474" s="95"/>
    </row>
    <row r="1475" hidden="1">
      <c r="A1475" s="115"/>
      <c r="B1475" s="93"/>
      <c r="E1475" s="116"/>
      <c r="F1475" s="95"/>
      <c r="G1475" s="95"/>
      <c r="H1475" s="94"/>
      <c r="I1475" s="94"/>
      <c r="J1475" s="117"/>
      <c r="K1475" s="118"/>
      <c r="L1475" s="119"/>
      <c r="M1475" s="94"/>
      <c r="N1475" s="94"/>
      <c r="O1475" s="93"/>
      <c r="P1475" s="120" t="b">
        <v>0</v>
      </c>
      <c r="Q1475" s="120" t="b">
        <v>0</v>
      </c>
      <c r="R1475" s="120" t="b">
        <v>0</v>
      </c>
      <c r="S1475" s="95"/>
      <c r="U1475" s="120" t="b">
        <v>0</v>
      </c>
      <c r="V1475" s="93"/>
      <c r="W1475" s="93"/>
      <c r="X1475" s="93"/>
      <c r="Y1475" s="93"/>
      <c r="AA1475" s="95"/>
      <c r="AB1475" s="121"/>
      <c r="AC1475" s="29" t="str">
        <f t="shared" si="5"/>
        <v>Sim</v>
      </c>
      <c r="AD1475" s="37" t="str">
        <f t="shared" si="1"/>
        <v>Não</v>
      </c>
      <c r="AE1475" s="94"/>
      <c r="AF1475" s="94"/>
      <c r="AG1475" s="95"/>
    </row>
    <row r="1476" hidden="1">
      <c r="A1476" s="115"/>
      <c r="B1476" s="93"/>
      <c r="E1476" s="116"/>
      <c r="F1476" s="95"/>
      <c r="G1476" s="95"/>
      <c r="H1476" s="94"/>
      <c r="I1476" s="94"/>
      <c r="J1476" s="117"/>
      <c r="K1476" s="118"/>
      <c r="L1476" s="119"/>
      <c r="M1476" s="94"/>
      <c r="N1476" s="94"/>
      <c r="O1476" s="93"/>
      <c r="P1476" s="120" t="b">
        <v>0</v>
      </c>
      <c r="Q1476" s="120" t="b">
        <v>0</v>
      </c>
      <c r="R1476" s="120" t="b">
        <v>0</v>
      </c>
      <c r="S1476" s="95"/>
      <c r="U1476" s="120" t="b">
        <v>0</v>
      </c>
      <c r="V1476" s="93"/>
      <c r="W1476" s="93"/>
      <c r="X1476" s="93"/>
      <c r="Y1476" s="93"/>
      <c r="AA1476" s="95"/>
      <c r="AB1476" s="121"/>
      <c r="AC1476" s="29" t="str">
        <f t="shared" si="5"/>
        <v>Sim</v>
      </c>
      <c r="AD1476" s="37" t="str">
        <f t="shared" si="1"/>
        <v>Não</v>
      </c>
      <c r="AE1476" s="94"/>
      <c r="AF1476" s="94"/>
      <c r="AG1476" s="95"/>
    </row>
    <row r="1477" hidden="1">
      <c r="A1477" s="115"/>
      <c r="B1477" s="93"/>
      <c r="E1477" s="116"/>
      <c r="F1477" s="95"/>
      <c r="G1477" s="95"/>
      <c r="H1477" s="94"/>
      <c r="I1477" s="94"/>
      <c r="J1477" s="117"/>
      <c r="K1477" s="118"/>
      <c r="L1477" s="119"/>
      <c r="M1477" s="94"/>
      <c r="N1477" s="94"/>
      <c r="O1477" s="93"/>
      <c r="P1477" s="120" t="b">
        <v>0</v>
      </c>
      <c r="Q1477" s="120" t="b">
        <v>0</v>
      </c>
      <c r="R1477" s="120" t="b">
        <v>0</v>
      </c>
      <c r="S1477" s="95"/>
      <c r="U1477" s="120" t="b">
        <v>0</v>
      </c>
      <c r="V1477" s="93"/>
      <c r="W1477" s="93"/>
      <c r="X1477" s="93"/>
      <c r="Y1477" s="93"/>
      <c r="AA1477" s="95"/>
      <c r="AB1477" s="121"/>
      <c r="AC1477" s="29" t="str">
        <f t="shared" si="5"/>
        <v>Sim</v>
      </c>
      <c r="AD1477" s="37" t="str">
        <f t="shared" si="1"/>
        <v>Não</v>
      </c>
      <c r="AE1477" s="94"/>
      <c r="AF1477" s="94"/>
      <c r="AG1477" s="95"/>
    </row>
    <row r="1478" hidden="1">
      <c r="A1478" s="115"/>
      <c r="B1478" s="93"/>
      <c r="E1478" s="116"/>
      <c r="F1478" s="95"/>
      <c r="G1478" s="95"/>
      <c r="H1478" s="94"/>
      <c r="I1478" s="94"/>
      <c r="J1478" s="117"/>
      <c r="K1478" s="118"/>
      <c r="L1478" s="119"/>
      <c r="M1478" s="94"/>
      <c r="N1478" s="94"/>
      <c r="O1478" s="93"/>
      <c r="P1478" s="120" t="b">
        <v>0</v>
      </c>
      <c r="Q1478" s="120" t="b">
        <v>0</v>
      </c>
      <c r="R1478" s="120" t="b">
        <v>0</v>
      </c>
      <c r="S1478" s="95"/>
      <c r="U1478" s="120" t="b">
        <v>0</v>
      </c>
      <c r="V1478" s="93"/>
      <c r="W1478" s="93"/>
      <c r="X1478" s="93"/>
      <c r="Y1478" s="93"/>
      <c r="AA1478" s="95"/>
      <c r="AB1478" s="121"/>
      <c r="AC1478" s="29" t="str">
        <f t="shared" si="5"/>
        <v>Sim</v>
      </c>
      <c r="AD1478" s="37" t="str">
        <f t="shared" si="1"/>
        <v>Não</v>
      </c>
      <c r="AE1478" s="94"/>
      <c r="AF1478" s="94"/>
      <c r="AG1478" s="95"/>
    </row>
    <row r="1479" hidden="1">
      <c r="A1479" s="115"/>
      <c r="B1479" s="93"/>
      <c r="E1479" s="116"/>
      <c r="F1479" s="95"/>
      <c r="G1479" s="95"/>
      <c r="H1479" s="94"/>
      <c r="I1479" s="94"/>
      <c r="J1479" s="117"/>
      <c r="K1479" s="118"/>
      <c r="L1479" s="119"/>
      <c r="M1479" s="94"/>
      <c r="N1479" s="94"/>
      <c r="O1479" s="93"/>
      <c r="P1479" s="120" t="b">
        <v>0</v>
      </c>
      <c r="Q1479" s="120" t="b">
        <v>0</v>
      </c>
      <c r="R1479" s="120" t="b">
        <v>0</v>
      </c>
      <c r="S1479" s="95"/>
      <c r="U1479" s="120" t="b">
        <v>0</v>
      </c>
      <c r="V1479" s="93"/>
      <c r="W1479" s="93"/>
      <c r="X1479" s="93"/>
      <c r="Y1479" s="93"/>
      <c r="AA1479" s="95"/>
      <c r="AB1479" s="121"/>
      <c r="AC1479" s="29" t="str">
        <f t="shared" si="5"/>
        <v>Sim</v>
      </c>
      <c r="AD1479" s="37" t="str">
        <f t="shared" si="1"/>
        <v>Não</v>
      </c>
      <c r="AE1479" s="94"/>
      <c r="AF1479" s="94"/>
      <c r="AG1479" s="95"/>
    </row>
    <row r="1480" hidden="1">
      <c r="A1480" s="115"/>
      <c r="B1480" s="93"/>
      <c r="E1480" s="116"/>
      <c r="F1480" s="95"/>
      <c r="G1480" s="95"/>
      <c r="H1480" s="94"/>
      <c r="I1480" s="94"/>
      <c r="J1480" s="117"/>
      <c r="K1480" s="118"/>
      <c r="L1480" s="119"/>
      <c r="M1480" s="94"/>
      <c r="N1480" s="94"/>
      <c r="O1480" s="93"/>
      <c r="P1480" s="120" t="b">
        <v>0</v>
      </c>
      <c r="Q1480" s="120" t="b">
        <v>0</v>
      </c>
      <c r="R1480" s="120" t="b">
        <v>0</v>
      </c>
      <c r="S1480" s="95"/>
      <c r="U1480" s="120" t="b">
        <v>0</v>
      </c>
      <c r="V1480" s="93"/>
      <c r="W1480" s="93"/>
      <c r="X1480" s="93"/>
      <c r="Y1480" s="93"/>
      <c r="AA1480" s="95"/>
      <c r="AB1480" s="121"/>
      <c r="AC1480" s="29" t="str">
        <f t="shared" si="5"/>
        <v>Sim</v>
      </c>
      <c r="AD1480" s="37" t="str">
        <f t="shared" si="1"/>
        <v>Não</v>
      </c>
      <c r="AE1480" s="94"/>
      <c r="AF1480" s="94"/>
      <c r="AG1480" s="95"/>
    </row>
    <row r="1481" hidden="1">
      <c r="A1481" s="115"/>
      <c r="B1481" s="93"/>
      <c r="E1481" s="116"/>
      <c r="F1481" s="95"/>
      <c r="G1481" s="95"/>
      <c r="H1481" s="94"/>
      <c r="I1481" s="94"/>
      <c r="J1481" s="117"/>
      <c r="K1481" s="118"/>
      <c r="L1481" s="119"/>
      <c r="M1481" s="94"/>
      <c r="N1481" s="94"/>
      <c r="O1481" s="93"/>
      <c r="P1481" s="120" t="b">
        <v>0</v>
      </c>
      <c r="Q1481" s="120" t="b">
        <v>0</v>
      </c>
      <c r="R1481" s="120" t="b">
        <v>0</v>
      </c>
      <c r="S1481" s="95"/>
      <c r="U1481" s="120" t="b">
        <v>0</v>
      </c>
      <c r="V1481" s="93"/>
      <c r="W1481" s="93"/>
      <c r="X1481" s="93"/>
      <c r="Y1481" s="93"/>
      <c r="AA1481" s="95"/>
      <c r="AB1481" s="121"/>
      <c r="AC1481" s="29" t="str">
        <f t="shared" si="5"/>
        <v>Sim</v>
      </c>
      <c r="AD1481" s="37" t="str">
        <f t="shared" si="1"/>
        <v>Não</v>
      </c>
      <c r="AE1481" s="94"/>
      <c r="AF1481" s="94"/>
      <c r="AG1481" s="95"/>
    </row>
    <row r="1482" hidden="1">
      <c r="A1482" s="115"/>
      <c r="B1482" s="93"/>
      <c r="E1482" s="116"/>
      <c r="F1482" s="95"/>
      <c r="G1482" s="95"/>
      <c r="H1482" s="94"/>
      <c r="I1482" s="94"/>
      <c r="J1482" s="117"/>
      <c r="K1482" s="118"/>
      <c r="L1482" s="119"/>
      <c r="M1482" s="94"/>
      <c r="N1482" s="94"/>
      <c r="O1482" s="93"/>
      <c r="P1482" s="120" t="b">
        <v>0</v>
      </c>
      <c r="Q1482" s="120" t="b">
        <v>0</v>
      </c>
      <c r="R1482" s="120" t="b">
        <v>0</v>
      </c>
      <c r="S1482" s="95"/>
      <c r="U1482" s="120" t="b">
        <v>0</v>
      </c>
      <c r="V1482" s="93"/>
      <c r="W1482" s="93"/>
      <c r="X1482" s="93"/>
      <c r="Y1482" s="93"/>
      <c r="AA1482" s="95"/>
      <c r="AB1482" s="121"/>
      <c r="AC1482" s="29" t="str">
        <f t="shared" si="5"/>
        <v>Sim</v>
      </c>
      <c r="AD1482" s="37" t="str">
        <f t="shared" si="1"/>
        <v>Não</v>
      </c>
      <c r="AE1482" s="94"/>
      <c r="AF1482" s="94"/>
      <c r="AG1482" s="95"/>
    </row>
    <row r="1483" hidden="1">
      <c r="A1483" s="115"/>
      <c r="B1483" s="93"/>
      <c r="E1483" s="116"/>
      <c r="F1483" s="95"/>
      <c r="G1483" s="95"/>
      <c r="H1483" s="94"/>
      <c r="I1483" s="94"/>
      <c r="J1483" s="117"/>
      <c r="K1483" s="118"/>
      <c r="L1483" s="119"/>
      <c r="M1483" s="94"/>
      <c r="N1483" s="94"/>
      <c r="O1483" s="93"/>
      <c r="P1483" s="120" t="b">
        <v>0</v>
      </c>
      <c r="Q1483" s="120" t="b">
        <v>0</v>
      </c>
      <c r="R1483" s="120" t="b">
        <v>0</v>
      </c>
      <c r="S1483" s="95"/>
      <c r="U1483" s="120" t="b">
        <v>0</v>
      </c>
      <c r="V1483" s="93"/>
      <c r="W1483" s="93"/>
      <c r="X1483" s="93"/>
      <c r="Y1483" s="93"/>
      <c r="AA1483" s="95"/>
      <c r="AB1483" s="121"/>
      <c r="AC1483" s="29" t="str">
        <f t="shared" si="5"/>
        <v>Sim</v>
      </c>
      <c r="AD1483" s="37" t="str">
        <f t="shared" si="1"/>
        <v>Não</v>
      </c>
      <c r="AE1483" s="94"/>
      <c r="AF1483" s="94"/>
      <c r="AG1483" s="95"/>
    </row>
    <row r="1484" hidden="1">
      <c r="A1484" s="115"/>
      <c r="B1484" s="93"/>
      <c r="E1484" s="116"/>
      <c r="F1484" s="95"/>
      <c r="G1484" s="95"/>
      <c r="H1484" s="94"/>
      <c r="I1484" s="94"/>
      <c r="J1484" s="117"/>
      <c r="K1484" s="118"/>
      <c r="L1484" s="119"/>
      <c r="M1484" s="94"/>
      <c r="N1484" s="94"/>
      <c r="O1484" s="93"/>
      <c r="P1484" s="120" t="b">
        <v>0</v>
      </c>
      <c r="Q1484" s="120" t="b">
        <v>0</v>
      </c>
      <c r="R1484" s="120" t="b">
        <v>0</v>
      </c>
      <c r="S1484" s="95"/>
      <c r="U1484" s="120" t="b">
        <v>0</v>
      </c>
      <c r="V1484" s="93"/>
      <c r="W1484" s="93"/>
      <c r="X1484" s="93"/>
      <c r="Y1484" s="93"/>
      <c r="AA1484" s="95"/>
      <c r="AB1484" s="121"/>
      <c r="AC1484" s="29" t="str">
        <f t="shared" si="5"/>
        <v>Sim</v>
      </c>
      <c r="AD1484" s="37" t="str">
        <f t="shared" si="1"/>
        <v>Não</v>
      </c>
      <c r="AE1484" s="94"/>
      <c r="AF1484" s="94"/>
      <c r="AG1484" s="95"/>
    </row>
    <row r="1485" hidden="1">
      <c r="A1485" s="115"/>
      <c r="B1485" s="93"/>
      <c r="E1485" s="116"/>
      <c r="F1485" s="95"/>
      <c r="G1485" s="95"/>
      <c r="H1485" s="94"/>
      <c r="I1485" s="94"/>
      <c r="J1485" s="117"/>
      <c r="K1485" s="118"/>
      <c r="L1485" s="119"/>
      <c r="M1485" s="94"/>
      <c r="N1485" s="94"/>
      <c r="O1485" s="93"/>
      <c r="P1485" s="120" t="b">
        <v>0</v>
      </c>
      <c r="Q1485" s="120" t="b">
        <v>0</v>
      </c>
      <c r="R1485" s="120" t="b">
        <v>0</v>
      </c>
      <c r="S1485" s="95"/>
      <c r="U1485" s="120" t="b">
        <v>0</v>
      </c>
      <c r="V1485" s="93"/>
      <c r="W1485" s="93"/>
      <c r="X1485" s="93"/>
      <c r="Y1485" s="93"/>
      <c r="AA1485" s="95"/>
      <c r="AB1485" s="121"/>
      <c r="AC1485" s="29" t="str">
        <f t="shared" si="5"/>
        <v>Sim</v>
      </c>
      <c r="AD1485" s="37" t="str">
        <f t="shared" si="1"/>
        <v>Não</v>
      </c>
      <c r="AE1485" s="94"/>
      <c r="AF1485" s="94"/>
      <c r="AG1485" s="95"/>
    </row>
    <row r="1486" hidden="1">
      <c r="A1486" s="115"/>
      <c r="B1486" s="93"/>
      <c r="E1486" s="116"/>
      <c r="F1486" s="95"/>
      <c r="G1486" s="95"/>
      <c r="H1486" s="94"/>
      <c r="I1486" s="94"/>
      <c r="J1486" s="117"/>
      <c r="K1486" s="118"/>
      <c r="L1486" s="119"/>
      <c r="M1486" s="94"/>
      <c r="N1486" s="94"/>
      <c r="O1486" s="93"/>
      <c r="P1486" s="120" t="b">
        <v>0</v>
      </c>
      <c r="Q1486" s="120" t="b">
        <v>0</v>
      </c>
      <c r="R1486" s="120" t="b">
        <v>0</v>
      </c>
      <c r="S1486" s="95"/>
      <c r="U1486" s="120" t="b">
        <v>0</v>
      </c>
      <c r="V1486" s="93"/>
      <c r="W1486" s="93"/>
      <c r="X1486" s="93"/>
      <c r="Y1486" s="93"/>
      <c r="AA1486" s="95"/>
      <c r="AB1486" s="121"/>
      <c r="AC1486" s="29" t="str">
        <f t="shared" si="5"/>
        <v>Sim</v>
      </c>
      <c r="AD1486" s="37" t="str">
        <f t="shared" si="1"/>
        <v>Não</v>
      </c>
      <c r="AE1486" s="94"/>
      <c r="AF1486" s="94"/>
      <c r="AG1486" s="95"/>
    </row>
    <row r="1487" hidden="1">
      <c r="A1487" s="115"/>
      <c r="B1487" s="93"/>
      <c r="E1487" s="116"/>
      <c r="F1487" s="95"/>
      <c r="G1487" s="95"/>
      <c r="H1487" s="94"/>
      <c r="I1487" s="94"/>
      <c r="J1487" s="117"/>
      <c r="K1487" s="118"/>
      <c r="L1487" s="119"/>
      <c r="M1487" s="94"/>
      <c r="N1487" s="94"/>
      <c r="O1487" s="93"/>
      <c r="P1487" s="120" t="b">
        <v>0</v>
      </c>
      <c r="Q1487" s="120" t="b">
        <v>0</v>
      </c>
      <c r="R1487" s="120" t="b">
        <v>0</v>
      </c>
      <c r="S1487" s="95"/>
      <c r="U1487" s="120" t="b">
        <v>0</v>
      </c>
      <c r="V1487" s="93"/>
      <c r="W1487" s="93"/>
      <c r="X1487" s="93"/>
      <c r="Y1487" s="93"/>
      <c r="AA1487" s="95"/>
      <c r="AB1487" s="121"/>
      <c r="AC1487" s="29" t="str">
        <f t="shared" si="5"/>
        <v>Sim</v>
      </c>
      <c r="AD1487" s="37" t="str">
        <f t="shared" si="1"/>
        <v>Não</v>
      </c>
      <c r="AE1487" s="94"/>
      <c r="AF1487" s="94"/>
      <c r="AG1487" s="95"/>
    </row>
    <row r="1488" hidden="1">
      <c r="A1488" s="115"/>
      <c r="B1488" s="93"/>
      <c r="E1488" s="116"/>
      <c r="F1488" s="95"/>
      <c r="G1488" s="95"/>
      <c r="H1488" s="94"/>
      <c r="I1488" s="94"/>
      <c r="J1488" s="117"/>
      <c r="K1488" s="118"/>
      <c r="L1488" s="119"/>
      <c r="M1488" s="94"/>
      <c r="N1488" s="94"/>
      <c r="O1488" s="93"/>
      <c r="P1488" s="120" t="b">
        <v>0</v>
      </c>
      <c r="Q1488" s="120" t="b">
        <v>0</v>
      </c>
      <c r="R1488" s="120" t="b">
        <v>0</v>
      </c>
      <c r="S1488" s="95"/>
      <c r="U1488" s="120" t="b">
        <v>0</v>
      </c>
      <c r="V1488" s="93"/>
      <c r="W1488" s="93"/>
      <c r="X1488" s="93"/>
      <c r="Y1488" s="93"/>
      <c r="AA1488" s="95"/>
      <c r="AB1488" s="121"/>
      <c r="AC1488" s="29" t="str">
        <f t="shared" si="5"/>
        <v>Sim</v>
      </c>
      <c r="AD1488" s="37" t="str">
        <f t="shared" si="1"/>
        <v>Não</v>
      </c>
      <c r="AE1488" s="94"/>
      <c r="AF1488" s="94"/>
      <c r="AG1488" s="95"/>
    </row>
    <row r="1489" hidden="1">
      <c r="A1489" s="115"/>
      <c r="B1489" s="93"/>
      <c r="E1489" s="116"/>
      <c r="F1489" s="95"/>
      <c r="G1489" s="95"/>
      <c r="H1489" s="94"/>
      <c r="I1489" s="94"/>
      <c r="J1489" s="117"/>
      <c r="K1489" s="118"/>
      <c r="L1489" s="119"/>
      <c r="M1489" s="94"/>
      <c r="N1489" s="94"/>
      <c r="O1489" s="93"/>
      <c r="P1489" s="120" t="b">
        <v>0</v>
      </c>
      <c r="Q1489" s="120" t="b">
        <v>0</v>
      </c>
      <c r="R1489" s="120" t="b">
        <v>0</v>
      </c>
      <c r="S1489" s="95"/>
      <c r="U1489" s="120" t="b">
        <v>0</v>
      </c>
      <c r="V1489" s="93"/>
      <c r="W1489" s="93"/>
      <c r="X1489" s="93"/>
      <c r="Y1489" s="93"/>
      <c r="AA1489" s="95"/>
      <c r="AB1489" s="121"/>
      <c r="AC1489" s="29" t="str">
        <f t="shared" si="5"/>
        <v>Sim</v>
      </c>
      <c r="AD1489" s="37" t="str">
        <f t="shared" si="1"/>
        <v>Não</v>
      </c>
      <c r="AE1489" s="94"/>
      <c r="AF1489" s="94"/>
      <c r="AG1489" s="95"/>
    </row>
    <row r="1490" hidden="1">
      <c r="A1490" s="115"/>
      <c r="B1490" s="93"/>
      <c r="E1490" s="116"/>
      <c r="F1490" s="95"/>
      <c r="G1490" s="95"/>
      <c r="H1490" s="94"/>
      <c r="I1490" s="94"/>
      <c r="J1490" s="117"/>
      <c r="K1490" s="118"/>
      <c r="L1490" s="119"/>
      <c r="M1490" s="94"/>
      <c r="N1490" s="94"/>
      <c r="O1490" s="93"/>
      <c r="P1490" s="120" t="b">
        <v>0</v>
      </c>
      <c r="Q1490" s="120" t="b">
        <v>0</v>
      </c>
      <c r="R1490" s="120" t="b">
        <v>0</v>
      </c>
      <c r="S1490" s="95"/>
      <c r="U1490" s="120" t="b">
        <v>0</v>
      </c>
      <c r="V1490" s="93"/>
      <c r="W1490" s="93"/>
      <c r="X1490" s="93"/>
      <c r="Y1490" s="93"/>
      <c r="AA1490" s="95"/>
      <c r="AB1490" s="121"/>
      <c r="AC1490" s="29" t="str">
        <f t="shared" si="5"/>
        <v>Sim</v>
      </c>
      <c r="AD1490" s="37" t="str">
        <f t="shared" si="1"/>
        <v>Não</v>
      </c>
      <c r="AE1490" s="94"/>
      <c r="AF1490" s="94"/>
      <c r="AG1490" s="95"/>
    </row>
    <row r="1491" hidden="1">
      <c r="A1491" s="115"/>
      <c r="B1491" s="93"/>
      <c r="E1491" s="116"/>
      <c r="F1491" s="95"/>
      <c r="G1491" s="95"/>
      <c r="H1491" s="94"/>
      <c r="I1491" s="94"/>
      <c r="J1491" s="117"/>
      <c r="K1491" s="118"/>
      <c r="L1491" s="119"/>
      <c r="M1491" s="94"/>
      <c r="N1491" s="94"/>
      <c r="O1491" s="93"/>
      <c r="P1491" s="120" t="b">
        <v>0</v>
      </c>
      <c r="Q1491" s="120" t="b">
        <v>0</v>
      </c>
      <c r="R1491" s="120" t="b">
        <v>0</v>
      </c>
      <c r="S1491" s="95"/>
      <c r="U1491" s="120" t="b">
        <v>0</v>
      </c>
      <c r="V1491" s="93"/>
      <c r="W1491" s="93"/>
      <c r="X1491" s="93"/>
      <c r="Y1491" s="93"/>
      <c r="AA1491" s="95"/>
      <c r="AB1491" s="121"/>
      <c r="AC1491" s="29" t="str">
        <f t="shared" si="5"/>
        <v>Sim</v>
      </c>
      <c r="AD1491" s="37" t="str">
        <f t="shared" si="1"/>
        <v>Não</v>
      </c>
      <c r="AE1491" s="94"/>
      <c r="AF1491" s="94"/>
      <c r="AG1491" s="95"/>
    </row>
    <row r="1492" hidden="1">
      <c r="A1492" s="115"/>
      <c r="B1492" s="93"/>
      <c r="E1492" s="116"/>
      <c r="F1492" s="95"/>
      <c r="G1492" s="95"/>
      <c r="H1492" s="94"/>
      <c r="I1492" s="94"/>
      <c r="J1492" s="117"/>
      <c r="K1492" s="118"/>
      <c r="L1492" s="119"/>
      <c r="M1492" s="94"/>
      <c r="N1492" s="94"/>
      <c r="O1492" s="93"/>
      <c r="P1492" s="120" t="b">
        <v>0</v>
      </c>
      <c r="Q1492" s="120" t="b">
        <v>0</v>
      </c>
      <c r="R1492" s="120" t="b">
        <v>0</v>
      </c>
      <c r="S1492" s="95"/>
      <c r="U1492" s="120" t="b">
        <v>0</v>
      </c>
      <c r="V1492" s="93"/>
      <c r="W1492" s="93"/>
      <c r="X1492" s="93"/>
      <c r="Y1492" s="93"/>
      <c r="AA1492" s="95"/>
      <c r="AB1492" s="121"/>
      <c r="AC1492" s="29" t="str">
        <f t="shared" si="5"/>
        <v>Sim</v>
      </c>
      <c r="AD1492" s="37" t="str">
        <f t="shared" si="1"/>
        <v>Não</v>
      </c>
      <c r="AE1492" s="94"/>
      <c r="AF1492" s="94"/>
      <c r="AG1492" s="95"/>
    </row>
    <row r="1493" hidden="1">
      <c r="A1493" s="115"/>
      <c r="B1493" s="93"/>
      <c r="E1493" s="116"/>
      <c r="F1493" s="95"/>
      <c r="G1493" s="95"/>
      <c r="H1493" s="94"/>
      <c r="I1493" s="94"/>
      <c r="J1493" s="117"/>
      <c r="K1493" s="118"/>
      <c r="L1493" s="119"/>
      <c r="M1493" s="94"/>
      <c r="N1493" s="94"/>
      <c r="O1493" s="93"/>
      <c r="P1493" s="120" t="b">
        <v>0</v>
      </c>
      <c r="Q1493" s="120" t="b">
        <v>0</v>
      </c>
      <c r="R1493" s="120" t="b">
        <v>0</v>
      </c>
      <c r="S1493" s="95"/>
      <c r="U1493" s="120" t="b">
        <v>0</v>
      </c>
      <c r="V1493" s="93"/>
      <c r="W1493" s="93"/>
      <c r="X1493" s="93"/>
      <c r="Y1493" s="93"/>
      <c r="AA1493" s="95"/>
      <c r="AB1493" s="121"/>
      <c r="AC1493" s="29" t="str">
        <f t="shared" si="5"/>
        <v>Sim</v>
      </c>
      <c r="AD1493" s="37" t="str">
        <f t="shared" si="1"/>
        <v>Não</v>
      </c>
      <c r="AE1493" s="94"/>
      <c r="AF1493" s="94"/>
      <c r="AG1493" s="95"/>
    </row>
    <row r="1494" hidden="1">
      <c r="A1494" s="115"/>
      <c r="B1494" s="93"/>
      <c r="E1494" s="116"/>
      <c r="F1494" s="95"/>
      <c r="G1494" s="95"/>
      <c r="H1494" s="94"/>
      <c r="I1494" s="94"/>
      <c r="J1494" s="117"/>
      <c r="K1494" s="118"/>
      <c r="L1494" s="119"/>
      <c r="M1494" s="94"/>
      <c r="N1494" s="94"/>
      <c r="O1494" s="93"/>
      <c r="P1494" s="120" t="b">
        <v>0</v>
      </c>
      <c r="Q1494" s="120" t="b">
        <v>0</v>
      </c>
      <c r="R1494" s="122" t="b">
        <v>0</v>
      </c>
      <c r="S1494" s="95"/>
      <c r="U1494" s="120" t="b">
        <v>0</v>
      </c>
      <c r="V1494" s="93"/>
      <c r="W1494" s="93"/>
      <c r="X1494" s="93"/>
      <c r="Y1494" s="93"/>
      <c r="AA1494" s="95"/>
      <c r="AB1494" s="121"/>
      <c r="AC1494" s="29" t="str">
        <f t="shared" si="5"/>
        <v>Sim</v>
      </c>
      <c r="AD1494" s="37" t="str">
        <f t="shared" si="1"/>
        <v>Não</v>
      </c>
      <c r="AE1494" s="94"/>
      <c r="AF1494" s="94"/>
      <c r="AG1494" s="95"/>
    </row>
    <row r="1495" hidden="1">
      <c r="A1495" s="115"/>
      <c r="B1495" s="93"/>
      <c r="E1495" s="116"/>
      <c r="F1495" s="95"/>
      <c r="G1495" s="95"/>
      <c r="H1495" s="94"/>
      <c r="I1495" s="94"/>
      <c r="J1495" s="117"/>
      <c r="K1495" s="118"/>
      <c r="L1495" s="119"/>
      <c r="M1495" s="94"/>
      <c r="N1495" s="94"/>
      <c r="O1495" s="93"/>
      <c r="P1495" s="120" t="b">
        <v>0</v>
      </c>
      <c r="Q1495" s="120" t="b">
        <v>0</v>
      </c>
      <c r="R1495" s="120" t="b">
        <v>0</v>
      </c>
      <c r="S1495" s="95"/>
      <c r="U1495" s="120" t="b">
        <v>0</v>
      </c>
      <c r="V1495" s="93"/>
      <c r="W1495" s="93"/>
      <c r="X1495" s="93"/>
      <c r="Y1495" s="93"/>
      <c r="AA1495" s="95"/>
      <c r="AB1495" s="121"/>
      <c r="AC1495" s="29" t="str">
        <f t="shared" si="5"/>
        <v>Sim</v>
      </c>
      <c r="AD1495" s="37" t="str">
        <f t="shared" si="1"/>
        <v>Não</v>
      </c>
      <c r="AE1495" s="94"/>
      <c r="AF1495" s="94"/>
      <c r="AG1495" s="95"/>
    </row>
    <row r="1496" hidden="1">
      <c r="A1496" s="115"/>
      <c r="B1496" s="93"/>
      <c r="E1496" s="116"/>
      <c r="F1496" s="95"/>
      <c r="G1496" s="95"/>
      <c r="H1496" s="94"/>
      <c r="I1496" s="94"/>
      <c r="J1496" s="117"/>
      <c r="K1496" s="118"/>
      <c r="L1496" s="119"/>
      <c r="M1496" s="94"/>
      <c r="N1496" s="94"/>
      <c r="O1496" s="93"/>
      <c r="P1496" s="120" t="b">
        <v>0</v>
      </c>
      <c r="Q1496" s="120" t="b">
        <v>0</v>
      </c>
      <c r="R1496" s="120" t="b">
        <v>0</v>
      </c>
      <c r="S1496" s="95"/>
      <c r="U1496" s="120" t="b">
        <v>0</v>
      </c>
      <c r="V1496" s="93"/>
      <c r="W1496" s="93"/>
      <c r="X1496" s="93"/>
      <c r="Y1496" s="93"/>
      <c r="AA1496" s="95"/>
      <c r="AB1496" s="121"/>
      <c r="AC1496" s="29" t="str">
        <f t="shared" si="5"/>
        <v>Sim</v>
      </c>
      <c r="AD1496" s="37" t="str">
        <f t="shared" si="1"/>
        <v>Não</v>
      </c>
      <c r="AE1496" s="94"/>
      <c r="AF1496" s="94"/>
      <c r="AG1496" s="95"/>
    </row>
    <row r="1497" hidden="1">
      <c r="A1497" s="115"/>
      <c r="B1497" s="93"/>
      <c r="E1497" s="116"/>
      <c r="F1497" s="95"/>
      <c r="G1497" s="95"/>
      <c r="H1497" s="94"/>
      <c r="I1497" s="94"/>
      <c r="J1497" s="117"/>
      <c r="K1497" s="118"/>
      <c r="L1497" s="119"/>
      <c r="M1497" s="94"/>
      <c r="N1497" s="94"/>
      <c r="O1497" s="93"/>
      <c r="P1497" s="120" t="b">
        <v>0</v>
      </c>
      <c r="Q1497" s="120" t="b">
        <v>0</v>
      </c>
      <c r="R1497" s="122" t="b">
        <v>0</v>
      </c>
      <c r="S1497" s="95"/>
      <c r="U1497" s="120" t="b">
        <v>0</v>
      </c>
      <c r="V1497" s="93"/>
      <c r="W1497" s="93"/>
      <c r="X1497" s="93"/>
      <c r="Y1497" s="93"/>
      <c r="AA1497" s="95"/>
      <c r="AB1497" s="121"/>
      <c r="AC1497" s="29" t="str">
        <f t="shared" si="5"/>
        <v>Sim</v>
      </c>
      <c r="AD1497" s="37" t="str">
        <f t="shared" si="1"/>
        <v>Não</v>
      </c>
      <c r="AE1497" s="94"/>
      <c r="AF1497" s="94"/>
      <c r="AG1497" s="95"/>
    </row>
    <row r="1498" hidden="1">
      <c r="A1498" s="115"/>
      <c r="B1498" s="93"/>
      <c r="E1498" s="116"/>
      <c r="F1498" s="95"/>
      <c r="G1498" s="95"/>
      <c r="H1498" s="94"/>
      <c r="I1498" s="94"/>
      <c r="J1498" s="117"/>
      <c r="K1498" s="118"/>
      <c r="L1498" s="119"/>
      <c r="M1498" s="94"/>
      <c r="N1498" s="94"/>
      <c r="O1498" s="93"/>
      <c r="P1498" s="120" t="b">
        <v>0</v>
      </c>
      <c r="Q1498" s="120" t="b">
        <v>0</v>
      </c>
      <c r="R1498" s="120" t="b">
        <v>0</v>
      </c>
      <c r="S1498" s="95"/>
      <c r="U1498" s="120" t="b">
        <v>0</v>
      </c>
      <c r="V1498" s="93"/>
      <c r="W1498" s="93"/>
      <c r="X1498" s="93"/>
      <c r="Y1498" s="93"/>
      <c r="AA1498" s="95"/>
      <c r="AB1498" s="121"/>
      <c r="AC1498" s="29" t="str">
        <f t="shared" si="5"/>
        <v>Sim</v>
      </c>
      <c r="AD1498" s="37" t="str">
        <f t="shared" si="1"/>
        <v>Não</v>
      </c>
      <c r="AE1498" s="94"/>
      <c r="AF1498" s="94"/>
      <c r="AG1498" s="95"/>
    </row>
    <row r="1499" hidden="1">
      <c r="A1499" s="115"/>
      <c r="B1499" s="93"/>
      <c r="E1499" s="116"/>
      <c r="F1499" s="95"/>
      <c r="G1499" s="95"/>
      <c r="H1499" s="94"/>
      <c r="I1499" s="94"/>
      <c r="J1499" s="117"/>
      <c r="K1499" s="118"/>
      <c r="L1499" s="119"/>
      <c r="M1499" s="94"/>
      <c r="N1499" s="94"/>
      <c r="O1499" s="93"/>
      <c r="P1499" s="120" t="b">
        <v>0</v>
      </c>
      <c r="Q1499" s="120" t="b">
        <v>0</v>
      </c>
      <c r="R1499" s="120" t="b">
        <v>0</v>
      </c>
      <c r="S1499" s="95"/>
      <c r="U1499" s="120" t="b">
        <v>0</v>
      </c>
      <c r="V1499" s="93"/>
      <c r="W1499" s="93"/>
      <c r="X1499" s="93"/>
      <c r="Y1499" s="93"/>
      <c r="AA1499" s="95"/>
      <c r="AB1499" s="121"/>
      <c r="AC1499" s="29" t="str">
        <f t="shared" si="5"/>
        <v>Sim</v>
      </c>
      <c r="AD1499" s="37" t="str">
        <f t="shared" si="1"/>
        <v>Não</v>
      </c>
      <c r="AE1499" s="94"/>
      <c r="AF1499" s="94"/>
      <c r="AG1499" s="95"/>
    </row>
    <row r="1500" hidden="1">
      <c r="A1500" s="115"/>
      <c r="B1500" s="93"/>
      <c r="E1500" s="116"/>
      <c r="F1500" s="95"/>
      <c r="G1500" s="95"/>
      <c r="H1500" s="94"/>
      <c r="I1500" s="94"/>
      <c r="J1500" s="117"/>
      <c r="K1500" s="118"/>
      <c r="L1500" s="119"/>
      <c r="M1500" s="94"/>
      <c r="N1500" s="94"/>
      <c r="O1500" s="93"/>
      <c r="P1500" s="120" t="b">
        <v>0</v>
      </c>
      <c r="Q1500" s="120" t="b">
        <v>0</v>
      </c>
      <c r="R1500" s="120" t="b">
        <v>0</v>
      </c>
      <c r="S1500" s="95"/>
      <c r="U1500" s="120" t="b">
        <v>0</v>
      </c>
      <c r="V1500" s="93"/>
      <c r="W1500" s="93"/>
      <c r="X1500" s="93"/>
      <c r="Y1500" s="93"/>
      <c r="AA1500" s="95"/>
      <c r="AB1500" s="121"/>
      <c r="AC1500" s="29" t="str">
        <f t="shared" si="5"/>
        <v>Sim</v>
      </c>
      <c r="AD1500" s="37" t="str">
        <f t="shared" si="1"/>
        <v>Não</v>
      </c>
      <c r="AE1500" s="94"/>
      <c r="AF1500" s="94"/>
      <c r="AG1500" s="95"/>
    </row>
    <row r="1501" hidden="1">
      <c r="A1501" s="115"/>
      <c r="B1501" s="93"/>
      <c r="E1501" s="116"/>
      <c r="F1501" s="95"/>
      <c r="G1501" s="95"/>
      <c r="H1501" s="94"/>
      <c r="I1501" s="94"/>
      <c r="J1501" s="117"/>
      <c r="K1501" s="118"/>
      <c r="L1501" s="119"/>
      <c r="M1501" s="94"/>
      <c r="N1501" s="94"/>
      <c r="O1501" s="93"/>
      <c r="P1501" s="120" t="b">
        <v>0</v>
      </c>
      <c r="Q1501" s="120" t="b">
        <v>0</v>
      </c>
      <c r="R1501" s="120" t="b">
        <v>0</v>
      </c>
      <c r="S1501" s="95"/>
      <c r="U1501" s="120" t="b">
        <v>0</v>
      </c>
      <c r="V1501" s="93"/>
      <c r="W1501" s="93"/>
      <c r="X1501" s="93"/>
      <c r="Y1501" s="93"/>
      <c r="AA1501" s="95"/>
      <c r="AB1501" s="121"/>
      <c r="AC1501" s="29" t="str">
        <f t="shared" si="5"/>
        <v>Sim</v>
      </c>
      <c r="AD1501" s="37" t="str">
        <f t="shared" si="1"/>
        <v>Não</v>
      </c>
      <c r="AE1501" s="94"/>
      <c r="AF1501" s="94"/>
      <c r="AG1501" s="95"/>
    </row>
    <row r="1502" hidden="1">
      <c r="A1502" s="115"/>
      <c r="B1502" s="93"/>
      <c r="E1502" s="116"/>
      <c r="F1502" s="95"/>
      <c r="G1502" s="95"/>
      <c r="H1502" s="94"/>
      <c r="I1502" s="94"/>
      <c r="J1502" s="117"/>
      <c r="K1502" s="118"/>
      <c r="L1502" s="119"/>
      <c r="M1502" s="94"/>
      <c r="N1502" s="94"/>
      <c r="O1502" s="93"/>
      <c r="P1502" s="120" t="b">
        <v>0</v>
      </c>
      <c r="Q1502" s="120" t="b">
        <v>0</v>
      </c>
      <c r="R1502" s="120" t="b">
        <v>0</v>
      </c>
      <c r="S1502" s="95"/>
      <c r="U1502" s="120" t="b">
        <v>0</v>
      </c>
      <c r="V1502" s="93"/>
      <c r="W1502" s="93"/>
      <c r="X1502" s="93"/>
      <c r="Y1502" s="93"/>
      <c r="AA1502" s="95"/>
      <c r="AB1502" s="121"/>
      <c r="AC1502" s="29" t="str">
        <f t="shared" si="5"/>
        <v>Sim</v>
      </c>
      <c r="AD1502" s="37" t="str">
        <f t="shared" si="1"/>
        <v>Não</v>
      </c>
      <c r="AE1502" s="94"/>
      <c r="AF1502" s="94"/>
      <c r="AG1502" s="95"/>
    </row>
    <row r="1503" hidden="1">
      <c r="A1503" s="115"/>
      <c r="B1503" s="93"/>
      <c r="E1503" s="116"/>
      <c r="F1503" s="95"/>
      <c r="G1503" s="95"/>
      <c r="H1503" s="94"/>
      <c r="I1503" s="94"/>
      <c r="J1503" s="117"/>
      <c r="K1503" s="118"/>
      <c r="L1503" s="119"/>
      <c r="M1503" s="94"/>
      <c r="N1503" s="94"/>
      <c r="O1503" s="93"/>
      <c r="P1503" s="120" t="b">
        <v>0</v>
      </c>
      <c r="Q1503" s="120" t="b">
        <v>0</v>
      </c>
      <c r="R1503" s="120" t="b">
        <v>0</v>
      </c>
      <c r="S1503" s="95"/>
      <c r="U1503" s="120" t="b">
        <v>0</v>
      </c>
      <c r="V1503" s="93"/>
      <c r="W1503" s="93"/>
      <c r="X1503" s="93"/>
      <c r="Y1503" s="93"/>
      <c r="AA1503" s="95"/>
      <c r="AB1503" s="121"/>
      <c r="AC1503" s="29" t="str">
        <f t="shared" si="5"/>
        <v>Sim</v>
      </c>
      <c r="AD1503" s="37" t="str">
        <f t="shared" si="1"/>
        <v>Não</v>
      </c>
      <c r="AE1503" s="94"/>
      <c r="AF1503" s="94"/>
      <c r="AG1503" s="95"/>
    </row>
    <row r="1504" hidden="1">
      <c r="A1504" s="115"/>
      <c r="B1504" s="93"/>
      <c r="E1504" s="116"/>
      <c r="F1504" s="95"/>
      <c r="G1504" s="95"/>
      <c r="H1504" s="94"/>
      <c r="I1504" s="94"/>
      <c r="J1504" s="117"/>
      <c r="K1504" s="118"/>
      <c r="L1504" s="119"/>
      <c r="M1504" s="94"/>
      <c r="N1504" s="94"/>
      <c r="O1504" s="93"/>
      <c r="P1504" s="120" t="b">
        <v>0</v>
      </c>
      <c r="Q1504" s="120" t="b">
        <v>0</v>
      </c>
      <c r="R1504" s="120" t="b">
        <v>0</v>
      </c>
      <c r="S1504" s="95"/>
      <c r="U1504" s="120" t="b">
        <v>0</v>
      </c>
      <c r="V1504" s="93"/>
      <c r="W1504" s="93"/>
      <c r="X1504" s="93"/>
      <c r="Y1504" s="93"/>
      <c r="AA1504" s="95"/>
      <c r="AB1504" s="121"/>
      <c r="AC1504" s="29" t="str">
        <f t="shared" si="5"/>
        <v>Sim</v>
      </c>
      <c r="AD1504" s="37" t="str">
        <f t="shared" si="1"/>
        <v>Não</v>
      </c>
      <c r="AE1504" s="94"/>
      <c r="AF1504" s="94"/>
      <c r="AG1504" s="95"/>
    </row>
    <row r="1505" hidden="1">
      <c r="A1505" s="115"/>
      <c r="B1505" s="93"/>
      <c r="E1505" s="116"/>
      <c r="F1505" s="95"/>
      <c r="G1505" s="95"/>
      <c r="H1505" s="94"/>
      <c r="I1505" s="94"/>
      <c r="J1505" s="117"/>
      <c r="K1505" s="118"/>
      <c r="L1505" s="119"/>
      <c r="M1505" s="94"/>
      <c r="N1505" s="94"/>
      <c r="O1505" s="93"/>
      <c r="P1505" s="120" t="b">
        <v>0</v>
      </c>
      <c r="Q1505" s="120" t="b">
        <v>0</v>
      </c>
      <c r="R1505" s="120" t="b">
        <v>0</v>
      </c>
      <c r="S1505" s="95"/>
      <c r="U1505" s="120" t="b">
        <v>0</v>
      </c>
      <c r="V1505" s="93"/>
      <c r="W1505" s="93"/>
      <c r="X1505" s="93"/>
      <c r="Y1505" s="93"/>
      <c r="AA1505" s="95"/>
      <c r="AB1505" s="121"/>
      <c r="AC1505" s="29" t="str">
        <f t="shared" si="5"/>
        <v>Sim</v>
      </c>
      <c r="AD1505" s="37" t="str">
        <f t="shared" si="1"/>
        <v>Não</v>
      </c>
      <c r="AE1505" s="94"/>
      <c r="AF1505" s="94"/>
      <c r="AG1505" s="95"/>
    </row>
    <row r="1506" hidden="1">
      <c r="A1506" s="115"/>
      <c r="B1506" s="93"/>
      <c r="E1506" s="116"/>
      <c r="F1506" s="95"/>
      <c r="G1506" s="95"/>
      <c r="H1506" s="94"/>
      <c r="I1506" s="94"/>
      <c r="J1506" s="117"/>
      <c r="K1506" s="118"/>
      <c r="L1506" s="119"/>
      <c r="M1506" s="94"/>
      <c r="N1506" s="94"/>
      <c r="O1506" s="93"/>
      <c r="P1506" s="120" t="b">
        <v>0</v>
      </c>
      <c r="Q1506" s="120" t="b">
        <v>0</v>
      </c>
      <c r="R1506" s="120" t="b">
        <v>0</v>
      </c>
      <c r="S1506" s="95"/>
      <c r="U1506" s="120" t="b">
        <v>0</v>
      </c>
      <c r="V1506" s="93"/>
      <c r="W1506" s="93"/>
      <c r="X1506" s="93"/>
      <c r="Y1506" s="93"/>
      <c r="AA1506" s="95"/>
      <c r="AB1506" s="121"/>
      <c r="AC1506" s="29" t="str">
        <f t="shared" si="5"/>
        <v>Sim</v>
      </c>
      <c r="AD1506" s="37" t="str">
        <f t="shared" si="1"/>
        <v>Não</v>
      </c>
      <c r="AE1506" s="94"/>
      <c r="AF1506" s="94"/>
      <c r="AG1506" s="95"/>
    </row>
    <row r="1507" hidden="1">
      <c r="A1507" s="115"/>
      <c r="B1507" s="93"/>
      <c r="E1507" s="116"/>
      <c r="F1507" s="95"/>
      <c r="G1507" s="95"/>
      <c r="H1507" s="94"/>
      <c r="I1507" s="94"/>
      <c r="J1507" s="117"/>
      <c r="K1507" s="118"/>
      <c r="L1507" s="119"/>
      <c r="M1507" s="94"/>
      <c r="N1507" s="94"/>
      <c r="O1507" s="93"/>
      <c r="P1507" s="120" t="b">
        <v>0</v>
      </c>
      <c r="Q1507" s="120" t="b">
        <v>0</v>
      </c>
      <c r="R1507" s="120" t="b">
        <v>0</v>
      </c>
      <c r="S1507" s="95"/>
      <c r="U1507" s="120" t="b">
        <v>0</v>
      </c>
      <c r="V1507" s="93"/>
      <c r="W1507" s="93"/>
      <c r="X1507" s="93"/>
      <c r="Y1507" s="93"/>
      <c r="AA1507" s="95"/>
      <c r="AB1507" s="121"/>
      <c r="AC1507" s="29" t="str">
        <f t="shared" si="5"/>
        <v>Sim</v>
      </c>
      <c r="AD1507" s="37" t="str">
        <f t="shared" si="1"/>
        <v>Não</v>
      </c>
      <c r="AE1507" s="94"/>
      <c r="AF1507" s="94"/>
      <c r="AG1507" s="95"/>
    </row>
    <row r="1508" hidden="1">
      <c r="A1508" s="115"/>
      <c r="B1508" s="93"/>
      <c r="E1508" s="116"/>
      <c r="F1508" s="95"/>
      <c r="G1508" s="95"/>
      <c r="H1508" s="94"/>
      <c r="I1508" s="94"/>
      <c r="J1508" s="117"/>
      <c r="K1508" s="118"/>
      <c r="L1508" s="119"/>
      <c r="M1508" s="94"/>
      <c r="N1508" s="94"/>
      <c r="O1508" s="93"/>
      <c r="P1508" s="120" t="b">
        <v>0</v>
      </c>
      <c r="Q1508" s="120" t="b">
        <v>0</v>
      </c>
      <c r="R1508" s="120" t="b">
        <v>0</v>
      </c>
      <c r="S1508" s="95"/>
      <c r="U1508" s="120" t="b">
        <v>0</v>
      </c>
      <c r="V1508" s="93"/>
      <c r="W1508" s="93"/>
      <c r="X1508" s="93"/>
      <c r="Y1508" s="93"/>
      <c r="AA1508" s="95"/>
      <c r="AB1508" s="121"/>
      <c r="AC1508" s="29" t="str">
        <f t="shared" si="5"/>
        <v>Sim</v>
      </c>
      <c r="AD1508" s="37" t="str">
        <f t="shared" si="1"/>
        <v>Não</v>
      </c>
      <c r="AE1508" s="94"/>
      <c r="AF1508" s="94"/>
      <c r="AG1508" s="95"/>
    </row>
    <row r="1509" hidden="1">
      <c r="A1509" s="115"/>
      <c r="B1509" s="93"/>
      <c r="E1509" s="116"/>
      <c r="F1509" s="95"/>
      <c r="G1509" s="95"/>
      <c r="H1509" s="94"/>
      <c r="I1509" s="94"/>
      <c r="J1509" s="117"/>
      <c r="K1509" s="118"/>
      <c r="L1509" s="119"/>
      <c r="M1509" s="94"/>
      <c r="N1509" s="94"/>
      <c r="O1509" s="93"/>
      <c r="P1509" s="120" t="b">
        <v>0</v>
      </c>
      <c r="Q1509" s="120" t="b">
        <v>0</v>
      </c>
      <c r="R1509" s="120" t="b">
        <v>0</v>
      </c>
      <c r="S1509" s="95"/>
      <c r="U1509" s="120" t="b">
        <v>0</v>
      </c>
      <c r="V1509" s="93"/>
      <c r="W1509" s="93"/>
      <c r="X1509" s="93"/>
      <c r="Y1509" s="93"/>
      <c r="AA1509" s="95"/>
      <c r="AB1509" s="121"/>
      <c r="AC1509" s="29" t="str">
        <f t="shared" si="5"/>
        <v>Sim</v>
      </c>
      <c r="AD1509" s="37" t="str">
        <f t="shared" si="1"/>
        <v>Não</v>
      </c>
      <c r="AE1509" s="94"/>
      <c r="AF1509" s="94"/>
      <c r="AG1509" s="95"/>
    </row>
    <row r="1510" hidden="1">
      <c r="A1510" s="115"/>
      <c r="B1510" s="93"/>
      <c r="E1510" s="116"/>
      <c r="F1510" s="95"/>
      <c r="G1510" s="95"/>
      <c r="H1510" s="94"/>
      <c r="I1510" s="94"/>
      <c r="J1510" s="117"/>
      <c r="K1510" s="118"/>
      <c r="L1510" s="119"/>
      <c r="M1510" s="94"/>
      <c r="N1510" s="94"/>
      <c r="O1510" s="93"/>
      <c r="P1510" s="120" t="b">
        <v>0</v>
      </c>
      <c r="Q1510" s="120" t="b">
        <v>0</v>
      </c>
      <c r="R1510" s="120" t="b">
        <v>0</v>
      </c>
      <c r="S1510" s="95"/>
      <c r="U1510" s="120" t="b">
        <v>0</v>
      </c>
      <c r="V1510" s="93"/>
      <c r="W1510" s="93"/>
      <c r="X1510" s="93"/>
      <c r="Y1510" s="93"/>
      <c r="AA1510" s="95"/>
      <c r="AB1510" s="121"/>
      <c r="AC1510" s="29" t="str">
        <f t="shared" si="5"/>
        <v>Sim</v>
      </c>
      <c r="AD1510" s="37" t="str">
        <f t="shared" si="1"/>
        <v>Não</v>
      </c>
      <c r="AE1510" s="94"/>
      <c r="AF1510" s="94"/>
      <c r="AG1510" s="95"/>
    </row>
    <row r="1511" hidden="1">
      <c r="A1511" s="115"/>
      <c r="B1511" s="93"/>
      <c r="E1511" s="116"/>
      <c r="F1511" s="95"/>
      <c r="G1511" s="95"/>
      <c r="H1511" s="94"/>
      <c r="I1511" s="94"/>
      <c r="J1511" s="117"/>
      <c r="K1511" s="118"/>
      <c r="L1511" s="119"/>
      <c r="M1511" s="94"/>
      <c r="N1511" s="94"/>
      <c r="O1511" s="93"/>
      <c r="P1511" s="120" t="b">
        <v>0</v>
      </c>
      <c r="Q1511" s="120" t="b">
        <v>0</v>
      </c>
      <c r="R1511" s="120" t="b">
        <v>0</v>
      </c>
      <c r="S1511" s="95"/>
      <c r="U1511" s="120" t="b">
        <v>0</v>
      </c>
      <c r="V1511" s="93"/>
      <c r="W1511" s="93"/>
      <c r="X1511" s="93"/>
      <c r="Y1511" s="93"/>
      <c r="AA1511" s="95"/>
      <c r="AB1511" s="121"/>
      <c r="AC1511" s="29" t="str">
        <f t="shared" si="5"/>
        <v>Sim</v>
      </c>
      <c r="AD1511" s="37" t="str">
        <f t="shared" si="1"/>
        <v>Não</v>
      </c>
      <c r="AE1511" s="94"/>
      <c r="AF1511" s="94"/>
      <c r="AG1511" s="95"/>
    </row>
    <row r="1512" hidden="1">
      <c r="A1512" s="115"/>
      <c r="B1512" s="93"/>
      <c r="E1512" s="116"/>
      <c r="F1512" s="95"/>
      <c r="G1512" s="95"/>
      <c r="H1512" s="94"/>
      <c r="I1512" s="94"/>
      <c r="J1512" s="117"/>
      <c r="K1512" s="118"/>
      <c r="L1512" s="119"/>
      <c r="M1512" s="94"/>
      <c r="N1512" s="94"/>
      <c r="O1512" s="93"/>
      <c r="P1512" s="120" t="b">
        <v>0</v>
      </c>
      <c r="Q1512" s="120" t="b">
        <v>0</v>
      </c>
      <c r="R1512" s="120" t="b">
        <v>0</v>
      </c>
      <c r="S1512" s="95"/>
      <c r="U1512" s="120" t="b">
        <v>0</v>
      </c>
      <c r="V1512" s="93"/>
      <c r="W1512" s="93"/>
      <c r="X1512" s="93"/>
      <c r="Y1512" s="93"/>
      <c r="AA1512" s="95"/>
      <c r="AB1512" s="121"/>
      <c r="AC1512" s="29" t="str">
        <f t="shared" si="5"/>
        <v>Sim</v>
      </c>
      <c r="AD1512" s="37" t="str">
        <f t="shared" si="1"/>
        <v>Não</v>
      </c>
      <c r="AE1512" s="94"/>
      <c r="AF1512" s="94"/>
      <c r="AG1512" s="95"/>
    </row>
    <row r="1513" hidden="1">
      <c r="A1513" s="115"/>
      <c r="B1513" s="93"/>
      <c r="E1513" s="116"/>
      <c r="F1513" s="95"/>
      <c r="G1513" s="95"/>
      <c r="H1513" s="94"/>
      <c r="I1513" s="94"/>
      <c r="J1513" s="117"/>
      <c r="K1513" s="118"/>
      <c r="L1513" s="119"/>
      <c r="M1513" s="94"/>
      <c r="N1513" s="94"/>
      <c r="O1513" s="93"/>
      <c r="P1513" s="120" t="b">
        <v>0</v>
      </c>
      <c r="Q1513" s="120" t="b">
        <v>0</v>
      </c>
      <c r="R1513" s="120" t="b">
        <v>0</v>
      </c>
      <c r="S1513" s="95"/>
      <c r="U1513" s="120" t="b">
        <v>0</v>
      </c>
      <c r="V1513" s="93"/>
      <c r="W1513" s="93"/>
      <c r="X1513" s="93"/>
      <c r="Y1513" s="93"/>
      <c r="AA1513" s="95"/>
      <c r="AB1513" s="121"/>
      <c r="AC1513" s="29" t="str">
        <f t="shared" si="5"/>
        <v>Sim</v>
      </c>
      <c r="AD1513" s="37" t="str">
        <f t="shared" si="1"/>
        <v>Não</v>
      </c>
      <c r="AE1513" s="94"/>
      <c r="AF1513" s="94"/>
      <c r="AG1513" s="95"/>
    </row>
    <row r="1514" hidden="1">
      <c r="A1514" s="115"/>
      <c r="B1514" s="93"/>
      <c r="E1514" s="116"/>
      <c r="F1514" s="95"/>
      <c r="G1514" s="95"/>
      <c r="H1514" s="94"/>
      <c r="I1514" s="94"/>
      <c r="J1514" s="117"/>
      <c r="K1514" s="118"/>
      <c r="L1514" s="119"/>
      <c r="M1514" s="94"/>
      <c r="N1514" s="94"/>
      <c r="O1514" s="93"/>
      <c r="P1514" s="120" t="b">
        <v>0</v>
      </c>
      <c r="Q1514" s="120" t="b">
        <v>0</v>
      </c>
      <c r="R1514" s="120" t="b">
        <v>0</v>
      </c>
      <c r="S1514" s="95"/>
      <c r="U1514" s="120" t="b">
        <v>0</v>
      </c>
      <c r="V1514" s="93"/>
      <c r="W1514" s="93"/>
      <c r="X1514" s="93"/>
      <c r="Y1514" s="93"/>
      <c r="AA1514" s="95"/>
      <c r="AB1514" s="121"/>
      <c r="AC1514" s="29" t="str">
        <f t="shared" si="5"/>
        <v>Sim</v>
      </c>
      <c r="AD1514" s="37" t="str">
        <f t="shared" si="1"/>
        <v>Não</v>
      </c>
      <c r="AE1514" s="94"/>
      <c r="AF1514" s="94"/>
      <c r="AG1514" s="95"/>
    </row>
    <row r="1515" hidden="1">
      <c r="A1515" s="115"/>
      <c r="B1515" s="93"/>
      <c r="E1515" s="116"/>
      <c r="F1515" s="95"/>
      <c r="G1515" s="95"/>
      <c r="H1515" s="94"/>
      <c r="I1515" s="94"/>
      <c r="J1515" s="117"/>
      <c r="K1515" s="118"/>
      <c r="L1515" s="119"/>
      <c r="M1515" s="94"/>
      <c r="N1515" s="94"/>
      <c r="O1515" s="93"/>
      <c r="P1515" s="120" t="b">
        <v>0</v>
      </c>
      <c r="Q1515" s="120" t="b">
        <v>0</v>
      </c>
      <c r="R1515" s="120" t="b">
        <v>0</v>
      </c>
      <c r="S1515" s="95"/>
      <c r="U1515" s="120" t="b">
        <v>0</v>
      </c>
      <c r="V1515" s="93"/>
      <c r="W1515" s="93"/>
      <c r="X1515" s="93"/>
      <c r="Y1515" s="93"/>
      <c r="AA1515" s="95"/>
      <c r="AB1515" s="121"/>
      <c r="AC1515" s="29" t="str">
        <f t="shared" si="5"/>
        <v>Sim</v>
      </c>
      <c r="AD1515" s="37" t="str">
        <f t="shared" si="1"/>
        <v>Não</v>
      </c>
      <c r="AE1515" s="94"/>
      <c r="AF1515" s="94"/>
      <c r="AG1515" s="95"/>
    </row>
    <row r="1516" hidden="1">
      <c r="A1516" s="115"/>
      <c r="B1516" s="93"/>
      <c r="E1516" s="116"/>
      <c r="F1516" s="95"/>
      <c r="G1516" s="95"/>
      <c r="H1516" s="94"/>
      <c r="I1516" s="94"/>
      <c r="J1516" s="117"/>
      <c r="K1516" s="118"/>
      <c r="L1516" s="119"/>
      <c r="M1516" s="94"/>
      <c r="N1516" s="94"/>
      <c r="O1516" s="93"/>
      <c r="P1516" s="120" t="b">
        <v>0</v>
      </c>
      <c r="Q1516" s="120" t="b">
        <v>0</v>
      </c>
      <c r="R1516" s="120" t="b">
        <v>0</v>
      </c>
      <c r="S1516" s="95"/>
      <c r="U1516" s="120" t="b">
        <v>0</v>
      </c>
      <c r="V1516" s="93"/>
      <c r="W1516" s="93"/>
      <c r="X1516" s="93"/>
      <c r="Y1516" s="93"/>
      <c r="AA1516" s="95"/>
      <c r="AB1516" s="121"/>
      <c r="AC1516" s="29" t="str">
        <f t="shared" si="5"/>
        <v>Sim</v>
      </c>
      <c r="AD1516" s="37" t="str">
        <f t="shared" si="1"/>
        <v>Não</v>
      </c>
      <c r="AE1516" s="94"/>
      <c r="AF1516" s="94"/>
      <c r="AG1516" s="95"/>
    </row>
    <row r="1517" hidden="1">
      <c r="A1517" s="115"/>
      <c r="B1517" s="93"/>
      <c r="E1517" s="116"/>
      <c r="F1517" s="95"/>
      <c r="G1517" s="95"/>
      <c r="H1517" s="94"/>
      <c r="I1517" s="94"/>
      <c r="J1517" s="117"/>
      <c r="K1517" s="118"/>
      <c r="L1517" s="119"/>
      <c r="M1517" s="94"/>
      <c r="N1517" s="94"/>
      <c r="O1517" s="93"/>
      <c r="P1517" s="120" t="b">
        <v>0</v>
      </c>
      <c r="Q1517" s="120" t="b">
        <v>0</v>
      </c>
      <c r="R1517" s="120" t="b">
        <v>0</v>
      </c>
      <c r="S1517" s="95"/>
      <c r="U1517" s="120" t="b">
        <v>0</v>
      </c>
      <c r="V1517" s="93"/>
      <c r="W1517" s="93"/>
      <c r="X1517" s="93"/>
      <c r="Y1517" s="93"/>
      <c r="AA1517" s="95"/>
      <c r="AB1517" s="121"/>
      <c r="AC1517" s="29" t="str">
        <f t="shared" si="5"/>
        <v>Sim</v>
      </c>
      <c r="AD1517" s="37" t="str">
        <f t="shared" si="1"/>
        <v>Não</v>
      </c>
      <c r="AE1517" s="94"/>
      <c r="AF1517" s="94"/>
      <c r="AG1517" s="95"/>
    </row>
    <row r="1518" hidden="1">
      <c r="A1518" s="115"/>
      <c r="B1518" s="93"/>
      <c r="E1518" s="116"/>
      <c r="F1518" s="95"/>
      <c r="G1518" s="95"/>
      <c r="H1518" s="94"/>
      <c r="I1518" s="94"/>
      <c r="J1518" s="117"/>
      <c r="K1518" s="118"/>
      <c r="L1518" s="119"/>
      <c r="M1518" s="94"/>
      <c r="N1518" s="94"/>
      <c r="O1518" s="93"/>
      <c r="P1518" s="120" t="b">
        <v>0</v>
      </c>
      <c r="Q1518" s="120" t="b">
        <v>0</v>
      </c>
      <c r="R1518" s="120" t="b">
        <v>0</v>
      </c>
      <c r="S1518" s="95"/>
      <c r="U1518" s="120" t="b">
        <v>0</v>
      </c>
      <c r="V1518" s="93"/>
      <c r="W1518" s="93"/>
      <c r="X1518" s="93"/>
      <c r="Y1518" s="93"/>
      <c r="AA1518" s="95"/>
      <c r="AB1518" s="121"/>
      <c r="AC1518" s="29" t="str">
        <f t="shared" si="5"/>
        <v>Sim</v>
      </c>
      <c r="AD1518" s="37" t="str">
        <f t="shared" si="1"/>
        <v>Não</v>
      </c>
      <c r="AE1518" s="94"/>
      <c r="AF1518" s="94"/>
      <c r="AG1518" s="95"/>
    </row>
    <row r="1519" hidden="1">
      <c r="A1519" s="115"/>
      <c r="B1519" s="93"/>
      <c r="E1519" s="116"/>
      <c r="F1519" s="95"/>
      <c r="G1519" s="95"/>
      <c r="H1519" s="94"/>
      <c r="I1519" s="94"/>
      <c r="J1519" s="117"/>
      <c r="K1519" s="118"/>
      <c r="L1519" s="119"/>
      <c r="M1519" s="94"/>
      <c r="N1519" s="94"/>
      <c r="O1519" s="93"/>
      <c r="P1519" s="120" t="b">
        <v>0</v>
      </c>
      <c r="Q1519" s="120" t="b">
        <v>0</v>
      </c>
      <c r="R1519" s="120" t="b">
        <v>0</v>
      </c>
      <c r="S1519" s="95"/>
      <c r="U1519" s="120" t="b">
        <v>0</v>
      </c>
      <c r="V1519" s="93"/>
      <c r="W1519" s="93"/>
      <c r="X1519" s="93"/>
      <c r="Y1519" s="93"/>
      <c r="AA1519" s="95"/>
      <c r="AB1519" s="121"/>
      <c r="AC1519" s="29" t="str">
        <f t="shared" si="5"/>
        <v>Sim</v>
      </c>
      <c r="AD1519" s="37" t="str">
        <f t="shared" si="1"/>
        <v>Não</v>
      </c>
      <c r="AE1519" s="94"/>
      <c r="AF1519" s="94"/>
      <c r="AG1519" s="95"/>
    </row>
    <row r="1520" hidden="1">
      <c r="A1520" s="115"/>
      <c r="B1520" s="93"/>
      <c r="E1520" s="116"/>
      <c r="F1520" s="95"/>
      <c r="G1520" s="95"/>
      <c r="H1520" s="94"/>
      <c r="I1520" s="94"/>
      <c r="J1520" s="117"/>
      <c r="K1520" s="118"/>
      <c r="L1520" s="119"/>
      <c r="M1520" s="94"/>
      <c r="N1520" s="94"/>
      <c r="O1520" s="93"/>
      <c r="P1520" s="120" t="b">
        <v>0</v>
      </c>
      <c r="Q1520" s="120" t="b">
        <v>0</v>
      </c>
      <c r="R1520" s="120" t="b">
        <v>0</v>
      </c>
      <c r="S1520" s="95"/>
      <c r="U1520" s="120" t="b">
        <v>0</v>
      </c>
      <c r="V1520" s="93"/>
      <c r="W1520" s="93"/>
      <c r="X1520" s="93"/>
      <c r="Y1520" s="93"/>
      <c r="AA1520" s="95"/>
      <c r="AB1520" s="121"/>
      <c r="AC1520" s="29" t="str">
        <f t="shared" si="5"/>
        <v>Sim</v>
      </c>
      <c r="AD1520" s="37" t="str">
        <f t="shared" si="1"/>
        <v>Não</v>
      </c>
      <c r="AE1520" s="94"/>
      <c r="AF1520" s="94"/>
      <c r="AG1520" s="95"/>
    </row>
    <row r="1521" hidden="1">
      <c r="A1521" s="115"/>
      <c r="B1521" s="93"/>
      <c r="E1521" s="116"/>
      <c r="F1521" s="95"/>
      <c r="G1521" s="95"/>
      <c r="H1521" s="94"/>
      <c r="I1521" s="94"/>
      <c r="J1521" s="117"/>
      <c r="K1521" s="118"/>
      <c r="L1521" s="119"/>
      <c r="M1521" s="94"/>
      <c r="N1521" s="94"/>
      <c r="O1521" s="93"/>
      <c r="P1521" s="120" t="b">
        <v>0</v>
      </c>
      <c r="Q1521" s="120" t="b">
        <v>0</v>
      </c>
      <c r="R1521" s="120" t="b">
        <v>0</v>
      </c>
      <c r="S1521" s="95"/>
      <c r="U1521" s="120" t="b">
        <v>0</v>
      </c>
      <c r="V1521" s="93"/>
      <c r="W1521" s="93"/>
      <c r="X1521" s="93"/>
      <c r="Y1521" s="93"/>
      <c r="AA1521" s="95"/>
      <c r="AB1521" s="121"/>
      <c r="AC1521" s="29" t="str">
        <f t="shared" si="5"/>
        <v>Sim</v>
      </c>
      <c r="AD1521" s="37" t="str">
        <f t="shared" si="1"/>
        <v>Não</v>
      </c>
      <c r="AE1521" s="94"/>
      <c r="AF1521" s="94"/>
      <c r="AG1521" s="95"/>
    </row>
    <row r="1522" hidden="1">
      <c r="A1522" s="115"/>
      <c r="B1522" s="93"/>
      <c r="E1522" s="116"/>
      <c r="F1522" s="95"/>
      <c r="G1522" s="95"/>
      <c r="H1522" s="94"/>
      <c r="I1522" s="94"/>
      <c r="J1522" s="117"/>
      <c r="K1522" s="118"/>
      <c r="L1522" s="119"/>
      <c r="M1522" s="94"/>
      <c r="N1522" s="94"/>
      <c r="O1522" s="93"/>
      <c r="P1522" s="120" t="b">
        <v>0</v>
      </c>
      <c r="Q1522" s="120" t="b">
        <v>0</v>
      </c>
      <c r="R1522" s="120" t="b">
        <v>0</v>
      </c>
      <c r="S1522" s="95"/>
      <c r="U1522" s="120" t="b">
        <v>0</v>
      </c>
      <c r="V1522" s="93"/>
      <c r="W1522" s="93"/>
      <c r="X1522" s="93"/>
      <c r="Y1522" s="93"/>
      <c r="AA1522" s="95"/>
      <c r="AB1522" s="121"/>
      <c r="AC1522" s="29" t="str">
        <f t="shared" si="5"/>
        <v>Sim</v>
      </c>
      <c r="AD1522" s="37" t="str">
        <f t="shared" si="1"/>
        <v>Não</v>
      </c>
      <c r="AE1522" s="94"/>
      <c r="AF1522" s="94"/>
      <c r="AG1522" s="95"/>
    </row>
    <row r="1523" hidden="1">
      <c r="A1523" s="115"/>
      <c r="B1523" s="93"/>
      <c r="E1523" s="116"/>
      <c r="F1523" s="95"/>
      <c r="G1523" s="95"/>
      <c r="H1523" s="94"/>
      <c r="I1523" s="94"/>
      <c r="J1523" s="117"/>
      <c r="K1523" s="118"/>
      <c r="L1523" s="119"/>
      <c r="M1523" s="94"/>
      <c r="N1523" s="94"/>
      <c r="O1523" s="93"/>
      <c r="P1523" s="120" t="b">
        <v>0</v>
      </c>
      <c r="Q1523" s="120" t="b">
        <v>0</v>
      </c>
      <c r="R1523" s="120" t="b">
        <v>0</v>
      </c>
      <c r="S1523" s="95"/>
      <c r="U1523" s="120" t="b">
        <v>0</v>
      </c>
      <c r="V1523" s="93"/>
      <c r="W1523" s="93"/>
      <c r="X1523" s="93"/>
      <c r="Y1523" s="93"/>
      <c r="AA1523" s="95"/>
      <c r="AB1523" s="121"/>
      <c r="AC1523" s="29" t="str">
        <f t="shared" si="5"/>
        <v>Sim</v>
      </c>
      <c r="AD1523" s="37" t="str">
        <f t="shared" si="1"/>
        <v>Não</v>
      </c>
      <c r="AE1523" s="94"/>
      <c r="AF1523" s="94"/>
      <c r="AG1523" s="95"/>
    </row>
    <row r="1524" hidden="1">
      <c r="A1524" s="115"/>
      <c r="B1524" s="93"/>
      <c r="E1524" s="116"/>
      <c r="F1524" s="95"/>
      <c r="G1524" s="95"/>
      <c r="H1524" s="94"/>
      <c r="I1524" s="94"/>
      <c r="J1524" s="117"/>
      <c r="K1524" s="118"/>
      <c r="L1524" s="119"/>
      <c r="M1524" s="94"/>
      <c r="N1524" s="94"/>
      <c r="O1524" s="93"/>
      <c r="P1524" s="120" t="b">
        <v>0</v>
      </c>
      <c r="Q1524" s="120" t="b">
        <v>0</v>
      </c>
      <c r="R1524" s="120" t="b">
        <v>0</v>
      </c>
      <c r="S1524" s="95"/>
      <c r="U1524" s="120" t="b">
        <v>0</v>
      </c>
      <c r="V1524" s="93"/>
      <c r="W1524" s="93"/>
      <c r="X1524" s="93"/>
      <c r="Y1524" s="93"/>
      <c r="AA1524" s="95"/>
      <c r="AB1524" s="121"/>
      <c r="AC1524" s="29" t="str">
        <f t="shared" si="5"/>
        <v>Sim</v>
      </c>
      <c r="AD1524" s="37" t="str">
        <f t="shared" si="1"/>
        <v>Não</v>
      </c>
      <c r="AE1524" s="94"/>
      <c r="AF1524" s="94"/>
      <c r="AG1524" s="95"/>
    </row>
    <row r="1525" hidden="1">
      <c r="A1525" s="115"/>
      <c r="B1525" s="93"/>
      <c r="E1525" s="116"/>
      <c r="F1525" s="95"/>
      <c r="G1525" s="95"/>
      <c r="H1525" s="94"/>
      <c r="I1525" s="94"/>
      <c r="J1525" s="117"/>
      <c r="K1525" s="118"/>
      <c r="L1525" s="119"/>
      <c r="M1525" s="94"/>
      <c r="N1525" s="94"/>
      <c r="O1525" s="93"/>
      <c r="P1525" s="120" t="b">
        <v>0</v>
      </c>
      <c r="Q1525" s="120" t="b">
        <v>0</v>
      </c>
      <c r="R1525" s="120" t="b">
        <v>0</v>
      </c>
      <c r="S1525" s="95"/>
      <c r="U1525" s="120" t="b">
        <v>0</v>
      </c>
      <c r="V1525" s="93"/>
      <c r="W1525" s="93"/>
      <c r="X1525" s="93"/>
      <c r="Y1525" s="93"/>
      <c r="AA1525" s="95"/>
      <c r="AB1525" s="121"/>
      <c r="AC1525" s="29" t="str">
        <f t="shared" si="5"/>
        <v>Sim</v>
      </c>
      <c r="AD1525" s="37" t="str">
        <f t="shared" si="1"/>
        <v>Não</v>
      </c>
      <c r="AE1525" s="94"/>
      <c r="AF1525" s="94"/>
      <c r="AG1525" s="95"/>
    </row>
    <row r="1526" hidden="1">
      <c r="A1526" s="115"/>
      <c r="B1526" s="93"/>
      <c r="E1526" s="116"/>
      <c r="F1526" s="95"/>
      <c r="G1526" s="95"/>
      <c r="H1526" s="94"/>
      <c r="I1526" s="94"/>
      <c r="J1526" s="117"/>
      <c r="K1526" s="118"/>
      <c r="L1526" s="119"/>
      <c r="M1526" s="94"/>
      <c r="N1526" s="94"/>
      <c r="O1526" s="93"/>
      <c r="P1526" s="120" t="b">
        <v>0</v>
      </c>
      <c r="Q1526" s="120" t="b">
        <v>0</v>
      </c>
      <c r="R1526" s="120" t="b">
        <v>0</v>
      </c>
      <c r="S1526" s="95"/>
      <c r="U1526" s="120" t="b">
        <v>0</v>
      </c>
      <c r="V1526" s="93"/>
      <c r="W1526" s="93"/>
      <c r="X1526" s="93"/>
      <c r="Y1526" s="93"/>
      <c r="AA1526" s="95"/>
      <c r="AB1526" s="121"/>
      <c r="AC1526" s="29" t="str">
        <f t="shared" si="5"/>
        <v>Sim</v>
      </c>
      <c r="AD1526" s="37" t="str">
        <f t="shared" si="1"/>
        <v>Não</v>
      </c>
      <c r="AE1526" s="94"/>
      <c r="AF1526" s="94"/>
      <c r="AG1526" s="95"/>
    </row>
    <row r="1527" hidden="1">
      <c r="A1527" s="115"/>
      <c r="B1527" s="93"/>
      <c r="E1527" s="116"/>
      <c r="F1527" s="95"/>
      <c r="G1527" s="95"/>
      <c r="H1527" s="94"/>
      <c r="I1527" s="94"/>
      <c r="J1527" s="117"/>
      <c r="K1527" s="118"/>
      <c r="L1527" s="119"/>
      <c r="M1527" s="94"/>
      <c r="N1527" s="94"/>
      <c r="O1527" s="93"/>
      <c r="P1527" s="120" t="b">
        <v>0</v>
      </c>
      <c r="Q1527" s="120" t="b">
        <v>0</v>
      </c>
      <c r="R1527" s="120" t="b">
        <v>0</v>
      </c>
      <c r="S1527" s="95"/>
      <c r="U1527" s="120" t="b">
        <v>0</v>
      </c>
      <c r="V1527" s="93"/>
      <c r="W1527" s="93"/>
      <c r="X1527" s="93"/>
      <c r="Y1527" s="93"/>
      <c r="AA1527" s="95"/>
      <c r="AB1527" s="121"/>
      <c r="AC1527" s="29" t="str">
        <f t="shared" si="5"/>
        <v>Sim</v>
      </c>
      <c r="AD1527" s="37" t="str">
        <f t="shared" si="1"/>
        <v>Não</v>
      </c>
      <c r="AE1527" s="94"/>
      <c r="AF1527" s="94"/>
      <c r="AG1527" s="95"/>
    </row>
    <row r="1528" hidden="1">
      <c r="A1528" s="115"/>
      <c r="B1528" s="93"/>
      <c r="E1528" s="116"/>
      <c r="F1528" s="95"/>
      <c r="G1528" s="95"/>
      <c r="H1528" s="94"/>
      <c r="I1528" s="94"/>
      <c r="J1528" s="117"/>
      <c r="K1528" s="88"/>
      <c r="L1528" s="119"/>
      <c r="M1528" s="94"/>
      <c r="N1528" s="94"/>
      <c r="O1528" s="93"/>
      <c r="P1528" s="120" t="b">
        <v>0</v>
      </c>
      <c r="Q1528" s="120" t="b">
        <v>0</v>
      </c>
      <c r="R1528" s="120" t="b">
        <v>0</v>
      </c>
      <c r="S1528" s="95"/>
      <c r="U1528" s="120" t="b">
        <v>0</v>
      </c>
      <c r="V1528" s="93"/>
      <c r="W1528" s="93"/>
      <c r="X1528" s="93"/>
      <c r="Y1528" s="93"/>
      <c r="AA1528" s="95"/>
      <c r="AB1528" s="121"/>
      <c r="AC1528" s="29" t="str">
        <f t="shared" si="5"/>
        <v>Sim</v>
      </c>
      <c r="AD1528" s="37" t="str">
        <f t="shared" si="1"/>
        <v>Não</v>
      </c>
      <c r="AE1528" s="94"/>
      <c r="AF1528" s="94"/>
      <c r="AG1528" s="95"/>
    </row>
    <row r="1529" hidden="1">
      <c r="A1529" s="115"/>
      <c r="B1529" s="93"/>
      <c r="E1529" s="116"/>
      <c r="F1529" s="95"/>
      <c r="G1529" s="95"/>
      <c r="H1529" s="94"/>
      <c r="I1529" s="94"/>
      <c r="J1529" s="117"/>
      <c r="K1529" s="118"/>
      <c r="L1529" s="119"/>
      <c r="M1529" s="94"/>
      <c r="N1529" s="94"/>
      <c r="O1529" s="93"/>
      <c r="P1529" s="120" t="b">
        <v>0</v>
      </c>
      <c r="Q1529" s="120" t="b">
        <v>0</v>
      </c>
      <c r="R1529" s="120" t="b">
        <v>0</v>
      </c>
      <c r="S1529" s="95"/>
      <c r="U1529" s="120" t="b">
        <v>0</v>
      </c>
      <c r="V1529" s="93"/>
      <c r="W1529" s="93"/>
      <c r="X1529" s="93"/>
      <c r="Y1529" s="93"/>
      <c r="AA1529" s="95"/>
      <c r="AB1529" s="121"/>
      <c r="AC1529" s="29" t="str">
        <f t="shared" si="5"/>
        <v>Sim</v>
      </c>
      <c r="AD1529" s="37" t="str">
        <f t="shared" si="1"/>
        <v>Não</v>
      </c>
      <c r="AE1529" s="94"/>
      <c r="AF1529" s="94"/>
      <c r="AG1529" s="95"/>
    </row>
    <row r="1530" hidden="1">
      <c r="A1530" s="115"/>
      <c r="B1530" s="93"/>
      <c r="E1530" s="116"/>
      <c r="F1530" s="95"/>
      <c r="G1530" s="95"/>
      <c r="H1530" s="94"/>
      <c r="I1530" s="94"/>
      <c r="J1530" s="117"/>
      <c r="K1530" s="118"/>
      <c r="L1530" s="123"/>
      <c r="M1530" s="94"/>
      <c r="N1530" s="94"/>
      <c r="O1530" s="120"/>
      <c r="P1530" s="120" t="b">
        <v>0</v>
      </c>
      <c r="Q1530" s="120" t="b">
        <v>0</v>
      </c>
      <c r="R1530" s="120" t="b">
        <v>0</v>
      </c>
      <c r="S1530" s="95"/>
      <c r="U1530" s="120" t="b">
        <v>0</v>
      </c>
      <c r="V1530" s="93"/>
      <c r="W1530" s="93"/>
      <c r="X1530" s="93"/>
      <c r="Y1530" s="93"/>
      <c r="AA1530" s="95"/>
      <c r="AB1530" s="121"/>
      <c r="AC1530" s="29" t="str">
        <f t="shared" si="5"/>
        <v>Sim</v>
      </c>
      <c r="AD1530" s="37" t="str">
        <f t="shared" si="1"/>
        <v>Não</v>
      </c>
      <c r="AE1530" s="38">
        <f t="shared" ref="AE1530:AE1533" si="47">K1530-H1530</f>
        <v>0</v>
      </c>
      <c r="AF1530" s="94"/>
      <c r="AG1530" s="95"/>
    </row>
    <row r="1531" hidden="1">
      <c r="A1531" s="115"/>
      <c r="B1531" s="93"/>
      <c r="E1531" s="116"/>
      <c r="F1531" s="95"/>
      <c r="G1531" s="95"/>
      <c r="H1531" s="94"/>
      <c r="I1531" s="94"/>
      <c r="J1531" s="117"/>
      <c r="K1531" s="118"/>
      <c r="L1531" s="123"/>
      <c r="M1531" s="94"/>
      <c r="N1531" s="94"/>
      <c r="O1531" s="120"/>
      <c r="P1531" s="120" t="b">
        <v>0</v>
      </c>
      <c r="Q1531" s="120" t="b">
        <v>0</v>
      </c>
      <c r="R1531" s="120" t="b">
        <v>0</v>
      </c>
      <c r="S1531" s="95"/>
      <c r="U1531" s="120" t="b">
        <v>0</v>
      </c>
      <c r="V1531" s="93"/>
      <c r="W1531" s="93"/>
      <c r="X1531" s="93"/>
      <c r="Y1531" s="93"/>
      <c r="AA1531" s="95"/>
      <c r="AB1531" s="121"/>
      <c r="AC1531" s="29" t="str">
        <f t="shared" si="5"/>
        <v>Sim</v>
      </c>
      <c r="AD1531" s="37" t="str">
        <f t="shared" si="1"/>
        <v>Não</v>
      </c>
      <c r="AE1531" s="38">
        <f t="shared" si="47"/>
        <v>0</v>
      </c>
      <c r="AF1531" s="94"/>
      <c r="AG1531" s="95"/>
    </row>
    <row r="1532" hidden="1">
      <c r="A1532" s="115"/>
      <c r="B1532" s="93"/>
      <c r="E1532" s="116"/>
      <c r="F1532" s="95"/>
      <c r="G1532" s="95"/>
      <c r="H1532" s="94"/>
      <c r="I1532" s="94"/>
      <c r="J1532" s="117"/>
      <c r="K1532" s="118"/>
      <c r="L1532" s="123"/>
      <c r="M1532" s="94"/>
      <c r="N1532" s="94"/>
      <c r="O1532" s="120"/>
      <c r="P1532" s="120" t="b">
        <v>0</v>
      </c>
      <c r="Q1532" s="120" t="b">
        <v>0</v>
      </c>
      <c r="R1532" s="120" t="b">
        <v>0</v>
      </c>
      <c r="S1532" s="95"/>
      <c r="U1532" s="120" t="b">
        <v>0</v>
      </c>
      <c r="V1532" s="93"/>
      <c r="W1532" s="93"/>
      <c r="X1532" s="93"/>
      <c r="Y1532" s="93"/>
      <c r="AA1532" s="95"/>
      <c r="AB1532" s="121"/>
      <c r="AC1532" s="29" t="str">
        <f t="shared" si="5"/>
        <v>Sim</v>
      </c>
      <c r="AD1532" s="37" t="str">
        <f t="shared" si="1"/>
        <v>Não</v>
      </c>
      <c r="AE1532" s="38">
        <f t="shared" si="47"/>
        <v>0</v>
      </c>
      <c r="AF1532" s="94"/>
      <c r="AG1532" s="95"/>
    </row>
    <row r="1533" hidden="1">
      <c r="A1533" s="115"/>
      <c r="B1533" s="93"/>
      <c r="E1533" s="116"/>
      <c r="F1533" s="95"/>
      <c r="G1533" s="95"/>
      <c r="H1533" s="94"/>
      <c r="I1533" s="94"/>
      <c r="J1533" s="117"/>
      <c r="K1533" s="118"/>
      <c r="L1533" s="123"/>
      <c r="M1533" s="94"/>
      <c r="N1533" s="94"/>
      <c r="O1533" s="120"/>
      <c r="P1533" s="120" t="b">
        <v>0</v>
      </c>
      <c r="Q1533" s="120" t="b">
        <v>0</v>
      </c>
      <c r="R1533" s="120" t="b">
        <v>0</v>
      </c>
      <c r="S1533" s="95"/>
      <c r="U1533" s="120" t="b">
        <v>0</v>
      </c>
      <c r="V1533" s="93"/>
      <c r="W1533" s="93"/>
      <c r="X1533" s="93"/>
      <c r="Y1533" s="93"/>
      <c r="AA1533" s="95"/>
      <c r="AB1533" s="121"/>
      <c r="AC1533" s="29" t="str">
        <f t="shared" si="5"/>
        <v>Sim</v>
      </c>
      <c r="AD1533" s="37" t="str">
        <f t="shared" si="1"/>
        <v>Não</v>
      </c>
      <c r="AE1533" s="38">
        <f t="shared" si="47"/>
        <v>0</v>
      </c>
      <c r="AF1533" s="94"/>
      <c r="AG1533" s="95"/>
    </row>
    <row r="1534" hidden="1">
      <c r="A1534" s="115"/>
      <c r="B1534" s="93"/>
      <c r="E1534" s="116"/>
      <c r="F1534" s="95"/>
      <c r="G1534" s="95"/>
      <c r="H1534" s="94"/>
      <c r="I1534" s="94"/>
      <c r="J1534" s="117"/>
      <c r="K1534" s="118"/>
      <c r="L1534" s="123"/>
      <c r="M1534" s="94"/>
      <c r="N1534" s="94"/>
      <c r="O1534" s="120"/>
      <c r="P1534" s="120" t="b">
        <v>0</v>
      </c>
      <c r="Q1534" s="120" t="b">
        <v>0</v>
      </c>
      <c r="R1534" s="120" t="b">
        <v>0</v>
      </c>
      <c r="S1534" s="95"/>
      <c r="U1534" s="120" t="b">
        <v>0</v>
      </c>
      <c r="V1534" s="93"/>
      <c r="W1534" s="93"/>
      <c r="X1534" s="93"/>
      <c r="Y1534" s="93"/>
      <c r="AA1534" s="95"/>
      <c r="AB1534" s="121"/>
      <c r="AC1534" s="29" t="str">
        <f t="shared" si="5"/>
        <v>Sim</v>
      </c>
      <c r="AD1534" s="37" t="str">
        <f t="shared" si="1"/>
        <v>Não</v>
      </c>
      <c r="AE1534" s="124"/>
      <c r="AF1534" s="94"/>
      <c r="AG1534" s="95"/>
    </row>
    <row r="1535" hidden="1">
      <c r="A1535" s="115"/>
      <c r="B1535" s="93"/>
      <c r="E1535" s="116"/>
      <c r="F1535" s="95"/>
      <c r="G1535" s="95"/>
      <c r="H1535" s="94"/>
      <c r="I1535" s="94"/>
      <c r="J1535" s="117"/>
      <c r="K1535" s="118"/>
      <c r="L1535" s="123"/>
      <c r="M1535" s="94"/>
      <c r="N1535" s="94"/>
      <c r="O1535" s="120"/>
      <c r="P1535" s="120" t="b">
        <v>0</v>
      </c>
      <c r="Q1535" s="120" t="b">
        <v>0</v>
      </c>
      <c r="R1535" s="120" t="b">
        <v>0</v>
      </c>
      <c r="S1535" s="95"/>
      <c r="U1535" s="120" t="b">
        <v>0</v>
      </c>
      <c r="V1535" s="93"/>
      <c r="W1535" s="93"/>
      <c r="X1535" s="93"/>
      <c r="Y1535" s="93"/>
      <c r="AA1535" s="95"/>
      <c r="AB1535" s="121"/>
      <c r="AC1535" s="29" t="str">
        <f t="shared" si="5"/>
        <v>Sim</v>
      </c>
      <c r="AD1535" s="37" t="str">
        <f t="shared" si="1"/>
        <v>Não</v>
      </c>
      <c r="AE1535" s="124"/>
      <c r="AF1535" s="94"/>
      <c r="AG1535" s="95"/>
    </row>
    <row r="1536" hidden="1">
      <c r="A1536" s="115"/>
      <c r="B1536" s="93"/>
      <c r="E1536" s="116"/>
      <c r="F1536" s="95"/>
      <c r="G1536" s="95"/>
      <c r="H1536" s="94"/>
      <c r="I1536" s="94"/>
      <c r="J1536" s="117"/>
      <c r="K1536" s="118"/>
      <c r="L1536" s="123"/>
      <c r="M1536" s="94"/>
      <c r="N1536" s="94"/>
      <c r="O1536" s="120"/>
      <c r="P1536" s="120" t="b">
        <v>0</v>
      </c>
      <c r="Q1536" s="120" t="b">
        <v>0</v>
      </c>
      <c r="R1536" s="120" t="b">
        <v>0</v>
      </c>
      <c r="S1536" s="95"/>
      <c r="U1536" s="120" t="b">
        <v>0</v>
      </c>
      <c r="V1536" s="93"/>
      <c r="W1536" s="93"/>
      <c r="X1536" s="93"/>
      <c r="Y1536" s="93"/>
      <c r="AA1536" s="95"/>
      <c r="AB1536" s="121"/>
      <c r="AC1536" s="29" t="str">
        <f t="shared" si="5"/>
        <v>Sim</v>
      </c>
      <c r="AD1536" s="37" t="str">
        <f t="shared" si="1"/>
        <v>Não</v>
      </c>
      <c r="AE1536" s="124"/>
      <c r="AF1536" s="94"/>
      <c r="AG1536" s="95"/>
    </row>
    <row r="1537" hidden="1">
      <c r="A1537" s="115"/>
      <c r="B1537" s="93"/>
      <c r="E1537" s="116"/>
      <c r="F1537" s="95"/>
      <c r="G1537" s="95"/>
      <c r="H1537" s="94"/>
      <c r="I1537" s="94"/>
      <c r="J1537" s="117"/>
      <c r="K1537" s="118"/>
      <c r="L1537" s="123"/>
      <c r="M1537" s="94"/>
      <c r="N1537" s="94"/>
      <c r="O1537" s="120"/>
      <c r="P1537" s="120" t="b">
        <v>0</v>
      </c>
      <c r="Q1537" s="120" t="b">
        <v>0</v>
      </c>
      <c r="R1537" s="120" t="b">
        <v>0</v>
      </c>
      <c r="S1537" s="95"/>
      <c r="U1537" s="120" t="b">
        <v>0</v>
      </c>
      <c r="V1537" s="93"/>
      <c r="W1537" s="93"/>
      <c r="X1537" s="93"/>
      <c r="Y1537" s="93"/>
      <c r="AA1537" s="95"/>
      <c r="AB1537" s="121"/>
      <c r="AC1537" s="29" t="str">
        <f t="shared" si="5"/>
        <v>Sim</v>
      </c>
      <c r="AD1537" s="37" t="str">
        <f t="shared" si="1"/>
        <v>Não</v>
      </c>
      <c r="AE1537" s="124"/>
      <c r="AF1537" s="94"/>
      <c r="AG1537" s="95"/>
    </row>
    <row r="1538" hidden="1">
      <c r="A1538" s="115"/>
      <c r="B1538" s="93"/>
      <c r="E1538" s="116"/>
      <c r="F1538" s="95"/>
      <c r="G1538" s="95"/>
      <c r="H1538" s="94"/>
      <c r="I1538" s="94"/>
      <c r="J1538" s="117"/>
      <c r="K1538" s="118"/>
      <c r="L1538" s="123"/>
      <c r="M1538" s="94"/>
      <c r="N1538" s="94"/>
      <c r="O1538" s="120"/>
      <c r="P1538" s="120" t="b">
        <v>0</v>
      </c>
      <c r="Q1538" s="120" t="b">
        <v>0</v>
      </c>
      <c r="R1538" s="120" t="b">
        <v>0</v>
      </c>
      <c r="S1538" s="95"/>
      <c r="U1538" s="120" t="b">
        <v>0</v>
      </c>
      <c r="V1538" s="93"/>
      <c r="W1538" s="93"/>
      <c r="X1538" s="93"/>
      <c r="Y1538" s="93"/>
      <c r="AA1538" s="95"/>
      <c r="AB1538" s="121"/>
      <c r="AC1538" s="29" t="str">
        <f t="shared" si="5"/>
        <v>Sim</v>
      </c>
      <c r="AD1538" s="37" t="str">
        <f t="shared" si="1"/>
        <v>Não</v>
      </c>
      <c r="AE1538" s="124"/>
      <c r="AF1538" s="94"/>
      <c r="AG1538" s="95"/>
    </row>
  </sheetData>
  <autoFilter ref="$A$1:$AG$1538">
    <filterColumn colId="1">
      <filters>
        <filter val="NDados"/>
      </filters>
    </filterColumn>
  </autoFilter>
  <customSheetViews>
    <customSheetView guid="{E59F5519-B67E-4C04-A925-282050259A5B}" filter="1" showAutoFilter="1">
      <autoFilter ref="$A$1:$AG$1538">
        <filterColumn colId="1">
          <filters>
            <filter val="NTec"/>
          </filters>
        </filterColumn>
      </autoFilter>
    </customSheetView>
  </customSheetViews>
  <conditionalFormatting sqref="O7">
    <cfRule type="colorScale" priority="1">
      <colorScale>
        <cfvo type="min"/>
        <cfvo type="max"/>
        <color rgb="FF57BB8A"/>
        <color rgb="FFFFFFFF"/>
      </colorScale>
    </cfRule>
  </conditionalFormatting>
  <conditionalFormatting sqref="S2:T1538 U2:U24 AG2:AG248 V26 U260:U1538">
    <cfRule type="cellIs" dxfId="2" priority="2" operator="equal">
      <formula>10</formula>
    </cfRule>
  </conditionalFormatting>
  <conditionalFormatting sqref="S2:T1538 U2:U24 AG2:AG248 V26 U260:U1538">
    <cfRule type="cellIs" dxfId="3" priority="3" operator="equal">
      <formula>9</formula>
    </cfRule>
  </conditionalFormatting>
  <conditionalFormatting sqref="S2:T1538 U2:U24 AG2:AG248 V26 U260:U1538">
    <cfRule type="cellIs" dxfId="4" priority="4" operator="equal">
      <formula>8</formula>
    </cfRule>
  </conditionalFormatting>
  <conditionalFormatting sqref="S2:T1538 U2:U24 AG2:AG248 V26 U260:U1538">
    <cfRule type="cellIs" dxfId="4" priority="5" operator="equal">
      <formula>7</formula>
    </cfRule>
  </conditionalFormatting>
  <conditionalFormatting sqref="S2:T1538 U2:U24 AG2:AG248 V26 U260:U1538">
    <cfRule type="cellIs" dxfId="5" priority="6" operator="between">
      <formula>-1</formula>
      <formula>7</formula>
    </cfRule>
  </conditionalFormatting>
  <conditionalFormatting sqref="K91">
    <cfRule type="notContainsBlanks" dxfId="0" priority="7">
      <formula>LEN(TRIM(K91))&gt;0</formula>
    </cfRule>
  </conditionalFormatting>
  <conditionalFormatting sqref="B90">
    <cfRule type="notContainsBlanks" dxfId="0" priority="8">
      <formula>LEN(TRIM(B90))&gt;0</formula>
    </cfRule>
  </conditionalFormatting>
  <dataValidations>
    <dataValidation type="list" allowBlank="1" showErrorMessage="1" sqref="B2:B1538">
      <formula1>"NCiv,NCon,NDados,NTec"</formula1>
    </dataValidation>
    <dataValidation type="list" allowBlank="1" showErrorMessage="1" sqref="O2:O1538">
      <formula1>"Executando,Congelado,Finalizado,Concluído,A Iniciar,Concluindo pendências,Concluído (Extensão)"</formula1>
    </dataValidation>
    <dataValidation type="list" allowBlank="1" showErrorMessage="1" sqref="V2:Y23 V24:Z24 V25:Y25 W26:Y26 V27:Y28 W29:Y30 V31:X31 W32:Y32 V33:Y36 W37:Y37 V38:Y39 W40:Y43 V44:Y44 W45:Y50 W51:Z51 V52:Y52 W53:Y56 V57:Y185 V186:Z186 V187:Y1538">
      <formula1>Membros!$A$2:$A1538</formula1>
    </dataValidation>
    <dataValidation type="custom" allowBlank="1" showDropDown="1" showInputMessage="1" prompt="Enter a valid date" sqref="K89">
      <formula1>OR(NOT(ISERROR(DATEVALUE(K89))), AND(ISNUMBER(K89), LEFT(CELL("format", K89))="D"))</formula1>
    </dataValidation>
    <dataValidation type="custom" allowBlank="1" showDropDown="1" sqref="N58:N89 N124 N136 N139 N144:N146">
      <formula1>OR(NOT(ISERROR(DATEVALUE(N58))), AND(ISNUMBER(N58), LEFT(CELL("format", N58))="D"))</formula1>
    </dataValidation>
    <dataValidation type="list" allowBlank="1" showErrorMessage="1" sqref="J2:J1538">
      <formula1>"Coordenável,Autocoordenável"</formula1>
    </dataValidation>
  </dataValidation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325E"/>
    <outlinePr summaryBelow="0" summaryRight="0"/>
  </sheetPr>
  <sheetViews>
    <sheetView showGridLines="0" workbookViewId="0"/>
  </sheetViews>
  <sheetFormatPr customHeight="1" defaultColWidth="12.63" defaultRowHeight="15.75"/>
  <cols>
    <col customWidth="1" min="2" max="2" width="25.38"/>
  </cols>
  <sheetData>
    <row r="1">
      <c r="C1" s="96"/>
      <c r="D1" s="96"/>
    </row>
    <row r="2">
      <c r="B2" s="125" t="s">
        <v>367</v>
      </c>
      <c r="J2" s="126" t="s">
        <v>44</v>
      </c>
      <c r="K2" s="126" t="s">
        <v>116</v>
      </c>
      <c r="L2" s="126" t="s">
        <v>187</v>
      </c>
      <c r="M2" s="126" t="s">
        <v>36</v>
      </c>
      <c r="N2" s="126" t="s">
        <v>368</v>
      </c>
      <c r="P2" s="125" t="s">
        <v>369</v>
      </c>
    </row>
    <row r="3">
      <c r="B3" s="127"/>
      <c r="C3" s="125" t="s">
        <v>370</v>
      </c>
      <c r="D3" s="125" t="s">
        <v>371</v>
      </c>
      <c r="E3" s="125" t="s">
        <v>372</v>
      </c>
      <c r="F3" s="125" t="s">
        <v>371</v>
      </c>
      <c r="I3" s="128" t="s">
        <v>373</v>
      </c>
      <c r="J3" s="120">
        <f>'Dash NPS'!C8</f>
        <v>1</v>
      </c>
      <c r="K3" s="120">
        <f>'Dash NPS'!F8</f>
        <v>0</v>
      </c>
      <c r="L3" s="120">
        <f>'Dash NPS'!I8</f>
        <v>1</v>
      </c>
      <c r="M3" s="120">
        <f>'Dash NPS'!L8</f>
        <v>0</v>
      </c>
      <c r="N3" s="120">
        <f t="shared" ref="N3:N5" si="1">SUM(J3:M3)</f>
        <v>2</v>
      </c>
      <c r="P3" s="127"/>
      <c r="Q3" s="125" t="s">
        <v>374</v>
      </c>
      <c r="R3" s="125" t="s">
        <v>371</v>
      </c>
      <c r="S3" s="125" t="s">
        <v>375</v>
      </c>
      <c r="T3" s="125" t="s">
        <v>371</v>
      </c>
      <c r="U3" s="125" t="s">
        <v>376</v>
      </c>
      <c r="V3" s="125" t="s">
        <v>371</v>
      </c>
    </row>
    <row r="4">
      <c r="B4" s="126" t="s">
        <v>44</v>
      </c>
      <c r="C4" s="129">
        <f>C12</f>
        <v>0.5555555556</v>
      </c>
      <c r="D4" s="130">
        <v>0.82</v>
      </c>
      <c r="E4" s="131">
        <f>C15</f>
        <v>0.1578947368</v>
      </c>
      <c r="F4" s="130">
        <v>0.75</v>
      </c>
      <c r="I4" s="132" t="s">
        <v>377</v>
      </c>
      <c r="J4" s="120">
        <f>'Dash NPS'!C9</f>
        <v>2</v>
      </c>
      <c r="K4" s="120">
        <f>'Dash NPS'!F9</f>
        <v>8</v>
      </c>
      <c r="L4" s="120">
        <f>'Dash NPS'!I9</f>
        <v>6</v>
      </c>
      <c r="M4" s="120">
        <f>'Dash NPS'!L9</f>
        <v>2</v>
      </c>
      <c r="N4" s="120">
        <f t="shared" si="1"/>
        <v>18</v>
      </c>
      <c r="P4" s="126" t="s">
        <v>44</v>
      </c>
      <c r="Q4" s="129">
        <f>IFERROR(
    (COUNTIFS(Base!$B:$B, P4, Base!$S:$S, "&gt;8", Base!$N:$N, "&gt;="&amp;DATE(2024,4,1), Base!$N:$N, "&lt;="&amp;DATE(2024,6,30)) - 
     COUNTIFS(Base!$B:$B, P4, Base!$S:$S, "&lt;7", Base!$N:$N, "&gt;="&amp;DATE(2024,4,1), Base!$N:$N, "&lt;="&amp;DATE(2024,6,30))) / 
     COUNTIFS(Base!$B:$B, P4, Base!$S:$S, "&lt;&gt;", Base!$N:$N, "&gt;="&amp;DATE(2024,4,1), Base!$N:$N, "&lt;="&amp;DATE(2024,6,30)), 
0)
</f>
        <v>0.3333333333</v>
      </c>
      <c r="R4" s="130"/>
      <c r="S4" s="131">
        <f>COUNTIFS(Base!$B:$B, P4, Base!$N:$N, "&gt;="&amp;DATE(2024,4,1), Base!$N:$N, "&lt;="&amp;DATE(2024,6,30), Base!$S:$S, "&lt;&gt;", Base!$Q:$Q,"FALSE")
/
(COUNTIFS(Base!$B:$B, P4, Base!$N:$N, "&gt;="&amp;DATE(2024,4,1), Base!$N:$N, "&lt;="&amp;DATE(2024,6,30), Base!$O:$O, "Finalizado", Base!$Q:$Q,"FALSE")
+ COUNTIFS(Base!$B:$B, P4, Base!$N:$N, "&gt;="&amp;DATE(2024,4,1), Base!$N:$N, "&lt;="&amp;DATE(2024,6,30), Base!$O:$O, "Concluído", Base!$Q:$Q,"FALSE"))</f>
        <v>0.6666666667</v>
      </c>
      <c r="T4" s="130"/>
      <c r="U4" s="133">
        <f>COUNTIFS(Base!$B:$B, P4, Base!$N:$N, "&gt;="&amp;DATE(2024,4,1), Base!$N:$N, "&lt;="&amp;DATE(2024,6,30), Base!$R:$R, "TRUE")
/
(COUNTIFS(Base!$B:$B, P4, Base!$N:$N, "&gt;="&amp;DATE(2024,4,1), Base!$N:$N, "&lt;="&amp;DATE(2024,6,30), Base!$O:$O, "Finalizado")
+ COUNTIFS(Base!$B:$B, P4, Base!$N:$N, "&gt;="&amp;DATE(2024,4,1), Base!$N:$N, "&lt;="&amp;DATE(2024,6,30), Base!$O:$O, "Concluído"))</f>
        <v>1</v>
      </c>
    </row>
    <row r="5">
      <c r="B5" s="126" t="s">
        <v>116</v>
      </c>
      <c r="C5" s="131">
        <f>D12</f>
        <v>0.7333333333</v>
      </c>
      <c r="D5" s="130">
        <v>0.89</v>
      </c>
      <c r="E5" s="131">
        <f>D15</f>
        <v>0.25</v>
      </c>
      <c r="F5" s="130">
        <v>0.5</v>
      </c>
      <c r="I5" s="134" t="s">
        <v>378</v>
      </c>
      <c r="J5" s="120">
        <f>'Dash NPS'!C10</f>
        <v>6</v>
      </c>
      <c r="K5" s="120">
        <f>'Dash NPS'!F10</f>
        <v>22</v>
      </c>
      <c r="L5" s="120">
        <f>'Dash NPS'!I10</f>
        <v>14</v>
      </c>
      <c r="M5" s="120">
        <f>'Dash NPS'!L10</f>
        <v>9</v>
      </c>
      <c r="N5" s="120">
        <f t="shared" si="1"/>
        <v>51</v>
      </c>
      <c r="P5" s="126" t="s">
        <v>116</v>
      </c>
      <c r="Q5" s="129">
        <f>IFERROR(
    (COUNTIFS(Base!$B:$B, P5, Base!$S:$S, "&gt;8", Base!$N:$N, "&gt;="&amp;DATE(2024,4,1), Base!$N:$N, "&lt;="&amp;DATE(2024,6,30)) - 
     COUNTIFS(Base!$B:$B, P5, Base!$S:$S, "&lt;7", Base!$N:$N, "&gt;="&amp;DATE(2024,4,1), Base!$N:$N, "&lt;="&amp;DATE(2024,6,30))) / 
     COUNTIFS(Base!$B:$B, P5, Base!$S:$S, "&lt;&gt;", Base!$N:$N, "&gt;="&amp;DATE(2024,4,1), Base!$N:$N, "&lt;="&amp;DATE(2024,6,30)), 
0)
</f>
        <v>0.8</v>
      </c>
      <c r="R5" s="130"/>
      <c r="S5" s="131">
        <f>COUNTIFS(Base!$B:$B, P5, Base!$N:$N, "&gt;="&amp;DATE(2024,4,1), Base!$N:$N, "&lt;="&amp;DATE(2024,6,30), Base!$S:$S, "&lt;&gt;", Base!$Q:$Q,"FALSE")
/
(COUNTIFS(Base!$B:$B, P5, Base!$N:$N, "&gt;="&amp;DATE(2024,4,1), Base!$N:$N, "&lt;="&amp;DATE(2024,6,30), Base!$O:$O, "Finalizado", Base!$Q:$Q,"FALSE")
+ COUNTIFS(Base!$B:$B, P5, Base!$N:$N, "&gt;="&amp;DATE(2024,4,1), Base!$N:$N, "&lt;="&amp;DATE(2024,6,30), Base!$O:$O, "Concluído", Base!$Q:$Q,"FALSE"))</f>
        <v>0.5882352941</v>
      </c>
      <c r="T5" s="130"/>
      <c r="U5" s="133">
        <f>COUNTIFS(Base!$B:$B, P5, Base!$N:$N, "&gt;="&amp;DATE(2024,4,1), Base!$N:$N, "&lt;="&amp;DATE(2024,6,30), Base!$R:$R, "TRUE")
/
(COUNTIFS(Base!$B:$B, P5, Base!$N:$N, "&gt;="&amp;DATE(2024,4,1), Base!$N:$N, "&lt;="&amp;DATE(2024,6,30), Base!$O:$O, "Finalizado")
+ COUNTIFS(Base!$B:$B, P5, Base!$N:$N, "&gt;="&amp;DATE(2024,4,1), Base!$N:$N, "&lt;="&amp;DATE(2024,6,30), Base!$O:$O, "Concluído"))</f>
        <v>0.7777777778</v>
      </c>
    </row>
    <row r="6">
      <c r="B6" s="126" t="s">
        <v>187</v>
      </c>
      <c r="C6" s="131">
        <f>E12</f>
        <v>0.619047619</v>
      </c>
      <c r="D6" s="130">
        <v>0.82</v>
      </c>
      <c r="E6" s="131">
        <f>E15</f>
        <v>0.2142857143</v>
      </c>
      <c r="F6" s="130">
        <v>0.4</v>
      </c>
      <c r="I6" s="126" t="s">
        <v>379</v>
      </c>
      <c r="J6" s="131">
        <f t="shared" ref="J6:N6" si="2">(J5-J3)/SUM(J3:J5)</f>
        <v>0.5555555556</v>
      </c>
      <c r="K6" s="131">
        <f t="shared" si="2"/>
        <v>0.7333333333</v>
      </c>
      <c r="L6" s="131">
        <f t="shared" si="2"/>
        <v>0.619047619</v>
      </c>
      <c r="M6" s="131">
        <f t="shared" si="2"/>
        <v>0.8181818182</v>
      </c>
      <c r="N6" s="131">
        <f t="shared" si="2"/>
        <v>0.6901408451</v>
      </c>
      <c r="P6" s="126" t="s">
        <v>187</v>
      </c>
      <c r="Q6" s="129">
        <f>IFERROR(
    (COUNTIFS(Base!$B:$B, P6, Base!$S:$S, "&gt;8", Base!$N:$N, "&gt;="&amp;DATE(2024,4,1), Base!$N:$N, "&lt;="&amp;DATE(2024,6,30)) - 
     COUNTIFS(Base!$B:$B, P6, Base!$S:$S, "&lt;7", Base!$N:$N, "&gt;="&amp;DATE(2024,4,1), Base!$N:$N, "&lt;="&amp;DATE(2024,6,30))) / 
     COUNTIFS(Base!$B:$B, P6, Base!$S:$S, "&lt;&gt;", Base!$N:$N, "&gt;="&amp;DATE(2024,4,1), Base!$N:$N, "&lt;="&amp;DATE(2024,6,30)), 
0)
</f>
        <v>0.6</v>
      </c>
      <c r="R6" s="130"/>
      <c r="S6" s="131">
        <f>COUNTIFS(Base!$B:$B, P6, Base!$N:$N, "&gt;="&amp;DATE(2024,4,1), Base!$N:$N, "&lt;="&amp;DATE(2024,6,30), Base!$S:$S, "&lt;&gt;", Base!$Q:$Q,"FALSE")
/
(COUNTIFS(Base!$B:$B, P6, Base!$N:$N, "&gt;="&amp;DATE(2024,4,1), Base!$N:$N, "&lt;="&amp;DATE(2024,6,30), Base!$O:$O, "Finalizado", Base!$Q:$Q,"FALSE")
+ COUNTIFS(Base!$B:$B, P6, Base!$N:$N, "&gt;="&amp;DATE(2024,4,1), Base!$N:$N, "&lt;="&amp;DATE(2024,6,30), Base!$O:$O, "Concluído", Base!$Q:$Q,"FALSE"))</f>
        <v>0.7142857143</v>
      </c>
      <c r="T6" s="130"/>
      <c r="U6" s="133">
        <f>COUNTIFS(Base!$B:$B, P6, Base!$N:$N, "&gt;="&amp;DATE(2024,4,1), Base!$N:$N, "&lt;="&amp;DATE(2024,6,30), Base!$R:$R, "TRUE")
/
(COUNTIFS(Base!$B:$B, P6, Base!$N:$N, "&gt;="&amp;DATE(2024,4,1), Base!$N:$N, "&lt;="&amp;DATE(2024,6,30), Base!$O:$O, "Finalizado")
+ COUNTIFS(Base!$B:$B, P6, Base!$N:$N, "&gt;="&amp;DATE(2024,4,1), Base!$N:$N, "&lt;="&amp;DATE(2024,6,30), Base!$O:$O, "Concluído"))</f>
        <v>0.875</v>
      </c>
    </row>
    <row r="7">
      <c r="B7" s="126" t="s">
        <v>36</v>
      </c>
      <c r="C7" s="129">
        <f>F12</f>
        <v>0.8181818182</v>
      </c>
      <c r="D7" s="130">
        <v>0.85</v>
      </c>
      <c r="E7" s="131">
        <f>F15</f>
        <v>0</v>
      </c>
      <c r="F7" s="130">
        <v>0.55</v>
      </c>
      <c r="P7" s="126" t="s">
        <v>36</v>
      </c>
      <c r="Q7" s="129">
        <f>IFERROR(
    (COUNTIFS(Base!$B:$B, P7, Base!$S:$S, "&gt;8", Base!$N:$N, "&gt;="&amp;DATE(2024,4,1), Base!$N:$N, "&lt;="&amp;DATE(2024,6,30)) +COUNTIFS(Base!$B:$B, P7, Base!$AG:$AG, "&gt;8", Base!$N:$N, "&gt;="&amp;DATE(2024,4,1), Base!$N:$N, "&lt;="&amp;DATE(2024,6,30))- 
     COUNTIFS(Base!$B:$B, P7, Base!$S:$S, "&lt;7", Base!$N:$N, "&gt;="&amp;DATE(2024,4,1), Base!$N:$N, "&lt;="&amp;DATE(2024,6,30)) - COUNTIFS(Base!$B:$B, P7, Base!$AG:$AG, "&lt;7", Base!$N:$N, "&gt;="&amp;DATE(2024,4,1), Base!$N:$N, "&lt;="&amp;DATE(2024,6,30))) / 
     (COUNTIFS(Base!$B:$B, P7, Base!$S:$S, "&lt;&gt;", Base!$N:$N, "&gt;="&amp;DATE(2024,4,1), Base!$N:$N, "&lt;="&amp;DATE(2024,6,30)) + COUNTIFS(Base!$B:$B, P7, Base!$AG:$AG, "&lt;&gt;", Base!$N:$N, "&gt;="&amp;DATE(2024,4,1), Base!$N:$N, "&lt;="&amp;DATE(2024,6,30))), 
0)
</f>
        <v>1</v>
      </c>
      <c r="R7" s="130"/>
      <c r="S7" s="131">
        <f>COUNTIFS(Base!$B:$B, P7, Base!$N:$N, "&gt;="&amp;DATE(2024,4,1), Base!$N:$N, "&lt;="&amp;DATE(2024,6,30), Base!$S:$S, "&lt;&gt;", Base!$Q:$Q,"FALSE")
/
(COUNTIFS(Base!$B:$B, P7, Base!$N:$N, "&gt;="&amp;DATE(2024,4,1), Base!$N:$N, "&lt;="&amp;DATE(2024,6,30), Base!$O:$O, "Finalizado", Base!$Q:$Q,"FALSE")
+ COUNTIFS(Base!$B:$B, P7, Base!$N:$N, "&gt;="&amp;DATE(2024,4,1), Base!$N:$N, "&lt;="&amp;DATE(2024,6,30), Base!$O:$O, "Concluído", Base!$Q:$Q,"FALSE"))</f>
        <v>0.3333333333</v>
      </c>
      <c r="T7" s="130"/>
      <c r="U7" s="133">
        <f>COUNTIFS(Base!$B:$B, P7, Base!$N:$N, "&gt;="&amp;DATE(2024,4,1), Base!$N:$N, "&lt;="&amp;DATE(2024,6,30), Base!$R:$R, "TRUE")
/
(COUNTIFS(Base!$B:$B, P7, Base!$N:$N, "&gt;="&amp;DATE(2024,4,1), Base!$N:$N, "&lt;="&amp;DATE(2024,6,30), Base!$O:$O, "Finalizado")
+ COUNTIFS(Base!$B:$B, P7, Base!$N:$N, "&gt;="&amp;DATE(2024,4,1), Base!$N:$N, "&lt;="&amp;DATE(2024,6,30), Base!$O:$O, "Concluído"))</f>
        <v>0</v>
      </c>
    </row>
    <row r="8">
      <c r="B8" s="126" t="s">
        <v>368</v>
      </c>
      <c r="C8" s="129">
        <f>G12</f>
        <v>0.671875</v>
      </c>
      <c r="D8" s="130">
        <v>0.86</v>
      </c>
      <c r="E8" s="131">
        <f>G15</f>
        <v>0.2</v>
      </c>
      <c r="F8" s="130">
        <v>0.55</v>
      </c>
      <c r="P8" s="126" t="s">
        <v>368</v>
      </c>
      <c r="Q8" s="129">
        <f>IFERROR(
    (COUNTIFS(Base!$S:$S, "&gt;8", Base!$N:$N, "&gt;="&amp;DATE(2024,4,1), Base!$N:$N, "&lt;="&amp;DATE(2024,6,30)) - 
     COUNTIFS(Base!$S:$S, "&lt;7", Base!$N:$N, "&gt;="&amp;DATE(2024,4,1), Base!$N:$N, "&lt;="&amp;DATE(2024,6,30))) / 
     COUNTIFS(Base!$S:$S, "&lt;&gt;", Base!$N:$N, "&gt;="&amp;DATE(2024,4,1), Base!$N:$N, "&lt;="&amp;DATE(2024,6,30)), 
0)
</f>
        <v>0.6842105263</v>
      </c>
      <c r="R8" s="130"/>
      <c r="S8" s="131">
        <f>COUNTIFS(Base!$N:$N, "&gt;="&amp;DATE(2024,4,1), Base!$N:$N, "&lt;="&amp;DATE(2024,6,30), Base!$S:$S, "&lt;&gt;", Base!$Q:$Q,"FALSE")
/
(COUNTIFS( Base!$N:$N, "&gt;="&amp;DATE(2024,4,1), Base!$N:$N, "&lt;="&amp;DATE(2024,6,30), Base!$O:$O, "Finalizado", Base!$Q:$Q,"FALSE")
+ COUNTIFS( Base!$N:$N, "&gt;="&amp;DATE(2024,4,1), Base!$N:$N, "&lt;="&amp;DATE(2024,6,30), Base!$O:$O, "Concluído", Base!$Q:$Q,"FALSE"))</f>
        <v>0.6</v>
      </c>
      <c r="T8" s="130"/>
      <c r="U8" s="133">
        <f>COUNTIFS(Base!$N:$N, "&gt;="&amp;DATE(2024,4,1), Base!$N:$N, "&lt;="&amp;DATE(2024,6,30), Base!$R:$R, "TRUE")
/
(COUNTIFS(Base!$N:$N, "&gt;="&amp;DATE(2024,4,1), Base!$N:$N, "&lt;="&amp;DATE(2024,6,30), Base!$O:$O, "Finalizado")
+ COUNTIFS(Base!$N:$N, "&gt;="&amp;DATE(2024,4,1), Base!$N:$N, "&lt;="&amp;DATE(2024,6,30), Base!$O:$O, "Concluído"))</f>
        <v>0.7631578947</v>
      </c>
    </row>
    <row r="10">
      <c r="C10" s="126"/>
      <c r="D10" s="126"/>
      <c r="E10" s="126"/>
      <c r="F10" s="126"/>
      <c r="G10" s="126"/>
      <c r="P10" s="135"/>
    </row>
    <row r="11">
      <c r="C11" s="126" t="s">
        <v>44</v>
      </c>
      <c r="D11" s="126" t="s">
        <v>116</v>
      </c>
      <c r="E11" s="126" t="s">
        <v>187</v>
      </c>
      <c r="F11" s="126" t="s">
        <v>36</v>
      </c>
      <c r="G11" s="126" t="s">
        <v>368</v>
      </c>
      <c r="P11" s="120"/>
      <c r="Q11" s="135"/>
      <c r="R11" s="135"/>
      <c r="S11" s="135"/>
      <c r="T11" s="135"/>
      <c r="U11" s="135"/>
      <c r="V11" s="135"/>
    </row>
    <row r="12">
      <c r="B12" s="136" t="s">
        <v>380</v>
      </c>
      <c r="C12" s="133">
        <f>(COUNTIFS(Base!$B:$B,C11,Base!$S:$S,"&gt;8") - COUNTIFS(Base!$B:$B,C11,Base!$S:$S,"&lt;7"))/COUNTIFS(Base!$B:$B,C11,Base!$S:$S,"&lt;&gt;")</f>
        <v>0.5555555556</v>
      </c>
      <c r="D12" s="133">
        <f>(COUNTIFS(Base!$B:$B,D11,Base!$S:$S,"&gt;8") - COUNTIFS(Base!$B:$B,D11,Base!$S:$S,"&lt;7"))/COUNTIFS(Base!$B:$B,D11,Base!$S:$S,"&lt;&gt;")</f>
        <v>0.7333333333</v>
      </c>
      <c r="E12" s="133">
        <f>(COUNTIFS(Base!$B:$B,E11,Base!$S:$S,"&gt;8") - COUNTIFS(Base!$B:$B,E11,Base!$S:$S,"&lt;7"))/COUNTIFS(Base!$B:$B,E11,Base!$S:$S,"&lt;&gt;")</f>
        <v>0.619047619</v>
      </c>
      <c r="F12" s="133">
        <f>(COUNTIFS(Base!$B:$B,F11,Base!$S:$S,"&gt;8") + COUNTIFS(Base!$B:$B,F11,Base!$AG:$AG,"&gt;8") - COUNTIFS(Base!$B:$B,F11,Base!$S:$S,"&lt;7") - COUNTIFS(Base!$B:$B,F11,Base!$AG:$AG,"&lt;7"))/(COUNTIFS(Base!$B:$B,F11,Base!$S:$S,"&lt;&gt;")+COUNTIFS(Base!$B:$B,F11,Base!$AG:$AG,"&lt;&gt;"))</f>
        <v>0.8181818182</v>
      </c>
      <c r="G12" s="133">
        <f>(COUNTIFS(Base!$S:$S,"&gt;8") - COUNTIFS(Base!$S:$S,"&lt;7"))/COUNTIFS(Base!$S4:$S1018,"&lt;&gt;")</f>
        <v>0.671875</v>
      </c>
      <c r="I12" s="137"/>
      <c r="J12" s="138"/>
      <c r="P12" s="135"/>
      <c r="Q12" s="129"/>
      <c r="R12" s="130"/>
      <c r="S12" s="131"/>
      <c r="T12" s="130"/>
      <c r="U12" s="133"/>
    </row>
    <row r="13">
      <c r="B13" s="136" t="s">
        <v>381</v>
      </c>
      <c r="C13" s="139">
        <f>COUNTIFS(Base!$B:$B,C11,Base!$S:$S,"&lt;&gt;",Base!$Q:$Q,"FALSE")/(COUNTIFS(Base!$B4:$B1018,C11,Base!$O$4:$O1018,"Finalizado",Base!$Q$4:$Q1018,"FALSE")+COUNTIFS(Base!$B4:$B1018,C11,Base!$O$4:$O1018,"Concluído",Base!$Q$4:$Q1018,"FALSE"))</f>
        <v>0.6666666667</v>
      </c>
      <c r="D13" s="139">
        <f>COUNTIFS(Base!$B:$B,D11,Base!$S:$S,"&lt;&gt;",Base!$Q:$Q,"FALSE")/(COUNTIFS(Base!$B4:$B1018,D11,Base!$O$4:$O1018,"Finalizado",Base!$Q$4:$Q1018,"FALSE")+COUNTIFS(Base!$B4:$B1018,D11,Base!$O$4:$O1018,"Concluído",Base!$Q$4:$Q1018,"FALSE"))</f>
        <v>0.6382978723</v>
      </c>
      <c r="E13" s="139">
        <f>COUNTIFS(Base!$B:$B,E11,Base!$S:$S,"&lt;&gt;",Base!$Q:$Q,"FALSE")/(COUNTIFS(Base!$B4:$B1018,E11,Base!$O$4:$O1018,"Finalizado",Base!$Q$4:$Q1018,"FALSE")+COUNTIFS(Base!$B4:$B1018,E11,Base!$O$4:$O1018,"Concluído",Base!$Q$4:$Q1018,"FALSE"))</f>
        <v>0.8076923077</v>
      </c>
      <c r="F13" s="140">
        <f>COUNTIFS(Base!$B:$B,F11,Base!$S:$S,"&lt;&gt;",Base!$Q:$Q,"FALSE")/(COUNTIFS(Base!$B4:$B1018,F11,Base!$O$4:$O1018,"Finalizado",Base!$Q$4:$Q1018,"FALSE")+COUNTIFS(Base!$B4:$B1018,F11,Base!$O$4:$O1018,"Concluído",Base!$Q$4:$Q1018,"FALSE"))</f>
        <v>0.5555555556</v>
      </c>
      <c r="G13" s="140">
        <f>(COUNTIFS(Base!S4:S1018, "&lt;&gt;", Base!Q4:Q1018, "FALSE")) / (COUNTIFS(Base!O5:O1018, "Concluído", Base!Q5:Q1018, "FALSE"))
</f>
        <v>0.75</v>
      </c>
      <c r="P13" s="135"/>
      <c r="Q13" s="129"/>
      <c r="R13" s="130"/>
      <c r="S13" s="131"/>
      <c r="T13" s="130"/>
      <c r="U13" s="133"/>
    </row>
    <row r="14" hidden="1">
      <c r="B14" s="136" t="s">
        <v>382</v>
      </c>
      <c r="C14" s="133" t="str">
        <f>(COUNTIFS(Base!$B:$B,C11,Base!$T:$T,"&gt;8") - COUNTIFS(Base!$B:$B,C11,Base!$T:$T,"&lt;7"))/COUNTIFS(Base!$B:$B,C11,Base!$T:$T,"&lt;&gt;")</f>
        <v>#DIV/0!</v>
      </c>
      <c r="D14" s="133" t="str">
        <f>(COUNTIFS(Base!$B:$B,D11,Base!$T:$T,"&gt;8") - COUNTIFS(Base!$B:$B,D11,Base!$T:$T,"&lt;7"))/COUNTIFS(Base!$B:$B,D11,Base!$T:$T,"&lt;&gt;")</f>
        <v>#DIV/0!</v>
      </c>
      <c r="E14" s="133" t="str">
        <f>(COUNTIFS(Base!$B:$B,E11,Base!$T:$T,"&gt;8") - COUNTIFS(Base!$B:$B,E11,Base!$T:$T,"&lt;7"))/COUNTIFS(Base!$B:$B,E11,Base!$T:$T,"&lt;&gt;")</f>
        <v>#DIV/0!</v>
      </c>
      <c r="F14" s="133" t="str">
        <f>(COUNTIFS(Base!$B:$B,F11,Base!$T:$T,"&gt;8") - COUNTIFS(Base!$B:$B,F11,Base!$T:$T,"&lt;7"))/COUNTIFS(Base!$B:$B,F11,Base!$T:$T,"&lt;&gt;")</f>
        <v>#DIV/0!</v>
      </c>
      <c r="H14" s="37"/>
      <c r="J14" s="37"/>
      <c r="P14" s="135"/>
      <c r="Q14" s="129"/>
      <c r="R14" s="130"/>
      <c r="S14" s="131"/>
      <c r="T14" s="130"/>
      <c r="U14" s="133"/>
    </row>
    <row r="15">
      <c r="B15" s="136" t="s">
        <v>383</v>
      </c>
      <c r="C15" s="133">
        <f>(COUNTIFS(Base!$B:$B,C11,Base!$U:$U,TRUE))/(COUNTIFS(Base!$B4:$B1018,C11,Base!$O$4:$O1018,"Finalizado")+COUNTIFS(Base!$B4:$B1018,C11,Base!$O$4:$O1018,"Concluído"))</f>
        <v>0.1578947368</v>
      </c>
      <c r="D15" s="133">
        <f>(COUNTIFS(Base!$B:$B,D11,Base!$U:$U,TRUE))/(COUNTIFS(Base!$B4:$B1018,D11,Base!$O$4:$O1018,"Finalizado")+COUNTIFS(Base!$B4:$B1018,D11,Base!$O$4:$O1018,"Concluído"))</f>
        <v>0.25</v>
      </c>
      <c r="E15" s="133">
        <f>(COUNTIFS(Base!$B:$B,E11,Base!$U:$U,TRUE))/(COUNTIFS(Base!$B4:$B1018,E11,Base!$O$4:$O1018,"Finalizado")+COUNTIFS(Base!$B4:$B1018,E11,Base!$O$4:$O1018,"Concluído"))</f>
        <v>0.2142857143</v>
      </c>
      <c r="F15" s="133">
        <f>(COUNTIFS(Base!$B:$B,F11,Base!$U:$U,TRUE))/(COUNTIFS(Base!$B4:$B1018,F11,Base!$O$4:$O1018,"Finalizado")+COUNTIFS(Base!$B4:$B1018,F11,Base!$O$4:$O1018,"Concluído"))</f>
        <v>0</v>
      </c>
      <c r="G15" s="133">
        <f>(COUNTIF(Base!$U:$U,TRUE))/(COUNTIF(Base!$O$4:$O1018,"Finalizado")+COUNTIF(Base!$O$4:$O1018,"Concluído"))</f>
        <v>0.2</v>
      </c>
      <c r="H15" s="37"/>
      <c r="I15" s="141">
        <v>45383.0</v>
      </c>
      <c r="P15" s="135"/>
      <c r="Q15" s="129"/>
      <c r="R15" s="130"/>
      <c r="S15" s="131"/>
      <c r="T15" s="130"/>
      <c r="U15" s="133"/>
    </row>
    <row r="16">
      <c r="B16" s="136" t="s">
        <v>384</v>
      </c>
      <c r="C16" s="142">
        <f>COUNTIFS(Base!$B:$B,C11,Base!$O:$O,"Executando")/COUNTIF(Membros!$C:$C,C11)</f>
        <v>0.3235294118</v>
      </c>
      <c r="D16" s="142">
        <f>COUNTIFS(Base!$B:$B,D11,Base!$O:$O,"Executando")/COUNTIF(Membros!$C:$C,D11)</f>
        <v>0.5365853659</v>
      </c>
      <c r="E16" s="142">
        <f>COUNTIFS(Base!$B:$B,E11,Base!$O:$O,"Executando")/COUNTIF(Membros!$C:$C,E11)</f>
        <v>0.6046511628</v>
      </c>
      <c r="F16" s="142">
        <f>COUNTIFS(Base!$B:$B,F11,Base!$O:$O,"Executando")/COUNTIF(Membros!$C:$C,F11)</f>
        <v>0.4791666667</v>
      </c>
      <c r="G16" s="142">
        <f>COUNTIF(Base!$O:$O,"Executando")/COUNTA(Membros!$A2:$A1018)</f>
        <v>0.4385026738</v>
      </c>
      <c r="I16" s="143"/>
      <c r="J16" s="37"/>
      <c r="P16" s="135"/>
      <c r="Q16" s="129"/>
      <c r="R16" s="130"/>
      <c r="S16" s="131"/>
      <c r="T16" s="130"/>
      <c r="U16" s="133"/>
    </row>
    <row r="17" hidden="1">
      <c r="B17" s="136" t="s">
        <v>385</v>
      </c>
      <c r="J17" s="143"/>
    </row>
    <row r="18">
      <c r="B18" s="136" t="s">
        <v>386</v>
      </c>
      <c r="C18" s="144">
        <f>SUMIF(Base!$B$4:$B1018,C11,Base!$E$4:$E1018)/(SUMPRODUCT(IF(Base!$B$4:$B1018 = C11,1,0),Base!$F$4:$F1018,Base!$G$4:$G1018))</f>
        <v>645.3923767</v>
      </c>
      <c r="D18" s="144">
        <f>SUMIF(Base!$B$4:$B1018,D11,Base!$E$4:$E1018)/(SUMPRODUCT(IF(Base!$B$4:$B1018 = D11,1,0),Base!$F$4:$F1018,Base!$G$4:$G1018))</f>
        <v>1461.628986</v>
      </c>
      <c r="E18" s="144">
        <f>SUMIF(Base!$B$4:$B1018,E11,Base!$E$4:$E1018)/(SUMPRODUCT(IF(Base!$B$4:$B1018 = E11,1,0),Base!$F$4:$F1018,Base!$G$4:$G1018))</f>
        <v>1558.192153</v>
      </c>
      <c r="F18" s="144">
        <f>SUMIF(Base!$B$4:$B1018,F11,Base!$E$4:$E1018)/(SUMPRODUCT(IF(Base!$B$4:$B1018 = F11,1,0),Base!$F$4:$F1018,Base!$G$4:$G1018))</f>
        <v>1088.696923</v>
      </c>
      <c r="G18" s="144">
        <f>SUM(Base!E4:E1018)/(SUMPRODUCT(Base!F4:F1018,Base!G4:G1018))</f>
        <v>1184.566107</v>
      </c>
    </row>
    <row r="19">
      <c r="B19" s="136" t="s">
        <v>387</v>
      </c>
      <c r="C19" s="144">
        <f>SUMIFS(Base!$E$4:$E1018,Base!$B$4:$B1018,C11,Base!$N$4:$N1018,"&lt;&gt;")/(SUMIF(Base!$B$4:$B1018,C11,Base!$AA$4:$AA1018))</f>
        <v>310.4531168</v>
      </c>
      <c r="D19" s="144">
        <f>SUMIFS(Base!$E$4:$E1018,Base!$B$4:$B1018,D11,Base!$N$4:$N1018,"&lt;&gt;")/(SUMIF(Base!$B$4:$B1018,D11,Base!$AA$4:$AA1018))</f>
        <v>111.4460461</v>
      </c>
      <c r="E19" s="144">
        <f>SUMIFS(Base!$E$4:$E1018,Base!$B$4:$B1018,E11,Base!$N$4:$N1018,"&lt;&gt;")/(SUMIF(Base!$B$4:$B1018,E11,Base!$AA$4:$AA1018))</f>
        <v>948.3531255</v>
      </c>
      <c r="F19" s="144">
        <f>SUMIFS(Base!$E$4:$E1018,Base!$B$4:$B1018,F11,Base!$N$4:$N1018,"&lt;&gt;")/(SUMIF(Base!$B$4:$B1018,F11,Base!$AA$4:$AA1018))</f>
        <v>595.3934741</v>
      </c>
      <c r="I19" s="145">
        <f>SUMIFS(Base!$E$4:$E1018,Base!$B$4:$B1018,F11,Base!$N$4:$N1018,"&gt;=2024-04-01")/(SUMIF(Base!$B$4:$B1018,F11,Base!$AA$4:$AA1018))</f>
        <v>441.8426104</v>
      </c>
      <c r="J19" s="96" t="s">
        <v>388</v>
      </c>
      <c r="K19" s="145"/>
      <c r="L19" s="145"/>
    </row>
    <row r="20">
      <c r="B20" s="136" t="s">
        <v>389</v>
      </c>
      <c r="C20" s="144">
        <f>SUMIF(Base!$B:$B,C11,Base!$AB:$AB)</f>
        <v>299426.9388</v>
      </c>
      <c r="D20" s="144">
        <f>SUMIF(Base!$B:$B,D11,Base!$AB:$AB)</f>
        <v>517434.6599</v>
      </c>
      <c r="E20" s="144">
        <f>SUMIF(Base!$B:$B,E11,Base!$AB:$AB)</f>
        <v>484572.1516</v>
      </c>
      <c r="F20" s="144">
        <f>SUMIF(Base!$B:$B,F11,Base!$AB:$AB)</f>
        <v>472555.3171</v>
      </c>
      <c r="G20" s="144">
        <f>SUM(Base!$AB:$AB)</f>
        <v>1773989.067</v>
      </c>
    </row>
    <row r="21">
      <c r="B21" s="136" t="s">
        <v>390</v>
      </c>
      <c r="C21" s="146">
        <f>SUMIF('Rescisões'!$B:$B,C11,'Rescisões'!$H:$H)</f>
        <v>24670</v>
      </c>
      <c r="D21" s="146">
        <f>SUMIF('Rescisões'!$B:$B,D11,'Rescisões'!$H:$H)</f>
        <v>14400</v>
      </c>
      <c r="E21" s="146">
        <f>SUMIF('Rescisões'!$B:$B,E11,'Rescisões'!$H:$H)</f>
        <v>0</v>
      </c>
      <c r="F21" s="146">
        <f>SUMIF('Rescisões'!$B:$B,F11,'Rescisões'!$H:$H)</f>
        <v>0</v>
      </c>
      <c r="G21" s="146">
        <f>SUM('Rescisões'!H:H)</f>
        <v>39070</v>
      </c>
      <c r="I21" s="93" t="str">
        <f>SUMIFS(Base!$B:$B,C11,Base!$L:$L,Base!K:K,"&gt;"&amp;I15)</f>
        <v>#VALUE!</v>
      </c>
    </row>
    <row r="22">
      <c r="B22" s="136" t="s">
        <v>391</v>
      </c>
      <c r="C22" s="144">
        <f t="shared" ref="C22:G22" si="3">C20+C21</f>
        <v>324096.9388</v>
      </c>
      <c r="D22" s="144">
        <f t="shared" si="3"/>
        <v>531834.6599</v>
      </c>
      <c r="E22" s="144">
        <f t="shared" si="3"/>
        <v>484572.1516</v>
      </c>
      <c r="F22" s="144">
        <f t="shared" si="3"/>
        <v>472555.3171</v>
      </c>
      <c r="G22" s="144">
        <f t="shared" si="3"/>
        <v>1813059.067</v>
      </c>
    </row>
    <row r="23">
      <c r="B23" s="136" t="s">
        <v>13</v>
      </c>
      <c r="C23" s="147">
        <f>SUMIF(Base!$B:$B,C11,Base!$L:$L)</f>
        <v>59</v>
      </c>
      <c r="D23" s="147">
        <f>SUMIF(Base!$B:$B,D11,Base!$L:$L)</f>
        <v>39.14285714</v>
      </c>
      <c r="E23" s="147">
        <f>SUMIF(Base!$B:$B,E11,Base!$L:$L)</f>
        <v>175.2285714</v>
      </c>
      <c r="F23" s="147">
        <f>SUMIF(Base!$B:$B,F11,Base!$L:$L)</f>
        <v>85.5</v>
      </c>
      <c r="G23" s="147">
        <f>SUM(Base!$L:$L)</f>
        <v>358.8714286</v>
      </c>
    </row>
    <row r="24">
      <c r="B24" s="136" t="s">
        <v>392</v>
      </c>
      <c r="C24" s="93">
        <f>SUMIFS(Base!$N:$N,Base!$B:$B,C11,Base!$N:$N,"&lt;&gt;")-SUMIFS(Base!$K:$K,Base!$B:$B,C11,Base!$N:$N,"&lt;&gt;")-(SUMIFS(Base!$L:$L,Base!$B:$B,C11,Base!$N:$N,"&lt;&gt;")*7)</f>
        <v>762</v>
      </c>
      <c r="D24" s="93">
        <f>SUMIFS(Base!$N:$N,Base!$B:$B,D11,Base!$N:$N,"&lt;&gt;")-SUMIFS(Base!$K:$K,Base!$B:$B,D11,Base!$N:$N,"&lt;&gt;")-(SUMIFS(Base!$L:$L,Base!$B:$B,D11,Base!$N:$N,"&lt;&gt;")*7)</f>
        <v>48726</v>
      </c>
      <c r="E24" s="93">
        <f>SUMIFS(Base!$N:$N,Base!$B:$B,E11,Base!$N:$N,"&lt;&gt;")-SUMIFS(Base!$K:$K,Base!$B:$B,E11,Base!$N:$N,"&lt;&gt;")-(SUMIFS(Base!$L:$L,Base!$B:$B,E11,Base!$N:$N,"&lt;&gt;")*7)</f>
        <v>2096.9</v>
      </c>
      <c r="F24" s="93">
        <f>SUMIFS(Base!$N:$N,Base!$B:$B,F11,Base!$N:$N,"&lt;&gt;")-SUMIFS(Base!$K:$K,Base!$B:$B,F11,Base!$N:$N,"&lt;&gt;")-(SUMIFS(Base!$L:$L,Base!$B:$B,F11,Base!$N:$N,"&lt;&gt;")*7)</f>
        <v>1218</v>
      </c>
      <c r="G24" s="93">
        <f t="shared" ref="G24:G25" si="4">SUM(C24:F24)</f>
        <v>52802.9</v>
      </c>
      <c r="I24" s="147"/>
    </row>
    <row r="25">
      <c r="B25" s="136" t="s">
        <v>393</v>
      </c>
      <c r="C25" s="93">
        <f>SUMIFS(Base!$F:$F,Base!$B:$B,C11,Base!$N:$N,"&lt;&gt;")*7</f>
        <v>504</v>
      </c>
      <c r="D25" s="93">
        <f>SUMIFS(Base!$F:$F,Base!$B:$B,D11,Base!$N:$N,"&lt;&gt;")*7</f>
        <v>2240</v>
      </c>
      <c r="E25" s="93">
        <f>SUMIFS(Base!$F:$F,Base!$B:$B,E11,Base!$N:$N,"&lt;&gt;")*7</f>
        <v>1232</v>
      </c>
      <c r="F25" s="93">
        <f>SUMIFS(Base!$F:$F,Base!$B:$B,F11,Base!$N:$N,"&lt;&gt;")*7</f>
        <v>735</v>
      </c>
      <c r="G25" s="93">
        <f t="shared" si="4"/>
        <v>4711</v>
      </c>
    </row>
    <row r="26">
      <c r="B26" s="136" t="s">
        <v>394</v>
      </c>
      <c r="C26" s="133">
        <f t="shared" ref="C26:G26" si="5">C24/C25</f>
        <v>1.511904762</v>
      </c>
      <c r="D26" s="133">
        <f t="shared" si="5"/>
        <v>21.75267857</v>
      </c>
      <c r="E26" s="133">
        <f t="shared" si="5"/>
        <v>1.702029221</v>
      </c>
      <c r="F26" s="133">
        <f t="shared" si="5"/>
        <v>1.657142857</v>
      </c>
      <c r="G26" s="133">
        <f t="shared" si="5"/>
        <v>11.20842709</v>
      </c>
    </row>
    <row r="27">
      <c r="B27" s="136" t="s">
        <v>395</v>
      </c>
      <c r="C27" s="93">
        <f>COUNTIFS(Base!$B:$B,C11,Base!$AD:$AD,"Sim")</f>
        <v>6</v>
      </c>
      <c r="D27" s="93">
        <f>COUNTIFS(Base!$B:$B,D11,Base!$AD:$AD,"Sim")</f>
        <v>6</v>
      </c>
      <c r="E27" s="93">
        <f>COUNTIFS(Base!$B:$B,E11,Base!$AD:$AD,"Sim")</f>
        <v>8</v>
      </c>
      <c r="F27" s="93">
        <f>COUNTIFS(Base!$B:$B,F11,Base!$AD:$AD,"Sim")</f>
        <v>13</v>
      </c>
      <c r="G27" s="93">
        <f>COUNTIFS(Base!$N:$N,"",Base!$AC:$AC,"Sim",Base!$O:$O,"Executando")</f>
        <v>35</v>
      </c>
    </row>
    <row r="28">
      <c r="B28" s="136" t="s">
        <v>396</v>
      </c>
      <c r="C28" s="133">
        <f>C27/COUNTIFS(Base!$B:$B,C11,Base!$O:$O,"Executando")</f>
        <v>0.5454545455</v>
      </c>
      <c r="D28" s="133">
        <f>D27/COUNTIFS(Base!$B:$B,D11,Base!$O:$O,"Executando")</f>
        <v>0.2727272727</v>
      </c>
      <c r="E28" s="133">
        <f>E27/COUNTIFS(Base!$B:$B,E11,Base!$O:$O,"Executando")</f>
        <v>0.3076923077</v>
      </c>
      <c r="F28" s="133">
        <f>F27/COUNTIFS(Base!$B:$B,F11,Base!$O:$O,"Executando")</f>
        <v>0.5652173913</v>
      </c>
      <c r="G28" s="133">
        <f>G27/COUNTIFS(Base!$O:$O,"Executando")</f>
        <v>0.4268292683</v>
      </c>
    </row>
    <row r="29">
      <c r="B29" s="136" t="s">
        <v>397</v>
      </c>
    </row>
    <row r="30">
      <c r="B30" s="136" t="s">
        <v>398</v>
      </c>
      <c r="C30" s="93">
        <f>SUMIFS(Base!$AE:$AE,Base!$B:$B,C$11)</f>
        <v>1481</v>
      </c>
      <c r="D30" s="93">
        <f>SUMIFS(Base!$AE:$AE,Base!$B:$B,D$11)</f>
        <v>972</v>
      </c>
      <c r="E30" s="93">
        <f>SUMIFS(Base!$AE:$AE,Base!$B:$B,E$11)</f>
        <v>727</v>
      </c>
      <c r="F30" s="93">
        <f>SUMIFS(Base!$AE:$AE,Base!$B:$B,F$11)</f>
        <v>215</v>
      </c>
      <c r="G30" s="148">
        <f>SUM(Base!$AE:$AE)</f>
        <v>3395</v>
      </c>
    </row>
    <row r="31">
      <c r="B31" s="136" t="s">
        <v>399</v>
      </c>
      <c r="C31" s="93">
        <f>COUNTIFS(Base!$B:$B,C$11,Base!$O:$O,"Congelado")</f>
        <v>3</v>
      </c>
      <c r="D31" s="93">
        <f>COUNTIFS(Base!$B:$B,D$11,Base!$O:$O,"Congelado")</f>
        <v>0</v>
      </c>
      <c r="E31" s="93">
        <f>COUNTIFS(Base!$B:$B,E$11,Base!$O:$O,"Congelado")</f>
        <v>6</v>
      </c>
      <c r="F31" s="93">
        <f>COUNTIFS(Base!$B:$B,F$11,Base!$O:$O,"Congelado")</f>
        <v>10</v>
      </c>
      <c r="G31" s="93">
        <f>COUNTIFS(Base!$B:$B,G$11,Base!$O:$O,"Congelado")</f>
        <v>0</v>
      </c>
    </row>
    <row r="32">
      <c r="B32" s="136" t="s">
        <v>400</v>
      </c>
      <c r="C32" s="149">
        <f>COUNTIFS(Base!$B:$B,C11,Base!$O:$O,"Executando")/Membros!AB14</f>
        <v>3.666666667</v>
      </c>
      <c r="D32" s="93">
        <f>COUNTIFS(Base!$B:$B,D11,Base!$O:$O,"Executando")/Membros!AB15</f>
        <v>4.4</v>
      </c>
      <c r="E32" s="93">
        <f>COUNTIFS(Base!$B:$B,E11,Base!$O:$O,"Executando")/Membros!AB16</f>
        <v>8.666666667</v>
      </c>
      <c r="F32" s="93">
        <f>COUNTIFS(Base!$B:$B,F11,Base!$O:$O,"Executando")/Membros!AB17</f>
        <v>2.090909091</v>
      </c>
    </row>
    <row r="33">
      <c r="B33" s="150"/>
    </row>
    <row r="35">
      <c r="B35" s="96" t="s">
        <v>401</v>
      </c>
      <c r="C35" s="96" t="s">
        <v>402</v>
      </c>
      <c r="H35" s="96" t="s">
        <v>403</v>
      </c>
      <c r="M35" s="96" t="s">
        <v>404</v>
      </c>
      <c r="S35" s="96" t="s">
        <v>405</v>
      </c>
      <c r="Y35" s="96" t="s">
        <v>370</v>
      </c>
      <c r="AD35" s="96" t="s">
        <v>406</v>
      </c>
    </row>
    <row r="36">
      <c r="B36" s="96" t="s">
        <v>407</v>
      </c>
      <c r="C36" s="96" t="s">
        <v>44</v>
      </c>
      <c r="D36" s="96" t="s">
        <v>116</v>
      </c>
      <c r="E36" s="96" t="s">
        <v>187</v>
      </c>
      <c r="F36" s="96" t="s">
        <v>36</v>
      </c>
      <c r="H36" s="96" t="s">
        <v>44</v>
      </c>
      <c r="I36" s="96" t="s">
        <v>116</v>
      </c>
      <c r="J36" s="96" t="s">
        <v>187</v>
      </c>
      <c r="K36" s="96" t="s">
        <v>36</v>
      </c>
      <c r="M36" s="96" t="s">
        <v>44</v>
      </c>
      <c r="N36" s="96" t="s">
        <v>116</v>
      </c>
      <c r="O36" s="96" t="s">
        <v>187</v>
      </c>
      <c r="P36" s="96" t="s">
        <v>36</v>
      </c>
      <c r="Q36" s="96" t="s">
        <v>408</v>
      </c>
      <c r="S36" s="96" t="s">
        <v>44</v>
      </c>
      <c r="T36" s="96" t="s">
        <v>116</v>
      </c>
      <c r="U36" s="96" t="s">
        <v>187</v>
      </c>
      <c r="V36" s="96" t="s">
        <v>36</v>
      </c>
      <c r="W36" s="96" t="s">
        <v>408</v>
      </c>
      <c r="Y36" s="96" t="s">
        <v>44</v>
      </c>
      <c r="Z36" s="96" t="s">
        <v>116</v>
      </c>
      <c r="AA36" s="96" t="s">
        <v>187</v>
      </c>
      <c r="AB36" s="96" t="s">
        <v>36</v>
      </c>
      <c r="AC36" s="96" t="s">
        <v>408</v>
      </c>
      <c r="AD36" s="96" t="s">
        <v>378</v>
      </c>
      <c r="AE36" s="96" t="s">
        <v>409</v>
      </c>
      <c r="AF36" s="96" t="s">
        <v>373</v>
      </c>
    </row>
    <row r="37">
      <c r="B37" s="141">
        <v>45292.0</v>
      </c>
      <c r="C37" s="93">
        <f>COUNTIFS(Base!$B:$B,C$11,Base!$M:$M,"&lt;"&amp;$B37,Base!$N:$N,"&gt;="&amp;$B37,Base!$O:$O,"&lt;&gt;Finalizado",Base!$O:$O,"&lt;&gt;Congelado",Base!$O:$O,"&lt;&gt;Concluindo pendências") + COUNTIFS(Base!$B:$B,C$11,Base!$M:$M,"&lt;"&amp;$B37,Base!$N:$N,"",Base!$O:$O,"&lt;&gt;Finalizado",Base!$O:$O,"&lt;&gt;Congelado",Base!$O:$O,"&lt;&gt;Concluindo pendências")</f>
        <v>1</v>
      </c>
      <c r="D37" s="93">
        <f>COUNTIFS(Base!$B:$B,D$11,Base!$M:$M,"&lt;"&amp;$B37,Base!$N:$N,"&gt;="&amp;$B37,Base!$O:$O,"&lt;&gt;Finalizado",Base!$O:$O,"&lt;&gt;Congelado",Base!$O:$O,"&lt;&gt;Concluindo pendências") + COUNTIFS(Base!$B:$B,D$11,Base!$M:$M,"&lt;"&amp;$B37,Base!$N:$N,"",Base!$O:$O,"&lt;&gt;Finalizado",Base!$O:$O,"&lt;&gt;Congelado",Base!$O:$O,"&lt;&gt;Concluindo pendências")</f>
        <v>2</v>
      </c>
      <c r="E37" s="93">
        <f>COUNTIFS(Base!$B:$B,E$11,Base!$M:$M,"&lt;"&amp;$B37,Base!$N:$N,"&gt;="&amp;$B37,Base!$O:$O,"&lt;&gt;Finalizado",Base!$O:$O,"&lt;&gt;Congelado",Base!$O:$O,"&lt;&gt;Concluindo pendências") + COUNTIFS(Base!$B:$B,E$11,Base!$M:$M,"&lt;"&amp;$B37,Base!$N:$N,"",Base!$O:$O,"&lt;&gt;Finalizado",Base!$O:$O,"&lt;&gt;Congelado",Base!$O:$O,"&lt;&gt;Concluindo pendências")</f>
        <v>1</v>
      </c>
      <c r="F37" s="93">
        <f>COUNTIFS(Base!$B:$B,F$11,Base!$M:$M,"&lt;"&amp;$B37,Base!$N:$N,"&gt;="&amp;$B37,Base!$O:$O,"&lt;&gt;Finalizado",Base!$O:$O,"&lt;&gt;Congelado",Base!$O:$O,"&lt;&gt;Concluindo pendências") + COUNTIFS(Base!$B:$B,F$11,Base!$M:$M,"&lt;"&amp;$B37,Base!$N:$N,"",Base!$O:$O,"&lt;&gt;Finalizado",Base!$O:$O,"&lt;&gt;Congelado",Base!$O:$O,"&lt;&gt;Concluindo pendências")</f>
        <v>3</v>
      </c>
      <c r="H37" s="93">
        <f>COUNTIFS(Base!$B:$B,C$11,Base!$K:$K,"&lt;"&amp;$B37,Base!$N:$N,"&gt;="&amp;$B37,Base!$O:$O,"&lt;&gt;Finalizado",Base!$O:$O,"&lt;&gt;Congelado") + COUNTIFS(Base!$B:$B,C$11,Base!$K:$K,"&lt;"&amp;$B37,Base!$N:$N,"",Base!$O:$O,"&lt;&gt;Finalizado",Base!$O:$O,"&lt;&gt;Congelado")</f>
        <v>9</v>
      </c>
      <c r="I37" s="93">
        <f>COUNTIFS(Base!$B:$B,D$11,Base!$K:$K,"&lt;"&amp;$B37,Base!$N:$N,"&gt;="&amp;$B37,Base!$O:$O,"&lt;&gt;Finalizado",Base!$O:$O,"&lt;&gt;Congelado") + COUNTIFS(Base!$B:$B,D$11,Base!$K:$K,"&lt;"&amp;$B37,Base!$N:$N,"",Base!$O:$O,"&lt;&gt;Finalizado",Base!$O:$O,"&lt;&gt;Congelado")</f>
        <v>18</v>
      </c>
      <c r="J37" s="93">
        <f>COUNTIFS(Base!$B:$B,E$11,Base!$K:$K,"&lt;"&amp;$B37,Base!$N:$N,"&gt;="&amp;$B37,Base!$O:$O,"&lt;&gt;Finalizado",Base!$O:$O,"&lt;&gt;Congelado") + COUNTIFS(Base!$B:$B,E$11,Base!$K:$K,"&lt;"&amp;$B37,Base!$N:$N,"",Base!$O:$O,"&lt;&gt;Finalizado",Base!$O:$O,"&lt;&gt;Congelado")</f>
        <v>18</v>
      </c>
      <c r="K37" s="93">
        <f>COUNTIFS(Base!$B:$B,F$11,Base!$K:$K,"&lt;"&amp;$B37,Base!$N:$N,"&gt;="&amp;$B37,Base!$O:$O,"&lt;&gt;Finalizado",Base!$O:$O,"&lt;&gt;Congelado") + COUNTIFS(Base!$B:$B,F$11,Base!$K:$K,"&lt;"&amp;$B37,Base!$N:$N,"",Base!$O:$O,"&lt;&gt;Finalizado",Base!$O:$O,"&lt;&gt;Congelado")</f>
        <v>9</v>
      </c>
      <c r="M37" s="133">
        <f t="shared" ref="M37:P37" si="6">C37/H37</f>
        <v>0.1111111111</v>
      </c>
      <c r="N37" s="133">
        <f t="shared" si="6"/>
        <v>0.1111111111</v>
      </c>
      <c r="O37" s="133">
        <f t="shared" si="6"/>
        <v>0.05555555556</v>
      </c>
      <c r="P37" s="133">
        <f t="shared" si="6"/>
        <v>0.3333333333</v>
      </c>
      <c r="Q37" s="133">
        <f t="shared" ref="Q37:Q175" si="9">SUM(C37:F37)/SUM(H37:K37)</f>
        <v>0.1296296296</v>
      </c>
      <c r="S37" s="93">
        <f t="shared" ref="S37:V37" si="7">C37</f>
        <v>1</v>
      </c>
      <c r="T37" s="93">
        <f t="shared" si="7"/>
        <v>2</v>
      </c>
      <c r="U37" s="93">
        <f t="shared" si="7"/>
        <v>1</v>
      </c>
      <c r="V37" s="93">
        <f t="shared" si="7"/>
        <v>3</v>
      </c>
      <c r="W37" s="93">
        <f t="shared" ref="W37:W175" si="11">SUM(S37:V37)</f>
        <v>7</v>
      </c>
      <c r="Y37" s="133" t="str">
        <f>(COUNTIFS(Base!$B:$B,C$11,Base!$S:$S,"&gt;8",Base!$N:$N,"&lt;="&amp;$B37) - COUNTIFS(Base!$B:$B,C$11,Base!$S:$S,"&lt;7",Base!$N:$N,"&lt;="&amp;$B37) - COUNTIFS(Base!$B:$B,C$11,Base!$S:$S,"&lt;7",Base!$K:$K,"&lt;="&amp;$B37,Base!$O:$O,"Finalizado"))/(COUNTIFS(Base!$B:$B,C$11,Base!$S:$S,"&lt;&gt;",Base!$N:$N,"&lt;="&amp;$B37)+COUNTIFS(Base!$B:$B,C$11,Base!$S:$S,"&lt;7",Base!$K:$K,"&lt;="&amp;$B37,Base!$O:$O,"Finalizado"))</f>
        <v>#DIV/0!</v>
      </c>
      <c r="Z37" s="133">
        <f>(COUNTIFS(Base!$B:$B,D$11,Base!$S:$S,"&gt;8",Base!$N:$N,"&lt;="&amp;$B37) - COUNTIFS(Base!$B:$B,D$11,Base!$S:$S,"&lt;7",Base!$N:$N,"&lt;="&amp;$B37) - COUNTIFS(Base!$B:$B,D$11,Base!$S:$S,"&lt;7",Base!$K:$K,"&lt;="&amp;$B37,Base!$O:$O,"Finalizado"))/(COUNTIFS(Base!$B:$B,D$11,Base!$S:$S,"&lt;&gt;",Base!$N:$N,"&lt;="&amp;$B37)+COUNTIFS(Base!$B:$B,D$11,Base!$S:$S,"&lt;7",Base!$K:$K,"&lt;="&amp;$B37,Base!$O:$O,"Finalizado"))</f>
        <v>0.5</v>
      </c>
      <c r="AA37" s="133">
        <f>(COUNTIFS(Base!$B:$B,E$11,Base!$S:$S,"&gt;8",Base!$N:$N,"&lt;="&amp;$B37) - COUNTIFS(Base!$B:$B,E$11,Base!$S:$S,"&lt;7",Base!$N:$N,"&lt;="&amp;$B37) - COUNTIFS(Base!$B:$B,E$11,Base!$S:$S,"&lt;7",Base!$K:$K,"&lt;="&amp;$B37,Base!$O:$O,"Finalizado"))/(COUNTIFS(Base!$B:$B,E$11,Base!$S:$S,"&lt;&gt;",Base!$N:$N,"&lt;="&amp;$B37)+COUNTIFS(Base!$B:$B,E$11,Base!$S:$S,"&lt;7",Base!$K:$K,"&lt;="&amp;$B37,Base!$O:$O,"Finalizado"))</f>
        <v>-1</v>
      </c>
      <c r="AB37" s="133">
        <f t="shared" ref="AB37:AB175" si="12">(AD37-AF37)/AE37</f>
        <v>0</v>
      </c>
      <c r="AD37" s="93">
        <f>(COUNTIFS(Base!$B:$B,F$11,Base!$S:$S,"&gt;8",Base!$N:$N,"&lt;="&amp;$B37)+(COUNTIFS(Base!$B:$B,F$11,Base!$AG:$AG,"&gt;8",Base!$K:$K,"&lt;="&amp;$B37)))</f>
        <v>0</v>
      </c>
      <c r="AE37" s="93">
        <f>(COUNTIFS(Base!$B:$B,F$11,Base!$S:$S,"&lt;&gt;",Base!$N:$N,"&lt;="&amp;$B37)+(COUNTIFS(Base!$B:$B,F$11,Base!$AG:$AG,"&lt;&gt;",Base!$K:$K,"&lt;="&amp;$B37)+COUNTIFS(Base!$B:$B,F$11,Base!$S:$S,"&lt;7",Base!$K:$K,"&lt;="&amp;$B37,Base!$O:$O,"Finalizado")))</f>
        <v>1</v>
      </c>
      <c r="AF37" s="93">
        <f>COUNTIFS(Base!$B:$B,F$11,Base!$S:$S,"&lt;7",Base!$N:$N,"&lt;="&amp;$B37) +COUNTIFS(Base!$B:$B,F$11,Base!$AG:$AG,"&lt;7",Base!$K:$K,"&lt;="&amp;$B37) + COUNTIFS(Base!$B:$B,F$11,Base!$S:$S,"&lt;7",Base!$K:$K,"&lt;="&amp;$B37,Base!$O:$O,"Finalizado")</f>
        <v>0</v>
      </c>
    </row>
    <row r="38">
      <c r="B38" s="151">
        <f t="shared" ref="B38:B120" si="13">IF(B37+1&lt;=TODAY(),B37+1,"-")</f>
        <v>45293</v>
      </c>
      <c r="C38" s="93">
        <f>COUNTIFS(Base!$B:$B,C$11,Base!$M:$M,"&lt;"&amp;$B38,Base!$N:$N,"&gt;="&amp;$B38,Base!$O:$O,"&lt;&gt;Finalizado",Base!$O:$O,"&lt;&gt;Congelado",Base!$O:$O,"&lt;&gt;Concluindo pendências") + COUNTIFS(Base!$B:$B,C$11,Base!$M:$M,"&lt;"&amp;$B38,Base!$N:$N,"",Base!$O:$O,"&lt;&gt;Finalizado",Base!$O:$O,"&lt;&gt;Congelado",Base!$O:$O,"&lt;&gt;Concluindo pendências")</f>
        <v>1</v>
      </c>
      <c r="D38" s="93">
        <f>COUNTIFS(Base!$B:$B,D$11,Base!$M:$M,"&lt;"&amp;$B38,Base!$N:$N,"&gt;="&amp;$B38,Base!$O:$O,"&lt;&gt;Finalizado",Base!$O:$O,"&lt;&gt;Congelado",Base!$O:$O,"&lt;&gt;Concluindo pendências") + COUNTIFS(Base!$B:$B,D$11,Base!$M:$M,"&lt;"&amp;$B38,Base!$N:$N,"",Base!$O:$O,"&lt;&gt;Finalizado",Base!$O:$O,"&lt;&gt;Congelado",Base!$O:$O,"&lt;&gt;Concluindo pendências")</f>
        <v>2</v>
      </c>
      <c r="E38" s="93">
        <f>COUNTIFS(Base!$B:$B,E$11,Base!$M:$M,"&lt;"&amp;$B38,Base!$N:$N,"&gt;="&amp;$B38,Base!$O:$O,"&lt;&gt;Finalizado",Base!$O:$O,"&lt;&gt;Congelado",Base!$O:$O,"&lt;&gt;Concluindo pendências") + COUNTIFS(Base!$B:$B,E$11,Base!$M:$M,"&lt;"&amp;$B38,Base!$N:$N,"",Base!$O:$O,"&lt;&gt;Finalizado",Base!$O:$O,"&lt;&gt;Congelado",Base!$O:$O,"&lt;&gt;Concluindo pendências")</f>
        <v>1</v>
      </c>
      <c r="F38" s="93">
        <f>COUNTIFS(Base!$B:$B,F$11,Base!$M:$M,"&lt;"&amp;$B38,Base!$N:$N,"&gt;="&amp;$B38,Base!$O:$O,"&lt;&gt;Finalizado",Base!$O:$O,"&lt;&gt;Congelado",Base!$O:$O,"&lt;&gt;Concluindo pendências") + COUNTIFS(Base!$B:$B,F$11,Base!$M:$M,"&lt;"&amp;$B38,Base!$N:$N,"",Base!$O:$O,"&lt;&gt;Finalizado",Base!$O:$O,"&lt;&gt;Congelado",Base!$O:$O,"&lt;&gt;Concluindo pendências")</f>
        <v>3</v>
      </c>
      <c r="H38" s="93">
        <f>COUNTIFS(Base!$B:$B,C$11,Base!$K:$K,"&lt;"&amp;$B38,Base!$N:$N,"&gt;="&amp;$B38,Base!$O:$O,"&lt;&gt;Finalizado",Base!$O:$O,"&lt;&gt;Congelado") + COUNTIFS(Base!$B:$B,C$11,Base!$K:$K,"&lt;"&amp;$B38,Base!$N:$N,"",Base!$O:$O,"&lt;&gt;Finalizado",Base!$O:$O,"&lt;&gt;Congelado")</f>
        <v>9</v>
      </c>
      <c r="I38" s="93">
        <f>COUNTIFS(Base!$B:$B,D$11,Base!$K:$K,"&lt;"&amp;$B38,Base!$N:$N,"&gt;="&amp;$B38,Base!$O:$O,"&lt;&gt;Finalizado",Base!$O:$O,"&lt;&gt;Congelado") + COUNTIFS(Base!$B:$B,D$11,Base!$K:$K,"&lt;"&amp;$B38,Base!$N:$N,"",Base!$O:$O,"&lt;&gt;Finalizado",Base!$O:$O,"&lt;&gt;Congelado")</f>
        <v>20</v>
      </c>
      <c r="J38" s="93">
        <f>COUNTIFS(Base!$B:$B,E$11,Base!$K:$K,"&lt;"&amp;$B38,Base!$N:$N,"&gt;="&amp;$B38,Base!$O:$O,"&lt;&gt;Finalizado",Base!$O:$O,"&lt;&gt;Congelado") + COUNTIFS(Base!$B:$B,E$11,Base!$K:$K,"&lt;"&amp;$B38,Base!$N:$N,"",Base!$O:$O,"&lt;&gt;Finalizado",Base!$O:$O,"&lt;&gt;Congelado")</f>
        <v>18</v>
      </c>
      <c r="K38" s="93">
        <f>COUNTIFS(Base!$B:$B,F$11,Base!$K:$K,"&lt;"&amp;$B38,Base!$N:$N,"&gt;="&amp;$B38,Base!$O:$O,"&lt;&gt;Finalizado",Base!$O:$O,"&lt;&gt;Congelado") + COUNTIFS(Base!$B:$B,F$11,Base!$K:$K,"&lt;"&amp;$B38,Base!$N:$N,"",Base!$O:$O,"&lt;&gt;Finalizado",Base!$O:$O,"&lt;&gt;Congelado")</f>
        <v>9</v>
      </c>
      <c r="M38" s="133">
        <f t="shared" ref="M38:P38" si="8">C38/H38</f>
        <v>0.1111111111</v>
      </c>
      <c r="N38" s="133">
        <f t="shared" si="8"/>
        <v>0.1</v>
      </c>
      <c r="O38" s="133">
        <f t="shared" si="8"/>
        <v>0.05555555556</v>
      </c>
      <c r="P38" s="133">
        <f t="shared" si="8"/>
        <v>0.3333333333</v>
      </c>
      <c r="Q38" s="133">
        <f t="shared" si="9"/>
        <v>0.125</v>
      </c>
      <c r="S38" s="93">
        <f t="shared" ref="S38:V38" si="10">S37+C38</f>
        <v>2</v>
      </c>
      <c r="T38" s="93">
        <f t="shared" si="10"/>
        <v>4</v>
      </c>
      <c r="U38" s="93">
        <f t="shared" si="10"/>
        <v>2</v>
      </c>
      <c r="V38" s="93">
        <f t="shared" si="10"/>
        <v>6</v>
      </c>
      <c r="W38" s="93">
        <f t="shared" si="11"/>
        <v>14</v>
      </c>
      <c r="Y38" s="133" t="str">
        <f>(COUNTIFS(Base!$B:$B,C$11,Base!$S:$S,"&gt;8",Base!$N:$N,"&lt;="&amp;$B38) - COUNTIFS(Base!$B:$B,C$11,Base!$S:$S,"&lt;7",Base!$N:$N,"&lt;="&amp;$B38) - COUNTIFS(Base!$B:$B,C$11,Base!$S:$S,"&lt;7",Base!$K:$K,"&lt;="&amp;$B38,Base!$O:$O,"Finalizado"))/(COUNTIFS(Base!$B:$B,C$11,Base!$S:$S,"&lt;&gt;",Base!$N:$N,"&lt;="&amp;$B38)+COUNTIFS(Base!$B:$B,C$11,Base!$S:$S,"&lt;7",Base!$K:$K,"&lt;="&amp;$B38,Base!$O:$O,"Finalizado"))</f>
        <v>#DIV/0!</v>
      </c>
      <c r="Z38" s="133">
        <f>(COUNTIFS(Base!$B:$B,D$11,Base!$S:$S,"&gt;8",Base!$N:$N,"&lt;="&amp;$B38) - COUNTIFS(Base!$B:$B,D$11,Base!$S:$S,"&lt;7",Base!$N:$N,"&lt;="&amp;$B38) - COUNTIFS(Base!$B:$B,D$11,Base!$S:$S,"&lt;7",Base!$K:$K,"&lt;="&amp;$B38,Base!$O:$O,"Finalizado"))/(COUNTIFS(Base!$B:$B,D$11,Base!$S:$S,"&lt;&gt;",Base!$N:$N,"&lt;="&amp;$B38)+COUNTIFS(Base!$B:$B,D$11,Base!$S:$S,"&lt;7",Base!$K:$K,"&lt;="&amp;$B38,Base!$O:$O,"Finalizado"))</f>
        <v>0.5</v>
      </c>
      <c r="AA38" s="133">
        <f>(COUNTIFS(Base!$B:$B,E$11,Base!$S:$S,"&gt;8",Base!$N:$N,"&lt;="&amp;$B38) - COUNTIFS(Base!$B:$B,E$11,Base!$S:$S,"&lt;7",Base!$N:$N,"&lt;="&amp;$B38) - COUNTIFS(Base!$B:$B,E$11,Base!$S:$S,"&lt;7",Base!$K:$K,"&lt;="&amp;$B38,Base!$O:$O,"Finalizado"))/(COUNTIFS(Base!$B:$B,E$11,Base!$S:$S,"&lt;&gt;",Base!$N:$N,"&lt;="&amp;$B38)+COUNTIFS(Base!$B:$B,E$11,Base!$S:$S,"&lt;7",Base!$K:$K,"&lt;="&amp;$B38,Base!$O:$O,"Finalizado"))</f>
        <v>-1</v>
      </c>
      <c r="AB38" s="133">
        <f t="shared" si="12"/>
        <v>0</v>
      </c>
      <c r="AD38" s="93">
        <f>(COUNTIFS(Base!$B:$B,F$11,Base!$S:$S,"&gt;8",Base!$N:$N,"&lt;="&amp;$B38)+(COUNTIFS(Base!$B:$B,F$11,Base!$AG:$AG,"&gt;8",Base!$K:$K,"&lt;="&amp;$B38)))</f>
        <v>0</v>
      </c>
      <c r="AE38" s="93">
        <f>(COUNTIFS(Base!$B:$B,F$11,Base!$S:$S,"&lt;&gt;",Base!$N:$N,"&lt;="&amp;$B38)+(COUNTIFS(Base!$B:$B,F$11,Base!$AG:$AG,"&lt;&gt;",Base!$K:$K,"&lt;="&amp;$B38)+COUNTIFS(Base!$B:$B,F$11,Base!$S:$S,"&lt;7",Base!$K:$K,"&lt;="&amp;$B38,Base!$O:$O,"Finalizado")))</f>
        <v>1</v>
      </c>
      <c r="AF38" s="93">
        <f>COUNTIFS(Base!$B:$B,F$11,Base!$S:$S,"&lt;7",Base!$N:$N,"&lt;="&amp;$B38) +COUNTIFS(Base!$B:$B,F$11,Base!$AG:$AG,"&lt;7",Base!$K:$K,"&lt;="&amp;$B38) + COUNTIFS(Base!$B:$B,F$11,Base!$S:$S,"&lt;7",Base!$K:$K,"&lt;="&amp;$B38,Base!$O:$O,"Finalizado")</f>
        <v>0</v>
      </c>
    </row>
    <row r="39">
      <c r="B39" s="151">
        <f t="shared" si="13"/>
        <v>45294</v>
      </c>
      <c r="C39" s="93">
        <f>COUNTIFS(Base!$B:$B,C$11,Base!$M:$M,"&lt;"&amp;$B39,Base!$N:$N,"&gt;="&amp;$B39,Base!$O:$O,"&lt;&gt;Finalizado",Base!$O:$O,"&lt;&gt;Congelado",Base!$O:$O,"&lt;&gt;Concluindo pendências") + COUNTIFS(Base!$B:$B,C$11,Base!$M:$M,"&lt;"&amp;$B39,Base!$N:$N,"",Base!$O:$O,"&lt;&gt;Finalizado",Base!$O:$O,"&lt;&gt;Congelado",Base!$O:$O,"&lt;&gt;Concluindo pendências")</f>
        <v>1</v>
      </c>
      <c r="D39" s="93">
        <f>COUNTIFS(Base!$B:$B,D$11,Base!$M:$M,"&lt;"&amp;$B39,Base!$N:$N,"&gt;="&amp;$B39,Base!$O:$O,"&lt;&gt;Finalizado",Base!$O:$O,"&lt;&gt;Congelado",Base!$O:$O,"&lt;&gt;Concluindo pendências") + COUNTIFS(Base!$B:$B,D$11,Base!$M:$M,"&lt;"&amp;$B39,Base!$N:$N,"",Base!$O:$O,"&lt;&gt;Finalizado",Base!$O:$O,"&lt;&gt;Congelado",Base!$O:$O,"&lt;&gt;Concluindo pendências")</f>
        <v>2</v>
      </c>
      <c r="E39" s="93">
        <f>COUNTIFS(Base!$B:$B,E$11,Base!$M:$M,"&lt;"&amp;$B39,Base!$N:$N,"&gt;="&amp;$B39,Base!$O:$O,"&lt;&gt;Finalizado",Base!$O:$O,"&lt;&gt;Congelado",Base!$O:$O,"&lt;&gt;Concluindo pendências") + COUNTIFS(Base!$B:$B,E$11,Base!$M:$M,"&lt;"&amp;$B39,Base!$N:$N,"",Base!$O:$O,"&lt;&gt;Finalizado",Base!$O:$O,"&lt;&gt;Congelado",Base!$O:$O,"&lt;&gt;Concluindo pendências")</f>
        <v>1</v>
      </c>
      <c r="F39" s="93">
        <f>COUNTIFS(Base!$B:$B,F$11,Base!$M:$M,"&lt;"&amp;$B39,Base!$N:$N,"&gt;="&amp;$B39,Base!$O:$O,"&lt;&gt;Finalizado",Base!$O:$O,"&lt;&gt;Congelado",Base!$O:$O,"&lt;&gt;Concluindo pendências") + COUNTIFS(Base!$B:$B,F$11,Base!$M:$M,"&lt;"&amp;$B39,Base!$N:$N,"",Base!$O:$O,"&lt;&gt;Finalizado",Base!$O:$O,"&lt;&gt;Congelado",Base!$O:$O,"&lt;&gt;Concluindo pendências")</f>
        <v>3</v>
      </c>
      <c r="H39" s="93">
        <f>COUNTIFS(Base!$B:$B,C$11,Base!$K:$K,"&lt;"&amp;$B39,Base!$N:$N,"&gt;="&amp;$B39,Base!$O:$O,"&lt;&gt;Finalizado",Base!$O:$O,"&lt;&gt;Congelado") + COUNTIFS(Base!$B:$B,C$11,Base!$K:$K,"&lt;"&amp;$B39,Base!$N:$N,"",Base!$O:$O,"&lt;&gt;Finalizado",Base!$O:$O,"&lt;&gt;Congelado")</f>
        <v>9</v>
      </c>
      <c r="I39" s="93">
        <f>COUNTIFS(Base!$B:$B,D$11,Base!$K:$K,"&lt;"&amp;$B39,Base!$N:$N,"&gt;="&amp;$B39,Base!$O:$O,"&lt;&gt;Finalizado",Base!$O:$O,"&lt;&gt;Congelado") + COUNTIFS(Base!$B:$B,D$11,Base!$K:$K,"&lt;"&amp;$B39,Base!$N:$N,"",Base!$O:$O,"&lt;&gt;Finalizado",Base!$O:$O,"&lt;&gt;Congelado")</f>
        <v>22</v>
      </c>
      <c r="J39" s="93">
        <f>COUNTIFS(Base!$B:$B,E$11,Base!$K:$K,"&lt;"&amp;$B39,Base!$N:$N,"&gt;="&amp;$B39,Base!$O:$O,"&lt;&gt;Finalizado",Base!$O:$O,"&lt;&gt;Congelado") + COUNTIFS(Base!$B:$B,E$11,Base!$K:$K,"&lt;"&amp;$B39,Base!$N:$N,"",Base!$O:$O,"&lt;&gt;Finalizado",Base!$O:$O,"&lt;&gt;Congelado")</f>
        <v>18</v>
      </c>
      <c r="K39" s="93">
        <f>COUNTIFS(Base!$B:$B,F$11,Base!$K:$K,"&lt;"&amp;$B39,Base!$N:$N,"&gt;="&amp;$B39,Base!$O:$O,"&lt;&gt;Finalizado",Base!$O:$O,"&lt;&gt;Congelado") + COUNTIFS(Base!$B:$B,F$11,Base!$K:$K,"&lt;"&amp;$B39,Base!$N:$N,"",Base!$O:$O,"&lt;&gt;Finalizado",Base!$O:$O,"&lt;&gt;Congelado")</f>
        <v>9</v>
      </c>
      <c r="M39" s="133">
        <f t="shared" ref="M39:P39" si="14">C39/H39</f>
        <v>0.1111111111</v>
      </c>
      <c r="N39" s="133">
        <f t="shared" si="14"/>
        <v>0.09090909091</v>
      </c>
      <c r="O39" s="133">
        <f t="shared" si="14"/>
        <v>0.05555555556</v>
      </c>
      <c r="P39" s="133">
        <f t="shared" si="14"/>
        <v>0.3333333333</v>
      </c>
      <c r="Q39" s="133">
        <f t="shared" si="9"/>
        <v>0.1206896552</v>
      </c>
      <c r="S39" s="93">
        <f t="shared" ref="S39:V39" si="15">S38+C39</f>
        <v>3</v>
      </c>
      <c r="T39" s="93">
        <f t="shared" si="15"/>
        <v>6</v>
      </c>
      <c r="U39" s="93">
        <f t="shared" si="15"/>
        <v>3</v>
      </c>
      <c r="V39" s="93">
        <f t="shared" si="15"/>
        <v>9</v>
      </c>
      <c r="W39" s="93">
        <f t="shared" si="11"/>
        <v>21</v>
      </c>
      <c r="Y39" s="133" t="str">
        <f>(COUNTIFS(Base!$B:$B,C$11,Base!$S:$S,"&gt;8",Base!$N:$N,"&lt;="&amp;$B39) - COUNTIFS(Base!$B:$B,C$11,Base!$S:$S,"&lt;7",Base!$N:$N,"&lt;="&amp;$B39) - COUNTIFS(Base!$B:$B,C$11,Base!$S:$S,"&lt;7",Base!$K:$K,"&lt;="&amp;$B39,Base!$O:$O,"Finalizado"))/(COUNTIFS(Base!$B:$B,C$11,Base!$S:$S,"&lt;&gt;",Base!$N:$N,"&lt;="&amp;$B39)+COUNTIFS(Base!$B:$B,C$11,Base!$S:$S,"&lt;7",Base!$K:$K,"&lt;="&amp;$B39,Base!$O:$O,"Finalizado"))</f>
        <v>#DIV/0!</v>
      </c>
      <c r="Z39" s="133">
        <f>(COUNTIFS(Base!$B:$B,D$11,Base!$S:$S,"&gt;8",Base!$N:$N,"&lt;="&amp;$B39) - COUNTIFS(Base!$B:$B,D$11,Base!$S:$S,"&lt;7",Base!$N:$N,"&lt;="&amp;$B39) - COUNTIFS(Base!$B:$B,D$11,Base!$S:$S,"&lt;7",Base!$K:$K,"&lt;="&amp;$B39,Base!$O:$O,"Finalizado"))/(COUNTIFS(Base!$B:$B,D$11,Base!$S:$S,"&lt;&gt;",Base!$N:$N,"&lt;="&amp;$B39)+COUNTIFS(Base!$B:$B,D$11,Base!$S:$S,"&lt;7",Base!$K:$K,"&lt;="&amp;$B39,Base!$O:$O,"Finalizado"))</f>
        <v>0.5</v>
      </c>
      <c r="AA39" s="133">
        <f>(COUNTIFS(Base!$B:$B,E$11,Base!$S:$S,"&gt;8",Base!$N:$N,"&lt;="&amp;$B39) - COUNTIFS(Base!$B:$B,E$11,Base!$S:$S,"&lt;7",Base!$N:$N,"&lt;="&amp;$B39) - COUNTIFS(Base!$B:$B,E$11,Base!$S:$S,"&lt;7",Base!$K:$K,"&lt;="&amp;$B39,Base!$O:$O,"Finalizado"))/(COUNTIFS(Base!$B:$B,E$11,Base!$S:$S,"&lt;&gt;",Base!$N:$N,"&lt;="&amp;$B39)+COUNTIFS(Base!$B:$B,E$11,Base!$S:$S,"&lt;7",Base!$K:$K,"&lt;="&amp;$B39,Base!$O:$O,"Finalizado"))</f>
        <v>0</v>
      </c>
      <c r="AB39" s="133">
        <f t="shared" si="12"/>
        <v>0</v>
      </c>
      <c r="AD39" s="93">
        <f>(COUNTIFS(Base!$B:$B,F$11,Base!$S:$S,"&gt;8",Base!$N:$N,"&lt;="&amp;$B39)+(COUNTIFS(Base!$B:$B,F$11,Base!$AG:$AG,"&gt;8",Base!$K:$K,"&lt;="&amp;$B39)))</f>
        <v>0</v>
      </c>
      <c r="AE39" s="93">
        <f>(COUNTIFS(Base!$B:$B,F$11,Base!$S:$S,"&lt;&gt;",Base!$N:$N,"&lt;="&amp;$B39)+(COUNTIFS(Base!$B:$B,F$11,Base!$AG:$AG,"&lt;&gt;",Base!$K:$K,"&lt;="&amp;$B39)+COUNTIFS(Base!$B:$B,F$11,Base!$S:$S,"&lt;7",Base!$K:$K,"&lt;="&amp;$B39,Base!$O:$O,"Finalizado")))</f>
        <v>1</v>
      </c>
      <c r="AF39" s="93">
        <f>COUNTIFS(Base!$B:$B,F$11,Base!$S:$S,"&lt;7",Base!$N:$N,"&lt;="&amp;$B39) +COUNTIFS(Base!$B:$B,F$11,Base!$AG:$AG,"&lt;7",Base!$K:$K,"&lt;="&amp;$B39) + COUNTIFS(Base!$B:$B,F$11,Base!$S:$S,"&lt;7",Base!$K:$K,"&lt;="&amp;$B39,Base!$O:$O,"Finalizado")</f>
        <v>0</v>
      </c>
    </row>
    <row r="40">
      <c r="B40" s="151">
        <f t="shared" si="13"/>
        <v>45295</v>
      </c>
      <c r="C40" s="93">
        <f>COUNTIFS(Base!$B:$B,C$11,Base!$M:$M,"&lt;"&amp;$B40,Base!$N:$N,"&gt;="&amp;$B40,Base!$O:$O,"&lt;&gt;Finalizado",Base!$O:$O,"&lt;&gt;Congelado",Base!$O:$O,"&lt;&gt;Concluindo pendências") + COUNTIFS(Base!$B:$B,C$11,Base!$M:$M,"&lt;"&amp;$B40,Base!$N:$N,"",Base!$O:$O,"&lt;&gt;Finalizado",Base!$O:$O,"&lt;&gt;Congelado",Base!$O:$O,"&lt;&gt;Concluindo pendências")</f>
        <v>1</v>
      </c>
      <c r="D40" s="93">
        <f>COUNTIFS(Base!$B:$B,D$11,Base!$M:$M,"&lt;"&amp;$B40,Base!$N:$N,"&gt;="&amp;$B40,Base!$O:$O,"&lt;&gt;Finalizado",Base!$O:$O,"&lt;&gt;Congelado",Base!$O:$O,"&lt;&gt;Concluindo pendências") + COUNTIFS(Base!$B:$B,D$11,Base!$M:$M,"&lt;"&amp;$B40,Base!$N:$N,"",Base!$O:$O,"&lt;&gt;Finalizado",Base!$O:$O,"&lt;&gt;Congelado",Base!$O:$O,"&lt;&gt;Concluindo pendências")</f>
        <v>2</v>
      </c>
      <c r="E40" s="93">
        <f>COUNTIFS(Base!$B:$B,E$11,Base!$M:$M,"&lt;"&amp;$B40,Base!$N:$N,"&gt;="&amp;$B40,Base!$O:$O,"&lt;&gt;Finalizado",Base!$O:$O,"&lt;&gt;Congelado",Base!$O:$O,"&lt;&gt;Concluindo pendências") + COUNTIFS(Base!$B:$B,E$11,Base!$M:$M,"&lt;"&amp;$B40,Base!$N:$N,"",Base!$O:$O,"&lt;&gt;Finalizado",Base!$O:$O,"&lt;&gt;Congelado",Base!$O:$O,"&lt;&gt;Concluindo pendências")</f>
        <v>1</v>
      </c>
      <c r="F40" s="93">
        <f>COUNTIFS(Base!$B:$B,F$11,Base!$M:$M,"&lt;"&amp;$B40,Base!$N:$N,"&gt;="&amp;$B40,Base!$O:$O,"&lt;&gt;Finalizado",Base!$O:$O,"&lt;&gt;Congelado",Base!$O:$O,"&lt;&gt;Concluindo pendências") + COUNTIFS(Base!$B:$B,F$11,Base!$M:$M,"&lt;"&amp;$B40,Base!$N:$N,"",Base!$O:$O,"&lt;&gt;Finalizado",Base!$O:$O,"&lt;&gt;Congelado",Base!$O:$O,"&lt;&gt;Concluindo pendências")</f>
        <v>3</v>
      </c>
      <c r="H40" s="93">
        <f>COUNTIFS(Base!$B:$B,C$11,Base!$K:$K,"&lt;"&amp;$B40,Base!$N:$N,"&gt;="&amp;$B40,Base!$O:$O,"&lt;&gt;Finalizado",Base!$O:$O,"&lt;&gt;Congelado") + COUNTIFS(Base!$B:$B,C$11,Base!$K:$K,"&lt;"&amp;$B40,Base!$N:$N,"",Base!$O:$O,"&lt;&gt;Finalizado",Base!$O:$O,"&lt;&gt;Congelado")</f>
        <v>9</v>
      </c>
      <c r="I40" s="93">
        <f>COUNTIFS(Base!$B:$B,D$11,Base!$K:$K,"&lt;"&amp;$B40,Base!$N:$N,"&gt;="&amp;$B40,Base!$O:$O,"&lt;&gt;Finalizado",Base!$O:$O,"&lt;&gt;Congelado") + COUNTIFS(Base!$B:$B,D$11,Base!$K:$K,"&lt;"&amp;$B40,Base!$N:$N,"",Base!$O:$O,"&lt;&gt;Finalizado",Base!$O:$O,"&lt;&gt;Congelado")</f>
        <v>23</v>
      </c>
      <c r="J40" s="93">
        <f>COUNTIFS(Base!$B:$B,E$11,Base!$K:$K,"&lt;"&amp;$B40,Base!$N:$N,"&gt;="&amp;$B40,Base!$O:$O,"&lt;&gt;Finalizado",Base!$O:$O,"&lt;&gt;Congelado") + COUNTIFS(Base!$B:$B,E$11,Base!$K:$K,"&lt;"&amp;$B40,Base!$N:$N,"",Base!$O:$O,"&lt;&gt;Finalizado",Base!$O:$O,"&lt;&gt;Congelado")</f>
        <v>18</v>
      </c>
      <c r="K40" s="93">
        <f>COUNTIFS(Base!$B:$B,F$11,Base!$K:$K,"&lt;"&amp;$B40,Base!$N:$N,"&gt;="&amp;$B40,Base!$O:$O,"&lt;&gt;Finalizado",Base!$O:$O,"&lt;&gt;Congelado") + COUNTIFS(Base!$B:$B,F$11,Base!$K:$K,"&lt;"&amp;$B40,Base!$N:$N,"",Base!$O:$O,"&lt;&gt;Finalizado",Base!$O:$O,"&lt;&gt;Congelado")</f>
        <v>9</v>
      </c>
      <c r="M40" s="133">
        <f t="shared" ref="M40:P40" si="16">C40/H40</f>
        <v>0.1111111111</v>
      </c>
      <c r="N40" s="133">
        <f t="shared" si="16"/>
        <v>0.08695652174</v>
      </c>
      <c r="O40" s="133">
        <f t="shared" si="16"/>
        <v>0.05555555556</v>
      </c>
      <c r="P40" s="133">
        <f t="shared" si="16"/>
        <v>0.3333333333</v>
      </c>
      <c r="Q40" s="133">
        <f t="shared" si="9"/>
        <v>0.1186440678</v>
      </c>
      <c r="S40" s="93">
        <f t="shared" ref="S40:V40" si="17">S39+C40</f>
        <v>4</v>
      </c>
      <c r="T40" s="93">
        <f t="shared" si="17"/>
        <v>8</v>
      </c>
      <c r="U40" s="93">
        <f t="shared" si="17"/>
        <v>4</v>
      </c>
      <c r="V40" s="93">
        <f t="shared" si="17"/>
        <v>12</v>
      </c>
      <c r="W40" s="93">
        <f t="shared" si="11"/>
        <v>28</v>
      </c>
      <c r="Y40" s="133" t="str">
        <f>(COUNTIFS(Base!$B:$B,C$11,Base!$S:$S,"&gt;8",Base!$N:$N,"&lt;="&amp;$B40) - COUNTIFS(Base!$B:$B,C$11,Base!$S:$S,"&lt;7",Base!$N:$N,"&lt;="&amp;$B40) - COUNTIFS(Base!$B:$B,C$11,Base!$S:$S,"&lt;7",Base!$K:$K,"&lt;="&amp;$B40,Base!$O:$O,"Finalizado"))/(COUNTIFS(Base!$B:$B,C$11,Base!$S:$S,"&lt;&gt;",Base!$N:$N,"&lt;="&amp;$B40)+COUNTIFS(Base!$B:$B,C$11,Base!$S:$S,"&lt;7",Base!$K:$K,"&lt;="&amp;$B40,Base!$O:$O,"Finalizado"))</f>
        <v>#DIV/0!</v>
      </c>
      <c r="Z40" s="133">
        <f>(COUNTIFS(Base!$B:$B,D$11,Base!$S:$S,"&gt;8",Base!$N:$N,"&lt;="&amp;$B40) - COUNTIFS(Base!$B:$B,D$11,Base!$S:$S,"&lt;7",Base!$N:$N,"&lt;="&amp;$B40) - COUNTIFS(Base!$B:$B,D$11,Base!$S:$S,"&lt;7",Base!$K:$K,"&lt;="&amp;$B40,Base!$O:$O,"Finalizado"))/(COUNTIFS(Base!$B:$B,D$11,Base!$S:$S,"&lt;&gt;",Base!$N:$N,"&lt;="&amp;$B40)+COUNTIFS(Base!$B:$B,D$11,Base!$S:$S,"&lt;7",Base!$K:$K,"&lt;="&amp;$B40,Base!$O:$O,"Finalizado"))</f>
        <v>0.5</v>
      </c>
      <c r="AA40" s="133">
        <f>(COUNTIFS(Base!$B:$B,E$11,Base!$S:$S,"&gt;8",Base!$N:$N,"&lt;="&amp;$B40) - COUNTIFS(Base!$B:$B,E$11,Base!$S:$S,"&lt;7",Base!$N:$N,"&lt;="&amp;$B40) - COUNTIFS(Base!$B:$B,E$11,Base!$S:$S,"&lt;7",Base!$K:$K,"&lt;="&amp;$B40,Base!$O:$O,"Finalizado"))/(COUNTIFS(Base!$B:$B,E$11,Base!$S:$S,"&lt;&gt;",Base!$N:$N,"&lt;="&amp;$B40)+COUNTIFS(Base!$B:$B,E$11,Base!$S:$S,"&lt;7",Base!$K:$K,"&lt;="&amp;$B40,Base!$O:$O,"Finalizado"))</f>
        <v>0</v>
      </c>
      <c r="AB40" s="133">
        <f t="shared" si="12"/>
        <v>0</v>
      </c>
      <c r="AD40" s="93">
        <f>(COUNTIFS(Base!$B:$B,F$11,Base!$S:$S,"&gt;8",Base!$N:$N,"&lt;="&amp;$B40)+(COUNTIFS(Base!$B:$B,F$11,Base!$AG:$AG,"&gt;8",Base!$K:$K,"&lt;="&amp;$B40)))</f>
        <v>0</v>
      </c>
      <c r="AE40" s="93">
        <f>(COUNTIFS(Base!$B:$B,F$11,Base!$S:$S,"&lt;&gt;",Base!$N:$N,"&lt;="&amp;$B40)+(COUNTIFS(Base!$B:$B,F$11,Base!$AG:$AG,"&lt;&gt;",Base!$K:$K,"&lt;="&amp;$B40)+COUNTIFS(Base!$B:$B,F$11,Base!$S:$S,"&lt;7",Base!$K:$K,"&lt;="&amp;$B40,Base!$O:$O,"Finalizado")))</f>
        <v>1</v>
      </c>
      <c r="AF40" s="93">
        <f>COUNTIFS(Base!$B:$B,F$11,Base!$S:$S,"&lt;7",Base!$N:$N,"&lt;="&amp;$B40) +COUNTIFS(Base!$B:$B,F$11,Base!$AG:$AG,"&lt;7",Base!$K:$K,"&lt;="&amp;$B40) + COUNTIFS(Base!$B:$B,F$11,Base!$S:$S,"&lt;7",Base!$K:$K,"&lt;="&amp;$B40,Base!$O:$O,"Finalizado")</f>
        <v>0</v>
      </c>
    </row>
    <row r="41">
      <c r="B41" s="151">
        <f t="shared" si="13"/>
        <v>45296</v>
      </c>
      <c r="C41" s="93">
        <f>COUNTIFS(Base!$B:$B,C$11,Base!$M:$M,"&lt;"&amp;$B41,Base!$N:$N,"&gt;="&amp;$B41,Base!$O:$O,"&lt;&gt;Finalizado",Base!$O:$O,"&lt;&gt;Congelado",Base!$O:$O,"&lt;&gt;Concluindo pendências") + COUNTIFS(Base!$B:$B,C$11,Base!$M:$M,"&lt;"&amp;$B41,Base!$N:$N,"",Base!$O:$O,"&lt;&gt;Finalizado",Base!$O:$O,"&lt;&gt;Congelado",Base!$O:$O,"&lt;&gt;Concluindo pendências")</f>
        <v>1</v>
      </c>
      <c r="D41" s="93">
        <f>COUNTIFS(Base!$B:$B,D$11,Base!$M:$M,"&lt;"&amp;$B41,Base!$N:$N,"&gt;="&amp;$B41,Base!$O:$O,"&lt;&gt;Finalizado",Base!$O:$O,"&lt;&gt;Congelado",Base!$O:$O,"&lt;&gt;Concluindo pendências") + COUNTIFS(Base!$B:$B,D$11,Base!$M:$M,"&lt;"&amp;$B41,Base!$N:$N,"",Base!$O:$O,"&lt;&gt;Finalizado",Base!$O:$O,"&lt;&gt;Congelado",Base!$O:$O,"&lt;&gt;Concluindo pendências")</f>
        <v>2</v>
      </c>
      <c r="E41" s="93">
        <f>COUNTIFS(Base!$B:$B,E$11,Base!$M:$M,"&lt;"&amp;$B41,Base!$N:$N,"&gt;="&amp;$B41,Base!$O:$O,"&lt;&gt;Finalizado",Base!$O:$O,"&lt;&gt;Congelado",Base!$O:$O,"&lt;&gt;Concluindo pendências") + COUNTIFS(Base!$B:$B,E$11,Base!$M:$M,"&lt;"&amp;$B41,Base!$N:$N,"",Base!$O:$O,"&lt;&gt;Finalizado",Base!$O:$O,"&lt;&gt;Congelado",Base!$O:$O,"&lt;&gt;Concluindo pendências")</f>
        <v>1</v>
      </c>
      <c r="F41" s="93">
        <f>COUNTIFS(Base!$B:$B,F$11,Base!$M:$M,"&lt;"&amp;$B41,Base!$N:$N,"&gt;="&amp;$B41,Base!$O:$O,"&lt;&gt;Finalizado",Base!$O:$O,"&lt;&gt;Congelado",Base!$O:$O,"&lt;&gt;Concluindo pendências") + COUNTIFS(Base!$B:$B,F$11,Base!$M:$M,"&lt;"&amp;$B41,Base!$N:$N,"",Base!$O:$O,"&lt;&gt;Finalizado",Base!$O:$O,"&lt;&gt;Congelado",Base!$O:$O,"&lt;&gt;Concluindo pendências")</f>
        <v>3</v>
      </c>
      <c r="H41" s="93">
        <f>COUNTIFS(Base!$B:$B,C$11,Base!$K:$K,"&lt;"&amp;$B41,Base!$N:$N,"&gt;="&amp;$B41,Base!$O:$O,"&lt;&gt;Finalizado",Base!$O:$O,"&lt;&gt;Congelado") + COUNTIFS(Base!$B:$B,C$11,Base!$K:$K,"&lt;"&amp;$B41,Base!$N:$N,"",Base!$O:$O,"&lt;&gt;Finalizado",Base!$O:$O,"&lt;&gt;Congelado")</f>
        <v>9</v>
      </c>
      <c r="I41" s="93">
        <f>COUNTIFS(Base!$B:$B,D$11,Base!$K:$K,"&lt;"&amp;$B41,Base!$N:$N,"&gt;="&amp;$B41,Base!$O:$O,"&lt;&gt;Finalizado",Base!$O:$O,"&lt;&gt;Congelado") + COUNTIFS(Base!$B:$B,D$11,Base!$K:$K,"&lt;"&amp;$B41,Base!$N:$N,"",Base!$O:$O,"&lt;&gt;Finalizado",Base!$O:$O,"&lt;&gt;Congelado")</f>
        <v>23</v>
      </c>
      <c r="J41" s="93">
        <f>COUNTIFS(Base!$B:$B,E$11,Base!$K:$K,"&lt;"&amp;$B41,Base!$N:$N,"&gt;="&amp;$B41,Base!$O:$O,"&lt;&gt;Finalizado",Base!$O:$O,"&lt;&gt;Congelado") + COUNTIFS(Base!$B:$B,E$11,Base!$K:$K,"&lt;"&amp;$B41,Base!$N:$N,"",Base!$O:$O,"&lt;&gt;Finalizado",Base!$O:$O,"&lt;&gt;Congelado")</f>
        <v>18</v>
      </c>
      <c r="K41" s="93">
        <f>COUNTIFS(Base!$B:$B,F$11,Base!$K:$K,"&lt;"&amp;$B41,Base!$N:$N,"&gt;="&amp;$B41,Base!$O:$O,"&lt;&gt;Finalizado",Base!$O:$O,"&lt;&gt;Congelado") + COUNTIFS(Base!$B:$B,F$11,Base!$K:$K,"&lt;"&amp;$B41,Base!$N:$N,"",Base!$O:$O,"&lt;&gt;Finalizado",Base!$O:$O,"&lt;&gt;Congelado")</f>
        <v>9</v>
      </c>
      <c r="M41" s="133">
        <f t="shared" ref="M41:P41" si="18">C41/H41</f>
        <v>0.1111111111</v>
      </c>
      <c r="N41" s="133">
        <f t="shared" si="18"/>
        <v>0.08695652174</v>
      </c>
      <c r="O41" s="133">
        <f t="shared" si="18"/>
        <v>0.05555555556</v>
      </c>
      <c r="P41" s="133">
        <f t="shared" si="18"/>
        <v>0.3333333333</v>
      </c>
      <c r="Q41" s="133">
        <f t="shared" si="9"/>
        <v>0.1186440678</v>
      </c>
      <c r="S41" s="93">
        <f t="shared" ref="S41:V41" si="19">S40+C41</f>
        <v>5</v>
      </c>
      <c r="T41" s="93">
        <f t="shared" si="19"/>
        <v>10</v>
      </c>
      <c r="U41" s="93">
        <f t="shared" si="19"/>
        <v>5</v>
      </c>
      <c r="V41" s="93">
        <f t="shared" si="19"/>
        <v>15</v>
      </c>
      <c r="W41" s="93">
        <f t="shared" si="11"/>
        <v>35</v>
      </c>
      <c r="Y41" s="133" t="str">
        <f>(COUNTIFS(Base!$B:$B,C$11,Base!$S:$S,"&gt;8",Base!$N:$N,"&lt;="&amp;$B41) - COUNTIFS(Base!$B:$B,C$11,Base!$S:$S,"&lt;7",Base!$N:$N,"&lt;="&amp;$B41) - COUNTIFS(Base!$B:$B,C$11,Base!$S:$S,"&lt;7",Base!$K:$K,"&lt;="&amp;$B41,Base!$O:$O,"Finalizado"))/(COUNTIFS(Base!$B:$B,C$11,Base!$S:$S,"&lt;&gt;",Base!$N:$N,"&lt;="&amp;$B41)+COUNTIFS(Base!$B:$B,C$11,Base!$S:$S,"&lt;7",Base!$K:$K,"&lt;="&amp;$B41,Base!$O:$O,"Finalizado"))</f>
        <v>#DIV/0!</v>
      </c>
      <c r="Z41" s="133">
        <f>(COUNTIFS(Base!$B:$B,D$11,Base!$S:$S,"&gt;8",Base!$N:$N,"&lt;="&amp;$B41) - COUNTIFS(Base!$B:$B,D$11,Base!$S:$S,"&lt;7",Base!$N:$N,"&lt;="&amp;$B41) - COUNTIFS(Base!$B:$B,D$11,Base!$S:$S,"&lt;7",Base!$K:$K,"&lt;="&amp;$B41,Base!$O:$O,"Finalizado"))/(COUNTIFS(Base!$B:$B,D$11,Base!$S:$S,"&lt;&gt;",Base!$N:$N,"&lt;="&amp;$B41)+COUNTIFS(Base!$B:$B,D$11,Base!$S:$S,"&lt;7",Base!$K:$K,"&lt;="&amp;$B41,Base!$O:$O,"Finalizado"))</f>
        <v>0.5</v>
      </c>
      <c r="AA41" s="133">
        <f>(COUNTIFS(Base!$B:$B,E$11,Base!$S:$S,"&gt;8",Base!$N:$N,"&lt;="&amp;$B41) - COUNTIFS(Base!$B:$B,E$11,Base!$S:$S,"&lt;7",Base!$N:$N,"&lt;="&amp;$B41) - COUNTIFS(Base!$B:$B,E$11,Base!$S:$S,"&lt;7",Base!$K:$K,"&lt;="&amp;$B41,Base!$O:$O,"Finalizado"))/(COUNTIFS(Base!$B:$B,E$11,Base!$S:$S,"&lt;&gt;",Base!$N:$N,"&lt;="&amp;$B41)+COUNTIFS(Base!$B:$B,E$11,Base!$S:$S,"&lt;7",Base!$K:$K,"&lt;="&amp;$B41,Base!$O:$O,"Finalizado"))</f>
        <v>0</v>
      </c>
      <c r="AB41" s="133">
        <f t="shared" si="12"/>
        <v>0</v>
      </c>
      <c r="AD41" s="93">
        <f>(COUNTIFS(Base!$B:$B,F$11,Base!$S:$S,"&gt;8",Base!$N:$N,"&lt;="&amp;$B41)+(COUNTIFS(Base!$B:$B,F$11,Base!$AG:$AG,"&gt;8",Base!$K:$K,"&lt;="&amp;$B41)))</f>
        <v>0</v>
      </c>
      <c r="AE41" s="93">
        <f>(COUNTIFS(Base!$B:$B,F$11,Base!$S:$S,"&lt;&gt;",Base!$N:$N,"&lt;="&amp;$B41)+(COUNTIFS(Base!$B:$B,F$11,Base!$AG:$AG,"&lt;&gt;",Base!$K:$K,"&lt;="&amp;$B41)+COUNTIFS(Base!$B:$B,F$11,Base!$S:$S,"&lt;7",Base!$K:$K,"&lt;="&amp;$B41,Base!$O:$O,"Finalizado")))</f>
        <v>1</v>
      </c>
      <c r="AF41" s="93">
        <f>COUNTIFS(Base!$B:$B,F$11,Base!$S:$S,"&lt;7",Base!$N:$N,"&lt;="&amp;$B41) +COUNTIFS(Base!$B:$B,F$11,Base!$AG:$AG,"&lt;7",Base!$K:$K,"&lt;="&amp;$B41) + COUNTIFS(Base!$B:$B,F$11,Base!$S:$S,"&lt;7",Base!$K:$K,"&lt;="&amp;$B41,Base!$O:$O,"Finalizado")</f>
        <v>0</v>
      </c>
    </row>
    <row r="42">
      <c r="B42" s="151">
        <f t="shared" si="13"/>
        <v>45297</v>
      </c>
      <c r="C42" s="93">
        <f>COUNTIFS(Base!$B:$B,C$11,Base!$M:$M,"&lt;"&amp;$B42,Base!$N:$N,"&gt;="&amp;$B42,Base!$O:$O,"&lt;&gt;Finalizado",Base!$O:$O,"&lt;&gt;Congelado",Base!$O:$O,"&lt;&gt;Concluindo pendências") + COUNTIFS(Base!$B:$B,C$11,Base!$M:$M,"&lt;"&amp;$B42,Base!$N:$N,"",Base!$O:$O,"&lt;&gt;Finalizado",Base!$O:$O,"&lt;&gt;Congelado",Base!$O:$O,"&lt;&gt;Concluindo pendências")</f>
        <v>1</v>
      </c>
      <c r="D42" s="93">
        <f>COUNTIFS(Base!$B:$B,D$11,Base!$M:$M,"&lt;"&amp;$B42,Base!$N:$N,"&gt;="&amp;$B42,Base!$O:$O,"&lt;&gt;Finalizado",Base!$O:$O,"&lt;&gt;Congelado",Base!$O:$O,"&lt;&gt;Concluindo pendências") + COUNTIFS(Base!$B:$B,D$11,Base!$M:$M,"&lt;"&amp;$B42,Base!$N:$N,"",Base!$O:$O,"&lt;&gt;Finalizado",Base!$O:$O,"&lt;&gt;Congelado",Base!$O:$O,"&lt;&gt;Concluindo pendências")</f>
        <v>2</v>
      </c>
      <c r="E42" s="93">
        <f>COUNTIFS(Base!$B:$B,E$11,Base!$M:$M,"&lt;"&amp;$B42,Base!$N:$N,"&gt;="&amp;$B42,Base!$O:$O,"&lt;&gt;Finalizado",Base!$O:$O,"&lt;&gt;Congelado",Base!$O:$O,"&lt;&gt;Concluindo pendências") + COUNTIFS(Base!$B:$B,E$11,Base!$M:$M,"&lt;"&amp;$B42,Base!$N:$N,"",Base!$O:$O,"&lt;&gt;Finalizado",Base!$O:$O,"&lt;&gt;Congelado",Base!$O:$O,"&lt;&gt;Concluindo pendências")</f>
        <v>2</v>
      </c>
      <c r="F42" s="93">
        <f>COUNTIFS(Base!$B:$B,F$11,Base!$M:$M,"&lt;"&amp;$B42,Base!$N:$N,"&gt;="&amp;$B42,Base!$O:$O,"&lt;&gt;Finalizado",Base!$O:$O,"&lt;&gt;Congelado",Base!$O:$O,"&lt;&gt;Concluindo pendências") + COUNTIFS(Base!$B:$B,F$11,Base!$M:$M,"&lt;"&amp;$B42,Base!$N:$N,"",Base!$O:$O,"&lt;&gt;Finalizado",Base!$O:$O,"&lt;&gt;Congelado",Base!$O:$O,"&lt;&gt;Concluindo pendências")</f>
        <v>3</v>
      </c>
      <c r="H42" s="93">
        <f>COUNTIFS(Base!$B:$B,C$11,Base!$K:$K,"&lt;"&amp;$B42,Base!$N:$N,"&gt;="&amp;$B42,Base!$O:$O,"&lt;&gt;Finalizado",Base!$O:$O,"&lt;&gt;Congelado") + COUNTIFS(Base!$B:$B,C$11,Base!$K:$K,"&lt;"&amp;$B42,Base!$N:$N,"",Base!$O:$O,"&lt;&gt;Finalizado",Base!$O:$O,"&lt;&gt;Congelado")</f>
        <v>9</v>
      </c>
      <c r="I42" s="93">
        <f>COUNTIFS(Base!$B:$B,D$11,Base!$K:$K,"&lt;"&amp;$B42,Base!$N:$N,"&gt;="&amp;$B42,Base!$O:$O,"&lt;&gt;Finalizado",Base!$O:$O,"&lt;&gt;Congelado") + COUNTIFS(Base!$B:$B,D$11,Base!$K:$K,"&lt;"&amp;$B42,Base!$N:$N,"",Base!$O:$O,"&lt;&gt;Finalizado",Base!$O:$O,"&lt;&gt;Congelado")</f>
        <v>25</v>
      </c>
      <c r="J42" s="93">
        <f>COUNTIFS(Base!$B:$B,E$11,Base!$K:$K,"&lt;"&amp;$B42,Base!$N:$N,"&gt;="&amp;$B42,Base!$O:$O,"&lt;&gt;Finalizado",Base!$O:$O,"&lt;&gt;Congelado") + COUNTIFS(Base!$B:$B,E$11,Base!$K:$K,"&lt;"&amp;$B42,Base!$N:$N,"",Base!$O:$O,"&lt;&gt;Finalizado",Base!$O:$O,"&lt;&gt;Congelado")</f>
        <v>19</v>
      </c>
      <c r="K42" s="93">
        <f>COUNTIFS(Base!$B:$B,F$11,Base!$K:$K,"&lt;"&amp;$B42,Base!$N:$N,"&gt;="&amp;$B42,Base!$O:$O,"&lt;&gt;Finalizado",Base!$O:$O,"&lt;&gt;Congelado") + COUNTIFS(Base!$B:$B,F$11,Base!$K:$K,"&lt;"&amp;$B42,Base!$N:$N,"",Base!$O:$O,"&lt;&gt;Finalizado",Base!$O:$O,"&lt;&gt;Congelado")</f>
        <v>9</v>
      </c>
      <c r="M42" s="133">
        <f t="shared" ref="M42:P42" si="20">C42/H42</f>
        <v>0.1111111111</v>
      </c>
      <c r="N42" s="133">
        <f t="shared" si="20"/>
        <v>0.08</v>
      </c>
      <c r="O42" s="133">
        <f t="shared" si="20"/>
        <v>0.1052631579</v>
      </c>
      <c r="P42" s="133">
        <f t="shared" si="20"/>
        <v>0.3333333333</v>
      </c>
      <c r="Q42" s="133">
        <f t="shared" si="9"/>
        <v>0.1290322581</v>
      </c>
      <c r="S42" s="93">
        <f t="shared" ref="S42:V42" si="21">S41+C42</f>
        <v>6</v>
      </c>
      <c r="T42" s="93">
        <f t="shared" si="21"/>
        <v>12</v>
      </c>
      <c r="U42" s="93">
        <f t="shared" si="21"/>
        <v>7</v>
      </c>
      <c r="V42" s="93">
        <f t="shared" si="21"/>
        <v>18</v>
      </c>
      <c r="W42" s="93">
        <f t="shared" si="11"/>
        <v>43</v>
      </c>
      <c r="Y42" s="133" t="str">
        <f>(COUNTIFS(Base!$B:$B,C$11,Base!$S:$S,"&gt;8",Base!$N:$N,"&lt;="&amp;$B42) - COUNTIFS(Base!$B:$B,C$11,Base!$S:$S,"&lt;7",Base!$N:$N,"&lt;="&amp;$B42) - COUNTIFS(Base!$B:$B,C$11,Base!$S:$S,"&lt;7",Base!$K:$K,"&lt;="&amp;$B42,Base!$O:$O,"Finalizado"))/(COUNTIFS(Base!$B:$B,C$11,Base!$S:$S,"&lt;&gt;",Base!$N:$N,"&lt;="&amp;$B42)+COUNTIFS(Base!$B:$B,C$11,Base!$S:$S,"&lt;7",Base!$K:$K,"&lt;="&amp;$B42,Base!$O:$O,"Finalizado"))</f>
        <v>#DIV/0!</v>
      </c>
      <c r="Z42" s="133">
        <f>(COUNTIFS(Base!$B:$B,D$11,Base!$S:$S,"&gt;8",Base!$N:$N,"&lt;="&amp;$B42) - COUNTIFS(Base!$B:$B,D$11,Base!$S:$S,"&lt;7",Base!$N:$N,"&lt;="&amp;$B42) - COUNTIFS(Base!$B:$B,D$11,Base!$S:$S,"&lt;7",Base!$K:$K,"&lt;="&amp;$B42,Base!$O:$O,"Finalizado"))/(COUNTIFS(Base!$B:$B,D$11,Base!$S:$S,"&lt;&gt;",Base!$N:$N,"&lt;="&amp;$B42)+COUNTIFS(Base!$B:$B,D$11,Base!$S:$S,"&lt;7",Base!$K:$K,"&lt;="&amp;$B42,Base!$O:$O,"Finalizado"))</f>
        <v>0.5</v>
      </c>
      <c r="AA42" s="133">
        <f>(COUNTIFS(Base!$B:$B,E$11,Base!$S:$S,"&gt;8",Base!$N:$N,"&lt;="&amp;$B42) - COUNTIFS(Base!$B:$B,E$11,Base!$S:$S,"&lt;7",Base!$N:$N,"&lt;="&amp;$B42) - COUNTIFS(Base!$B:$B,E$11,Base!$S:$S,"&lt;7",Base!$K:$K,"&lt;="&amp;$B42,Base!$O:$O,"Finalizado"))/(COUNTIFS(Base!$B:$B,E$11,Base!$S:$S,"&lt;&gt;",Base!$N:$N,"&lt;="&amp;$B42)+COUNTIFS(Base!$B:$B,E$11,Base!$S:$S,"&lt;7",Base!$K:$K,"&lt;="&amp;$B42,Base!$O:$O,"Finalizado"))</f>
        <v>0</v>
      </c>
      <c r="AB42" s="133">
        <f t="shared" si="12"/>
        <v>0</v>
      </c>
      <c r="AD42" s="93">
        <f>(COUNTIFS(Base!$B:$B,F$11,Base!$S:$S,"&gt;8",Base!$N:$N,"&lt;="&amp;$B42)+(COUNTIFS(Base!$B:$B,F$11,Base!$AG:$AG,"&gt;8",Base!$K:$K,"&lt;="&amp;$B42)))</f>
        <v>0</v>
      </c>
      <c r="AE42" s="93">
        <f>(COUNTIFS(Base!$B:$B,F$11,Base!$S:$S,"&lt;&gt;",Base!$N:$N,"&lt;="&amp;$B42)+(COUNTIFS(Base!$B:$B,F$11,Base!$AG:$AG,"&lt;&gt;",Base!$K:$K,"&lt;="&amp;$B42)+COUNTIFS(Base!$B:$B,F$11,Base!$S:$S,"&lt;7",Base!$K:$K,"&lt;="&amp;$B42,Base!$O:$O,"Finalizado")))</f>
        <v>1</v>
      </c>
      <c r="AF42" s="93">
        <f>COUNTIFS(Base!$B:$B,F$11,Base!$S:$S,"&lt;7",Base!$N:$N,"&lt;="&amp;$B42) +COUNTIFS(Base!$B:$B,F$11,Base!$AG:$AG,"&lt;7",Base!$K:$K,"&lt;="&amp;$B42) + COUNTIFS(Base!$B:$B,F$11,Base!$S:$S,"&lt;7",Base!$K:$K,"&lt;="&amp;$B42,Base!$O:$O,"Finalizado")</f>
        <v>0</v>
      </c>
    </row>
    <row r="43">
      <c r="B43" s="151">
        <f t="shared" si="13"/>
        <v>45298</v>
      </c>
      <c r="C43" s="93">
        <f>COUNTIFS(Base!$B:$B,C$11,Base!$M:$M,"&lt;"&amp;$B43,Base!$N:$N,"&gt;="&amp;$B43,Base!$O:$O,"&lt;&gt;Finalizado",Base!$O:$O,"&lt;&gt;Congelado",Base!$O:$O,"&lt;&gt;Concluindo pendências") + COUNTIFS(Base!$B:$B,C$11,Base!$M:$M,"&lt;"&amp;$B43,Base!$N:$N,"",Base!$O:$O,"&lt;&gt;Finalizado",Base!$O:$O,"&lt;&gt;Congelado",Base!$O:$O,"&lt;&gt;Concluindo pendências")</f>
        <v>1</v>
      </c>
      <c r="D43" s="93">
        <f>COUNTIFS(Base!$B:$B,D$11,Base!$M:$M,"&lt;"&amp;$B43,Base!$N:$N,"&gt;="&amp;$B43,Base!$O:$O,"&lt;&gt;Finalizado",Base!$O:$O,"&lt;&gt;Congelado",Base!$O:$O,"&lt;&gt;Concluindo pendências") + COUNTIFS(Base!$B:$B,D$11,Base!$M:$M,"&lt;"&amp;$B43,Base!$N:$N,"",Base!$O:$O,"&lt;&gt;Finalizado",Base!$O:$O,"&lt;&gt;Congelado",Base!$O:$O,"&lt;&gt;Concluindo pendências")</f>
        <v>2</v>
      </c>
      <c r="E43" s="93">
        <f>COUNTIFS(Base!$B:$B,E$11,Base!$M:$M,"&lt;"&amp;$B43,Base!$N:$N,"&gt;="&amp;$B43,Base!$O:$O,"&lt;&gt;Finalizado",Base!$O:$O,"&lt;&gt;Congelado",Base!$O:$O,"&lt;&gt;Concluindo pendências") + COUNTIFS(Base!$B:$B,E$11,Base!$M:$M,"&lt;"&amp;$B43,Base!$N:$N,"",Base!$O:$O,"&lt;&gt;Finalizado",Base!$O:$O,"&lt;&gt;Congelado",Base!$O:$O,"&lt;&gt;Concluindo pendências")</f>
        <v>3</v>
      </c>
      <c r="F43" s="93">
        <f>COUNTIFS(Base!$B:$B,F$11,Base!$M:$M,"&lt;"&amp;$B43,Base!$N:$N,"&gt;="&amp;$B43,Base!$O:$O,"&lt;&gt;Finalizado",Base!$O:$O,"&lt;&gt;Congelado",Base!$O:$O,"&lt;&gt;Concluindo pendências") + COUNTIFS(Base!$B:$B,F$11,Base!$M:$M,"&lt;"&amp;$B43,Base!$N:$N,"",Base!$O:$O,"&lt;&gt;Finalizado",Base!$O:$O,"&lt;&gt;Congelado",Base!$O:$O,"&lt;&gt;Concluindo pendências")</f>
        <v>3</v>
      </c>
      <c r="H43" s="93">
        <f>COUNTIFS(Base!$B:$B,C$11,Base!$K:$K,"&lt;"&amp;$B43,Base!$N:$N,"&gt;="&amp;$B43,Base!$O:$O,"&lt;&gt;Finalizado",Base!$O:$O,"&lt;&gt;Congelado") + COUNTIFS(Base!$B:$B,C$11,Base!$K:$K,"&lt;"&amp;$B43,Base!$N:$N,"",Base!$O:$O,"&lt;&gt;Finalizado",Base!$O:$O,"&lt;&gt;Congelado")</f>
        <v>10</v>
      </c>
      <c r="I43" s="93">
        <f>COUNTIFS(Base!$B:$B,D$11,Base!$K:$K,"&lt;"&amp;$B43,Base!$N:$N,"&gt;="&amp;$B43,Base!$O:$O,"&lt;&gt;Finalizado",Base!$O:$O,"&lt;&gt;Congelado") + COUNTIFS(Base!$B:$B,D$11,Base!$K:$K,"&lt;"&amp;$B43,Base!$N:$N,"",Base!$O:$O,"&lt;&gt;Finalizado",Base!$O:$O,"&lt;&gt;Congelado")</f>
        <v>25</v>
      </c>
      <c r="J43" s="93">
        <f>COUNTIFS(Base!$B:$B,E$11,Base!$K:$K,"&lt;"&amp;$B43,Base!$N:$N,"&gt;="&amp;$B43,Base!$O:$O,"&lt;&gt;Finalizado",Base!$O:$O,"&lt;&gt;Congelado") + COUNTIFS(Base!$B:$B,E$11,Base!$K:$K,"&lt;"&amp;$B43,Base!$N:$N,"",Base!$O:$O,"&lt;&gt;Finalizado",Base!$O:$O,"&lt;&gt;Congelado")</f>
        <v>19</v>
      </c>
      <c r="K43" s="93">
        <f>COUNTIFS(Base!$B:$B,F$11,Base!$K:$K,"&lt;"&amp;$B43,Base!$N:$N,"&gt;="&amp;$B43,Base!$O:$O,"&lt;&gt;Finalizado",Base!$O:$O,"&lt;&gt;Congelado") + COUNTIFS(Base!$B:$B,F$11,Base!$K:$K,"&lt;"&amp;$B43,Base!$N:$N,"",Base!$O:$O,"&lt;&gt;Finalizado",Base!$O:$O,"&lt;&gt;Congelado")</f>
        <v>9</v>
      </c>
      <c r="M43" s="133">
        <f t="shared" ref="M43:P43" si="22">C43/H43</f>
        <v>0.1</v>
      </c>
      <c r="N43" s="133">
        <f t="shared" si="22"/>
        <v>0.08</v>
      </c>
      <c r="O43" s="133">
        <f t="shared" si="22"/>
        <v>0.1578947368</v>
      </c>
      <c r="P43" s="133">
        <f t="shared" si="22"/>
        <v>0.3333333333</v>
      </c>
      <c r="Q43" s="133">
        <f t="shared" si="9"/>
        <v>0.1428571429</v>
      </c>
      <c r="S43" s="93">
        <f t="shared" ref="S43:V43" si="23">S42+C43</f>
        <v>7</v>
      </c>
      <c r="T43" s="93">
        <f t="shared" si="23"/>
        <v>14</v>
      </c>
      <c r="U43" s="93">
        <f t="shared" si="23"/>
        <v>10</v>
      </c>
      <c r="V43" s="93">
        <f t="shared" si="23"/>
        <v>21</v>
      </c>
      <c r="W43" s="93">
        <f t="shared" si="11"/>
        <v>52</v>
      </c>
      <c r="Y43" s="133" t="str">
        <f>(COUNTIFS(Base!$B:$B,C$11,Base!$S:$S,"&gt;8",Base!$N:$N,"&lt;="&amp;$B43) - COUNTIFS(Base!$B:$B,C$11,Base!$S:$S,"&lt;7",Base!$N:$N,"&lt;="&amp;$B43) - COUNTIFS(Base!$B:$B,C$11,Base!$S:$S,"&lt;7",Base!$K:$K,"&lt;="&amp;$B43,Base!$O:$O,"Finalizado"))/(COUNTIFS(Base!$B:$B,C$11,Base!$S:$S,"&lt;&gt;",Base!$N:$N,"&lt;="&amp;$B43)+COUNTIFS(Base!$B:$B,C$11,Base!$S:$S,"&lt;7",Base!$K:$K,"&lt;="&amp;$B43,Base!$O:$O,"Finalizado"))</f>
        <v>#DIV/0!</v>
      </c>
      <c r="Z43" s="133">
        <f>(COUNTIFS(Base!$B:$B,D$11,Base!$S:$S,"&gt;8",Base!$N:$N,"&lt;="&amp;$B43) - COUNTIFS(Base!$B:$B,D$11,Base!$S:$S,"&lt;7",Base!$N:$N,"&lt;="&amp;$B43) - COUNTIFS(Base!$B:$B,D$11,Base!$S:$S,"&lt;7",Base!$K:$K,"&lt;="&amp;$B43,Base!$O:$O,"Finalizado"))/(COUNTIFS(Base!$B:$B,D$11,Base!$S:$S,"&lt;&gt;",Base!$N:$N,"&lt;="&amp;$B43)+COUNTIFS(Base!$B:$B,D$11,Base!$S:$S,"&lt;7",Base!$K:$K,"&lt;="&amp;$B43,Base!$O:$O,"Finalizado"))</f>
        <v>0.5</v>
      </c>
      <c r="AA43" s="133">
        <f>(COUNTIFS(Base!$B:$B,E$11,Base!$S:$S,"&gt;8",Base!$N:$N,"&lt;="&amp;$B43) - COUNTIFS(Base!$B:$B,E$11,Base!$S:$S,"&lt;7",Base!$N:$N,"&lt;="&amp;$B43) - COUNTIFS(Base!$B:$B,E$11,Base!$S:$S,"&lt;7",Base!$K:$K,"&lt;="&amp;$B43,Base!$O:$O,"Finalizado"))/(COUNTIFS(Base!$B:$B,E$11,Base!$S:$S,"&lt;&gt;",Base!$N:$N,"&lt;="&amp;$B43)+COUNTIFS(Base!$B:$B,E$11,Base!$S:$S,"&lt;7",Base!$K:$K,"&lt;="&amp;$B43,Base!$O:$O,"Finalizado"))</f>
        <v>0</v>
      </c>
      <c r="AB43" s="133">
        <f t="shared" si="12"/>
        <v>0</v>
      </c>
      <c r="AD43" s="93">
        <f>(COUNTIFS(Base!$B:$B,F$11,Base!$S:$S,"&gt;8",Base!$N:$N,"&lt;="&amp;$B43)+(COUNTIFS(Base!$B:$B,F$11,Base!$AG:$AG,"&gt;8",Base!$K:$K,"&lt;="&amp;$B43)))</f>
        <v>0</v>
      </c>
      <c r="AE43" s="93">
        <f>(COUNTIFS(Base!$B:$B,F$11,Base!$S:$S,"&lt;&gt;",Base!$N:$N,"&lt;="&amp;$B43)+(COUNTIFS(Base!$B:$B,F$11,Base!$AG:$AG,"&lt;&gt;",Base!$K:$K,"&lt;="&amp;$B43)+COUNTIFS(Base!$B:$B,F$11,Base!$S:$S,"&lt;7",Base!$K:$K,"&lt;="&amp;$B43,Base!$O:$O,"Finalizado")))</f>
        <v>1</v>
      </c>
      <c r="AF43" s="93">
        <f>COUNTIFS(Base!$B:$B,F$11,Base!$S:$S,"&lt;7",Base!$N:$N,"&lt;="&amp;$B43) +COUNTIFS(Base!$B:$B,F$11,Base!$AG:$AG,"&lt;7",Base!$K:$K,"&lt;="&amp;$B43) + COUNTIFS(Base!$B:$B,F$11,Base!$S:$S,"&lt;7",Base!$K:$K,"&lt;="&amp;$B43,Base!$O:$O,"Finalizado")</f>
        <v>0</v>
      </c>
    </row>
    <row r="44">
      <c r="B44" s="151">
        <f t="shared" si="13"/>
        <v>45299</v>
      </c>
      <c r="C44" s="93">
        <f>COUNTIFS(Base!$B:$B,C$11,Base!$M:$M,"&lt;"&amp;$B44,Base!$N:$N,"&gt;="&amp;$B44,Base!$O:$O,"&lt;&gt;Finalizado",Base!$O:$O,"&lt;&gt;Congelado",Base!$O:$O,"&lt;&gt;Concluindo pendências") + COUNTIFS(Base!$B:$B,C$11,Base!$M:$M,"&lt;"&amp;$B44,Base!$N:$N,"",Base!$O:$O,"&lt;&gt;Finalizado",Base!$O:$O,"&lt;&gt;Congelado",Base!$O:$O,"&lt;&gt;Concluindo pendências")</f>
        <v>1</v>
      </c>
      <c r="D44" s="93">
        <f>COUNTIFS(Base!$B:$B,D$11,Base!$M:$M,"&lt;"&amp;$B44,Base!$N:$N,"&gt;="&amp;$B44,Base!$O:$O,"&lt;&gt;Finalizado",Base!$O:$O,"&lt;&gt;Congelado",Base!$O:$O,"&lt;&gt;Concluindo pendências") + COUNTIFS(Base!$B:$B,D$11,Base!$M:$M,"&lt;"&amp;$B44,Base!$N:$N,"",Base!$O:$O,"&lt;&gt;Finalizado",Base!$O:$O,"&lt;&gt;Congelado",Base!$O:$O,"&lt;&gt;Concluindo pendências")</f>
        <v>2</v>
      </c>
      <c r="E44" s="93">
        <f>COUNTIFS(Base!$B:$B,E$11,Base!$M:$M,"&lt;"&amp;$B44,Base!$N:$N,"&gt;="&amp;$B44,Base!$O:$O,"&lt;&gt;Finalizado",Base!$O:$O,"&lt;&gt;Congelado",Base!$O:$O,"&lt;&gt;Concluindo pendências") + COUNTIFS(Base!$B:$B,E$11,Base!$M:$M,"&lt;"&amp;$B44,Base!$N:$N,"",Base!$O:$O,"&lt;&gt;Finalizado",Base!$O:$O,"&lt;&gt;Congelado",Base!$O:$O,"&lt;&gt;Concluindo pendências")</f>
        <v>3</v>
      </c>
      <c r="F44" s="93">
        <f>COUNTIFS(Base!$B:$B,F$11,Base!$M:$M,"&lt;"&amp;$B44,Base!$N:$N,"&gt;="&amp;$B44,Base!$O:$O,"&lt;&gt;Finalizado",Base!$O:$O,"&lt;&gt;Congelado",Base!$O:$O,"&lt;&gt;Concluindo pendências") + COUNTIFS(Base!$B:$B,F$11,Base!$M:$M,"&lt;"&amp;$B44,Base!$N:$N,"",Base!$O:$O,"&lt;&gt;Finalizado",Base!$O:$O,"&lt;&gt;Congelado",Base!$O:$O,"&lt;&gt;Concluindo pendências")</f>
        <v>3</v>
      </c>
      <c r="H44" s="93">
        <f>COUNTIFS(Base!$B:$B,C$11,Base!$K:$K,"&lt;"&amp;$B44,Base!$N:$N,"&gt;="&amp;$B44,Base!$O:$O,"&lt;&gt;Finalizado",Base!$O:$O,"&lt;&gt;Congelado") + COUNTIFS(Base!$B:$B,C$11,Base!$K:$K,"&lt;"&amp;$B44,Base!$N:$N,"",Base!$O:$O,"&lt;&gt;Finalizado",Base!$O:$O,"&lt;&gt;Congelado")</f>
        <v>10</v>
      </c>
      <c r="I44" s="93">
        <f>COUNTIFS(Base!$B:$B,D$11,Base!$K:$K,"&lt;"&amp;$B44,Base!$N:$N,"&gt;="&amp;$B44,Base!$O:$O,"&lt;&gt;Finalizado",Base!$O:$O,"&lt;&gt;Congelado") + COUNTIFS(Base!$B:$B,D$11,Base!$K:$K,"&lt;"&amp;$B44,Base!$N:$N,"",Base!$O:$O,"&lt;&gt;Finalizado",Base!$O:$O,"&lt;&gt;Congelado")</f>
        <v>25</v>
      </c>
      <c r="J44" s="93">
        <f>COUNTIFS(Base!$B:$B,E$11,Base!$K:$K,"&lt;"&amp;$B44,Base!$N:$N,"&gt;="&amp;$B44,Base!$O:$O,"&lt;&gt;Finalizado",Base!$O:$O,"&lt;&gt;Congelado") + COUNTIFS(Base!$B:$B,E$11,Base!$K:$K,"&lt;"&amp;$B44,Base!$N:$N,"",Base!$O:$O,"&lt;&gt;Finalizado",Base!$O:$O,"&lt;&gt;Congelado")</f>
        <v>19</v>
      </c>
      <c r="K44" s="93">
        <f>COUNTIFS(Base!$B:$B,F$11,Base!$K:$K,"&lt;"&amp;$B44,Base!$N:$N,"&gt;="&amp;$B44,Base!$O:$O,"&lt;&gt;Finalizado",Base!$O:$O,"&lt;&gt;Congelado") + COUNTIFS(Base!$B:$B,F$11,Base!$K:$K,"&lt;"&amp;$B44,Base!$N:$N,"",Base!$O:$O,"&lt;&gt;Finalizado",Base!$O:$O,"&lt;&gt;Congelado")</f>
        <v>9</v>
      </c>
      <c r="M44" s="133">
        <f t="shared" ref="M44:P44" si="24">C44/H44</f>
        <v>0.1</v>
      </c>
      <c r="N44" s="133">
        <f t="shared" si="24"/>
        <v>0.08</v>
      </c>
      <c r="O44" s="133">
        <f t="shared" si="24"/>
        <v>0.1578947368</v>
      </c>
      <c r="P44" s="133">
        <f t="shared" si="24"/>
        <v>0.3333333333</v>
      </c>
      <c r="Q44" s="133">
        <f t="shared" si="9"/>
        <v>0.1428571429</v>
      </c>
      <c r="S44" s="93">
        <f t="shared" ref="S44:V44" si="25">S43+C44</f>
        <v>8</v>
      </c>
      <c r="T44" s="93">
        <f t="shared" si="25"/>
        <v>16</v>
      </c>
      <c r="U44" s="93">
        <f t="shared" si="25"/>
        <v>13</v>
      </c>
      <c r="V44" s="93">
        <f t="shared" si="25"/>
        <v>24</v>
      </c>
      <c r="W44" s="93">
        <f t="shared" si="11"/>
        <v>61</v>
      </c>
      <c r="Y44" s="133" t="str">
        <f>(COUNTIFS(Base!$B:$B,C$11,Base!$S:$S,"&gt;8",Base!$N:$N,"&lt;="&amp;$B44) - COUNTIFS(Base!$B:$B,C$11,Base!$S:$S,"&lt;7",Base!$N:$N,"&lt;="&amp;$B44) - COUNTIFS(Base!$B:$B,C$11,Base!$S:$S,"&lt;7",Base!$K:$K,"&lt;="&amp;$B44,Base!$O:$O,"Finalizado"))/(COUNTIFS(Base!$B:$B,C$11,Base!$S:$S,"&lt;&gt;",Base!$N:$N,"&lt;="&amp;$B44)+COUNTIFS(Base!$B:$B,C$11,Base!$S:$S,"&lt;7",Base!$K:$K,"&lt;="&amp;$B44,Base!$O:$O,"Finalizado"))</f>
        <v>#DIV/0!</v>
      </c>
      <c r="Z44" s="133">
        <f>(COUNTIFS(Base!$B:$B,D$11,Base!$S:$S,"&gt;8",Base!$N:$N,"&lt;="&amp;$B44) - COUNTIFS(Base!$B:$B,D$11,Base!$S:$S,"&lt;7",Base!$N:$N,"&lt;="&amp;$B44) - COUNTIFS(Base!$B:$B,D$11,Base!$S:$S,"&lt;7",Base!$K:$K,"&lt;="&amp;$B44,Base!$O:$O,"Finalizado"))/(COUNTIFS(Base!$B:$B,D$11,Base!$S:$S,"&lt;&gt;",Base!$N:$N,"&lt;="&amp;$B44)+COUNTIFS(Base!$B:$B,D$11,Base!$S:$S,"&lt;7",Base!$K:$K,"&lt;="&amp;$B44,Base!$O:$O,"Finalizado"))</f>
        <v>0.5</v>
      </c>
      <c r="AA44" s="133">
        <f>(COUNTIFS(Base!$B:$B,E$11,Base!$S:$S,"&gt;8",Base!$N:$N,"&lt;="&amp;$B44) - COUNTIFS(Base!$B:$B,E$11,Base!$S:$S,"&lt;7",Base!$N:$N,"&lt;="&amp;$B44) - COUNTIFS(Base!$B:$B,E$11,Base!$S:$S,"&lt;7",Base!$K:$K,"&lt;="&amp;$B44,Base!$O:$O,"Finalizado"))/(COUNTIFS(Base!$B:$B,E$11,Base!$S:$S,"&lt;&gt;",Base!$N:$N,"&lt;="&amp;$B44)+COUNTIFS(Base!$B:$B,E$11,Base!$S:$S,"&lt;7",Base!$K:$K,"&lt;="&amp;$B44,Base!$O:$O,"Finalizado"))</f>
        <v>0</v>
      </c>
      <c r="AB44" s="133">
        <f t="shared" si="12"/>
        <v>0</v>
      </c>
      <c r="AD44" s="93">
        <f>(COUNTIFS(Base!$B:$B,F$11,Base!$S:$S,"&gt;8",Base!$N:$N,"&lt;="&amp;$B44)+(COUNTIFS(Base!$B:$B,F$11,Base!$AG:$AG,"&gt;8",Base!$K:$K,"&lt;="&amp;$B44)))</f>
        <v>0</v>
      </c>
      <c r="AE44" s="93">
        <f>(COUNTIFS(Base!$B:$B,F$11,Base!$S:$S,"&lt;&gt;",Base!$N:$N,"&lt;="&amp;$B44)+(COUNTIFS(Base!$B:$B,F$11,Base!$AG:$AG,"&lt;&gt;",Base!$K:$K,"&lt;="&amp;$B44)+COUNTIFS(Base!$B:$B,F$11,Base!$S:$S,"&lt;7",Base!$K:$K,"&lt;="&amp;$B44,Base!$O:$O,"Finalizado")))</f>
        <v>1</v>
      </c>
      <c r="AF44" s="93">
        <f>COUNTIFS(Base!$B:$B,F$11,Base!$S:$S,"&lt;7",Base!$N:$N,"&lt;="&amp;$B44) +COUNTIFS(Base!$B:$B,F$11,Base!$AG:$AG,"&lt;7",Base!$K:$K,"&lt;="&amp;$B44) + COUNTIFS(Base!$B:$B,F$11,Base!$S:$S,"&lt;7",Base!$K:$K,"&lt;="&amp;$B44,Base!$O:$O,"Finalizado")</f>
        <v>0</v>
      </c>
    </row>
    <row r="45">
      <c r="B45" s="151">
        <f t="shared" si="13"/>
        <v>45300</v>
      </c>
      <c r="C45" s="93">
        <f>COUNTIFS(Base!$B:$B,C$11,Base!$M:$M,"&lt;"&amp;$B45,Base!$N:$N,"&gt;="&amp;$B45,Base!$O:$O,"&lt;&gt;Finalizado",Base!$O:$O,"&lt;&gt;Congelado",Base!$O:$O,"&lt;&gt;Concluindo pendências") + COUNTIFS(Base!$B:$B,C$11,Base!$M:$M,"&lt;"&amp;$B45,Base!$N:$N,"",Base!$O:$O,"&lt;&gt;Finalizado",Base!$O:$O,"&lt;&gt;Congelado",Base!$O:$O,"&lt;&gt;Concluindo pendências")</f>
        <v>1</v>
      </c>
      <c r="D45" s="93">
        <f>COUNTIFS(Base!$B:$B,D$11,Base!$M:$M,"&lt;"&amp;$B45,Base!$N:$N,"&gt;="&amp;$B45,Base!$O:$O,"&lt;&gt;Finalizado",Base!$O:$O,"&lt;&gt;Congelado",Base!$O:$O,"&lt;&gt;Concluindo pendências") + COUNTIFS(Base!$B:$B,D$11,Base!$M:$M,"&lt;"&amp;$B45,Base!$N:$N,"",Base!$O:$O,"&lt;&gt;Finalizado",Base!$O:$O,"&lt;&gt;Congelado",Base!$O:$O,"&lt;&gt;Concluindo pendências")</f>
        <v>3</v>
      </c>
      <c r="E45" s="93">
        <f>COUNTIFS(Base!$B:$B,E$11,Base!$M:$M,"&lt;"&amp;$B45,Base!$N:$N,"&gt;="&amp;$B45,Base!$O:$O,"&lt;&gt;Finalizado",Base!$O:$O,"&lt;&gt;Congelado",Base!$O:$O,"&lt;&gt;Concluindo pendências") + COUNTIFS(Base!$B:$B,E$11,Base!$M:$M,"&lt;"&amp;$B45,Base!$N:$N,"",Base!$O:$O,"&lt;&gt;Finalizado",Base!$O:$O,"&lt;&gt;Congelado",Base!$O:$O,"&lt;&gt;Concluindo pendências")</f>
        <v>3</v>
      </c>
      <c r="F45" s="93">
        <f>COUNTIFS(Base!$B:$B,F$11,Base!$M:$M,"&lt;"&amp;$B45,Base!$N:$N,"&gt;="&amp;$B45,Base!$O:$O,"&lt;&gt;Finalizado",Base!$O:$O,"&lt;&gt;Congelado",Base!$O:$O,"&lt;&gt;Concluindo pendências") + COUNTIFS(Base!$B:$B,F$11,Base!$M:$M,"&lt;"&amp;$B45,Base!$N:$N,"",Base!$O:$O,"&lt;&gt;Finalizado",Base!$O:$O,"&lt;&gt;Congelado",Base!$O:$O,"&lt;&gt;Concluindo pendências")</f>
        <v>3</v>
      </c>
      <c r="H45" s="93">
        <f>COUNTIFS(Base!$B:$B,C$11,Base!$K:$K,"&lt;"&amp;$B45,Base!$N:$N,"&gt;="&amp;$B45,Base!$O:$O,"&lt;&gt;Finalizado",Base!$O:$O,"&lt;&gt;Congelado") + COUNTIFS(Base!$B:$B,C$11,Base!$K:$K,"&lt;"&amp;$B45,Base!$N:$N,"",Base!$O:$O,"&lt;&gt;Finalizado",Base!$O:$O,"&lt;&gt;Congelado")</f>
        <v>10</v>
      </c>
      <c r="I45" s="93">
        <f>COUNTIFS(Base!$B:$B,D$11,Base!$K:$K,"&lt;"&amp;$B45,Base!$N:$N,"&gt;="&amp;$B45,Base!$O:$O,"&lt;&gt;Finalizado",Base!$O:$O,"&lt;&gt;Congelado") + COUNTIFS(Base!$B:$B,D$11,Base!$K:$K,"&lt;"&amp;$B45,Base!$N:$N,"",Base!$O:$O,"&lt;&gt;Finalizado",Base!$O:$O,"&lt;&gt;Congelado")</f>
        <v>26</v>
      </c>
      <c r="J45" s="93">
        <f>COUNTIFS(Base!$B:$B,E$11,Base!$K:$K,"&lt;"&amp;$B45,Base!$N:$N,"&gt;="&amp;$B45,Base!$O:$O,"&lt;&gt;Finalizado",Base!$O:$O,"&lt;&gt;Congelado") + COUNTIFS(Base!$B:$B,E$11,Base!$K:$K,"&lt;"&amp;$B45,Base!$N:$N,"",Base!$O:$O,"&lt;&gt;Finalizado",Base!$O:$O,"&lt;&gt;Congelado")</f>
        <v>19</v>
      </c>
      <c r="K45" s="93">
        <f>COUNTIFS(Base!$B:$B,F$11,Base!$K:$K,"&lt;"&amp;$B45,Base!$N:$N,"&gt;="&amp;$B45,Base!$O:$O,"&lt;&gt;Finalizado",Base!$O:$O,"&lt;&gt;Congelado") + COUNTIFS(Base!$B:$B,F$11,Base!$K:$K,"&lt;"&amp;$B45,Base!$N:$N,"",Base!$O:$O,"&lt;&gt;Finalizado",Base!$O:$O,"&lt;&gt;Congelado")</f>
        <v>9</v>
      </c>
      <c r="M45" s="133">
        <f t="shared" ref="M45:P45" si="26">C45/H45</f>
        <v>0.1</v>
      </c>
      <c r="N45" s="133">
        <f t="shared" si="26"/>
        <v>0.1153846154</v>
      </c>
      <c r="O45" s="133">
        <f t="shared" si="26"/>
        <v>0.1578947368</v>
      </c>
      <c r="P45" s="133">
        <f t="shared" si="26"/>
        <v>0.3333333333</v>
      </c>
      <c r="Q45" s="133">
        <f t="shared" si="9"/>
        <v>0.15625</v>
      </c>
      <c r="S45" s="93">
        <f t="shared" ref="S45:V45" si="27">S44+C45</f>
        <v>9</v>
      </c>
      <c r="T45" s="93">
        <f t="shared" si="27"/>
        <v>19</v>
      </c>
      <c r="U45" s="93">
        <f t="shared" si="27"/>
        <v>16</v>
      </c>
      <c r="V45" s="93">
        <f t="shared" si="27"/>
        <v>27</v>
      </c>
      <c r="W45" s="93">
        <f t="shared" si="11"/>
        <v>71</v>
      </c>
      <c r="Y45" s="133">
        <f>(COUNTIFS(Base!$B:$B,C$11,Base!$S:$S,"&gt;8",Base!$N:$N,"&lt;="&amp;$B45) - COUNTIFS(Base!$B:$B,C$11,Base!$S:$S,"&lt;7",Base!$N:$N,"&lt;="&amp;$B45) - COUNTIFS(Base!$B:$B,C$11,Base!$S:$S,"&lt;7",Base!$K:$K,"&lt;="&amp;$B45,Base!$O:$O,"Finalizado"))/(COUNTIFS(Base!$B:$B,C$11,Base!$S:$S,"&lt;&gt;",Base!$N:$N,"&lt;="&amp;$B45)+COUNTIFS(Base!$B:$B,C$11,Base!$S:$S,"&lt;7",Base!$K:$K,"&lt;="&amp;$B45,Base!$O:$O,"Finalizado"))</f>
        <v>-1</v>
      </c>
      <c r="Z45" s="133">
        <f>(COUNTIFS(Base!$B:$B,D$11,Base!$S:$S,"&gt;8",Base!$N:$N,"&lt;="&amp;$B45) - COUNTIFS(Base!$B:$B,D$11,Base!$S:$S,"&lt;7",Base!$N:$N,"&lt;="&amp;$B45) - COUNTIFS(Base!$B:$B,D$11,Base!$S:$S,"&lt;7",Base!$K:$K,"&lt;="&amp;$B45,Base!$O:$O,"Finalizado"))/(COUNTIFS(Base!$B:$B,D$11,Base!$S:$S,"&lt;&gt;",Base!$N:$N,"&lt;="&amp;$B45)+COUNTIFS(Base!$B:$B,D$11,Base!$S:$S,"&lt;7",Base!$K:$K,"&lt;="&amp;$B45,Base!$O:$O,"Finalizado"))</f>
        <v>0.5</v>
      </c>
      <c r="AA45" s="133">
        <f>(COUNTIFS(Base!$B:$B,E$11,Base!$S:$S,"&gt;8",Base!$N:$N,"&lt;="&amp;$B45) - COUNTIFS(Base!$B:$B,E$11,Base!$S:$S,"&lt;7",Base!$N:$N,"&lt;="&amp;$B45) - COUNTIFS(Base!$B:$B,E$11,Base!$S:$S,"&lt;7",Base!$K:$K,"&lt;="&amp;$B45,Base!$O:$O,"Finalizado"))/(COUNTIFS(Base!$B:$B,E$11,Base!$S:$S,"&lt;&gt;",Base!$N:$N,"&lt;="&amp;$B45)+COUNTIFS(Base!$B:$B,E$11,Base!$S:$S,"&lt;7",Base!$K:$K,"&lt;="&amp;$B45,Base!$O:$O,"Finalizado"))</f>
        <v>0</v>
      </c>
      <c r="AB45" s="133">
        <f t="shared" si="12"/>
        <v>0</v>
      </c>
      <c r="AD45" s="93">
        <f>(COUNTIFS(Base!$B:$B,F$11,Base!$S:$S,"&gt;8",Base!$N:$N,"&lt;="&amp;$B45)+(COUNTIFS(Base!$B:$B,F$11,Base!$AG:$AG,"&gt;8",Base!$K:$K,"&lt;="&amp;$B45)))</f>
        <v>0</v>
      </c>
      <c r="AE45" s="93">
        <f>(COUNTIFS(Base!$B:$B,F$11,Base!$S:$S,"&lt;&gt;",Base!$N:$N,"&lt;="&amp;$B45)+(COUNTIFS(Base!$B:$B,F$11,Base!$AG:$AG,"&lt;&gt;",Base!$K:$K,"&lt;="&amp;$B45)+COUNTIFS(Base!$B:$B,F$11,Base!$S:$S,"&lt;7",Base!$K:$K,"&lt;="&amp;$B45,Base!$O:$O,"Finalizado")))</f>
        <v>1</v>
      </c>
      <c r="AF45" s="93">
        <f>COUNTIFS(Base!$B:$B,F$11,Base!$S:$S,"&lt;7",Base!$N:$N,"&lt;="&amp;$B45) +COUNTIFS(Base!$B:$B,F$11,Base!$AG:$AG,"&lt;7",Base!$K:$K,"&lt;="&amp;$B45) + COUNTIFS(Base!$B:$B,F$11,Base!$S:$S,"&lt;7",Base!$K:$K,"&lt;="&amp;$B45,Base!$O:$O,"Finalizado")</f>
        <v>0</v>
      </c>
    </row>
    <row r="46">
      <c r="B46" s="151">
        <f t="shared" si="13"/>
        <v>45301</v>
      </c>
      <c r="C46" s="93">
        <f>COUNTIFS(Base!$B:$B,C$11,Base!$M:$M,"&lt;"&amp;$B46,Base!$N:$N,"&gt;="&amp;$B46,Base!$O:$O,"&lt;&gt;Finalizado",Base!$O:$O,"&lt;&gt;Congelado",Base!$O:$O,"&lt;&gt;Concluindo pendências") + COUNTIFS(Base!$B:$B,C$11,Base!$M:$M,"&lt;"&amp;$B46,Base!$N:$N,"",Base!$O:$O,"&lt;&gt;Finalizado",Base!$O:$O,"&lt;&gt;Congelado",Base!$O:$O,"&lt;&gt;Concluindo pendências")</f>
        <v>1</v>
      </c>
      <c r="D46" s="93">
        <f>COUNTIFS(Base!$B:$B,D$11,Base!$M:$M,"&lt;"&amp;$B46,Base!$N:$N,"&gt;="&amp;$B46,Base!$O:$O,"&lt;&gt;Finalizado",Base!$O:$O,"&lt;&gt;Congelado",Base!$O:$O,"&lt;&gt;Concluindo pendências") + COUNTIFS(Base!$B:$B,D$11,Base!$M:$M,"&lt;"&amp;$B46,Base!$N:$N,"",Base!$O:$O,"&lt;&gt;Finalizado",Base!$O:$O,"&lt;&gt;Congelado",Base!$O:$O,"&lt;&gt;Concluindo pendências")</f>
        <v>4</v>
      </c>
      <c r="E46" s="93">
        <f>COUNTIFS(Base!$B:$B,E$11,Base!$M:$M,"&lt;"&amp;$B46,Base!$N:$N,"&gt;="&amp;$B46,Base!$O:$O,"&lt;&gt;Finalizado",Base!$O:$O,"&lt;&gt;Congelado",Base!$O:$O,"&lt;&gt;Concluindo pendências") + COUNTIFS(Base!$B:$B,E$11,Base!$M:$M,"&lt;"&amp;$B46,Base!$N:$N,"",Base!$O:$O,"&lt;&gt;Finalizado",Base!$O:$O,"&lt;&gt;Congelado",Base!$O:$O,"&lt;&gt;Concluindo pendências")</f>
        <v>3</v>
      </c>
      <c r="F46" s="93">
        <f>COUNTIFS(Base!$B:$B,F$11,Base!$M:$M,"&lt;"&amp;$B46,Base!$N:$N,"&gt;="&amp;$B46,Base!$O:$O,"&lt;&gt;Finalizado",Base!$O:$O,"&lt;&gt;Congelado",Base!$O:$O,"&lt;&gt;Concluindo pendências") + COUNTIFS(Base!$B:$B,F$11,Base!$M:$M,"&lt;"&amp;$B46,Base!$N:$N,"",Base!$O:$O,"&lt;&gt;Finalizado",Base!$O:$O,"&lt;&gt;Congelado",Base!$O:$O,"&lt;&gt;Concluindo pendências")</f>
        <v>3</v>
      </c>
      <c r="H46" s="93">
        <f>COUNTIFS(Base!$B:$B,C$11,Base!$K:$K,"&lt;"&amp;$B46,Base!$N:$N,"&gt;="&amp;$B46,Base!$O:$O,"&lt;&gt;Finalizado",Base!$O:$O,"&lt;&gt;Congelado") + COUNTIFS(Base!$B:$B,C$11,Base!$K:$K,"&lt;"&amp;$B46,Base!$N:$N,"",Base!$O:$O,"&lt;&gt;Finalizado",Base!$O:$O,"&lt;&gt;Congelado")</f>
        <v>10</v>
      </c>
      <c r="I46" s="93">
        <f>COUNTIFS(Base!$B:$B,D$11,Base!$K:$K,"&lt;"&amp;$B46,Base!$N:$N,"&gt;="&amp;$B46,Base!$O:$O,"&lt;&gt;Finalizado",Base!$O:$O,"&lt;&gt;Congelado") + COUNTIFS(Base!$B:$B,D$11,Base!$K:$K,"&lt;"&amp;$B46,Base!$N:$N,"",Base!$O:$O,"&lt;&gt;Finalizado",Base!$O:$O,"&lt;&gt;Congelado")</f>
        <v>26</v>
      </c>
      <c r="J46" s="93">
        <f>COUNTIFS(Base!$B:$B,E$11,Base!$K:$K,"&lt;"&amp;$B46,Base!$N:$N,"&gt;="&amp;$B46,Base!$O:$O,"&lt;&gt;Finalizado",Base!$O:$O,"&lt;&gt;Congelado") + COUNTIFS(Base!$B:$B,E$11,Base!$K:$K,"&lt;"&amp;$B46,Base!$N:$N,"",Base!$O:$O,"&lt;&gt;Finalizado",Base!$O:$O,"&lt;&gt;Congelado")</f>
        <v>19</v>
      </c>
      <c r="K46" s="93">
        <f>COUNTIFS(Base!$B:$B,F$11,Base!$K:$K,"&lt;"&amp;$B46,Base!$N:$N,"&gt;="&amp;$B46,Base!$O:$O,"&lt;&gt;Finalizado",Base!$O:$O,"&lt;&gt;Congelado") + COUNTIFS(Base!$B:$B,F$11,Base!$K:$K,"&lt;"&amp;$B46,Base!$N:$N,"",Base!$O:$O,"&lt;&gt;Finalizado",Base!$O:$O,"&lt;&gt;Congelado")</f>
        <v>9</v>
      </c>
      <c r="M46" s="133">
        <f t="shared" ref="M46:P46" si="28">C46/H46</f>
        <v>0.1</v>
      </c>
      <c r="N46" s="133">
        <f t="shared" si="28"/>
        <v>0.1538461538</v>
      </c>
      <c r="O46" s="133">
        <f t="shared" si="28"/>
        <v>0.1578947368</v>
      </c>
      <c r="P46" s="133">
        <f t="shared" si="28"/>
        <v>0.3333333333</v>
      </c>
      <c r="Q46" s="133">
        <f t="shared" si="9"/>
        <v>0.171875</v>
      </c>
      <c r="S46" s="93">
        <f t="shared" ref="S46:V46" si="29">S45+C46</f>
        <v>10</v>
      </c>
      <c r="T46" s="93">
        <f t="shared" si="29"/>
        <v>23</v>
      </c>
      <c r="U46" s="93">
        <f t="shared" si="29"/>
        <v>19</v>
      </c>
      <c r="V46" s="93">
        <f t="shared" si="29"/>
        <v>30</v>
      </c>
      <c r="W46" s="93">
        <f t="shared" si="11"/>
        <v>82</v>
      </c>
      <c r="Y46" s="133">
        <f>(COUNTIFS(Base!$B:$B,C$11,Base!$S:$S,"&gt;8",Base!$N:$N,"&lt;="&amp;$B46) - COUNTIFS(Base!$B:$B,C$11,Base!$S:$S,"&lt;7",Base!$N:$N,"&lt;="&amp;$B46) - COUNTIFS(Base!$B:$B,C$11,Base!$S:$S,"&lt;7",Base!$K:$K,"&lt;="&amp;$B46,Base!$O:$O,"Finalizado"))/(COUNTIFS(Base!$B:$B,C$11,Base!$S:$S,"&lt;&gt;",Base!$N:$N,"&lt;="&amp;$B46)+COUNTIFS(Base!$B:$B,C$11,Base!$S:$S,"&lt;7",Base!$K:$K,"&lt;="&amp;$B46,Base!$O:$O,"Finalizado"))</f>
        <v>-1</v>
      </c>
      <c r="Z46" s="133">
        <f>(COUNTIFS(Base!$B:$B,D$11,Base!$S:$S,"&gt;8",Base!$N:$N,"&lt;="&amp;$B46) - COUNTIFS(Base!$B:$B,D$11,Base!$S:$S,"&lt;7",Base!$N:$N,"&lt;="&amp;$B46) - COUNTIFS(Base!$B:$B,D$11,Base!$S:$S,"&lt;7",Base!$K:$K,"&lt;="&amp;$B46,Base!$O:$O,"Finalizado"))/(COUNTIFS(Base!$B:$B,D$11,Base!$S:$S,"&lt;&gt;",Base!$N:$N,"&lt;="&amp;$B46)+COUNTIFS(Base!$B:$B,D$11,Base!$S:$S,"&lt;7",Base!$K:$K,"&lt;="&amp;$B46,Base!$O:$O,"Finalizado"))</f>
        <v>0.5</v>
      </c>
      <c r="AA46" s="133">
        <f>(COUNTIFS(Base!$B:$B,E$11,Base!$S:$S,"&gt;8",Base!$N:$N,"&lt;="&amp;$B46) - COUNTIFS(Base!$B:$B,E$11,Base!$S:$S,"&lt;7",Base!$N:$N,"&lt;="&amp;$B46) - COUNTIFS(Base!$B:$B,E$11,Base!$S:$S,"&lt;7",Base!$K:$K,"&lt;="&amp;$B46,Base!$O:$O,"Finalizado"))/(COUNTIFS(Base!$B:$B,E$11,Base!$S:$S,"&lt;&gt;",Base!$N:$N,"&lt;="&amp;$B46)+COUNTIFS(Base!$B:$B,E$11,Base!$S:$S,"&lt;7",Base!$K:$K,"&lt;="&amp;$B46,Base!$O:$O,"Finalizado"))</f>
        <v>0</v>
      </c>
      <c r="AB46" s="133">
        <f t="shared" si="12"/>
        <v>0</v>
      </c>
      <c r="AD46" s="93">
        <f>(COUNTIFS(Base!$B:$B,F$11,Base!$S:$S,"&gt;8",Base!$N:$N,"&lt;="&amp;$B46)+(COUNTIFS(Base!$B:$B,F$11,Base!$AG:$AG,"&gt;8",Base!$K:$K,"&lt;="&amp;$B46)))</f>
        <v>0</v>
      </c>
      <c r="AE46" s="93">
        <f>(COUNTIFS(Base!$B:$B,F$11,Base!$S:$S,"&lt;&gt;",Base!$N:$N,"&lt;="&amp;$B46)+(COUNTIFS(Base!$B:$B,F$11,Base!$AG:$AG,"&lt;&gt;",Base!$K:$K,"&lt;="&amp;$B46)+COUNTIFS(Base!$B:$B,F$11,Base!$S:$S,"&lt;7",Base!$K:$K,"&lt;="&amp;$B46,Base!$O:$O,"Finalizado")))</f>
        <v>1</v>
      </c>
      <c r="AF46" s="93">
        <f>COUNTIFS(Base!$B:$B,F$11,Base!$S:$S,"&lt;7",Base!$N:$N,"&lt;="&amp;$B46) +COUNTIFS(Base!$B:$B,F$11,Base!$AG:$AG,"&lt;7",Base!$K:$K,"&lt;="&amp;$B46) + COUNTIFS(Base!$B:$B,F$11,Base!$S:$S,"&lt;7",Base!$K:$K,"&lt;="&amp;$B46,Base!$O:$O,"Finalizado")</f>
        <v>0</v>
      </c>
    </row>
    <row r="47">
      <c r="B47" s="151">
        <f t="shared" si="13"/>
        <v>45302</v>
      </c>
      <c r="C47" s="93">
        <f>COUNTIFS(Base!$B:$B,C$11,Base!$M:$M,"&lt;"&amp;$B47,Base!$N:$N,"&gt;="&amp;$B47,Base!$O:$O,"&lt;&gt;Finalizado",Base!$O:$O,"&lt;&gt;Congelado",Base!$O:$O,"&lt;&gt;Concluindo pendências") + COUNTIFS(Base!$B:$B,C$11,Base!$M:$M,"&lt;"&amp;$B47,Base!$N:$N,"",Base!$O:$O,"&lt;&gt;Finalizado",Base!$O:$O,"&lt;&gt;Congelado",Base!$O:$O,"&lt;&gt;Concluindo pendências")</f>
        <v>1</v>
      </c>
      <c r="D47" s="93">
        <f>COUNTIFS(Base!$B:$B,D$11,Base!$M:$M,"&lt;"&amp;$B47,Base!$N:$N,"&gt;="&amp;$B47,Base!$O:$O,"&lt;&gt;Finalizado",Base!$O:$O,"&lt;&gt;Congelado",Base!$O:$O,"&lt;&gt;Concluindo pendências") + COUNTIFS(Base!$B:$B,D$11,Base!$M:$M,"&lt;"&amp;$B47,Base!$N:$N,"",Base!$O:$O,"&lt;&gt;Finalizado",Base!$O:$O,"&lt;&gt;Congelado",Base!$O:$O,"&lt;&gt;Concluindo pendências")</f>
        <v>4</v>
      </c>
      <c r="E47" s="93">
        <f>COUNTIFS(Base!$B:$B,E$11,Base!$M:$M,"&lt;"&amp;$B47,Base!$N:$N,"&gt;="&amp;$B47,Base!$O:$O,"&lt;&gt;Finalizado",Base!$O:$O,"&lt;&gt;Congelado",Base!$O:$O,"&lt;&gt;Concluindo pendências") + COUNTIFS(Base!$B:$B,E$11,Base!$M:$M,"&lt;"&amp;$B47,Base!$N:$N,"",Base!$O:$O,"&lt;&gt;Finalizado",Base!$O:$O,"&lt;&gt;Congelado",Base!$O:$O,"&lt;&gt;Concluindo pendências")</f>
        <v>3</v>
      </c>
      <c r="F47" s="93">
        <f>COUNTIFS(Base!$B:$B,F$11,Base!$M:$M,"&lt;"&amp;$B47,Base!$N:$N,"&gt;="&amp;$B47,Base!$O:$O,"&lt;&gt;Finalizado",Base!$O:$O,"&lt;&gt;Congelado",Base!$O:$O,"&lt;&gt;Concluindo pendências") + COUNTIFS(Base!$B:$B,F$11,Base!$M:$M,"&lt;"&amp;$B47,Base!$N:$N,"",Base!$O:$O,"&lt;&gt;Finalizado",Base!$O:$O,"&lt;&gt;Congelado",Base!$O:$O,"&lt;&gt;Concluindo pendências")</f>
        <v>3</v>
      </c>
      <c r="H47" s="93">
        <f>COUNTIFS(Base!$B:$B,C$11,Base!$K:$K,"&lt;"&amp;$B47,Base!$N:$N,"&gt;="&amp;$B47,Base!$O:$O,"&lt;&gt;Finalizado",Base!$O:$O,"&lt;&gt;Congelado") + COUNTIFS(Base!$B:$B,C$11,Base!$K:$K,"&lt;"&amp;$B47,Base!$N:$N,"",Base!$O:$O,"&lt;&gt;Finalizado",Base!$O:$O,"&lt;&gt;Congelado")</f>
        <v>10</v>
      </c>
      <c r="I47" s="93">
        <f>COUNTIFS(Base!$B:$B,D$11,Base!$K:$K,"&lt;"&amp;$B47,Base!$N:$N,"&gt;="&amp;$B47,Base!$O:$O,"&lt;&gt;Finalizado",Base!$O:$O,"&lt;&gt;Congelado") + COUNTIFS(Base!$B:$B,D$11,Base!$K:$K,"&lt;"&amp;$B47,Base!$N:$N,"",Base!$O:$O,"&lt;&gt;Finalizado",Base!$O:$O,"&lt;&gt;Congelado")</f>
        <v>26</v>
      </c>
      <c r="J47" s="93">
        <f>COUNTIFS(Base!$B:$B,E$11,Base!$K:$K,"&lt;"&amp;$B47,Base!$N:$N,"&gt;="&amp;$B47,Base!$O:$O,"&lt;&gt;Finalizado",Base!$O:$O,"&lt;&gt;Congelado") + COUNTIFS(Base!$B:$B,E$11,Base!$K:$K,"&lt;"&amp;$B47,Base!$N:$N,"",Base!$O:$O,"&lt;&gt;Finalizado",Base!$O:$O,"&lt;&gt;Congelado")</f>
        <v>20</v>
      </c>
      <c r="K47" s="93">
        <f>COUNTIFS(Base!$B:$B,F$11,Base!$K:$K,"&lt;"&amp;$B47,Base!$N:$N,"&gt;="&amp;$B47,Base!$O:$O,"&lt;&gt;Finalizado",Base!$O:$O,"&lt;&gt;Congelado") + COUNTIFS(Base!$B:$B,F$11,Base!$K:$K,"&lt;"&amp;$B47,Base!$N:$N,"",Base!$O:$O,"&lt;&gt;Finalizado",Base!$O:$O,"&lt;&gt;Congelado")</f>
        <v>9</v>
      </c>
      <c r="M47" s="133">
        <f t="shared" ref="M47:P47" si="30">C47/H47</f>
        <v>0.1</v>
      </c>
      <c r="N47" s="133">
        <f t="shared" si="30"/>
        <v>0.1538461538</v>
      </c>
      <c r="O47" s="133">
        <f t="shared" si="30"/>
        <v>0.15</v>
      </c>
      <c r="P47" s="133">
        <f t="shared" si="30"/>
        <v>0.3333333333</v>
      </c>
      <c r="Q47" s="133">
        <f t="shared" si="9"/>
        <v>0.1692307692</v>
      </c>
      <c r="S47" s="93">
        <f t="shared" ref="S47:V47" si="31">S46+C47</f>
        <v>11</v>
      </c>
      <c r="T47" s="93">
        <f t="shared" si="31"/>
        <v>27</v>
      </c>
      <c r="U47" s="93">
        <f t="shared" si="31"/>
        <v>22</v>
      </c>
      <c r="V47" s="93">
        <f t="shared" si="31"/>
        <v>33</v>
      </c>
      <c r="W47" s="93">
        <f t="shared" si="11"/>
        <v>93</v>
      </c>
      <c r="Y47" s="133">
        <f>(COUNTIFS(Base!$B:$B,C$11,Base!$S:$S,"&gt;8",Base!$N:$N,"&lt;="&amp;$B47) - COUNTIFS(Base!$B:$B,C$11,Base!$S:$S,"&lt;7",Base!$N:$N,"&lt;="&amp;$B47) - COUNTIFS(Base!$B:$B,C$11,Base!$S:$S,"&lt;7",Base!$K:$K,"&lt;="&amp;$B47,Base!$O:$O,"Finalizado"))/(COUNTIFS(Base!$B:$B,C$11,Base!$S:$S,"&lt;&gt;",Base!$N:$N,"&lt;="&amp;$B47)+COUNTIFS(Base!$B:$B,C$11,Base!$S:$S,"&lt;7",Base!$K:$K,"&lt;="&amp;$B47,Base!$O:$O,"Finalizado"))</f>
        <v>-1</v>
      </c>
      <c r="Z47" s="133">
        <f>(COUNTIFS(Base!$B:$B,D$11,Base!$S:$S,"&gt;8",Base!$N:$N,"&lt;="&amp;$B47) - COUNTIFS(Base!$B:$B,D$11,Base!$S:$S,"&lt;7",Base!$N:$N,"&lt;="&amp;$B47) - COUNTIFS(Base!$B:$B,D$11,Base!$S:$S,"&lt;7",Base!$K:$K,"&lt;="&amp;$B47,Base!$O:$O,"Finalizado"))/(COUNTIFS(Base!$B:$B,D$11,Base!$S:$S,"&lt;&gt;",Base!$N:$N,"&lt;="&amp;$B47)+COUNTIFS(Base!$B:$B,D$11,Base!$S:$S,"&lt;7",Base!$K:$K,"&lt;="&amp;$B47,Base!$O:$O,"Finalizado"))</f>
        <v>0.5</v>
      </c>
      <c r="AA47" s="133">
        <f>(COUNTIFS(Base!$B:$B,E$11,Base!$S:$S,"&gt;8",Base!$N:$N,"&lt;="&amp;$B47) - COUNTIFS(Base!$B:$B,E$11,Base!$S:$S,"&lt;7",Base!$N:$N,"&lt;="&amp;$B47) - COUNTIFS(Base!$B:$B,E$11,Base!$S:$S,"&lt;7",Base!$K:$K,"&lt;="&amp;$B47,Base!$O:$O,"Finalizado"))/(COUNTIFS(Base!$B:$B,E$11,Base!$S:$S,"&lt;&gt;",Base!$N:$N,"&lt;="&amp;$B47)+COUNTIFS(Base!$B:$B,E$11,Base!$S:$S,"&lt;7",Base!$K:$K,"&lt;="&amp;$B47,Base!$O:$O,"Finalizado"))</f>
        <v>0</v>
      </c>
      <c r="AB47" s="133">
        <f t="shared" si="12"/>
        <v>0</v>
      </c>
      <c r="AD47" s="93">
        <f>(COUNTIFS(Base!$B:$B,F$11,Base!$S:$S,"&gt;8",Base!$N:$N,"&lt;="&amp;$B47)+(COUNTIFS(Base!$B:$B,F$11,Base!$AG:$AG,"&gt;8",Base!$K:$K,"&lt;="&amp;$B47)))</f>
        <v>0</v>
      </c>
      <c r="AE47" s="93">
        <f>(COUNTIFS(Base!$B:$B,F$11,Base!$S:$S,"&lt;&gt;",Base!$N:$N,"&lt;="&amp;$B47)+(COUNTIFS(Base!$B:$B,F$11,Base!$AG:$AG,"&lt;&gt;",Base!$K:$K,"&lt;="&amp;$B47)+COUNTIFS(Base!$B:$B,F$11,Base!$S:$S,"&lt;7",Base!$K:$K,"&lt;="&amp;$B47,Base!$O:$O,"Finalizado")))</f>
        <v>1</v>
      </c>
      <c r="AF47" s="93">
        <f>COUNTIFS(Base!$B:$B,F$11,Base!$S:$S,"&lt;7",Base!$N:$N,"&lt;="&amp;$B47) +COUNTIFS(Base!$B:$B,F$11,Base!$AG:$AG,"&lt;7",Base!$K:$K,"&lt;="&amp;$B47) + COUNTIFS(Base!$B:$B,F$11,Base!$S:$S,"&lt;7",Base!$K:$K,"&lt;="&amp;$B47,Base!$O:$O,"Finalizado")</f>
        <v>0</v>
      </c>
    </row>
    <row r="48">
      <c r="B48" s="151">
        <f t="shared" si="13"/>
        <v>45303</v>
      </c>
      <c r="C48" s="93">
        <f>COUNTIFS(Base!$B:$B,C$11,Base!$M:$M,"&lt;"&amp;$B48,Base!$N:$N,"&gt;="&amp;$B48,Base!$O:$O,"&lt;&gt;Finalizado",Base!$O:$O,"&lt;&gt;Congelado",Base!$O:$O,"&lt;&gt;Concluindo pendências") + COUNTIFS(Base!$B:$B,C$11,Base!$M:$M,"&lt;"&amp;$B48,Base!$N:$N,"",Base!$O:$O,"&lt;&gt;Finalizado",Base!$O:$O,"&lt;&gt;Congelado",Base!$O:$O,"&lt;&gt;Concluindo pendências")</f>
        <v>1</v>
      </c>
      <c r="D48" s="93">
        <f>COUNTIFS(Base!$B:$B,D$11,Base!$M:$M,"&lt;"&amp;$B48,Base!$N:$N,"&gt;="&amp;$B48,Base!$O:$O,"&lt;&gt;Finalizado",Base!$O:$O,"&lt;&gt;Congelado",Base!$O:$O,"&lt;&gt;Concluindo pendências") + COUNTIFS(Base!$B:$B,D$11,Base!$M:$M,"&lt;"&amp;$B48,Base!$N:$N,"",Base!$O:$O,"&lt;&gt;Finalizado",Base!$O:$O,"&lt;&gt;Congelado",Base!$O:$O,"&lt;&gt;Concluindo pendências")</f>
        <v>4</v>
      </c>
      <c r="E48" s="93">
        <f>COUNTIFS(Base!$B:$B,E$11,Base!$M:$M,"&lt;"&amp;$B48,Base!$N:$N,"&gt;="&amp;$B48,Base!$O:$O,"&lt;&gt;Finalizado",Base!$O:$O,"&lt;&gt;Congelado",Base!$O:$O,"&lt;&gt;Concluindo pendências") + COUNTIFS(Base!$B:$B,E$11,Base!$M:$M,"&lt;"&amp;$B48,Base!$N:$N,"",Base!$O:$O,"&lt;&gt;Finalizado",Base!$O:$O,"&lt;&gt;Congelado",Base!$O:$O,"&lt;&gt;Concluindo pendências")</f>
        <v>3</v>
      </c>
      <c r="F48" s="93">
        <f>COUNTIFS(Base!$B:$B,F$11,Base!$M:$M,"&lt;"&amp;$B48,Base!$N:$N,"&gt;="&amp;$B48,Base!$O:$O,"&lt;&gt;Finalizado",Base!$O:$O,"&lt;&gt;Congelado",Base!$O:$O,"&lt;&gt;Concluindo pendências") + COUNTIFS(Base!$B:$B,F$11,Base!$M:$M,"&lt;"&amp;$B48,Base!$N:$N,"",Base!$O:$O,"&lt;&gt;Finalizado",Base!$O:$O,"&lt;&gt;Congelado",Base!$O:$O,"&lt;&gt;Concluindo pendências")</f>
        <v>3</v>
      </c>
      <c r="H48" s="93">
        <f>COUNTIFS(Base!$B:$B,C$11,Base!$K:$K,"&lt;"&amp;$B48,Base!$N:$N,"&gt;="&amp;$B48,Base!$O:$O,"&lt;&gt;Finalizado",Base!$O:$O,"&lt;&gt;Congelado") + COUNTIFS(Base!$B:$B,C$11,Base!$K:$K,"&lt;"&amp;$B48,Base!$N:$N,"",Base!$O:$O,"&lt;&gt;Finalizado",Base!$O:$O,"&lt;&gt;Congelado")</f>
        <v>11</v>
      </c>
      <c r="I48" s="93">
        <f>COUNTIFS(Base!$B:$B,D$11,Base!$K:$K,"&lt;"&amp;$B48,Base!$N:$N,"&gt;="&amp;$B48,Base!$O:$O,"&lt;&gt;Finalizado",Base!$O:$O,"&lt;&gt;Congelado") + COUNTIFS(Base!$B:$B,D$11,Base!$K:$K,"&lt;"&amp;$B48,Base!$N:$N,"",Base!$O:$O,"&lt;&gt;Finalizado",Base!$O:$O,"&lt;&gt;Congelado")</f>
        <v>26</v>
      </c>
      <c r="J48" s="93">
        <f>COUNTIFS(Base!$B:$B,E$11,Base!$K:$K,"&lt;"&amp;$B48,Base!$N:$N,"&gt;="&amp;$B48,Base!$O:$O,"&lt;&gt;Finalizado",Base!$O:$O,"&lt;&gt;Congelado") + COUNTIFS(Base!$B:$B,E$11,Base!$K:$K,"&lt;"&amp;$B48,Base!$N:$N,"",Base!$O:$O,"&lt;&gt;Finalizado",Base!$O:$O,"&lt;&gt;Congelado")</f>
        <v>20</v>
      </c>
      <c r="K48" s="93">
        <f>COUNTIFS(Base!$B:$B,F$11,Base!$K:$K,"&lt;"&amp;$B48,Base!$N:$N,"&gt;="&amp;$B48,Base!$O:$O,"&lt;&gt;Finalizado",Base!$O:$O,"&lt;&gt;Congelado") + COUNTIFS(Base!$B:$B,F$11,Base!$K:$K,"&lt;"&amp;$B48,Base!$N:$N,"",Base!$O:$O,"&lt;&gt;Finalizado",Base!$O:$O,"&lt;&gt;Congelado")</f>
        <v>9</v>
      </c>
      <c r="M48" s="133">
        <f t="shared" ref="M48:P48" si="32">C48/H48</f>
        <v>0.09090909091</v>
      </c>
      <c r="N48" s="133">
        <f t="shared" si="32"/>
        <v>0.1538461538</v>
      </c>
      <c r="O48" s="133">
        <f t="shared" si="32"/>
        <v>0.15</v>
      </c>
      <c r="P48" s="133">
        <f t="shared" si="32"/>
        <v>0.3333333333</v>
      </c>
      <c r="Q48" s="133">
        <f t="shared" si="9"/>
        <v>0.1666666667</v>
      </c>
      <c r="S48" s="93">
        <f t="shared" ref="S48:V48" si="33">S47+C48</f>
        <v>12</v>
      </c>
      <c r="T48" s="93">
        <f t="shared" si="33"/>
        <v>31</v>
      </c>
      <c r="U48" s="93">
        <f t="shared" si="33"/>
        <v>25</v>
      </c>
      <c r="V48" s="93">
        <f t="shared" si="33"/>
        <v>36</v>
      </c>
      <c r="W48" s="93">
        <f t="shared" si="11"/>
        <v>104</v>
      </c>
      <c r="Y48" s="133">
        <f>(COUNTIFS(Base!$B:$B,C$11,Base!$S:$S,"&gt;8",Base!$N:$N,"&lt;="&amp;$B48) - COUNTIFS(Base!$B:$B,C$11,Base!$S:$S,"&lt;7",Base!$N:$N,"&lt;="&amp;$B48) - COUNTIFS(Base!$B:$B,C$11,Base!$S:$S,"&lt;7",Base!$K:$K,"&lt;="&amp;$B48,Base!$O:$O,"Finalizado"))/(COUNTIFS(Base!$B:$B,C$11,Base!$S:$S,"&lt;&gt;",Base!$N:$N,"&lt;="&amp;$B48)+COUNTIFS(Base!$B:$B,C$11,Base!$S:$S,"&lt;7",Base!$K:$K,"&lt;="&amp;$B48,Base!$O:$O,"Finalizado"))</f>
        <v>-1</v>
      </c>
      <c r="Z48" s="133">
        <f>(COUNTIFS(Base!$B:$B,D$11,Base!$S:$S,"&gt;8",Base!$N:$N,"&lt;="&amp;$B48) - COUNTIFS(Base!$B:$B,D$11,Base!$S:$S,"&lt;7",Base!$N:$N,"&lt;="&amp;$B48) - COUNTIFS(Base!$B:$B,D$11,Base!$S:$S,"&lt;7",Base!$K:$K,"&lt;="&amp;$B48,Base!$O:$O,"Finalizado"))/(COUNTIFS(Base!$B:$B,D$11,Base!$S:$S,"&lt;&gt;",Base!$N:$N,"&lt;="&amp;$B48)+COUNTIFS(Base!$B:$B,D$11,Base!$S:$S,"&lt;7",Base!$K:$K,"&lt;="&amp;$B48,Base!$O:$O,"Finalizado"))</f>
        <v>0.5</v>
      </c>
      <c r="AA48" s="133">
        <f>(COUNTIFS(Base!$B:$B,E$11,Base!$S:$S,"&gt;8",Base!$N:$N,"&lt;="&amp;$B48) - COUNTIFS(Base!$B:$B,E$11,Base!$S:$S,"&lt;7",Base!$N:$N,"&lt;="&amp;$B48) - COUNTIFS(Base!$B:$B,E$11,Base!$S:$S,"&lt;7",Base!$K:$K,"&lt;="&amp;$B48,Base!$O:$O,"Finalizado"))/(COUNTIFS(Base!$B:$B,E$11,Base!$S:$S,"&lt;&gt;",Base!$N:$N,"&lt;="&amp;$B48)+COUNTIFS(Base!$B:$B,E$11,Base!$S:$S,"&lt;7",Base!$K:$K,"&lt;="&amp;$B48,Base!$O:$O,"Finalizado"))</f>
        <v>0</v>
      </c>
      <c r="AB48" s="133">
        <f t="shared" si="12"/>
        <v>0</v>
      </c>
      <c r="AD48" s="93">
        <f>(COUNTIFS(Base!$B:$B,F$11,Base!$S:$S,"&gt;8",Base!$N:$N,"&lt;="&amp;$B48)+(COUNTIFS(Base!$B:$B,F$11,Base!$AG:$AG,"&gt;8",Base!$K:$K,"&lt;="&amp;$B48)))</f>
        <v>0</v>
      </c>
      <c r="AE48" s="93">
        <f>(COUNTIFS(Base!$B:$B,F$11,Base!$S:$S,"&lt;&gt;",Base!$N:$N,"&lt;="&amp;$B48)+(COUNTIFS(Base!$B:$B,F$11,Base!$AG:$AG,"&lt;&gt;",Base!$K:$K,"&lt;="&amp;$B48)+COUNTIFS(Base!$B:$B,F$11,Base!$S:$S,"&lt;7",Base!$K:$K,"&lt;="&amp;$B48,Base!$O:$O,"Finalizado")))</f>
        <v>1</v>
      </c>
      <c r="AF48" s="93">
        <f>COUNTIFS(Base!$B:$B,F$11,Base!$S:$S,"&lt;7",Base!$N:$N,"&lt;="&amp;$B48) +COUNTIFS(Base!$B:$B,F$11,Base!$AG:$AG,"&lt;7",Base!$K:$K,"&lt;="&amp;$B48) + COUNTIFS(Base!$B:$B,F$11,Base!$S:$S,"&lt;7",Base!$K:$K,"&lt;="&amp;$B48,Base!$O:$O,"Finalizado")</f>
        <v>0</v>
      </c>
    </row>
    <row r="49">
      <c r="B49" s="151">
        <f t="shared" si="13"/>
        <v>45304</v>
      </c>
      <c r="C49" s="93">
        <f>COUNTIFS(Base!$B:$B,C$11,Base!$M:$M,"&lt;"&amp;$B49,Base!$N:$N,"&gt;="&amp;$B49,Base!$O:$O,"&lt;&gt;Finalizado",Base!$O:$O,"&lt;&gt;Congelado",Base!$O:$O,"&lt;&gt;Concluindo pendências") + COUNTIFS(Base!$B:$B,C$11,Base!$M:$M,"&lt;"&amp;$B49,Base!$N:$N,"",Base!$O:$O,"&lt;&gt;Finalizado",Base!$O:$O,"&lt;&gt;Congelado",Base!$O:$O,"&lt;&gt;Concluindo pendências")</f>
        <v>1</v>
      </c>
      <c r="D49" s="93">
        <f>COUNTIFS(Base!$B:$B,D$11,Base!$M:$M,"&lt;"&amp;$B49,Base!$N:$N,"&gt;="&amp;$B49,Base!$O:$O,"&lt;&gt;Finalizado",Base!$O:$O,"&lt;&gt;Congelado",Base!$O:$O,"&lt;&gt;Concluindo pendências") + COUNTIFS(Base!$B:$B,D$11,Base!$M:$M,"&lt;"&amp;$B49,Base!$N:$N,"",Base!$O:$O,"&lt;&gt;Finalizado",Base!$O:$O,"&lt;&gt;Congelado",Base!$O:$O,"&lt;&gt;Concluindo pendências")</f>
        <v>3</v>
      </c>
      <c r="E49" s="93">
        <f>COUNTIFS(Base!$B:$B,E$11,Base!$M:$M,"&lt;"&amp;$B49,Base!$N:$N,"&gt;="&amp;$B49,Base!$O:$O,"&lt;&gt;Finalizado",Base!$O:$O,"&lt;&gt;Congelado",Base!$O:$O,"&lt;&gt;Concluindo pendências") + COUNTIFS(Base!$B:$B,E$11,Base!$M:$M,"&lt;"&amp;$B49,Base!$N:$N,"",Base!$O:$O,"&lt;&gt;Finalizado",Base!$O:$O,"&lt;&gt;Congelado",Base!$O:$O,"&lt;&gt;Concluindo pendências")</f>
        <v>4</v>
      </c>
      <c r="F49" s="93">
        <f>COUNTIFS(Base!$B:$B,F$11,Base!$M:$M,"&lt;"&amp;$B49,Base!$N:$N,"&gt;="&amp;$B49,Base!$O:$O,"&lt;&gt;Finalizado",Base!$O:$O,"&lt;&gt;Congelado",Base!$O:$O,"&lt;&gt;Concluindo pendências") + COUNTIFS(Base!$B:$B,F$11,Base!$M:$M,"&lt;"&amp;$B49,Base!$N:$N,"",Base!$O:$O,"&lt;&gt;Finalizado",Base!$O:$O,"&lt;&gt;Congelado",Base!$O:$O,"&lt;&gt;Concluindo pendências")</f>
        <v>3</v>
      </c>
      <c r="H49" s="93">
        <f>COUNTIFS(Base!$B:$B,C$11,Base!$K:$K,"&lt;"&amp;$B49,Base!$N:$N,"&gt;="&amp;$B49,Base!$O:$O,"&lt;&gt;Finalizado",Base!$O:$O,"&lt;&gt;Congelado") + COUNTIFS(Base!$B:$B,C$11,Base!$K:$K,"&lt;"&amp;$B49,Base!$N:$N,"",Base!$O:$O,"&lt;&gt;Finalizado",Base!$O:$O,"&lt;&gt;Congelado")</f>
        <v>11</v>
      </c>
      <c r="I49" s="93">
        <f>COUNTIFS(Base!$B:$B,D$11,Base!$K:$K,"&lt;"&amp;$B49,Base!$N:$N,"&gt;="&amp;$B49,Base!$O:$O,"&lt;&gt;Finalizado",Base!$O:$O,"&lt;&gt;Congelado") + COUNTIFS(Base!$B:$B,D$11,Base!$K:$K,"&lt;"&amp;$B49,Base!$N:$N,"",Base!$O:$O,"&lt;&gt;Finalizado",Base!$O:$O,"&lt;&gt;Congelado")</f>
        <v>25</v>
      </c>
      <c r="J49" s="93">
        <f>COUNTIFS(Base!$B:$B,E$11,Base!$K:$K,"&lt;"&amp;$B49,Base!$N:$N,"&gt;="&amp;$B49,Base!$O:$O,"&lt;&gt;Finalizado",Base!$O:$O,"&lt;&gt;Congelado") + COUNTIFS(Base!$B:$B,E$11,Base!$K:$K,"&lt;"&amp;$B49,Base!$N:$N,"",Base!$O:$O,"&lt;&gt;Finalizado",Base!$O:$O,"&lt;&gt;Congelado")</f>
        <v>20</v>
      </c>
      <c r="K49" s="93">
        <f>COUNTIFS(Base!$B:$B,F$11,Base!$K:$K,"&lt;"&amp;$B49,Base!$N:$N,"&gt;="&amp;$B49,Base!$O:$O,"&lt;&gt;Finalizado",Base!$O:$O,"&lt;&gt;Congelado") + COUNTIFS(Base!$B:$B,F$11,Base!$K:$K,"&lt;"&amp;$B49,Base!$N:$N,"",Base!$O:$O,"&lt;&gt;Finalizado",Base!$O:$O,"&lt;&gt;Congelado")</f>
        <v>9</v>
      </c>
      <c r="M49" s="133">
        <f t="shared" ref="M49:P49" si="34">C49/H49</f>
        <v>0.09090909091</v>
      </c>
      <c r="N49" s="133">
        <f t="shared" si="34"/>
        <v>0.12</v>
      </c>
      <c r="O49" s="133">
        <f t="shared" si="34"/>
        <v>0.2</v>
      </c>
      <c r="P49" s="133">
        <f t="shared" si="34"/>
        <v>0.3333333333</v>
      </c>
      <c r="Q49" s="133">
        <f t="shared" si="9"/>
        <v>0.1692307692</v>
      </c>
      <c r="S49" s="93">
        <f t="shared" ref="S49:V49" si="35">S48+C49</f>
        <v>13</v>
      </c>
      <c r="T49" s="93">
        <f t="shared" si="35"/>
        <v>34</v>
      </c>
      <c r="U49" s="93">
        <f t="shared" si="35"/>
        <v>29</v>
      </c>
      <c r="V49" s="93">
        <f t="shared" si="35"/>
        <v>39</v>
      </c>
      <c r="W49" s="93">
        <f t="shared" si="11"/>
        <v>115</v>
      </c>
      <c r="Y49" s="133">
        <f>(COUNTIFS(Base!$B:$B,C$11,Base!$S:$S,"&gt;8",Base!$N:$N,"&lt;="&amp;$B49) - COUNTIFS(Base!$B:$B,C$11,Base!$S:$S,"&lt;7",Base!$N:$N,"&lt;="&amp;$B49) - COUNTIFS(Base!$B:$B,C$11,Base!$S:$S,"&lt;7",Base!$K:$K,"&lt;="&amp;$B49,Base!$O:$O,"Finalizado"))/(COUNTIFS(Base!$B:$B,C$11,Base!$S:$S,"&lt;&gt;",Base!$N:$N,"&lt;="&amp;$B49)+COUNTIFS(Base!$B:$B,C$11,Base!$S:$S,"&lt;7",Base!$K:$K,"&lt;="&amp;$B49,Base!$O:$O,"Finalizado"))</f>
        <v>-1</v>
      </c>
      <c r="Z49" s="133">
        <f>(COUNTIFS(Base!$B:$B,D$11,Base!$S:$S,"&gt;8",Base!$N:$N,"&lt;="&amp;$B49) - COUNTIFS(Base!$B:$B,D$11,Base!$S:$S,"&lt;7",Base!$N:$N,"&lt;="&amp;$B49) - COUNTIFS(Base!$B:$B,D$11,Base!$S:$S,"&lt;7",Base!$K:$K,"&lt;="&amp;$B49,Base!$O:$O,"Finalizado"))/(COUNTIFS(Base!$B:$B,D$11,Base!$S:$S,"&lt;&gt;",Base!$N:$N,"&lt;="&amp;$B49)+COUNTIFS(Base!$B:$B,D$11,Base!$S:$S,"&lt;7",Base!$K:$K,"&lt;="&amp;$B49,Base!$O:$O,"Finalizado"))</f>
        <v>0.5</v>
      </c>
      <c r="AA49" s="133">
        <f>(COUNTIFS(Base!$B:$B,E$11,Base!$S:$S,"&gt;8",Base!$N:$N,"&lt;="&amp;$B49) - COUNTIFS(Base!$B:$B,E$11,Base!$S:$S,"&lt;7",Base!$N:$N,"&lt;="&amp;$B49) - COUNTIFS(Base!$B:$B,E$11,Base!$S:$S,"&lt;7",Base!$K:$K,"&lt;="&amp;$B49,Base!$O:$O,"Finalizado"))/(COUNTIFS(Base!$B:$B,E$11,Base!$S:$S,"&lt;&gt;",Base!$N:$N,"&lt;="&amp;$B49)+COUNTIFS(Base!$B:$B,E$11,Base!$S:$S,"&lt;7",Base!$K:$K,"&lt;="&amp;$B49,Base!$O:$O,"Finalizado"))</f>
        <v>0</v>
      </c>
      <c r="AB49" s="133">
        <f t="shared" si="12"/>
        <v>0</v>
      </c>
      <c r="AD49" s="93">
        <f>(COUNTIFS(Base!$B:$B,F$11,Base!$S:$S,"&gt;8",Base!$N:$N,"&lt;="&amp;$B49)+(COUNTIFS(Base!$B:$B,F$11,Base!$AG:$AG,"&gt;8",Base!$K:$K,"&lt;="&amp;$B49)))</f>
        <v>0</v>
      </c>
      <c r="AE49" s="93">
        <f>(COUNTIFS(Base!$B:$B,F$11,Base!$S:$S,"&lt;&gt;",Base!$N:$N,"&lt;="&amp;$B49)+(COUNTIFS(Base!$B:$B,F$11,Base!$AG:$AG,"&lt;&gt;",Base!$K:$K,"&lt;="&amp;$B49)+COUNTIFS(Base!$B:$B,F$11,Base!$S:$S,"&lt;7",Base!$K:$K,"&lt;="&amp;$B49,Base!$O:$O,"Finalizado")))</f>
        <v>1</v>
      </c>
      <c r="AF49" s="93">
        <f>COUNTIFS(Base!$B:$B,F$11,Base!$S:$S,"&lt;7",Base!$N:$N,"&lt;="&amp;$B49) +COUNTIFS(Base!$B:$B,F$11,Base!$AG:$AG,"&lt;7",Base!$K:$K,"&lt;="&amp;$B49) + COUNTIFS(Base!$B:$B,F$11,Base!$S:$S,"&lt;7",Base!$K:$K,"&lt;="&amp;$B49,Base!$O:$O,"Finalizado")</f>
        <v>0</v>
      </c>
    </row>
    <row r="50">
      <c r="B50" s="151">
        <f t="shared" si="13"/>
        <v>45305</v>
      </c>
      <c r="C50" s="93">
        <f>COUNTIFS(Base!$B:$B,C$11,Base!$M:$M,"&lt;"&amp;$B50,Base!$N:$N,"&gt;="&amp;$B50,Base!$O:$O,"&lt;&gt;Finalizado",Base!$O:$O,"&lt;&gt;Congelado",Base!$O:$O,"&lt;&gt;Concluindo pendências") + COUNTIFS(Base!$B:$B,C$11,Base!$M:$M,"&lt;"&amp;$B50,Base!$N:$N,"",Base!$O:$O,"&lt;&gt;Finalizado",Base!$O:$O,"&lt;&gt;Congelado",Base!$O:$O,"&lt;&gt;Concluindo pendências")</f>
        <v>1</v>
      </c>
      <c r="D50" s="93">
        <f>COUNTIFS(Base!$B:$B,D$11,Base!$M:$M,"&lt;"&amp;$B50,Base!$N:$N,"&gt;="&amp;$B50,Base!$O:$O,"&lt;&gt;Finalizado",Base!$O:$O,"&lt;&gt;Congelado",Base!$O:$O,"&lt;&gt;Concluindo pendências") + COUNTIFS(Base!$B:$B,D$11,Base!$M:$M,"&lt;"&amp;$B50,Base!$N:$N,"",Base!$O:$O,"&lt;&gt;Finalizado",Base!$O:$O,"&lt;&gt;Congelado",Base!$O:$O,"&lt;&gt;Concluindo pendências")</f>
        <v>3</v>
      </c>
      <c r="E50" s="93">
        <f>COUNTIFS(Base!$B:$B,E$11,Base!$M:$M,"&lt;"&amp;$B50,Base!$N:$N,"&gt;="&amp;$B50,Base!$O:$O,"&lt;&gt;Finalizado",Base!$O:$O,"&lt;&gt;Congelado",Base!$O:$O,"&lt;&gt;Concluindo pendências") + COUNTIFS(Base!$B:$B,E$11,Base!$M:$M,"&lt;"&amp;$B50,Base!$N:$N,"",Base!$O:$O,"&lt;&gt;Finalizado",Base!$O:$O,"&lt;&gt;Congelado",Base!$O:$O,"&lt;&gt;Concluindo pendências")</f>
        <v>4</v>
      </c>
      <c r="F50" s="93">
        <f>COUNTIFS(Base!$B:$B,F$11,Base!$M:$M,"&lt;"&amp;$B50,Base!$N:$N,"&gt;="&amp;$B50,Base!$O:$O,"&lt;&gt;Finalizado",Base!$O:$O,"&lt;&gt;Congelado",Base!$O:$O,"&lt;&gt;Concluindo pendências") + COUNTIFS(Base!$B:$B,F$11,Base!$M:$M,"&lt;"&amp;$B50,Base!$N:$N,"",Base!$O:$O,"&lt;&gt;Finalizado",Base!$O:$O,"&lt;&gt;Congelado",Base!$O:$O,"&lt;&gt;Concluindo pendências")</f>
        <v>3</v>
      </c>
      <c r="H50" s="93">
        <f>COUNTIFS(Base!$B:$B,C$11,Base!$K:$K,"&lt;"&amp;$B50,Base!$N:$N,"&gt;="&amp;$B50,Base!$O:$O,"&lt;&gt;Finalizado",Base!$O:$O,"&lt;&gt;Congelado") + COUNTIFS(Base!$B:$B,C$11,Base!$K:$K,"&lt;"&amp;$B50,Base!$N:$N,"",Base!$O:$O,"&lt;&gt;Finalizado",Base!$O:$O,"&lt;&gt;Congelado")</f>
        <v>11</v>
      </c>
      <c r="I50" s="93">
        <f>COUNTIFS(Base!$B:$B,D$11,Base!$K:$K,"&lt;"&amp;$B50,Base!$N:$N,"&gt;="&amp;$B50,Base!$O:$O,"&lt;&gt;Finalizado",Base!$O:$O,"&lt;&gt;Congelado") + COUNTIFS(Base!$B:$B,D$11,Base!$K:$K,"&lt;"&amp;$B50,Base!$N:$N,"",Base!$O:$O,"&lt;&gt;Finalizado",Base!$O:$O,"&lt;&gt;Congelado")</f>
        <v>25</v>
      </c>
      <c r="J50" s="93">
        <f>COUNTIFS(Base!$B:$B,E$11,Base!$K:$K,"&lt;"&amp;$B50,Base!$N:$N,"&gt;="&amp;$B50,Base!$O:$O,"&lt;&gt;Finalizado",Base!$O:$O,"&lt;&gt;Congelado") + COUNTIFS(Base!$B:$B,E$11,Base!$K:$K,"&lt;"&amp;$B50,Base!$N:$N,"",Base!$O:$O,"&lt;&gt;Finalizado",Base!$O:$O,"&lt;&gt;Congelado")</f>
        <v>20</v>
      </c>
      <c r="K50" s="93">
        <f>COUNTIFS(Base!$B:$B,F$11,Base!$K:$K,"&lt;"&amp;$B50,Base!$N:$N,"&gt;="&amp;$B50,Base!$O:$O,"&lt;&gt;Finalizado",Base!$O:$O,"&lt;&gt;Congelado") + COUNTIFS(Base!$B:$B,F$11,Base!$K:$K,"&lt;"&amp;$B50,Base!$N:$N,"",Base!$O:$O,"&lt;&gt;Finalizado",Base!$O:$O,"&lt;&gt;Congelado")</f>
        <v>9</v>
      </c>
      <c r="M50" s="133">
        <f t="shared" ref="M50:P50" si="36">C50/H50</f>
        <v>0.09090909091</v>
      </c>
      <c r="N50" s="133">
        <f t="shared" si="36"/>
        <v>0.12</v>
      </c>
      <c r="O50" s="133">
        <f t="shared" si="36"/>
        <v>0.2</v>
      </c>
      <c r="P50" s="133">
        <f t="shared" si="36"/>
        <v>0.3333333333</v>
      </c>
      <c r="Q50" s="133">
        <f t="shared" si="9"/>
        <v>0.1692307692</v>
      </c>
      <c r="S50" s="93">
        <f t="shared" ref="S50:V50" si="37">S49+C50</f>
        <v>14</v>
      </c>
      <c r="T50" s="93">
        <f t="shared" si="37"/>
        <v>37</v>
      </c>
      <c r="U50" s="93">
        <f t="shared" si="37"/>
        <v>33</v>
      </c>
      <c r="V50" s="93">
        <f t="shared" si="37"/>
        <v>42</v>
      </c>
      <c r="W50" s="93">
        <f t="shared" si="11"/>
        <v>126</v>
      </c>
      <c r="Y50" s="133">
        <f>(COUNTIFS(Base!$B:$B,C$11,Base!$S:$S,"&gt;8",Base!$N:$N,"&lt;="&amp;$B50) - COUNTIFS(Base!$B:$B,C$11,Base!$S:$S,"&lt;7",Base!$N:$N,"&lt;="&amp;$B50) - COUNTIFS(Base!$B:$B,C$11,Base!$S:$S,"&lt;7",Base!$K:$K,"&lt;="&amp;$B50,Base!$O:$O,"Finalizado"))/(COUNTIFS(Base!$B:$B,C$11,Base!$S:$S,"&lt;&gt;",Base!$N:$N,"&lt;="&amp;$B50)+COUNTIFS(Base!$B:$B,C$11,Base!$S:$S,"&lt;7",Base!$K:$K,"&lt;="&amp;$B50,Base!$O:$O,"Finalizado"))</f>
        <v>-1</v>
      </c>
      <c r="Z50" s="133">
        <f>(COUNTIFS(Base!$B:$B,D$11,Base!$S:$S,"&gt;8",Base!$N:$N,"&lt;="&amp;$B50) - COUNTIFS(Base!$B:$B,D$11,Base!$S:$S,"&lt;7",Base!$N:$N,"&lt;="&amp;$B50) - COUNTIFS(Base!$B:$B,D$11,Base!$S:$S,"&lt;7",Base!$K:$K,"&lt;="&amp;$B50,Base!$O:$O,"Finalizado"))/(COUNTIFS(Base!$B:$B,D$11,Base!$S:$S,"&lt;&gt;",Base!$N:$N,"&lt;="&amp;$B50)+COUNTIFS(Base!$B:$B,D$11,Base!$S:$S,"&lt;7",Base!$K:$K,"&lt;="&amp;$B50,Base!$O:$O,"Finalizado"))</f>
        <v>0.5</v>
      </c>
      <c r="AA50" s="133">
        <f>(COUNTIFS(Base!$B:$B,E$11,Base!$S:$S,"&gt;8",Base!$N:$N,"&lt;="&amp;$B50) - COUNTIFS(Base!$B:$B,E$11,Base!$S:$S,"&lt;7",Base!$N:$N,"&lt;="&amp;$B50) - COUNTIFS(Base!$B:$B,E$11,Base!$S:$S,"&lt;7",Base!$K:$K,"&lt;="&amp;$B50,Base!$O:$O,"Finalizado"))/(COUNTIFS(Base!$B:$B,E$11,Base!$S:$S,"&lt;&gt;",Base!$N:$N,"&lt;="&amp;$B50)+COUNTIFS(Base!$B:$B,E$11,Base!$S:$S,"&lt;7",Base!$K:$K,"&lt;="&amp;$B50,Base!$O:$O,"Finalizado"))</f>
        <v>0</v>
      </c>
      <c r="AB50" s="133">
        <f t="shared" si="12"/>
        <v>0</v>
      </c>
      <c r="AD50" s="93">
        <f>(COUNTIFS(Base!$B:$B,F$11,Base!$S:$S,"&gt;8",Base!$N:$N,"&lt;="&amp;$B50)+(COUNTIFS(Base!$B:$B,F$11,Base!$AG:$AG,"&gt;8",Base!$K:$K,"&lt;="&amp;$B50)))</f>
        <v>0</v>
      </c>
      <c r="AE50" s="93">
        <f>(COUNTIFS(Base!$B:$B,F$11,Base!$S:$S,"&lt;&gt;",Base!$N:$N,"&lt;="&amp;$B50)+(COUNTIFS(Base!$B:$B,F$11,Base!$AG:$AG,"&lt;&gt;",Base!$K:$K,"&lt;="&amp;$B50)+COUNTIFS(Base!$B:$B,F$11,Base!$S:$S,"&lt;7",Base!$K:$K,"&lt;="&amp;$B50,Base!$O:$O,"Finalizado")))</f>
        <v>1</v>
      </c>
      <c r="AF50" s="93">
        <f>COUNTIFS(Base!$B:$B,F$11,Base!$S:$S,"&lt;7",Base!$N:$N,"&lt;="&amp;$B50) +COUNTIFS(Base!$B:$B,F$11,Base!$AG:$AG,"&lt;7",Base!$K:$K,"&lt;="&amp;$B50) + COUNTIFS(Base!$B:$B,F$11,Base!$S:$S,"&lt;7",Base!$K:$K,"&lt;="&amp;$B50,Base!$O:$O,"Finalizado")</f>
        <v>0</v>
      </c>
    </row>
    <row r="51">
      <c r="B51" s="151">
        <f t="shared" si="13"/>
        <v>45306</v>
      </c>
      <c r="C51" s="93">
        <f>COUNTIFS(Base!$B:$B,C$11,Base!$M:$M,"&lt;"&amp;$B51,Base!$N:$N,"&gt;="&amp;$B51,Base!$O:$O,"&lt;&gt;Finalizado",Base!$O:$O,"&lt;&gt;Congelado",Base!$O:$O,"&lt;&gt;Concluindo pendências") + COUNTIFS(Base!$B:$B,C$11,Base!$M:$M,"&lt;"&amp;$B51,Base!$N:$N,"",Base!$O:$O,"&lt;&gt;Finalizado",Base!$O:$O,"&lt;&gt;Congelado",Base!$O:$O,"&lt;&gt;Concluindo pendências")</f>
        <v>1</v>
      </c>
      <c r="D51" s="93">
        <f>COUNTIFS(Base!$B:$B,D$11,Base!$M:$M,"&lt;"&amp;$B51,Base!$N:$N,"&gt;="&amp;$B51,Base!$O:$O,"&lt;&gt;Finalizado",Base!$O:$O,"&lt;&gt;Congelado",Base!$O:$O,"&lt;&gt;Concluindo pendências") + COUNTIFS(Base!$B:$B,D$11,Base!$M:$M,"&lt;"&amp;$B51,Base!$N:$N,"",Base!$O:$O,"&lt;&gt;Finalizado",Base!$O:$O,"&lt;&gt;Congelado",Base!$O:$O,"&lt;&gt;Concluindo pendências")</f>
        <v>3</v>
      </c>
      <c r="E51" s="93">
        <f>COUNTIFS(Base!$B:$B,E$11,Base!$M:$M,"&lt;"&amp;$B51,Base!$N:$N,"&gt;="&amp;$B51,Base!$O:$O,"&lt;&gt;Finalizado",Base!$O:$O,"&lt;&gt;Congelado",Base!$O:$O,"&lt;&gt;Concluindo pendências") + COUNTIFS(Base!$B:$B,E$11,Base!$M:$M,"&lt;"&amp;$B51,Base!$N:$N,"",Base!$O:$O,"&lt;&gt;Finalizado",Base!$O:$O,"&lt;&gt;Congelado",Base!$O:$O,"&lt;&gt;Concluindo pendências")</f>
        <v>4</v>
      </c>
      <c r="F51" s="93">
        <f>COUNTIFS(Base!$B:$B,F$11,Base!$M:$M,"&lt;"&amp;$B51,Base!$N:$N,"&gt;="&amp;$B51,Base!$O:$O,"&lt;&gt;Finalizado",Base!$O:$O,"&lt;&gt;Congelado",Base!$O:$O,"&lt;&gt;Concluindo pendências") + COUNTIFS(Base!$B:$B,F$11,Base!$M:$M,"&lt;"&amp;$B51,Base!$N:$N,"",Base!$O:$O,"&lt;&gt;Finalizado",Base!$O:$O,"&lt;&gt;Congelado",Base!$O:$O,"&lt;&gt;Concluindo pendências")</f>
        <v>3</v>
      </c>
      <c r="H51" s="93">
        <f>COUNTIFS(Base!$B:$B,C$11,Base!$K:$K,"&lt;"&amp;$B51,Base!$N:$N,"&gt;="&amp;$B51,Base!$O:$O,"&lt;&gt;Finalizado",Base!$O:$O,"&lt;&gt;Congelado") + COUNTIFS(Base!$B:$B,C$11,Base!$K:$K,"&lt;"&amp;$B51,Base!$N:$N,"",Base!$O:$O,"&lt;&gt;Finalizado",Base!$O:$O,"&lt;&gt;Congelado")</f>
        <v>11</v>
      </c>
      <c r="I51" s="93">
        <f>COUNTIFS(Base!$B:$B,D$11,Base!$K:$K,"&lt;"&amp;$B51,Base!$N:$N,"&gt;="&amp;$B51,Base!$O:$O,"&lt;&gt;Finalizado",Base!$O:$O,"&lt;&gt;Congelado") + COUNTIFS(Base!$B:$B,D$11,Base!$K:$K,"&lt;"&amp;$B51,Base!$N:$N,"",Base!$O:$O,"&lt;&gt;Finalizado",Base!$O:$O,"&lt;&gt;Congelado")</f>
        <v>25</v>
      </c>
      <c r="J51" s="93">
        <f>COUNTIFS(Base!$B:$B,E$11,Base!$K:$K,"&lt;"&amp;$B51,Base!$N:$N,"&gt;="&amp;$B51,Base!$O:$O,"&lt;&gt;Finalizado",Base!$O:$O,"&lt;&gt;Congelado") + COUNTIFS(Base!$B:$B,E$11,Base!$K:$K,"&lt;"&amp;$B51,Base!$N:$N,"",Base!$O:$O,"&lt;&gt;Finalizado",Base!$O:$O,"&lt;&gt;Congelado")</f>
        <v>20</v>
      </c>
      <c r="K51" s="93">
        <f>COUNTIFS(Base!$B:$B,F$11,Base!$K:$K,"&lt;"&amp;$B51,Base!$N:$N,"&gt;="&amp;$B51,Base!$O:$O,"&lt;&gt;Finalizado",Base!$O:$O,"&lt;&gt;Congelado") + COUNTIFS(Base!$B:$B,F$11,Base!$K:$K,"&lt;"&amp;$B51,Base!$N:$N,"",Base!$O:$O,"&lt;&gt;Finalizado",Base!$O:$O,"&lt;&gt;Congelado")</f>
        <v>9</v>
      </c>
      <c r="M51" s="133">
        <f t="shared" ref="M51:P51" si="38">C51/H51</f>
        <v>0.09090909091</v>
      </c>
      <c r="N51" s="133">
        <f t="shared" si="38"/>
        <v>0.12</v>
      </c>
      <c r="O51" s="133">
        <f t="shared" si="38"/>
        <v>0.2</v>
      </c>
      <c r="P51" s="133">
        <f t="shared" si="38"/>
        <v>0.3333333333</v>
      </c>
      <c r="Q51" s="133">
        <f t="shared" si="9"/>
        <v>0.1692307692</v>
      </c>
      <c r="S51" s="93">
        <f t="shared" ref="S51:V51" si="39">S50+C51</f>
        <v>15</v>
      </c>
      <c r="T51" s="93">
        <f t="shared" si="39"/>
        <v>40</v>
      </c>
      <c r="U51" s="93">
        <f t="shared" si="39"/>
        <v>37</v>
      </c>
      <c r="V51" s="93">
        <f t="shared" si="39"/>
        <v>45</v>
      </c>
      <c r="W51" s="93">
        <f t="shared" si="11"/>
        <v>137</v>
      </c>
      <c r="Y51" s="133">
        <f>(COUNTIFS(Base!$B:$B,C$11,Base!$S:$S,"&gt;8",Base!$N:$N,"&lt;="&amp;$B51) - COUNTIFS(Base!$B:$B,C$11,Base!$S:$S,"&lt;7",Base!$N:$N,"&lt;="&amp;$B51) - COUNTIFS(Base!$B:$B,C$11,Base!$S:$S,"&lt;7",Base!$K:$K,"&lt;="&amp;$B51,Base!$O:$O,"Finalizado"))/(COUNTIFS(Base!$B:$B,C$11,Base!$S:$S,"&lt;&gt;",Base!$N:$N,"&lt;="&amp;$B51)+COUNTIFS(Base!$B:$B,C$11,Base!$S:$S,"&lt;7",Base!$K:$K,"&lt;="&amp;$B51,Base!$O:$O,"Finalizado"))</f>
        <v>-1</v>
      </c>
      <c r="Z51" s="133">
        <f>(COUNTIFS(Base!$B:$B,D$11,Base!$S:$S,"&gt;8",Base!$N:$N,"&lt;="&amp;$B51) - COUNTIFS(Base!$B:$B,D$11,Base!$S:$S,"&lt;7",Base!$N:$N,"&lt;="&amp;$B51) - COUNTIFS(Base!$B:$B,D$11,Base!$S:$S,"&lt;7",Base!$K:$K,"&lt;="&amp;$B51,Base!$O:$O,"Finalizado"))/(COUNTIFS(Base!$B:$B,D$11,Base!$S:$S,"&lt;&gt;",Base!$N:$N,"&lt;="&amp;$B51)+COUNTIFS(Base!$B:$B,D$11,Base!$S:$S,"&lt;7",Base!$K:$K,"&lt;="&amp;$B51,Base!$O:$O,"Finalizado"))</f>
        <v>0.5</v>
      </c>
      <c r="AA51" s="133">
        <f>(COUNTIFS(Base!$B:$B,E$11,Base!$S:$S,"&gt;8",Base!$N:$N,"&lt;="&amp;$B51) - COUNTIFS(Base!$B:$B,E$11,Base!$S:$S,"&lt;7",Base!$N:$N,"&lt;="&amp;$B51) - COUNTIFS(Base!$B:$B,E$11,Base!$S:$S,"&lt;7",Base!$K:$K,"&lt;="&amp;$B51,Base!$O:$O,"Finalizado"))/(COUNTIFS(Base!$B:$B,E$11,Base!$S:$S,"&lt;&gt;",Base!$N:$N,"&lt;="&amp;$B51)+COUNTIFS(Base!$B:$B,E$11,Base!$S:$S,"&lt;7",Base!$K:$K,"&lt;="&amp;$B51,Base!$O:$O,"Finalizado"))</f>
        <v>0</v>
      </c>
      <c r="AB51" s="133">
        <f t="shared" si="12"/>
        <v>0.6666666667</v>
      </c>
      <c r="AD51" s="93">
        <f>(COUNTIFS(Base!$B:$B,F$11,Base!$S:$S,"&gt;8",Base!$N:$N,"&lt;="&amp;$B51)+(COUNTIFS(Base!$B:$B,F$11,Base!$AG:$AG,"&gt;8",Base!$K:$K,"&lt;="&amp;$B51)))</f>
        <v>2</v>
      </c>
      <c r="AE51" s="93">
        <f>(COUNTIFS(Base!$B:$B,F$11,Base!$S:$S,"&lt;&gt;",Base!$N:$N,"&lt;="&amp;$B51)+(COUNTIFS(Base!$B:$B,F$11,Base!$AG:$AG,"&lt;&gt;",Base!$K:$K,"&lt;="&amp;$B51)+COUNTIFS(Base!$B:$B,F$11,Base!$S:$S,"&lt;7",Base!$K:$K,"&lt;="&amp;$B51,Base!$O:$O,"Finalizado")))</f>
        <v>3</v>
      </c>
      <c r="AF51" s="93">
        <f>COUNTIFS(Base!$B:$B,F$11,Base!$S:$S,"&lt;7",Base!$N:$N,"&lt;="&amp;$B51) +COUNTIFS(Base!$B:$B,F$11,Base!$AG:$AG,"&lt;7",Base!$K:$K,"&lt;="&amp;$B51) + COUNTIFS(Base!$B:$B,F$11,Base!$S:$S,"&lt;7",Base!$K:$K,"&lt;="&amp;$B51,Base!$O:$O,"Finalizado")</f>
        <v>0</v>
      </c>
    </row>
    <row r="52">
      <c r="B52" s="151">
        <f t="shared" si="13"/>
        <v>45307</v>
      </c>
      <c r="C52" s="93">
        <f>COUNTIFS(Base!$B:$B,C$11,Base!$M:$M,"&lt;"&amp;$B52,Base!$N:$N,"&gt;="&amp;$B52,Base!$O:$O,"&lt;&gt;Finalizado",Base!$O:$O,"&lt;&gt;Congelado",Base!$O:$O,"&lt;&gt;Concluindo pendências") + COUNTIFS(Base!$B:$B,C$11,Base!$M:$M,"&lt;"&amp;$B52,Base!$N:$N,"",Base!$O:$O,"&lt;&gt;Finalizado",Base!$O:$O,"&lt;&gt;Congelado",Base!$O:$O,"&lt;&gt;Concluindo pendências")</f>
        <v>1</v>
      </c>
      <c r="D52" s="93">
        <f>COUNTIFS(Base!$B:$B,D$11,Base!$M:$M,"&lt;"&amp;$B52,Base!$N:$N,"&gt;="&amp;$B52,Base!$O:$O,"&lt;&gt;Finalizado",Base!$O:$O,"&lt;&gt;Congelado",Base!$O:$O,"&lt;&gt;Concluindo pendências") + COUNTIFS(Base!$B:$B,D$11,Base!$M:$M,"&lt;"&amp;$B52,Base!$N:$N,"",Base!$O:$O,"&lt;&gt;Finalizado",Base!$O:$O,"&lt;&gt;Congelado",Base!$O:$O,"&lt;&gt;Concluindo pendências")</f>
        <v>3</v>
      </c>
      <c r="E52" s="93">
        <f>COUNTIFS(Base!$B:$B,E$11,Base!$M:$M,"&lt;"&amp;$B52,Base!$N:$N,"&gt;="&amp;$B52,Base!$O:$O,"&lt;&gt;Finalizado",Base!$O:$O,"&lt;&gt;Congelado",Base!$O:$O,"&lt;&gt;Concluindo pendências") + COUNTIFS(Base!$B:$B,E$11,Base!$M:$M,"&lt;"&amp;$B52,Base!$N:$N,"",Base!$O:$O,"&lt;&gt;Finalizado",Base!$O:$O,"&lt;&gt;Congelado",Base!$O:$O,"&lt;&gt;Concluindo pendências")</f>
        <v>4</v>
      </c>
      <c r="F52" s="93">
        <f>COUNTIFS(Base!$B:$B,F$11,Base!$M:$M,"&lt;"&amp;$B52,Base!$N:$N,"&gt;="&amp;$B52,Base!$O:$O,"&lt;&gt;Finalizado",Base!$O:$O,"&lt;&gt;Congelado",Base!$O:$O,"&lt;&gt;Concluindo pendências") + COUNTIFS(Base!$B:$B,F$11,Base!$M:$M,"&lt;"&amp;$B52,Base!$N:$N,"",Base!$O:$O,"&lt;&gt;Finalizado",Base!$O:$O,"&lt;&gt;Congelado",Base!$O:$O,"&lt;&gt;Concluindo pendências")</f>
        <v>3</v>
      </c>
      <c r="H52" s="93">
        <f>COUNTIFS(Base!$B:$B,C$11,Base!$K:$K,"&lt;"&amp;$B52,Base!$N:$N,"&gt;="&amp;$B52,Base!$O:$O,"&lt;&gt;Finalizado",Base!$O:$O,"&lt;&gt;Congelado") + COUNTIFS(Base!$B:$B,C$11,Base!$K:$K,"&lt;"&amp;$B52,Base!$N:$N,"",Base!$O:$O,"&lt;&gt;Finalizado",Base!$O:$O,"&lt;&gt;Congelado")</f>
        <v>11</v>
      </c>
      <c r="I52" s="93">
        <f>COUNTIFS(Base!$B:$B,D$11,Base!$K:$K,"&lt;"&amp;$B52,Base!$N:$N,"&gt;="&amp;$B52,Base!$O:$O,"&lt;&gt;Finalizado",Base!$O:$O,"&lt;&gt;Congelado") + COUNTIFS(Base!$B:$B,D$11,Base!$K:$K,"&lt;"&amp;$B52,Base!$N:$N,"",Base!$O:$O,"&lt;&gt;Finalizado",Base!$O:$O,"&lt;&gt;Congelado")</f>
        <v>25</v>
      </c>
      <c r="J52" s="93">
        <f>COUNTIFS(Base!$B:$B,E$11,Base!$K:$K,"&lt;"&amp;$B52,Base!$N:$N,"&gt;="&amp;$B52,Base!$O:$O,"&lt;&gt;Finalizado",Base!$O:$O,"&lt;&gt;Congelado") + COUNTIFS(Base!$B:$B,E$11,Base!$K:$K,"&lt;"&amp;$B52,Base!$N:$N,"",Base!$O:$O,"&lt;&gt;Finalizado",Base!$O:$O,"&lt;&gt;Congelado")</f>
        <v>20</v>
      </c>
      <c r="K52" s="93">
        <f>COUNTIFS(Base!$B:$B,F$11,Base!$K:$K,"&lt;"&amp;$B52,Base!$N:$N,"&gt;="&amp;$B52,Base!$O:$O,"&lt;&gt;Finalizado",Base!$O:$O,"&lt;&gt;Congelado") + COUNTIFS(Base!$B:$B,F$11,Base!$K:$K,"&lt;"&amp;$B52,Base!$N:$N,"",Base!$O:$O,"&lt;&gt;Finalizado",Base!$O:$O,"&lt;&gt;Congelado")</f>
        <v>11</v>
      </c>
      <c r="M52" s="133">
        <f t="shared" ref="M52:P52" si="40">C52/H52</f>
        <v>0.09090909091</v>
      </c>
      <c r="N52" s="133">
        <f t="shared" si="40"/>
        <v>0.12</v>
      </c>
      <c r="O52" s="133">
        <f t="shared" si="40"/>
        <v>0.2</v>
      </c>
      <c r="P52" s="133">
        <f t="shared" si="40"/>
        <v>0.2727272727</v>
      </c>
      <c r="Q52" s="133">
        <f t="shared" si="9"/>
        <v>0.1641791045</v>
      </c>
      <c r="S52" s="93">
        <f t="shared" ref="S52:V52" si="41">S51+C52</f>
        <v>16</v>
      </c>
      <c r="T52" s="93">
        <f t="shared" si="41"/>
        <v>43</v>
      </c>
      <c r="U52" s="93">
        <f t="shared" si="41"/>
        <v>41</v>
      </c>
      <c r="V52" s="93">
        <f t="shared" si="41"/>
        <v>48</v>
      </c>
      <c r="W52" s="93">
        <f t="shared" si="11"/>
        <v>148</v>
      </c>
      <c r="Y52" s="133">
        <f>(COUNTIFS(Base!$B:$B,C$11,Base!$S:$S,"&gt;8",Base!$N:$N,"&lt;="&amp;$B52) - COUNTIFS(Base!$B:$B,C$11,Base!$S:$S,"&lt;7",Base!$N:$N,"&lt;="&amp;$B52) - COUNTIFS(Base!$B:$B,C$11,Base!$S:$S,"&lt;7",Base!$K:$K,"&lt;="&amp;$B52,Base!$O:$O,"Finalizado"))/(COUNTIFS(Base!$B:$B,C$11,Base!$S:$S,"&lt;&gt;",Base!$N:$N,"&lt;="&amp;$B52)+COUNTIFS(Base!$B:$B,C$11,Base!$S:$S,"&lt;7",Base!$K:$K,"&lt;="&amp;$B52,Base!$O:$O,"Finalizado"))</f>
        <v>-1</v>
      </c>
      <c r="Z52" s="133">
        <f>(COUNTIFS(Base!$B:$B,D$11,Base!$S:$S,"&gt;8",Base!$N:$N,"&lt;="&amp;$B52) - COUNTIFS(Base!$B:$B,D$11,Base!$S:$S,"&lt;7",Base!$N:$N,"&lt;="&amp;$B52) - COUNTIFS(Base!$B:$B,D$11,Base!$S:$S,"&lt;7",Base!$K:$K,"&lt;="&amp;$B52,Base!$O:$O,"Finalizado"))/(COUNTIFS(Base!$B:$B,D$11,Base!$S:$S,"&lt;&gt;",Base!$N:$N,"&lt;="&amp;$B52)+COUNTIFS(Base!$B:$B,D$11,Base!$S:$S,"&lt;7",Base!$K:$K,"&lt;="&amp;$B52,Base!$O:$O,"Finalizado"))</f>
        <v>0.5</v>
      </c>
      <c r="AA52" s="133">
        <f>(COUNTIFS(Base!$B:$B,E$11,Base!$S:$S,"&gt;8",Base!$N:$N,"&lt;="&amp;$B52) - COUNTIFS(Base!$B:$B,E$11,Base!$S:$S,"&lt;7",Base!$N:$N,"&lt;="&amp;$B52) - COUNTIFS(Base!$B:$B,E$11,Base!$S:$S,"&lt;7",Base!$K:$K,"&lt;="&amp;$B52,Base!$O:$O,"Finalizado"))/(COUNTIFS(Base!$B:$B,E$11,Base!$S:$S,"&lt;&gt;",Base!$N:$N,"&lt;="&amp;$B52)+COUNTIFS(Base!$B:$B,E$11,Base!$S:$S,"&lt;7",Base!$K:$K,"&lt;="&amp;$B52,Base!$O:$O,"Finalizado"))</f>
        <v>0.3333333333</v>
      </c>
      <c r="AB52" s="133">
        <f t="shared" si="12"/>
        <v>0.6666666667</v>
      </c>
      <c r="AD52" s="93">
        <f>(COUNTIFS(Base!$B:$B,F$11,Base!$S:$S,"&gt;8",Base!$N:$N,"&lt;="&amp;$B52)+(COUNTIFS(Base!$B:$B,F$11,Base!$AG:$AG,"&gt;8",Base!$K:$K,"&lt;="&amp;$B52)))</f>
        <v>2</v>
      </c>
      <c r="AE52" s="93">
        <f>(COUNTIFS(Base!$B:$B,F$11,Base!$S:$S,"&lt;&gt;",Base!$N:$N,"&lt;="&amp;$B52)+(COUNTIFS(Base!$B:$B,F$11,Base!$AG:$AG,"&lt;&gt;",Base!$K:$K,"&lt;="&amp;$B52)+COUNTIFS(Base!$B:$B,F$11,Base!$S:$S,"&lt;7",Base!$K:$K,"&lt;="&amp;$B52,Base!$O:$O,"Finalizado")))</f>
        <v>3</v>
      </c>
      <c r="AF52" s="93">
        <f>COUNTIFS(Base!$B:$B,F$11,Base!$S:$S,"&lt;7",Base!$N:$N,"&lt;="&amp;$B52) +COUNTIFS(Base!$B:$B,F$11,Base!$AG:$AG,"&lt;7",Base!$K:$K,"&lt;="&amp;$B52) + COUNTIFS(Base!$B:$B,F$11,Base!$S:$S,"&lt;7",Base!$K:$K,"&lt;="&amp;$B52,Base!$O:$O,"Finalizado")</f>
        <v>0</v>
      </c>
    </row>
    <row r="53">
      <c r="B53" s="151">
        <f t="shared" si="13"/>
        <v>45308</v>
      </c>
      <c r="C53" s="93">
        <f>COUNTIFS(Base!$B:$B,C$11,Base!$M:$M,"&lt;"&amp;$B53,Base!$N:$N,"&gt;="&amp;$B53,Base!$O:$O,"&lt;&gt;Finalizado",Base!$O:$O,"&lt;&gt;Congelado",Base!$O:$O,"&lt;&gt;Concluindo pendências") + COUNTIFS(Base!$B:$B,C$11,Base!$M:$M,"&lt;"&amp;$B53,Base!$N:$N,"",Base!$O:$O,"&lt;&gt;Finalizado",Base!$O:$O,"&lt;&gt;Congelado",Base!$O:$O,"&lt;&gt;Concluindo pendências")</f>
        <v>1</v>
      </c>
      <c r="D53" s="93">
        <f>COUNTIFS(Base!$B:$B,D$11,Base!$M:$M,"&lt;"&amp;$B53,Base!$N:$N,"&gt;="&amp;$B53,Base!$O:$O,"&lt;&gt;Finalizado",Base!$O:$O,"&lt;&gt;Congelado",Base!$O:$O,"&lt;&gt;Concluindo pendências") + COUNTIFS(Base!$B:$B,D$11,Base!$M:$M,"&lt;"&amp;$B53,Base!$N:$N,"",Base!$O:$O,"&lt;&gt;Finalizado",Base!$O:$O,"&lt;&gt;Congelado",Base!$O:$O,"&lt;&gt;Concluindo pendências")</f>
        <v>3</v>
      </c>
      <c r="E53" s="93">
        <f>COUNTIFS(Base!$B:$B,E$11,Base!$M:$M,"&lt;"&amp;$B53,Base!$N:$N,"&gt;="&amp;$B53,Base!$O:$O,"&lt;&gt;Finalizado",Base!$O:$O,"&lt;&gt;Congelado",Base!$O:$O,"&lt;&gt;Concluindo pendências") + COUNTIFS(Base!$B:$B,E$11,Base!$M:$M,"&lt;"&amp;$B53,Base!$N:$N,"",Base!$O:$O,"&lt;&gt;Finalizado",Base!$O:$O,"&lt;&gt;Congelado",Base!$O:$O,"&lt;&gt;Concluindo pendências")</f>
        <v>5</v>
      </c>
      <c r="F53" s="93">
        <f>COUNTIFS(Base!$B:$B,F$11,Base!$M:$M,"&lt;"&amp;$B53,Base!$N:$N,"&gt;="&amp;$B53,Base!$O:$O,"&lt;&gt;Finalizado",Base!$O:$O,"&lt;&gt;Congelado",Base!$O:$O,"&lt;&gt;Concluindo pendências") + COUNTIFS(Base!$B:$B,F$11,Base!$M:$M,"&lt;"&amp;$B53,Base!$N:$N,"",Base!$O:$O,"&lt;&gt;Finalizado",Base!$O:$O,"&lt;&gt;Congelado",Base!$O:$O,"&lt;&gt;Concluindo pendências")</f>
        <v>3</v>
      </c>
      <c r="H53" s="93">
        <f>COUNTIFS(Base!$B:$B,C$11,Base!$K:$K,"&lt;"&amp;$B53,Base!$N:$N,"&gt;="&amp;$B53,Base!$O:$O,"&lt;&gt;Finalizado",Base!$O:$O,"&lt;&gt;Congelado") + COUNTIFS(Base!$B:$B,C$11,Base!$K:$K,"&lt;"&amp;$B53,Base!$N:$N,"",Base!$O:$O,"&lt;&gt;Finalizado",Base!$O:$O,"&lt;&gt;Congelado")</f>
        <v>11</v>
      </c>
      <c r="I53" s="93">
        <f>COUNTIFS(Base!$B:$B,D$11,Base!$K:$K,"&lt;"&amp;$B53,Base!$N:$N,"&gt;="&amp;$B53,Base!$O:$O,"&lt;&gt;Finalizado",Base!$O:$O,"&lt;&gt;Congelado") + COUNTIFS(Base!$B:$B,D$11,Base!$K:$K,"&lt;"&amp;$B53,Base!$N:$N,"",Base!$O:$O,"&lt;&gt;Finalizado",Base!$O:$O,"&lt;&gt;Congelado")</f>
        <v>26</v>
      </c>
      <c r="J53" s="93">
        <f>COUNTIFS(Base!$B:$B,E$11,Base!$K:$K,"&lt;"&amp;$B53,Base!$N:$N,"&gt;="&amp;$B53,Base!$O:$O,"&lt;&gt;Finalizado",Base!$O:$O,"&lt;&gt;Congelado") + COUNTIFS(Base!$B:$B,E$11,Base!$K:$K,"&lt;"&amp;$B53,Base!$N:$N,"",Base!$O:$O,"&lt;&gt;Finalizado",Base!$O:$O,"&lt;&gt;Congelado")</f>
        <v>19</v>
      </c>
      <c r="K53" s="93">
        <f>COUNTIFS(Base!$B:$B,F$11,Base!$K:$K,"&lt;"&amp;$B53,Base!$N:$N,"&gt;="&amp;$B53,Base!$O:$O,"&lt;&gt;Finalizado",Base!$O:$O,"&lt;&gt;Congelado") + COUNTIFS(Base!$B:$B,F$11,Base!$K:$K,"&lt;"&amp;$B53,Base!$N:$N,"",Base!$O:$O,"&lt;&gt;Finalizado",Base!$O:$O,"&lt;&gt;Congelado")</f>
        <v>11</v>
      </c>
      <c r="M53" s="133">
        <f t="shared" ref="M53:P53" si="42">C53/H53</f>
        <v>0.09090909091</v>
      </c>
      <c r="N53" s="133">
        <f t="shared" si="42"/>
        <v>0.1153846154</v>
      </c>
      <c r="O53" s="133">
        <f t="shared" si="42"/>
        <v>0.2631578947</v>
      </c>
      <c r="P53" s="133">
        <f t="shared" si="42"/>
        <v>0.2727272727</v>
      </c>
      <c r="Q53" s="133">
        <f t="shared" si="9"/>
        <v>0.1791044776</v>
      </c>
      <c r="S53" s="93">
        <f t="shared" ref="S53:V53" si="43">S52+C53</f>
        <v>17</v>
      </c>
      <c r="T53" s="93">
        <f t="shared" si="43"/>
        <v>46</v>
      </c>
      <c r="U53" s="93">
        <f t="shared" si="43"/>
        <v>46</v>
      </c>
      <c r="V53" s="93">
        <f t="shared" si="43"/>
        <v>51</v>
      </c>
      <c r="W53" s="93">
        <f t="shared" si="11"/>
        <v>160</v>
      </c>
      <c r="Y53" s="133">
        <f>(COUNTIFS(Base!$B:$B,C$11,Base!$S:$S,"&gt;8",Base!$N:$N,"&lt;="&amp;$B53) - COUNTIFS(Base!$B:$B,C$11,Base!$S:$S,"&lt;7",Base!$N:$N,"&lt;="&amp;$B53) - COUNTIFS(Base!$B:$B,C$11,Base!$S:$S,"&lt;7",Base!$K:$K,"&lt;="&amp;$B53,Base!$O:$O,"Finalizado"))/(COUNTIFS(Base!$B:$B,C$11,Base!$S:$S,"&lt;&gt;",Base!$N:$N,"&lt;="&amp;$B53)+COUNTIFS(Base!$B:$B,C$11,Base!$S:$S,"&lt;7",Base!$K:$K,"&lt;="&amp;$B53,Base!$O:$O,"Finalizado"))</f>
        <v>-1</v>
      </c>
      <c r="Z53" s="133">
        <f>(COUNTIFS(Base!$B:$B,D$11,Base!$S:$S,"&gt;8",Base!$N:$N,"&lt;="&amp;$B53) - COUNTIFS(Base!$B:$B,D$11,Base!$S:$S,"&lt;7",Base!$N:$N,"&lt;="&amp;$B53) - COUNTIFS(Base!$B:$B,D$11,Base!$S:$S,"&lt;7",Base!$K:$K,"&lt;="&amp;$B53,Base!$O:$O,"Finalizado"))/(COUNTIFS(Base!$B:$B,D$11,Base!$S:$S,"&lt;&gt;",Base!$N:$N,"&lt;="&amp;$B53)+COUNTIFS(Base!$B:$B,D$11,Base!$S:$S,"&lt;7",Base!$K:$K,"&lt;="&amp;$B53,Base!$O:$O,"Finalizado"))</f>
        <v>0.5</v>
      </c>
      <c r="AA53" s="133">
        <f>(COUNTIFS(Base!$B:$B,E$11,Base!$S:$S,"&gt;8",Base!$N:$N,"&lt;="&amp;$B53) - COUNTIFS(Base!$B:$B,E$11,Base!$S:$S,"&lt;7",Base!$N:$N,"&lt;="&amp;$B53) - COUNTIFS(Base!$B:$B,E$11,Base!$S:$S,"&lt;7",Base!$K:$K,"&lt;="&amp;$B53,Base!$O:$O,"Finalizado"))/(COUNTIFS(Base!$B:$B,E$11,Base!$S:$S,"&lt;&gt;",Base!$N:$N,"&lt;="&amp;$B53)+COUNTIFS(Base!$B:$B,E$11,Base!$S:$S,"&lt;7",Base!$K:$K,"&lt;="&amp;$B53,Base!$O:$O,"Finalizado"))</f>
        <v>0.3333333333</v>
      </c>
      <c r="AB53" s="133">
        <f t="shared" si="12"/>
        <v>0.6666666667</v>
      </c>
      <c r="AD53" s="93">
        <f>(COUNTIFS(Base!$B:$B,F$11,Base!$S:$S,"&gt;8",Base!$N:$N,"&lt;="&amp;$B53)+(COUNTIFS(Base!$B:$B,F$11,Base!$AG:$AG,"&gt;8",Base!$K:$K,"&lt;="&amp;$B53)))</f>
        <v>2</v>
      </c>
      <c r="AE53" s="93">
        <f>(COUNTIFS(Base!$B:$B,F$11,Base!$S:$S,"&lt;&gt;",Base!$N:$N,"&lt;="&amp;$B53)+(COUNTIFS(Base!$B:$B,F$11,Base!$AG:$AG,"&lt;&gt;",Base!$K:$K,"&lt;="&amp;$B53)+COUNTIFS(Base!$B:$B,F$11,Base!$S:$S,"&lt;7",Base!$K:$K,"&lt;="&amp;$B53,Base!$O:$O,"Finalizado")))</f>
        <v>3</v>
      </c>
      <c r="AF53" s="93">
        <f>COUNTIFS(Base!$B:$B,F$11,Base!$S:$S,"&lt;7",Base!$N:$N,"&lt;="&amp;$B53) +COUNTIFS(Base!$B:$B,F$11,Base!$AG:$AG,"&lt;7",Base!$K:$K,"&lt;="&amp;$B53) + COUNTIFS(Base!$B:$B,F$11,Base!$S:$S,"&lt;7",Base!$K:$K,"&lt;="&amp;$B53,Base!$O:$O,"Finalizado")</f>
        <v>0</v>
      </c>
    </row>
    <row r="54">
      <c r="B54" s="151">
        <f t="shared" si="13"/>
        <v>45309</v>
      </c>
      <c r="C54" s="93">
        <f>COUNTIFS(Base!$B:$B,C$11,Base!$M:$M,"&lt;"&amp;$B54,Base!$N:$N,"&gt;="&amp;$B54,Base!$O:$O,"&lt;&gt;Finalizado",Base!$O:$O,"&lt;&gt;Congelado",Base!$O:$O,"&lt;&gt;Concluindo pendências") + COUNTIFS(Base!$B:$B,C$11,Base!$M:$M,"&lt;"&amp;$B54,Base!$N:$N,"",Base!$O:$O,"&lt;&gt;Finalizado",Base!$O:$O,"&lt;&gt;Congelado",Base!$O:$O,"&lt;&gt;Concluindo pendências")</f>
        <v>1</v>
      </c>
      <c r="D54" s="93">
        <f>COUNTIFS(Base!$B:$B,D$11,Base!$M:$M,"&lt;"&amp;$B54,Base!$N:$N,"&gt;="&amp;$B54,Base!$O:$O,"&lt;&gt;Finalizado",Base!$O:$O,"&lt;&gt;Congelado",Base!$O:$O,"&lt;&gt;Concluindo pendências") + COUNTIFS(Base!$B:$B,D$11,Base!$M:$M,"&lt;"&amp;$B54,Base!$N:$N,"",Base!$O:$O,"&lt;&gt;Finalizado",Base!$O:$O,"&lt;&gt;Congelado",Base!$O:$O,"&lt;&gt;Concluindo pendências")</f>
        <v>3</v>
      </c>
      <c r="E54" s="93">
        <f>COUNTIFS(Base!$B:$B,E$11,Base!$M:$M,"&lt;"&amp;$B54,Base!$N:$N,"&gt;="&amp;$B54,Base!$O:$O,"&lt;&gt;Finalizado",Base!$O:$O,"&lt;&gt;Congelado",Base!$O:$O,"&lt;&gt;Concluindo pendências") + COUNTIFS(Base!$B:$B,E$11,Base!$M:$M,"&lt;"&amp;$B54,Base!$N:$N,"",Base!$O:$O,"&lt;&gt;Finalizado",Base!$O:$O,"&lt;&gt;Congelado",Base!$O:$O,"&lt;&gt;Concluindo pendências")</f>
        <v>5</v>
      </c>
      <c r="F54" s="93">
        <f>COUNTIFS(Base!$B:$B,F$11,Base!$M:$M,"&lt;"&amp;$B54,Base!$N:$N,"&gt;="&amp;$B54,Base!$O:$O,"&lt;&gt;Finalizado",Base!$O:$O,"&lt;&gt;Congelado",Base!$O:$O,"&lt;&gt;Concluindo pendências") + COUNTIFS(Base!$B:$B,F$11,Base!$M:$M,"&lt;"&amp;$B54,Base!$N:$N,"",Base!$O:$O,"&lt;&gt;Finalizado",Base!$O:$O,"&lt;&gt;Congelado",Base!$O:$O,"&lt;&gt;Concluindo pendências")</f>
        <v>3</v>
      </c>
      <c r="H54" s="93">
        <f>COUNTIFS(Base!$B:$B,C$11,Base!$K:$K,"&lt;"&amp;$B54,Base!$N:$N,"&gt;="&amp;$B54,Base!$O:$O,"&lt;&gt;Finalizado",Base!$O:$O,"&lt;&gt;Congelado") + COUNTIFS(Base!$B:$B,C$11,Base!$K:$K,"&lt;"&amp;$B54,Base!$N:$N,"",Base!$O:$O,"&lt;&gt;Finalizado",Base!$O:$O,"&lt;&gt;Congelado")</f>
        <v>11</v>
      </c>
      <c r="I54" s="93">
        <f>COUNTIFS(Base!$B:$B,D$11,Base!$K:$K,"&lt;"&amp;$B54,Base!$N:$N,"&gt;="&amp;$B54,Base!$O:$O,"&lt;&gt;Finalizado",Base!$O:$O,"&lt;&gt;Congelado") + COUNTIFS(Base!$B:$B,D$11,Base!$K:$K,"&lt;"&amp;$B54,Base!$N:$N,"",Base!$O:$O,"&lt;&gt;Finalizado",Base!$O:$O,"&lt;&gt;Congelado")</f>
        <v>27</v>
      </c>
      <c r="J54" s="93">
        <f>COUNTIFS(Base!$B:$B,E$11,Base!$K:$K,"&lt;"&amp;$B54,Base!$N:$N,"&gt;="&amp;$B54,Base!$O:$O,"&lt;&gt;Finalizado",Base!$O:$O,"&lt;&gt;Congelado") + COUNTIFS(Base!$B:$B,E$11,Base!$K:$K,"&lt;"&amp;$B54,Base!$N:$N,"",Base!$O:$O,"&lt;&gt;Finalizado",Base!$O:$O,"&lt;&gt;Congelado")</f>
        <v>19</v>
      </c>
      <c r="K54" s="93">
        <f>COUNTIFS(Base!$B:$B,F$11,Base!$K:$K,"&lt;"&amp;$B54,Base!$N:$N,"&gt;="&amp;$B54,Base!$O:$O,"&lt;&gt;Finalizado",Base!$O:$O,"&lt;&gt;Congelado") + COUNTIFS(Base!$B:$B,F$11,Base!$K:$K,"&lt;"&amp;$B54,Base!$N:$N,"",Base!$O:$O,"&lt;&gt;Finalizado",Base!$O:$O,"&lt;&gt;Congelado")</f>
        <v>11</v>
      </c>
      <c r="M54" s="133">
        <f t="shared" ref="M54:P54" si="44">C54/H54</f>
        <v>0.09090909091</v>
      </c>
      <c r="N54" s="133">
        <f t="shared" si="44"/>
        <v>0.1111111111</v>
      </c>
      <c r="O54" s="133">
        <f t="shared" si="44"/>
        <v>0.2631578947</v>
      </c>
      <c r="P54" s="133">
        <f t="shared" si="44"/>
        <v>0.2727272727</v>
      </c>
      <c r="Q54" s="133">
        <f t="shared" si="9"/>
        <v>0.1764705882</v>
      </c>
      <c r="S54" s="93">
        <f t="shared" ref="S54:V54" si="45">S53+C54</f>
        <v>18</v>
      </c>
      <c r="T54" s="93">
        <f t="shared" si="45"/>
        <v>49</v>
      </c>
      <c r="U54" s="93">
        <f t="shared" si="45"/>
        <v>51</v>
      </c>
      <c r="V54" s="93">
        <f t="shared" si="45"/>
        <v>54</v>
      </c>
      <c r="W54" s="93">
        <f t="shared" si="11"/>
        <v>172</v>
      </c>
      <c r="Y54" s="133">
        <f>(COUNTIFS(Base!$B:$B,C$11,Base!$S:$S,"&gt;8",Base!$N:$N,"&lt;="&amp;$B54) - COUNTIFS(Base!$B:$B,C$11,Base!$S:$S,"&lt;7",Base!$N:$N,"&lt;="&amp;$B54) - COUNTIFS(Base!$B:$B,C$11,Base!$S:$S,"&lt;7",Base!$K:$K,"&lt;="&amp;$B54,Base!$O:$O,"Finalizado"))/(COUNTIFS(Base!$B:$B,C$11,Base!$S:$S,"&lt;&gt;",Base!$N:$N,"&lt;="&amp;$B54)+COUNTIFS(Base!$B:$B,C$11,Base!$S:$S,"&lt;7",Base!$K:$K,"&lt;="&amp;$B54,Base!$O:$O,"Finalizado"))</f>
        <v>-1</v>
      </c>
      <c r="Z54" s="133">
        <f>(COUNTIFS(Base!$B:$B,D$11,Base!$S:$S,"&gt;8",Base!$N:$N,"&lt;="&amp;$B54) - COUNTIFS(Base!$B:$B,D$11,Base!$S:$S,"&lt;7",Base!$N:$N,"&lt;="&amp;$B54) - COUNTIFS(Base!$B:$B,D$11,Base!$S:$S,"&lt;7",Base!$K:$K,"&lt;="&amp;$B54,Base!$O:$O,"Finalizado"))/(COUNTIFS(Base!$B:$B,D$11,Base!$S:$S,"&lt;&gt;",Base!$N:$N,"&lt;="&amp;$B54)+COUNTIFS(Base!$B:$B,D$11,Base!$S:$S,"&lt;7",Base!$K:$K,"&lt;="&amp;$B54,Base!$O:$O,"Finalizado"))</f>
        <v>0.5</v>
      </c>
      <c r="AA54" s="133">
        <f>(COUNTIFS(Base!$B:$B,E$11,Base!$S:$S,"&gt;8",Base!$N:$N,"&lt;="&amp;$B54) - COUNTIFS(Base!$B:$B,E$11,Base!$S:$S,"&lt;7",Base!$N:$N,"&lt;="&amp;$B54) - COUNTIFS(Base!$B:$B,E$11,Base!$S:$S,"&lt;7",Base!$K:$K,"&lt;="&amp;$B54,Base!$O:$O,"Finalizado"))/(COUNTIFS(Base!$B:$B,E$11,Base!$S:$S,"&lt;&gt;",Base!$N:$N,"&lt;="&amp;$B54)+COUNTIFS(Base!$B:$B,E$11,Base!$S:$S,"&lt;7",Base!$K:$K,"&lt;="&amp;$B54,Base!$O:$O,"Finalizado"))</f>
        <v>0.3333333333</v>
      </c>
      <c r="AB54" s="133">
        <f t="shared" si="12"/>
        <v>0.6666666667</v>
      </c>
      <c r="AD54" s="93">
        <f>(COUNTIFS(Base!$B:$B,F$11,Base!$S:$S,"&gt;8",Base!$N:$N,"&lt;="&amp;$B54)+(COUNTIFS(Base!$B:$B,F$11,Base!$AG:$AG,"&gt;8",Base!$K:$K,"&lt;="&amp;$B54)))</f>
        <v>2</v>
      </c>
      <c r="AE54" s="93">
        <f>(COUNTIFS(Base!$B:$B,F$11,Base!$S:$S,"&lt;&gt;",Base!$N:$N,"&lt;="&amp;$B54)+(COUNTIFS(Base!$B:$B,F$11,Base!$AG:$AG,"&lt;&gt;",Base!$K:$K,"&lt;="&amp;$B54)+COUNTIFS(Base!$B:$B,F$11,Base!$S:$S,"&lt;7",Base!$K:$K,"&lt;="&amp;$B54,Base!$O:$O,"Finalizado")))</f>
        <v>3</v>
      </c>
      <c r="AF54" s="93">
        <f>COUNTIFS(Base!$B:$B,F$11,Base!$S:$S,"&lt;7",Base!$N:$N,"&lt;="&amp;$B54) +COUNTIFS(Base!$B:$B,F$11,Base!$AG:$AG,"&lt;7",Base!$K:$K,"&lt;="&amp;$B54) + COUNTIFS(Base!$B:$B,F$11,Base!$S:$S,"&lt;7",Base!$K:$K,"&lt;="&amp;$B54,Base!$O:$O,"Finalizado")</f>
        <v>0</v>
      </c>
    </row>
    <row r="55">
      <c r="B55" s="151">
        <f t="shared" si="13"/>
        <v>45310</v>
      </c>
      <c r="C55" s="93">
        <f>COUNTIFS(Base!$B:$B,C$11,Base!$M:$M,"&lt;"&amp;$B55,Base!$N:$N,"&gt;="&amp;$B55,Base!$O:$O,"&lt;&gt;Finalizado",Base!$O:$O,"&lt;&gt;Congelado",Base!$O:$O,"&lt;&gt;Concluindo pendências") + COUNTIFS(Base!$B:$B,C$11,Base!$M:$M,"&lt;"&amp;$B55,Base!$N:$N,"",Base!$O:$O,"&lt;&gt;Finalizado",Base!$O:$O,"&lt;&gt;Congelado",Base!$O:$O,"&lt;&gt;Concluindo pendências")</f>
        <v>1</v>
      </c>
      <c r="D55" s="93">
        <f>COUNTIFS(Base!$B:$B,D$11,Base!$M:$M,"&lt;"&amp;$B55,Base!$N:$N,"&gt;="&amp;$B55,Base!$O:$O,"&lt;&gt;Finalizado",Base!$O:$O,"&lt;&gt;Congelado",Base!$O:$O,"&lt;&gt;Concluindo pendências") + COUNTIFS(Base!$B:$B,D$11,Base!$M:$M,"&lt;"&amp;$B55,Base!$N:$N,"",Base!$O:$O,"&lt;&gt;Finalizado",Base!$O:$O,"&lt;&gt;Congelado",Base!$O:$O,"&lt;&gt;Concluindo pendências")</f>
        <v>3</v>
      </c>
      <c r="E55" s="93">
        <f>COUNTIFS(Base!$B:$B,E$11,Base!$M:$M,"&lt;"&amp;$B55,Base!$N:$N,"&gt;="&amp;$B55,Base!$O:$O,"&lt;&gt;Finalizado",Base!$O:$O,"&lt;&gt;Congelado",Base!$O:$O,"&lt;&gt;Concluindo pendências") + COUNTIFS(Base!$B:$B,E$11,Base!$M:$M,"&lt;"&amp;$B55,Base!$N:$N,"",Base!$O:$O,"&lt;&gt;Finalizado",Base!$O:$O,"&lt;&gt;Congelado",Base!$O:$O,"&lt;&gt;Concluindo pendências")</f>
        <v>5</v>
      </c>
      <c r="F55" s="93">
        <f>COUNTIFS(Base!$B:$B,F$11,Base!$M:$M,"&lt;"&amp;$B55,Base!$N:$N,"&gt;="&amp;$B55,Base!$O:$O,"&lt;&gt;Finalizado",Base!$O:$O,"&lt;&gt;Congelado",Base!$O:$O,"&lt;&gt;Concluindo pendências") + COUNTIFS(Base!$B:$B,F$11,Base!$M:$M,"&lt;"&amp;$B55,Base!$N:$N,"",Base!$O:$O,"&lt;&gt;Finalizado",Base!$O:$O,"&lt;&gt;Congelado",Base!$O:$O,"&lt;&gt;Concluindo pendências")</f>
        <v>3</v>
      </c>
      <c r="H55" s="93">
        <f>COUNTIFS(Base!$B:$B,C$11,Base!$K:$K,"&lt;"&amp;$B55,Base!$N:$N,"&gt;="&amp;$B55,Base!$O:$O,"&lt;&gt;Finalizado",Base!$O:$O,"&lt;&gt;Congelado") + COUNTIFS(Base!$B:$B,C$11,Base!$K:$K,"&lt;"&amp;$B55,Base!$N:$N,"",Base!$O:$O,"&lt;&gt;Finalizado",Base!$O:$O,"&lt;&gt;Congelado")</f>
        <v>11</v>
      </c>
      <c r="I55" s="93">
        <f>COUNTIFS(Base!$B:$B,D$11,Base!$K:$K,"&lt;"&amp;$B55,Base!$N:$N,"&gt;="&amp;$B55,Base!$O:$O,"&lt;&gt;Finalizado",Base!$O:$O,"&lt;&gt;Congelado") + COUNTIFS(Base!$B:$B,D$11,Base!$K:$K,"&lt;"&amp;$B55,Base!$N:$N,"",Base!$O:$O,"&lt;&gt;Finalizado",Base!$O:$O,"&lt;&gt;Congelado")</f>
        <v>28</v>
      </c>
      <c r="J55" s="93">
        <f>COUNTIFS(Base!$B:$B,E$11,Base!$K:$K,"&lt;"&amp;$B55,Base!$N:$N,"&gt;="&amp;$B55,Base!$O:$O,"&lt;&gt;Finalizado",Base!$O:$O,"&lt;&gt;Congelado") + COUNTIFS(Base!$B:$B,E$11,Base!$K:$K,"&lt;"&amp;$B55,Base!$N:$N,"",Base!$O:$O,"&lt;&gt;Finalizado",Base!$O:$O,"&lt;&gt;Congelado")</f>
        <v>19</v>
      </c>
      <c r="K55" s="93">
        <f>COUNTIFS(Base!$B:$B,F$11,Base!$K:$K,"&lt;"&amp;$B55,Base!$N:$N,"&gt;="&amp;$B55,Base!$O:$O,"&lt;&gt;Finalizado",Base!$O:$O,"&lt;&gt;Congelado") + COUNTIFS(Base!$B:$B,F$11,Base!$K:$K,"&lt;"&amp;$B55,Base!$N:$N,"",Base!$O:$O,"&lt;&gt;Finalizado",Base!$O:$O,"&lt;&gt;Congelado")</f>
        <v>12</v>
      </c>
      <c r="M55" s="133">
        <f t="shared" ref="M55:P55" si="46">C55/H55</f>
        <v>0.09090909091</v>
      </c>
      <c r="N55" s="133">
        <f t="shared" si="46"/>
        <v>0.1071428571</v>
      </c>
      <c r="O55" s="133">
        <f t="shared" si="46"/>
        <v>0.2631578947</v>
      </c>
      <c r="P55" s="133">
        <f t="shared" si="46"/>
        <v>0.25</v>
      </c>
      <c r="Q55" s="133">
        <f t="shared" si="9"/>
        <v>0.1714285714</v>
      </c>
      <c r="S55" s="93">
        <f t="shared" ref="S55:V55" si="47">S54+C55</f>
        <v>19</v>
      </c>
      <c r="T55" s="93">
        <f t="shared" si="47"/>
        <v>52</v>
      </c>
      <c r="U55" s="93">
        <f t="shared" si="47"/>
        <v>56</v>
      </c>
      <c r="V55" s="93">
        <f t="shared" si="47"/>
        <v>57</v>
      </c>
      <c r="W55" s="93">
        <f t="shared" si="11"/>
        <v>184</v>
      </c>
      <c r="Y55" s="133">
        <f>(COUNTIFS(Base!$B:$B,C$11,Base!$S:$S,"&gt;8",Base!$N:$N,"&lt;="&amp;$B55) - COUNTIFS(Base!$B:$B,C$11,Base!$S:$S,"&lt;7",Base!$N:$N,"&lt;="&amp;$B55) - COUNTIFS(Base!$B:$B,C$11,Base!$S:$S,"&lt;7",Base!$K:$K,"&lt;="&amp;$B55,Base!$O:$O,"Finalizado"))/(COUNTIFS(Base!$B:$B,C$11,Base!$S:$S,"&lt;&gt;",Base!$N:$N,"&lt;="&amp;$B55)+COUNTIFS(Base!$B:$B,C$11,Base!$S:$S,"&lt;7",Base!$K:$K,"&lt;="&amp;$B55,Base!$O:$O,"Finalizado"))</f>
        <v>-1</v>
      </c>
      <c r="Z55" s="133">
        <f>(COUNTIFS(Base!$B:$B,D$11,Base!$S:$S,"&gt;8",Base!$N:$N,"&lt;="&amp;$B55) - COUNTIFS(Base!$B:$B,D$11,Base!$S:$S,"&lt;7",Base!$N:$N,"&lt;="&amp;$B55) - COUNTIFS(Base!$B:$B,D$11,Base!$S:$S,"&lt;7",Base!$K:$K,"&lt;="&amp;$B55,Base!$O:$O,"Finalizado"))/(COUNTIFS(Base!$B:$B,D$11,Base!$S:$S,"&lt;&gt;",Base!$N:$N,"&lt;="&amp;$B55)+COUNTIFS(Base!$B:$B,D$11,Base!$S:$S,"&lt;7",Base!$K:$K,"&lt;="&amp;$B55,Base!$O:$O,"Finalizado"))</f>
        <v>0.5</v>
      </c>
      <c r="AA55" s="133">
        <f>(COUNTIFS(Base!$B:$B,E$11,Base!$S:$S,"&gt;8",Base!$N:$N,"&lt;="&amp;$B55) - COUNTIFS(Base!$B:$B,E$11,Base!$S:$S,"&lt;7",Base!$N:$N,"&lt;="&amp;$B55) - COUNTIFS(Base!$B:$B,E$11,Base!$S:$S,"&lt;7",Base!$K:$K,"&lt;="&amp;$B55,Base!$O:$O,"Finalizado"))/(COUNTIFS(Base!$B:$B,E$11,Base!$S:$S,"&lt;&gt;",Base!$N:$N,"&lt;="&amp;$B55)+COUNTIFS(Base!$B:$B,E$11,Base!$S:$S,"&lt;7",Base!$K:$K,"&lt;="&amp;$B55,Base!$O:$O,"Finalizado"))</f>
        <v>0.3333333333</v>
      </c>
      <c r="AB55" s="133">
        <f t="shared" si="12"/>
        <v>0.6666666667</v>
      </c>
      <c r="AD55" s="93">
        <f>(COUNTIFS(Base!$B:$B,F$11,Base!$S:$S,"&gt;8",Base!$N:$N,"&lt;="&amp;$B55)+(COUNTIFS(Base!$B:$B,F$11,Base!$AG:$AG,"&gt;8",Base!$K:$K,"&lt;="&amp;$B55)))</f>
        <v>2</v>
      </c>
      <c r="AE55" s="93">
        <f>(COUNTIFS(Base!$B:$B,F$11,Base!$S:$S,"&lt;&gt;",Base!$N:$N,"&lt;="&amp;$B55)+(COUNTIFS(Base!$B:$B,F$11,Base!$AG:$AG,"&lt;&gt;",Base!$K:$K,"&lt;="&amp;$B55)+COUNTIFS(Base!$B:$B,F$11,Base!$S:$S,"&lt;7",Base!$K:$K,"&lt;="&amp;$B55,Base!$O:$O,"Finalizado")))</f>
        <v>3</v>
      </c>
      <c r="AF55" s="93">
        <f>COUNTIFS(Base!$B:$B,F$11,Base!$S:$S,"&lt;7",Base!$N:$N,"&lt;="&amp;$B55) +COUNTIFS(Base!$B:$B,F$11,Base!$AG:$AG,"&lt;7",Base!$K:$K,"&lt;="&amp;$B55) + COUNTIFS(Base!$B:$B,F$11,Base!$S:$S,"&lt;7",Base!$K:$K,"&lt;="&amp;$B55,Base!$O:$O,"Finalizado")</f>
        <v>0</v>
      </c>
    </row>
    <row r="56">
      <c r="B56" s="151">
        <f t="shared" si="13"/>
        <v>45311</v>
      </c>
      <c r="C56" s="93">
        <f>COUNTIFS(Base!$B:$B,C$11,Base!$M:$M,"&lt;"&amp;$B56,Base!$N:$N,"&gt;="&amp;$B56,Base!$O:$O,"&lt;&gt;Finalizado",Base!$O:$O,"&lt;&gt;Congelado",Base!$O:$O,"&lt;&gt;Concluindo pendências") + COUNTIFS(Base!$B:$B,C$11,Base!$M:$M,"&lt;"&amp;$B56,Base!$N:$N,"",Base!$O:$O,"&lt;&gt;Finalizado",Base!$O:$O,"&lt;&gt;Congelado",Base!$O:$O,"&lt;&gt;Concluindo pendências")</f>
        <v>1</v>
      </c>
      <c r="D56" s="93">
        <f>COUNTIFS(Base!$B:$B,D$11,Base!$M:$M,"&lt;"&amp;$B56,Base!$N:$N,"&gt;="&amp;$B56,Base!$O:$O,"&lt;&gt;Finalizado",Base!$O:$O,"&lt;&gt;Congelado",Base!$O:$O,"&lt;&gt;Concluindo pendências") + COUNTIFS(Base!$B:$B,D$11,Base!$M:$M,"&lt;"&amp;$B56,Base!$N:$N,"",Base!$O:$O,"&lt;&gt;Finalizado",Base!$O:$O,"&lt;&gt;Congelado",Base!$O:$O,"&lt;&gt;Concluindo pendências")</f>
        <v>4</v>
      </c>
      <c r="E56" s="93">
        <f>COUNTIFS(Base!$B:$B,E$11,Base!$M:$M,"&lt;"&amp;$B56,Base!$N:$N,"&gt;="&amp;$B56,Base!$O:$O,"&lt;&gt;Finalizado",Base!$O:$O,"&lt;&gt;Congelado",Base!$O:$O,"&lt;&gt;Concluindo pendências") + COUNTIFS(Base!$B:$B,E$11,Base!$M:$M,"&lt;"&amp;$B56,Base!$N:$N,"",Base!$O:$O,"&lt;&gt;Finalizado",Base!$O:$O,"&lt;&gt;Congelado",Base!$O:$O,"&lt;&gt;Concluindo pendências")</f>
        <v>6</v>
      </c>
      <c r="F56" s="93">
        <f>COUNTIFS(Base!$B:$B,F$11,Base!$M:$M,"&lt;"&amp;$B56,Base!$N:$N,"&gt;="&amp;$B56,Base!$O:$O,"&lt;&gt;Finalizado",Base!$O:$O,"&lt;&gt;Congelado",Base!$O:$O,"&lt;&gt;Concluindo pendências") + COUNTIFS(Base!$B:$B,F$11,Base!$M:$M,"&lt;"&amp;$B56,Base!$N:$N,"",Base!$O:$O,"&lt;&gt;Finalizado",Base!$O:$O,"&lt;&gt;Congelado",Base!$O:$O,"&lt;&gt;Concluindo pendências")</f>
        <v>3</v>
      </c>
      <c r="H56" s="93">
        <f>COUNTIFS(Base!$B:$B,C$11,Base!$K:$K,"&lt;"&amp;$B56,Base!$N:$N,"&gt;="&amp;$B56,Base!$O:$O,"&lt;&gt;Finalizado",Base!$O:$O,"&lt;&gt;Congelado") + COUNTIFS(Base!$B:$B,C$11,Base!$K:$K,"&lt;"&amp;$B56,Base!$N:$N,"",Base!$O:$O,"&lt;&gt;Finalizado",Base!$O:$O,"&lt;&gt;Congelado")</f>
        <v>11</v>
      </c>
      <c r="I56" s="93">
        <f>COUNTIFS(Base!$B:$B,D$11,Base!$K:$K,"&lt;"&amp;$B56,Base!$N:$N,"&gt;="&amp;$B56,Base!$O:$O,"&lt;&gt;Finalizado",Base!$O:$O,"&lt;&gt;Congelado") + COUNTIFS(Base!$B:$B,D$11,Base!$K:$K,"&lt;"&amp;$B56,Base!$N:$N,"",Base!$O:$O,"&lt;&gt;Finalizado",Base!$O:$O,"&lt;&gt;Congelado")</f>
        <v>28</v>
      </c>
      <c r="J56" s="93">
        <f>COUNTIFS(Base!$B:$B,E$11,Base!$K:$K,"&lt;"&amp;$B56,Base!$N:$N,"&gt;="&amp;$B56,Base!$O:$O,"&lt;&gt;Finalizado",Base!$O:$O,"&lt;&gt;Congelado") + COUNTIFS(Base!$B:$B,E$11,Base!$K:$K,"&lt;"&amp;$B56,Base!$N:$N,"",Base!$O:$O,"&lt;&gt;Finalizado",Base!$O:$O,"&lt;&gt;Congelado")</f>
        <v>19</v>
      </c>
      <c r="K56" s="93">
        <f>COUNTIFS(Base!$B:$B,F$11,Base!$K:$K,"&lt;"&amp;$B56,Base!$N:$N,"&gt;="&amp;$B56,Base!$O:$O,"&lt;&gt;Finalizado",Base!$O:$O,"&lt;&gt;Congelado") + COUNTIFS(Base!$B:$B,F$11,Base!$K:$K,"&lt;"&amp;$B56,Base!$N:$N,"",Base!$O:$O,"&lt;&gt;Finalizado",Base!$O:$O,"&lt;&gt;Congelado")</f>
        <v>12</v>
      </c>
      <c r="M56" s="133">
        <f t="shared" ref="M56:P56" si="48">C56/H56</f>
        <v>0.09090909091</v>
      </c>
      <c r="N56" s="133">
        <f t="shared" si="48"/>
        <v>0.1428571429</v>
      </c>
      <c r="O56" s="133">
        <f t="shared" si="48"/>
        <v>0.3157894737</v>
      </c>
      <c r="P56" s="133">
        <f t="shared" si="48"/>
        <v>0.25</v>
      </c>
      <c r="Q56" s="133">
        <f t="shared" si="9"/>
        <v>0.2</v>
      </c>
      <c r="S56" s="93">
        <f t="shared" ref="S56:V56" si="49">S55+C56</f>
        <v>20</v>
      </c>
      <c r="T56" s="93">
        <f t="shared" si="49"/>
        <v>56</v>
      </c>
      <c r="U56" s="93">
        <f t="shared" si="49"/>
        <v>62</v>
      </c>
      <c r="V56" s="93">
        <f t="shared" si="49"/>
        <v>60</v>
      </c>
      <c r="W56" s="93">
        <f t="shared" si="11"/>
        <v>198</v>
      </c>
      <c r="Y56" s="133">
        <f>(COUNTIFS(Base!$B:$B,C$11,Base!$S:$S,"&gt;8",Base!$N:$N,"&lt;="&amp;$B56) - COUNTIFS(Base!$B:$B,C$11,Base!$S:$S,"&lt;7",Base!$N:$N,"&lt;="&amp;$B56) - COUNTIFS(Base!$B:$B,C$11,Base!$S:$S,"&lt;7",Base!$K:$K,"&lt;="&amp;$B56,Base!$O:$O,"Finalizado"))/(COUNTIFS(Base!$B:$B,C$11,Base!$S:$S,"&lt;&gt;",Base!$N:$N,"&lt;="&amp;$B56)+COUNTIFS(Base!$B:$B,C$11,Base!$S:$S,"&lt;7",Base!$K:$K,"&lt;="&amp;$B56,Base!$O:$O,"Finalizado"))</f>
        <v>-1</v>
      </c>
      <c r="Z56" s="133">
        <f>(COUNTIFS(Base!$B:$B,D$11,Base!$S:$S,"&gt;8",Base!$N:$N,"&lt;="&amp;$B56) - COUNTIFS(Base!$B:$B,D$11,Base!$S:$S,"&lt;7",Base!$N:$N,"&lt;="&amp;$B56) - COUNTIFS(Base!$B:$B,D$11,Base!$S:$S,"&lt;7",Base!$K:$K,"&lt;="&amp;$B56,Base!$O:$O,"Finalizado"))/(COUNTIFS(Base!$B:$B,D$11,Base!$S:$S,"&lt;&gt;",Base!$N:$N,"&lt;="&amp;$B56)+COUNTIFS(Base!$B:$B,D$11,Base!$S:$S,"&lt;7",Base!$K:$K,"&lt;="&amp;$B56,Base!$O:$O,"Finalizado"))</f>
        <v>0.5</v>
      </c>
      <c r="AA56" s="133">
        <f>(COUNTIFS(Base!$B:$B,E$11,Base!$S:$S,"&gt;8",Base!$N:$N,"&lt;="&amp;$B56) - COUNTIFS(Base!$B:$B,E$11,Base!$S:$S,"&lt;7",Base!$N:$N,"&lt;="&amp;$B56) - COUNTIFS(Base!$B:$B,E$11,Base!$S:$S,"&lt;7",Base!$K:$K,"&lt;="&amp;$B56,Base!$O:$O,"Finalizado"))/(COUNTIFS(Base!$B:$B,E$11,Base!$S:$S,"&lt;&gt;",Base!$N:$N,"&lt;="&amp;$B56)+COUNTIFS(Base!$B:$B,E$11,Base!$S:$S,"&lt;7",Base!$K:$K,"&lt;="&amp;$B56,Base!$O:$O,"Finalizado"))</f>
        <v>0.3333333333</v>
      </c>
      <c r="AB56" s="133">
        <f t="shared" si="12"/>
        <v>0.6666666667</v>
      </c>
      <c r="AD56" s="93">
        <f>(COUNTIFS(Base!$B:$B,F$11,Base!$S:$S,"&gt;8",Base!$N:$N,"&lt;="&amp;$B56)+(COUNTIFS(Base!$B:$B,F$11,Base!$AG:$AG,"&gt;8",Base!$K:$K,"&lt;="&amp;$B56)))</f>
        <v>2</v>
      </c>
      <c r="AE56" s="93">
        <f>(COUNTIFS(Base!$B:$B,F$11,Base!$S:$S,"&lt;&gt;",Base!$N:$N,"&lt;="&amp;$B56)+(COUNTIFS(Base!$B:$B,F$11,Base!$AG:$AG,"&lt;&gt;",Base!$K:$K,"&lt;="&amp;$B56)+COUNTIFS(Base!$B:$B,F$11,Base!$S:$S,"&lt;7",Base!$K:$K,"&lt;="&amp;$B56,Base!$O:$O,"Finalizado")))</f>
        <v>3</v>
      </c>
      <c r="AF56" s="93">
        <f>COUNTIFS(Base!$B:$B,F$11,Base!$S:$S,"&lt;7",Base!$N:$N,"&lt;="&amp;$B56) +COUNTIFS(Base!$B:$B,F$11,Base!$AG:$AG,"&lt;7",Base!$K:$K,"&lt;="&amp;$B56) + COUNTIFS(Base!$B:$B,F$11,Base!$S:$S,"&lt;7",Base!$K:$K,"&lt;="&amp;$B56,Base!$O:$O,"Finalizado")</f>
        <v>0</v>
      </c>
    </row>
    <row r="57">
      <c r="B57" s="151">
        <f t="shared" si="13"/>
        <v>45312</v>
      </c>
      <c r="C57" s="93">
        <f>COUNTIFS(Base!$B:$B,C$11,Base!$M:$M,"&lt;"&amp;$B57,Base!$N:$N,"&gt;="&amp;$B57,Base!$O:$O,"&lt;&gt;Finalizado",Base!$O:$O,"&lt;&gt;Congelado",Base!$O:$O,"&lt;&gt;Concluindo pendências") + COUNTIFS(Base!$B:$B,C$11,Base!$M:$M,"&lt;"&amp;$B57,Base!$N:$N,"",Base!$O:$O,"&lt;&gt;Finalizado",Base!$O:$O,"&lt;&gt;Congelado",Base!$O:$O,"&lt;&gt;Concluindo pendências")</f>
        <v>1</v>
      </c>
      <c r="D57" s="93">
        <f>COUNTIFS(Base!$B:$B,D$11,Base!$M:$M,"&lt;"&amp;$B57,Base!$N:$N,"&gt;="&amp;$B57,Base!$O:$O,"&lt;&gt;Finalizado",Base!$O:$O,"&lt;&gt;Congelado",Base!$O:$O,"&lt;&gt;Concluindo pendências") + COUNTIFS(Base!$B:$B,D$11,Base!$M:$M,"&lt;"&amp;$B57,Base!$N:$N,"",Base!$O:$O,"&lt;&gt;Finalizado",Base!$O:$O,"&lt;&gt;Congelado",Base!$O:$O,"&lt;&gt;Concluindo pendências")</f>
        <v>4</v>
      </c>
      <c r="E57" s="93">
        <f>COUNTIFS(Base!$B:$B,E$11,Base!$M:$M,"&lt;"&amp;$B57,Base!$N:$N,"&gt;="&amp;$B57,Base!$O:$O,"&lt;&gt;Finalizado",Base!$O:$O,"&lt;&gt;Congelado",Base!$O:$O,"&lt;&gt;Concluindo pendências") + COUNTIFS(Base!$B:$B,E$11,Base!$M:$M,"&lt;"&amp;$B57,Base!$N:$N,"",Base!$O:$O,"&lt;&gt;Finalizado",Base!$O:$O,"&lt;&gt;Congelado",Base!$O:$O,"&lt;&gt;Concluindo pendências")</f>
        <v>6</v>
      </c>
      <c r="F57" s="93">
        <f>COUNTIFS(Base!$B:$B,F$11,Base!$M:$M,"&lt;"&amp;$B57,Base!$N:$N,"&gt;="&amp;$B57,Base!$O:$O,"&lt;&gt;Finalizado",Base!$O:$O,"&lt;&gt;Congelado",Base!$O:$O,"&lt;&gt;Concluindo pendências") + COUNTIFS(Base!$B:$B,F$11,Base!$M:$M,"&lt;"&amp;$B57,Base!$N:$N,"",Base!$O:$O,"&lt;&gt;Finalizado",Base!$O:$O,"&lt;&gt;Congelado",Base!$O:$O,"&lt;&gt;Concluindo pendências")</f>
        <v>4</v>
      </c>
      <c r="H57" s="93">
        <f>COUNTIFS(Base!$B:$B,C$11,Base!$K:$K,"&lt;"&amp;$B57,Base!$N:$N,"&gt;="&amp;$B57,Base!$O:$O,"&lt;&gt;Finalizado",Base!$O:$O,"&lt;&gt;Congelado") + COUNTIFS(Base!$B:$B,C$11,Base!$K:$K,"&lt;"&amp;$B57,Base!$N:$N,"",Base!$O:$O,"&lt;&gt;Finalizado",Base!$O:$O,"&lt;&gt;Congelado")</f>
        <v>11</v>
      </c>
      <c r="I57" s="93">
        <f>COUNTIFS(Base!$B:$B,D$11,Base!$K:$K,"&lt;"&amp;$B57,Base!$N:$N,"&gt;="&amp;$B57,Base!$O:$O,"&lt;&gt;Finalizado",Base!$O:$O,"&lt;&gt;Congelado") + COUNTIFS(Base!$B:$B,D$11,Base!$K:$K,"&lt;"&amp;$B57,Base!$N:$N,"",Base!$O:$O,"&lt;&gt;Finalizado",Base!$O:$O,"&lt;&gt;Congelado")</f>
        <v>28</v>
      </c>
      <c r="J57" s="93">
        <f>COUNTIFS(Base!$B:$B,E$11,Base!$K:$K,"&lt;"&amp;$B57,Base!$N:$N,"&gt;="&amp;$B57,Base!$O:$O,"&lt;&gt;Finalizado",Base!$O:$O,"&lt;&gt;Congelado") + COUNTIFS(Base!$B:$B,E$11,Base!$K:$K,"&lt;"&amp;$B57,Base!$N:$N,"",Base!$O:$O,"&lt;&gt;Finalizado",Base!$O:$O,"&lt;&gt;Congelado")</f>
        <v>19</v>
      </c>
      <c r="K57" s="93">
        <f>COUNTIFS(Base!$B:$B,F$11,Base!$K:$K,"&lt;"&amp;$B57,Base!$N:$N,"&gt;="&amp;$B57,Base!$O:$O,"&lt;&gt;Finalizado",Base!$O:$O,"&lt;&gt;Congelado") + COUNTIFS(Base!$B:$B,F$11,Base!$K:$K,"&lt;"&amp;$B57,Base!$N:$N,"",Base!$O:$O,"&lt;&gt;Finalizado",Base!$O:$O,"&lt;&gt;Congelado")</f>
        <v>12</v>
      </c>
      <c r="M57" s="133">
        <f t="shared" ref="M57:P57" si="50">C57/H57</f>
        <v>0.09090909091</v>
      </c>
      <c r="N57" s="133">
        <f t="shared" si="50"/>
        <v>0.1428571429</v>
      </c>
      <c r="O57" s="133">
        <f t="shared" si="50"/>
        <v>0.3157894737</v>
      </c>
      <c r="P57" s="133">
        <f t="shared" si="50"/>
        <v>0.3333333333</v>
      </c>
      <c r="Q57" s="133">
        <f t="shared" si="9"/>
        <v>0.2142857143</v>
      </c>
      <c r="S57" s="93">
        <f t="shared" ref="S57:V57" si="51">S56+C57</f>
        <v>21</v>
      </c>
      <c r="T57" s="93">
        <f t="shared" si="51"/>
        <v>60</v>
      </c>
      <c r="U57" s="93">
        <f t="shared" si="51"/>
        <v>68</v>
      </c>
      <c r="V57" s="93">
        <f t="shared" si="51"/>
        <v>64</v>
      </c>
      <c r="W57" s="93">
        <f t="shared" si="11"/>
        <v>213</v>
      </c>
      <c r="Y57" s="133">
        <f>(COUNTIFS(Base!$B:$B,C$11,Base!$S:$S,"&gt;8",Base!$N:$N,"&lt;="&amp;$B57) - COUNTIFS(Base!$B:$B,C$11,Base!$S:$S,"&lt;7",Base!$N:$N,"&lt;="&amp;$B57) - COUNTIFS(Base!$B:$B,C$11,Base!$S:$S,"&lt;7",Base!$K:$K,"&lt;="&amp;$B57,Base!$O:$O,"Finalizado"))/(COUNTIFS(Base!$B:$B,C$11,Base!$S:$S,"&lt;&gt;",Base!$N:$N,"&lt;="&amp;$B57)+COUNTIFS(Base!$B:$B,C$11,Base!$S:$S,"&lt;7",Base!$K:$K,"&lt;="&amp;$B57,Base!$O:$O,"Finalizado"))</f>
        <v>-1</v>
      </c>
      <c r="Z57" s="133">
        <f>(COUNTIFS(Base!$B:$B,D$11,Base!$S:$S,"&gt;8",Base!$N:$N,"&lt;="&amp;$B57) - COUNTIFS(Base!$B:$B,D$11,Base!$S:$S,"&lt;7",Base!$N:$N,"&lt;="&amp;$B57) - COUNTIFS(Base!$B:$B,D$11,Base!$S:$S,"&lt;7",Base!$K:$K,"&lt;="&amp;$B57,Base!$O:$O,"Finalizado"))/(COUNTIFS(Base!$B:$B,D$11,Base!$S:$S,"&lt;&gt;",Base!$N:$N,"&lt;="&amp;$B57)+COUNTIFS(Base!$B:$B,D$11,Base!$S:$S,"&lt;7",Base!$K:$K,"&lt;="&amp;$B57,Base!$O:$O,"Finalizado"))</f>
        <v>0.5</v>
      </c>
      <c r="AA57" s="133">
        <f>(COUNTIFS(Base!$B:$B,E$11,Base!$S:$S,"&gt;8",Base!$N:$N,"&lt;="&amp;$B57) - COUNTIFS(Base!$B:$B,E$11,Base!$S:$S,"&lt;7",Base!$N:$N,"&lt;="&amp;$B57) - COUNTIFS(Base!$B:$B,E$11,Base!$S:$S,"&lt;7",Base!$K:$K,"&lt;="&amp;$B57,Base!$O:$O,"Finalizado"))/(COUNTIFS(Base!$B:$B,E$11,Base!$S:$S,"&lt;&gt;",Base!$N:$N,"&lt;="&amp;$B57)+COUNTIFS(Base!$B:$B,E$11,Base!$S:$S,"&lt;7",Base!$K:$K,"&lt;="&amp;$B57,Base!$O:$O,"Finalizado"))</f>
        <v>0.3333333333</v>
      </c>
      <c r="AB57" s="133">
        <f t="shared" si="12"/>
        <v>0.6666666667</v>
      </c>
      <c r="AD57" s="93">
        <f>(COUNTIFS(Base!$B:$B,F$11,Base!$S:$S,"&gt;8",Base!$N:$N,"&lt;="&amp;$B57)+(COUNTIFS(Base!$B:$B,F$11,Base!$AG:$AG,"&gt;8",Base!$K:$K,"&lt;="&amp;$B57)))</f>
        <v>2</v>
      </c>
      <c r="AE57" s="93">
        <f>(COUNTIFS(Base!$B:$B,F$11,Base!$S:$S,"&lt;&gt;",Base!$N:$N,"&lt;="&amp;$B57)+(COUNTIFS(Base!$B:$B,F$11,Base!$AG:$AG,"&lt;&gt;",Base!$K:$K,"&lt;="&amp;$B57)+COUNTIFS(Base!$B:$B,F$11,Base!$S:$S,"&lt;7",Base!$K:$K,"&lt;="&amp;$B57,Base!$O:$O,"Finalizado")))</f>
        <v>3</v>
      </c>
      <c r="AF57" s="93">
        <f>COUNTIFS(Base!$B:$B,F$11,Base!$S:$S,"&lt;7",Base!$N:$N,"&lt;="&amp;$B57) +COUNTIFS(Base!$B:$B,F$11,Base!$AG:$AG,"&lt;7",Base!$K:$K,"&lt;="&amp;$B57) + COUNTIFS(Base!$B:$B,F$11,Base!$S:$S,"&lt;7",Base!$K:$K,"&lt;="&amp;$B57,Base!$O:$O,"Finalizado")</f>
        <v>0</v>
      </c>
    </row>
    <row r="58">
      <c r="B58" s="151">
        <f t="shared" si="13"/>
        <v>45313</v>
      </c>
      <c r="C58" s="93">
        <f>COUNTIFS(Base!$B:$B,C$11,Base!$M:$M,"&lt;"&amp;$B58,Base!$N:$N,"&gt;="&amp;$B58,Base!$O:$O,"&lt;&gt;Finalizado",Base!$O:$O,"&lt;&gt;Congelado",Base!$O:$O,"&lt;&gt;Concluindo pendências") + COUNTIFS(Base!$B:$B,C$11,Base!$M:$M,"&lt;"&amp;$B58,Base!$N:$N,"",Base!$O:$O,"&lt;&gt;Finalizado",Base!$O:$O,"&lt;&gt;Congelado",Base!$O:$O,"&lt;&gt;Concluindo pendências")</f>
        <v>1</v>
      </c>
      <c r="D58" s="93">
        <f>COUNTIFS(Base!$B:$B,D$11,Base!$M:$M,"&lt;"&amp;$B58,Base!$N:$N,"&gt;="&amp;$B58,Base!$O:$O,"&lt;&gt;Finalizado",Base!$O:$O,"&lt;&gt;Congelado",Base!$O:$O,"&lt;&gt;Concluindo pendências") + COUNTIFS(Base!$B:$B,D$11,Base!$M:$M,"&lt;"&amp;$B58,Base!$N:$N,"",Base!$O:$O,"&lt;&gt;Finalizado",Base!$O:$O,"&lt;&gt;Congelado",Base!$O:$O,"&lt;&gt;Concluindo pendências")</f>
        <v>4</v>
      </c>
      <c r="E58" s="93">
        <f>COUNTIFS(Base!$B:$B,E$11,Base!$M:$M,"&lt;"&amp;$B58,Base!$N:$N,"&gt;="&amp;$B58,Base!$O:$O,"&lt;&gt;Finalizado",Base!$O:$O,"&lt;&gt;Congelado",Base!$O:$O,"&lt;&gt;Concluindo pendências") + COUNTIFS(Base!$B:$B,E$11,Base!$M:$M,"&lt;"&amp;$B58,Base!$N:$N,"",Base!$O:$O,"&lt;&gt;Finalizado",Base!$O:$O,"&lt;&gt;Congelado",Base!$O:$O,"&lt;&gt;Concluindo pendências")</f>
        <v>6</v>
      </c>
      <c r="F58" s="93">
        <f>COUNTIFS(Base!$B:$B,F$11,Base!$M:$M,"&lt;"&amp;$B58,Base!$N:$N,"&gt;="&amp;$B58,Base!$O:$O,"&lt;&gt;Finalizado",Base!$O:$O,"&lt;&gt;Congelado",Base!$O:$O,"&lt;&gt;Concluindo pendências") + COUNTIFS(Base!$B:$B,F$11,Base!$M:$M,"&lt;"&amp;$B58,Base!$N:$N,"",Base!$O:$O,"&lt;&gt;Finalizado",Base!$O:$O,"&lt;&gt;Congelado",Base!$O:$O,"&lt;&gt;Concluindo pendências")</f>
        <v>4</v>
      </c>
      <c r="H58" s="93">
        <f>COUNTIFS(Base!$B:$B,C$11,Base!$K:$K,"&lt;"&amp;$B58,Base!$N:$N,"&gt;="&amp;$B58,Base!$O:$O,"&lt;&gt;Finalizado",Base!$O:$O,"&lt;&gt;Congelado") + COUNTIFS(Base!$B:$B,C$11,Base!$K:$K,"&lt;"&amp;$B58,Base!$N:$N,"",Base!$O:$O,"&lt;&gt;Finalizado",Base!$O:$O,"&lt;&gt;Congelado")</f>
        <v>11</v>
      </c>
      <c r="I58" s="93">
        <f>COUNTIFS(Base!$B:$B,D$11,Base!$K:$K,"&lt;"&amp;$B58,Base!$N:$N,"&gt;="&amp;$B58,Base!$O:$O,"&lt;&gt;Finalizado",Base!$O:$O,"&lt;&gt;Congelado") + COUNTIFS(Base!$B:$B,D$11,Base!$K:$K,"&lt;"&amp;$B58,Base!$N:$N,"",Base!$O:$O,"&lt;&gt;Finalizado",Base!$O:$O,"&lt;&gt;Congelado")</f>
        <v>28</v>
      </c>
      <c r="J58" s="93">
        <f>COUNTIFS(Base!$B:$B,E$11,Base!$K:$K,"&lt;"&amp;$B58,Base!$N:$N,"&gt;="&amp;$B58,Base!$O:$O,"&lt;&gt;Finalizado",Base!$O:$O,"&lt;&gt;Congelado") + COUNTIFS(Base!$B:$B,E$11,Base!$K:$K,"&lt;"&amp;$B58,Base!$N:$N,"",Base!$O:$O,"&lt;&gt;Finalizado",Base!$O:$O,"&lt;&gt;Congelado")</f>
        <v>19</v>
      </c>
      <c r="K58" s="93">
        <f>COUNTIFS(Base!$B:$B,F$11,Base!$K:$K,"&lt;"&amp;$B58,Base!$N:$N,"&gt;="&amp;$B58,Base!$O:$O,"&lt;&gt;Finalizado",Base!$O:$O,"&lt;&gt;Congelado") + COUNTIFS(Base!$B:$B,F$11,Base!$K:$K,"&lt;"&amp;$B58,Base!$N:$N,"",Base!$O:$O,"&lt;&gt;Finalizado",Base!$O:$O,"&lt;&gt;Congelado")</f>
        <v>12</v>
      </c>
      <c r="M58" s="133">
        <f t="shared" ref="M58:P58" si="52">C58/H58</f>
        <v>0.09090909091</v>
      </c>
      <c r="N58" s="133">
        <f t="shared" si="52"/>
        <v>0.1428571429</v>
      </c>
      <c r="O58" s="133">
        <f t="shared" si="52"/>
        <v>0.3157894737</v>
      </c>
      <c r="P58" s="133">
        <f t="shared" si="52"/>
        <v>0.3333333333</v>
      </c>
      <c r="Q58" s="133">
        <f t="shared" si="9"/>
        <v>0.2142857143</v>
      </c>
      <c r="S58" s="93">
        <f t="shared" ref="S58:V58" si="53">S57+C58</f>
        <v>22</v>
      </c>
      <c r="T58" s="93">
        <f t="shared" si="53"/>
        <v>64</v>
      </c>
      <c r="U58" s="93">
        <f t="shared" si="53"/>
        <v>74</v>
      </c>
      <c r="V58" s="93">
        <f t="shared" si="53"/>
        <v>68</v>
      </c>
      <c r="W58" s="93">
        <f t="shared" si="11"/>
        <v>228</v>
      </c>
      <c r="Y58" s="133">
        <f>(COUNTIFS(Base!$B:$B,C$11,Base!$S:$S,"&gt;8",Base!$N:$N,"&lt;="&amp;$B58) - COUNTIFS(Base!$B:$B,C$11,Base!$S:$S,"&lt;7",Base!$N:$N,"&lt;="&amp;$B58) - COUNTIFS(Base!$B:$B,C$11,Base!$S:$S,"&lt;7",Base!$K:$K,"&lt;="&amp;$B58,Base!$O:$O,"Finalizado"))/(COUNTIFS(Base!$B:$B,C$11,Base!$S:$S,"&lt;&gt;",Base!$N:$N,"&lt;="&amp;$B58)+COUNTIFS(Base!$B:$B,C$11,Base!$S:$S,"&lt;7",Base!$K:$K,"&lt;="&amp;$B58,Base!$O:$O,"Finalizado"))</f>
        <v>0</v>
      </c>
      <c r="Z58" s="133">
        <f>(COUNTIFS(Base!$B:$B,D$11,Base!$S:$S,"&gt;8",Base!$N:$N,"&lt;="&amp;$B58) - COUNTIFS(Base!$B:$B,D$11,Base!$S:$S,"&lt;7",Base!$N:$N,"&lt;="&amp;$B58) - COUNTIFS(Base!$B:$B,D$11,Base!$S:$S,"&lt;7",Base!$K:$K,"&lt;="&amp;$B58,Base!$O:$O,"Finalizado"))/(COUNTIFS(Base!$B:$B,D$11,Base!$S:$S,"&lt;&gt;",Base!$N:$N,"&lt;="&amp;$B58)+COUNTIFS(Base!$B:$B,D$11,Base!$S:$S,"&lt;7",Base!$K:$K,"&lt;="&amp;$B58,Base!$O:$O,"Finalizado"))</f>
        <v>0.5</v>
      </c>
      <c r="AA58" s="133">
        <f>(COUNTIFS(Base!$B:$B,E$11,Base!$S:$S,"&gt;8",Base!$N:$N,"&lt;="&amp;$B58) - COUNTIFS(Base!$B:$B,E$11,Base!$S:$S,"&lt;7",Base!$N:$N,"&lt;="&amp;$B58) - COUNTIFS(Base!$B:$B,E$11,Base!$S:$S,"&lt;7",Base!$K:$K,"&lt;="&amp;$B58,Base!$O:$O,"Finalizado"))/(COUNTIFS(Base!$B:$B,E$11,Base!$S:$S,"&lt;&gt;",Base!$N:$N,"&lt;="&amp;$B58)+COUNTIFS(Base!$B:$B,E$11,Base!$S:$S,"&lt;7",Base!$K:$K,"&lt;="&amp;$B58,Base!$O:$O,"Finalizado"))</f>
        <v>0.25</v>
      </c>
      <c r="AB58" s="133">
        <f t="shared" si="12"/>
        <v>0.6666666667</v>
      </c>
      <c r="AD58" s="93">
        <f>(COUNTIFS(Base!$B:$B,F$11,Base!$S:$S,"&gt;8",Base!$N:$N,"&lt;="&amp;$B58)+(COUNTIFS(Base!$B:$B,F$11,Base!$AG:$AG,"&gt;8",Base!$K:$K,"&lt;="&amp;$B58)))</f>
        <v>2</v>
      </c>
      <c r="AE58" s="93">
        <f>(COUNTIFS(Base!$B:$B,F$11,Base!$S:$S,"&lt;&gt;",Base!$N:$N,"&lt;="&amp;$B58)+(COUNTIFS(Base!$B:$B,F$11,Base!$AG:$AG,"&lt;&gt;",Base!$K:$K,"&lt;="&amp;$B58)+COUNTIFS(Base!$B:$B,F$11,Base!$S:$S,"&lt;7",Base!$K:$K,"&lt;="&amp;$B58,Base!$O:$O,"Finalizado")))</f>
        <v>3</v>
      </c>
      <c r="AF58" s="93">
        <f>COUNTIFS(Base!$B:$B,F$11,Base!$S:$S,"&lt;7",Base!$N:$N,"&lt;="&amp;$B58) +COUNTIFS(Base!$B:$B,F$11,Base!$AG:$AG,"&lt;7",Base!$K:$K,"&lt;="&amp;$B58) + COUNTIFS(Base!$B:$B,F$11,Base!$S:$S,"&lt;7",Base!$K:$K,"&lt;="&amp;$B58,Base!$O:$O,"Finalizado")</f>
        <v>0</v>
      </c>
    </row>
    <row r="59">
      <c r="B59" s="151">
        <f t="shared" si="13"/>
        <v>45314</v>
      </c>
      <c r="C59" s="93">
        <f>COUNTIFS(Base!$B:$B,C$11,Base!$M:$M,"&lt;"&amp;$B59,Base!$N:$N,"&gt;="&amp;$B59,Base!$O:$O,"&lt;&gt;Finalizado",Base!$O:$O,"&lt;&gt;Congelado",Base!$O:$O,"&lt;&gt;Concluindo pendências") + COUNTIFS(Base!$B:$B,C$11,Base!$M:$M,"&lt;"&amp;$B59,Base!$N:$N,"",Base!$O:$O,"&lt;&gt;Finalizado",Base!$O:$O,"&lt;&gt;Congelado",Base!$O:$O,"&lt;&gt;Concluindo pendências")</f>
        <v>1</v>
      </c>
      <c r="D59" s="93">
        <f>COUNTIFS(Base!$B:$B,D$11,Base!$M:$M,"&lt;"&amp;$B59,Base!$N:$N,"&gt;="&amp;$B59,Base!$O:$O,"&lt;&gt;Finalizado",Base!$O:$O,"&lt;&gt;Congelado",Base!$O:$O,"&lt;&gt;Concluindo pendências") + COUNTIFS(Base!$B:$B,D$11,Base!$M:$M,"&lt;"&amp;$B59,Base!$N:$N,"",Base!$O:$O,"&lt;&gt;Finalizado",Base!$O:$O,"&lt;&gt;Congelado",Base!$O:$O,"&lt;&gt;Concluindo pendências")</f>
        <v>4</v>
      </c>
      <c r="E59" s="93">
        <f>COUNTIFS(Base!$B:$B,E$11,Base!$M:$M,"&lt;"&amp;$B59,Base!$N:$N,"&gt;="&amp;$B59,Base!$O:$O,"&lt;&gt;Finalizado",Base!$O:$O,"&lt;&gt;Congelado",Base!$O:$O,"&lt;&gt;Concluindo pendências") + COUNTIFS(Base!$B:$B,E$11,Base!$M:$M,"&lt;"&amp;$B59,Base!$N:$N,"",Base!$O:$O,"&lt;&gt;Finalizado",Base!$O:$O,"&lt;&gt;Congelado",Base!$O:$O,"&lt;&gt;Concluindo pendências")</f>
        <v>6</v>
      </c>
      <c r="F59" s="93">
        <f>COUNTIFS(Base!$B:$B,F$11,Base!$M:$M,"&lt;"&amp;$B59,Base!$N:$N,"&gt;="&amp;$B59,Base!$O:$O,"&lt;&gt;Finalizado",Base!$O:$O,"&lt;&gt;Congelado",Base!$O:$O,"&lt;&gt;Concluindo pendências") + COUNTIFS(Base!$B:$B,F$11,Base!$M:$M,"&lt;"&amp;$B59,Base!$N:$N,"",Base!$O:$O,"&lt;&gt;Finalizado",Base!$O:$O,"&lt;&gt;Congelado",Base!$O:$O,"&lt;&gt;Concluindo pendências")</f>
        <v>4</v>
      </c>
      <c r="H59" s="93">
        <f>COUNTIFS(Base!$B:$B,C$11,Base!$K:$K,"&lt;"&amp;$B59,Base!$N:$N,"&gt;="&amp;$B59,Base!$O:$O,"&lt;&gt;Finalizado",Base!$O:$O,"&lt;&gt;Congelado") + COUNTIFS(Base!$B:$B,C$11,Base!$K:$K,"&lt;"&amp;$B59,Base!$N:$N,"",Base!$O:$O,"&lt;&gt;Finalizado",Base!$O:$O,"&lt;&gt;Congelado")</f>
        <v>10</v>
      </c>
      <c r="I59" s="93">
        <f>COUNTIFS(Base!$B:$B,D$11,Base!$K:$K,"&lt;"&amp;$B59,Base!$N:$N,"&gt;="&amp;$B59,Base!$O:$O,"&lt;&gt;Finalizado",Base!$O:$O,"&lt;&gt;Congelado") + COUNTIFS(Base!$B:$B,D$11,Base!$K:$K,"&lt;"&amp;$B59,Base!$N:$N,"",Base!$O:$O,"&lt;&gt;Finalizado",Base!$O:$O,"&lt;&gt;Congelado")</f>
        <v>28</v>
      </c>
      <c r="J59" s="93">
        <f>COUNTIFS(Base!$B:$B,E$11,Base!$K:$K,"&lt;"&amp;$B59,Base!$N:$N,"&gt;="&amp;$B59,Base!$O:$O,"&lt;&gt;Finalizado",Base!$O:$O,"&lt;&gt;Congelado") + COUNTIFS(Base!$B:$B,E$11,Base!$K:$K,"&lt;"&amp;$B59,Base!$N:$N,"",Base!$O:$O,"&lt;&gt;Finalizado",Base!$O:$O,"&lt;&gt;Congelado")</f>
        <v>18</v>
      </c>
      <c r="K59" s="93">
        <f>COUNTIFS(Base!$B:$B,F$11,Base!$K:$K,"&lt;"&amp;$B59,Base!$N:$N,"&gt;="&amp;$B59,Base!$O:$O,"&lt;&gt;Finalizado",Base!$O:$O,"&lt;&gt;Congelado") + COUNTIFS(Base!$B:$B,F$11,Base!$K:$K,"&lt;"&amp;$B59,Base!$N:$N,"",Base!$O:$O,"&lt;&gt;Finalizado",Base!$O:$O,"&lt;&gt;Congelado")</f>
        <v>13</v>
      </c>
      <c r="M59" s="133">
        <f t="shared" ref="M59:P59" si="54">C59/H59</f>
        <v>0.1</v>
      </c>
      <c r="N59" s="133">
        <f t="shared" si="54"/>
        <v>0.1428571429</v>
      </c>
      <c r="O59" s="133">
        <f t="shared" si="54"/>
        <v>0.3333333333</v>
      </c>
      <c r="P59" s="133">
        <f t="shared" si="54"/>
        <v>0.3076923077</v>
      </c>
      <c r="Q59" s="133">
        <f t="shared" si="9"/>
        <v>0.2173913043</v>
      </c>
      <c r="S59" s="93">
        <f t="shared" ref="S59:V59" si="55">S58+C59</f>
        <v>23</v>
      </c>
      <c r="T59" s="93">
        <f t="shared" si="55"/>
        <v>68</v>
      </c>
      <c r="U59" s="93">
        <f t="shared" si="55"/>
        <v>80</v>
      </c>
      <c r="V59" s="93">
        <f t="shared" si="55"/>
        <v>72</v>
      </c>
      <c r="W59" s="93">
        <f t="shared" si="11"/>
        <v>243</v>
      </c>
      <c r="Y59" s="133">
        <f>(COUNTIFS(Base!$B:$B,C$11,Base!$S:$S,"&gt;8",Base!$N:$N,"&lt;="&amp;$B59) - COUNTIFS(Base!$B:$B,C$11,Base!$S:$S,"&lt;7",Base!$N:$N,"&lt;="&amp;$B59) - COUNTIFS(Base!$B:$B,C$11,Base!$S:$S,"&lt;7",Base!$K:$K,"&lt;="&amp;$B59,Base!$O:$O,"Finalizado"))/(COUNTIFS(Base!$B:$B,C$11,Base!$S:$S,"&lt;&gt;",Base!$N:$N,"&lt;="&amp;$B59)+COUNTIFS(Base!$B:$B,C$11,Base!$S:$S,"&lt;7",Base!$K:$K,"&lt;="&amp;$B59,Base!$O:$O,"Finalizado"))</f>
        <v>0</v>
      </c>
      <c r="Z59" s="133">
        <f>(COUNTIFS(Base!$B:$B,D$11,Base!$S:$S,"&gt;8",Base!$N:$N,"&lt;="&amp;$B59) - COUNTIFS(Base!$B:$B,D$11,Base!$S:$S,"&lt;7",Base!$N:$N,"&lt;="&amp;$B59) - COUNTIFS(Base!$B:$B,D$11,Base!$S:$S,"&lt;7",Base!$K:$K,"&lt;="&amp;$B59,Base!$O:$O,"Finalizado"))/(COUNTIFS(Base!$B:$B,D$11,Base!$S:$S,"&lt;&gt;",Base!$N:$N,"&lt;="&amp;$B59)+COUNTIFS(Base!$B:$B,D$11,Base!$S:$S,"&lt;7",Base!$K:$K,"&lt;="&amp;$B59,Base!$O:$O,"Finalizado"))</f>
        <v>0.5</v>
      </c>
      <c r="AA59" s="133">
        <f>(COUNTIFS(Base!$B:$B,E$11,Base!$S:$S,"&gt;8",Base!$N:$N,"&lt;="&amp;$B59) - COUNTIFS(Base!$B:$B,E$11,Base!$S:$S,"&lt;7",Base!$N:$N,"&lt;="&amp;$B59) - COUNTIFS(Base!$B:$B,E$11,Base!$S:$S,"&lt;7",Base!$K:$K,"&lt;="&amp;$B59,Base!$O:$O,"Finalizado"))/(COUNTIFS(Base!$B:$B,E$11,Base!$S:$S,"&lt;&gt;",Base!$N:$N,"&lt;="&amp;$B59)+COUNTIFS(Base!$B:$B,E$11,Base!$S:$S,"&lt;7",Base!$K:$K,"&lt;="&amp;$B59,Base!$O:$O,"Finalizado"))</f>
        <v>0.25</v>
      </c>
      <c r="AB59" s="133">
        <f t="shared" si="12"/>
        <v>0.6666666667</v>
      </c>
      <c r="AD59" s="93">
        <f>(COUNTIFS(Base!$B:$B,F$11,Base!$S:$S,"&gt;8",Base!$N:$N,"&lt;="&amp;$B59)+(COUNTIFS(Base!$B:$B,F$11,Base!$AG:$AG,"&gt;8",Base!$K:$K,"&lt;="&amp;$B59)))</f>
        <v>2</v>
      </c>
      <c r="AE59" s="93">
        <f>(COUNTIFS(Base!$B:$B,F$11,Base!$S:$S,"&lt;&gt;",Base!$N:$N,"&lt;="&amp;$B59)+(COUNTIFS(Base!$B:$B,F$11,Base!$AG:$AG,"&lt;&gt;",Base!$K:$K,"&lt;="&amp;$B59)+COUNTIFS(Base!$B:$B,F$11,Base!$S:$S,"&lt;7",Base!$K:$K,"&lt;="&amp;$B59,Base!$O:$O,"Finalizado")))</f>
        <v>3</v>
      </c>
      <c r="AF59" s="93">
        <f>COUNTIFS(Base!$B:$B,F$11,Base!$S:$S,"&lt;7",Base!$N:$N,"&lt;="&amp;$B59) +COUNTIFS(Base!$B:$B,F$11,Base!$AG:$AG,"&lt;7",Base!$K:$K,"&lt;="&amp;$B59) + COUNTIFS(Base!$B:$B,F$11,Base!$S:$S,"&lt;7",Base!$K:$K,"&lt;="&amp;$B59,Base!$O:$O,"Finalizado")</f>
        <v>0</v>
      </c>
    </row>
    <row r="60">
      <c r="B60" s="151">
        <f t="shared" si="13"/>
        <v>45315</v>
      </c>
      <c r="C60" s="93">
        <f>COUNTIFS(Base!$B:$B,C$11,Base!$M:$M,"&lt;"&amp;$B60,Base!$N:$N,"&gt;="&amp;$B60,Base!$O:$O,"&lt;&gt;Finalizado",Base!$O:$O,"&lt;&gt;Congelado",Base!$O:$O,"&lt;&gt;Concluindo pendências") + COUNTIFS(Base!$B:$B,C$11,Base!$M:$M,"&lt;"&amp;$B60,Base!$N:$N,"",Base!$O:$O,"&lt;&gt;Finalizado",Base!$O:$O,"&lt;&gt;Congelado",Base!$O:$O,"&lt;&gt;Concluindo pendências")</f>
        <v>1</v>
      </c>
      <c r="D60" s="93">
        <f>COUNTIFS(Base!$B:$B,D$11,Base!$M:$M,"&lt;"&amp;$B60,Base!$N:$N,"&gt;="&amp;$B60,Base!$O:$O,"&lt;&gt;Finalizado",Base!$O:$O,"&lt;&gt;Congelado",Base!$O:$O,"&lt;&gt;Concluindo pendências") + COUNTIFS(Base!$B:$B,D$11,Base!$M:$M,"&lt;"&amp;$B60,Base!$N:$N,"",Base!$O:$O,"&lt;&gt;Finalizado",Base!$O:$O,"&lt;&gt;Congelado",Base!$O:$O,"&lt;&gt;Concluindo pendências")</f>
        <v>4</v>
      </c>
      <c r="E60" s="93">
        <f>COUNTIFS(Base!$B:$B,E$11,Base!$M:$M,"&lt;"&amp;$B60,Base!$N:$N,"&gt;="&amp;$B60,Base!$O:$O,"&lt;&gt;Finalizado",Base!$O:$O,"&lt;&gt;Congelado",Base!$O:$O,"&lt;&gt;Concluindo pendências") + COUNTIFS(Base!$B:$B,E$11,Base!$M:$M,"&lt;"&amp;$B60,Base!$N:$N,"",Base!$O:$O,"&lt;&gt;Finalizado",Base!$O:$O,"&lt;&gt;Congelado",Base!$O:$O,"&lt;&gt;Concluindo pendências")</f>
        <v>6</v>
      </c>
      <c r="F60" s="93">
        <f>COUNTIFS(Base!$B:$B,F$11,Base!$M:$M,"&lt;"&amp;$B60,Base!$N:$N,"&gt;="&amp;$B60,Base!$O:$O,"&lt;&gt;Finalizado",Base!$O:$O,"&lt;&gt;Congelado",Base!$O:$O,"&lt;&gt;Concluindo pendências") + COUNTIFS(Base!$B:$B,F$11,Base!$M:$M,"&lt;"&amp;$B60,Base!$N:$N,"",Base!$O:$O,"&lt;&gt;Finalizado",Base!$O:$O,"&lt;&gt;Congelado",Base!$O:$O,"&lt;&gt;Concluindo pendências")</f>
        <v>4</v>
      </c>
      <c r="H60" s="93">
        <f>COUNTIFS(Base!$B:$B,C$11,Base!$K:$K,"&lt;"&amp;$B60,Base!$N:$N,"&gt;="&amp;$B60,Base!$O:$O,"&lt;&gt;Finalizado",Base!$O:$O,"&lt;&gt;Congelado") + COUNTIFS(Base!$B:$B,C$11,Base!$K:$K,"&lt;"&amp;$B60,Base!$N:$N,"",Base!$O:$O,"&lt;&gt;Finalizado",Base!$O:$O,"&lt;&gt;Congelado")</f>
        <v>10</v>
      </c>
      <c r="I60" s="93">
        <f>COUNTIFS(Base!$B:$B,D$11,Base!$K:$K,"&lt;"&amp;$B60,Base!$N:$N,"&gt;="&amp;$B60,Base!$O:$O,"&lt;&gt;Finalizado",Base!$O:$O,"&lt;&gt;Congelado") + COUNTIFS(Base!$B:$B,D$11,Base!$K:$K,"&lt;"&amp;$B60,Base!$N:$N,"",Base!$O:$O,"&lt;&gt;Finalizado",Base!$O:$O,"&lt;&gt;Congelado")</f>
        <v>28</v>
      </c>
      <c r="J60" s="93">
        <f>COUNTIFS(Base!$B:$B,E$11,Base!$K:$K,"&lt;"&amp;$B60,Base!$N:$N,"&gt;="&amp;$B60,Base!$O:$O,"&lt;&gt;Finalizado",Base!$O:$O,"&lt;&gt;Congelado") + COUNTIFS(Base!$B:$B,E$11,Base!$K:$K,"&lt;"&amp;$B60,Base!$N:$N,"",Base!$O:$O,"&lt;&gt;Finalizado",Base!$O:$O,"&lt;&gt;Congelado")</f>
        <v>18</v>
      </c>
      <c r="K60" s="93">
        <f>COUNTIFS(Base!$B:$B,F$11,Base!$K:$K,"&lt;"&amp;$B60,Base!$N:$N,"&gt;="&amp;$B60,Base!$O:$O,"&lt;&gt;Finalizado",Base!$O:$O,"&lt;&gt;Congelado") + COUNTIFS(Base!$B:$B,F$11,Base!$K:$K,"&lt;"&amp;$B60,Base!$N:$N,"",Base!$O:$O,"&lt;&gt;Finalizado",Base!$O:$O,"&lt;&gt;Congelado")</f>
        <v>13</v>
      </c>
      <c r="M60" s="133">
        <f t="shared" ref="M60:P60" si="56">C60/H60</f>
        <v>0.1</v>
      </c>
      <c r="N60" s="133">
        <f t="shared" si="56"/>
        <v>0.1428571429</v>
      </c>
      <c r="O60" s="133">
        <f t="shared" si="56"/>
        <v>0.3333333333</v>
      </c>
      <c r="P60" s="133">
        <f t="shared" si="56"/>
        <v>0.3076923077</v>
      </c>
      <c r="Q60" s="133">
        <f t="shared" si="9"/>
        <v>0.2173913043</v>
      </c>
      <c r="S60" s="93">
        <f t="shared" ref="S60:V60" si="57">S59+C60</f>
        <v>24</v>
      </c>
      <c r="T60" s="93">
        <f t="shared" si="57"/>
        <v>72</v>
      </c>
      <c r="U60" s="93">
        <f t="shared" si="57"/>
        <v>86</v>
      </c>
      <c r="V60" s="93">
        <f t="shared" si="57"/>
        <v>76</v>
      </c>
      <c r="W60" s="93">
        <f t="shared" si="11"/>
        <v>258</v>
      </c>
      <c r="Y60" s="133">
        <f>(COUNTIFS(Base!$B:$B,C$11,Base!$S:$S,"&gt;8",Base!$N:$N,"&lt;="&amp;$B60) - COUNTIFS(Base!$B:$B,C$11,Base!$S:$S,"&lt;7",Base!$N:$N,"&lt;="&amp;$B60) - COUNTIFS(Base!$B:$B,C$11,Base!$S:$S,"&lt;7",Base!$K:$K,"&lt;="&amp;$B60,Base!$O:$O,"Finalizado"))/(COUNTIFS(Base!$B:$B,C$11,Base!$S:$S,"&lt;&gt;",Base!$N:$N,"&lt;="&amp;$B60)+COUNTIFS(Base!$B:$B,C$11,Base!$S:$S,"&lt;7",Base!$K:$K,"&lt;="&amp;$B60,Base!$O:$O,"Finalizado"))</f>
        <v>0</v>
      </c>
      <c r="Z60" s="133">
        <f>(COUNTIFS(Base!$B:$B,D$11,Base!$S:$S,"&gt;8",Base!$N:$N,"&lt;="&amp;$B60) - COUNTIFS(Base!$B:$B,D$11,Base!$S:$S,"&lt;7",Base!$N:$N,"&lt;="&amp;$B60) - COUNTIFS(Base!$B:$B,D$11,Base!$S:$S,"&lt;7",Base!$K:$K,"&lt;="&amp;$B60,Base!$O:$O,"Finalizado"))/(COUNTIFS(Base!$B:$B,D$11,Base!$S:$S,"&lt;&gt;",Base!$N:$N,"&lt;="&amp;$B60)+COUNTIFS(Base!$B:$B,D$11,Base!$S:$S,"&lt;7",Base!$K:$K,"&lt;="&amp;$B60,Base!$O:$O,"Finalizado"))</f>
        <v>0.5</v>
      </c>
      <c r="AA60" s="133">
        <f>(COUNTIFS(Base!$B:$B,E$11,Base!$S:$S,"&gt;8",Base!$N:$N,"&lt;="&amp;$B60) - COUNTIFS(Base!$B:$B,E$11,Base!$S:$S,"&lt;7",Base!$N:$N,"&lt;="&amp;$B60) - COUNTIFS(Base!$B:$B,E$11,Base!$S:$S,"&lt;7",Base!$K:$K,"&lt;="&amp;$B60,Base!$O:$O,"Finalizado"))/(COUNTIFS(Base!$B:$B,E$11,Base!$S:$S,"&lt;&gt;",Base!$N:$N,"&lt;="&amp;$B60)+COUNTIFS(Base!$B:$B,E$11,Base!$S:$S,"&lt;7",Base!$K:$K,"&lt;="&amp;$B60,Base!$O:$O,"Finalizado"))</f>
        <v>0.25</v>
      </c>
      <c r="AB60" s="133">
        <f t="shared" si="12"/>
        <v>0.6666666667</v>
      </c>
      <c r="AD60" s="93">
        <f>(COUNTIFS(Base!$B:$B,F$11,Base!$S:$S,"&gt;8",Base!$N:$N,"&lt;="&amp;$B60)+(COUNTIFS(Base!$B:$B,F$11,Base!$AG:$AG,"&gt;8",Base!$K:$K,"&lt;="&amp;$B60)))</f>
        <v>2</v>
      </c>
      <c r="AE60" s="93">
        <f>(COUNTIFS(Base!$B:$B,F$11,Base!$S:$S,"&lt;&gt;",Base!$N:$N,"&lt;="&amp;$B60)+(COUNTIFS(Base!$B:$B,F$11,Base!$AG:$AG,"&lt;&gt;",Base!$K:$K,"&lt;="&amp;$B60)+COUNTIFS(Base!$B:$B,F$11,Base!$S:$S,"&lt;7",Base!$K:$K,"&lt;="&amp;$B60,Base!$O:$O,"Finalizado")))</f>
        <v>3</v>
      </c>
      <c r="AF60" s="93">
        <f>COUNTIFS(Base!$B:$B,F$11,Base!$S:$S,"&lt;7",Base!$N:$N,"&lt;="&amp;$B60) +COUNTIFS(Base!$B:$B,F$11,Base!$AG:$AG,"&lt;7",Base!$K:$K,"&lt;="&amp;$B60) + COUNTIFS(Base!$B:$B,F$11,Base!$S:$S,"&lt;7",Base!$K:$K,"&lt;="&amp;$B60,Base!$O:$O,"Finalizado")</f>
        <v>0</v>
      </c>
    </row>
    <row r="61">
      <c r="B61" s="151">
        <f t="shared" si="13"/>
        <v>45316</v>
      </c>
      <c r="C61" s="93">
        <f>COUNTIFS(Base!$B:$B,C$11,Base!$M:$M,"&lt;"&amp;$B61,Base!$N:$N,"&gt;="&amp;$B61,Base!$O:$O,"&lt;&gt;Finalizado",Base!$O:$O,"&lt;&gt;Congelado",Base!$O:$O,"&lt;&gt;Concluindo pendências") + COUNTIFS(Base!$B:$B,C$11,Base!$M:$M,"&lt;"&amp;$B61,Base!$N:$N,"",Base!$O:$O,"&lt;&gt;Finalizado",Base!$O:$O,"&lt;&gt;Congelado",Base!$O:$O,"&lt;&gt;Concluindo pendências")</f>
        <v>1</v>
      </c>
      <c r="D61" s="93">
        <f>COUNTIFS(Base!$B:$B,D$11,Base!$M:$M,"&lt;"&amp;$B61,Base!$N:$N,"&gt;="&amp;$B61,Base!$O:$O,"&lt;&gt;Finalizado",Base!$O:$O,"&lt;&gt;Congelado",Base!$O:$O,"&lt;&gt;Concluindo pendências") + COUNTIFS(Base!$B:$B,D$11,Base!$M:$M,"&lt;"&amp;$B61,Base!$N:$N,"",Base!$O:$O,"&lt;&gt;Finalizado",Base!$O:$O,"&lt;&gt;Congelado",Base!$O:$O,"&lt;&gt;Concluindo pendências")</f>
        <v>5</v>
      </c>
      <c r="E61" s="93">
        <f>COUNTIFS(Base!$B:$B,E$11,Base!$M:$M,"&lt;"&amp;$B61,Base!$N:$N,"&gt;="&amp;$B61,Base!$O:$O,"&lt;&gt;Finalizado",Base!$O:$O,"&lt;&gt;Congelado",Base!$O:$O,"&lt;&gt;Concluindo pendências") + COUNTIFS(Base!$B:$B,E$11,Base!$M:$M,"&lt;"&amp;$B61,Base!$N:$N,"",Base!$O:$O,"&lt;&gt;Finalizado",Base!$O:$O,"&lt;&gt;Congelado",Base!$O:$O,"&lt;&gt;Concluindo pendências")</f>
        <v>7</v>
      </c>
      <c r="F61" s="93">
        <f>COUNTIFS(Base!$B:$B,F$11,Base!$M:$M,"&lt;"&amp;$B61,Base!$N:$N,"&gt;="&amp;$B61,Base!$O:$O,"&lt;&gt;Finalizado",Base!$O:$O,"&lt;&gt;Congelado",Base!$O:$O,"&lt;&gt;Concluindo pendências") + COUNTIFS(Base!$B:$B,F$11,Base!$M:$M,"&lt;"&amp;$B61,Base!$N:$N,"",Base!$O:$O,"&lt;&gt;Finalizado",Base!$O:$O,"&lt;&gt;Congelado",Base!$O:$O,"&lt;&gt;Concluindo pendências")</f>
        <v>4</v>
      </c>
      <c r="H61" s="93">
        <f>COUNTIFS(Base!$B:$B,C$11,Base!$K:$K,"&lt;"&amp;$B61,Base!$N:$N,"&gt;="&amp;$B61,Base!$O:$O,"&lt;&gt;Finalizado",Base!$O:$O,"&lt;&gt;Congelado") + COUNTIFS(Base!$B:$B,C$11,Base!$K:$K,"&lt;"&amp;$B61,Base!$N:$N,"",Base!$O:$O,"&lt;&gt;Finalizado",Base!$O:$O,"&lt;&gt;Congelado")</f>
        <v>10</v>
      </c>
      <c r="I61" s="93">
        <f>COUNTIFS(Base!$B:$B,D$11,Base!$K:$K,"&lt;"&amp;$B61,Base!$N:$N,"&gt;="&amp;$B61,Base!$O:$O,"&lt;&gt;Finalizado",Base!$O:$O,"&lt;&gt;Congelado") + COUNTIFS(Base!$B:$B,D$11,Base!$K:$K,"&lt;"&amp;$B61,Base!$N:$N,"",Base!$O:$O,"&lt;&gt;Finalizado",Base!$O:$O,"&lt;&gt;Congelado")</f>
        <v>28</v>
      </c>
      <c r="J61" s="93">
        <f>COUNTIFS(Base!$B:$B,E$11,Base!$K:$K,"&lt;"&amp;$B61,Base!$N:$N,"&gt;="&amp;$B61,Base!$O:$O,"&lt;&gt;Finalizado",Base!$O:$O,"&lt;&gt;Congelado") + COUNTIFS(Base!$B:$B,E$11,Base!$K:$K,"&lt;"&amp;$B61,Base!$N:$N,"",Base!$O:$O,"&lt;&gt;Finalizado",Base!$O:$O,"&lt;&gt;Congelado")</f>
        <v>18</v>
      </c>
      <c r="K61" s="93">
        <f>COUNTIFS(Base!$B:$B,F$11,Base!$K:$K,"&lt;"&amp;$B61,Base!$N:$N,"&gt;="&amp;$B61,Base!$O:$O,"&lt;&gt;Finalizado",Base!$O:$O,"&lt;&gt;Congelado") + COUNTIFS(Base!$B:$B,F$11,Base!$K:$K,"&lt;"&amp;$B61,Base!$N:$N,"",Base!$O:$O,"&lt;&gt;Finalizado",Base!$O:$O,"&lt;&gt;Congelado")</f>
        <v>13</v>
      </c>
      <c r="M61" s="133">
        <f t="shared" ref="M61:P61" si="58">C61/H61</f>
        <v>0.1</v>
      </c>
      <c r="N61" s="133">
        <f t="shared" si="58"/>
        <v>0.1785714286</v>
      </c>
      <c r="O61" s="133">
        <f t="shared" si="58"/>
        <v>0.3888888889</v>
      </c>
      <c r="P61" s="133">
        <f t="shared" si="58"/>
        <v>0.3076923077</v>
      </c>
      <c r="Q61" s="133">
        <f t="shared" si="9"/>
        <v>0.2463768116</v>
      </c>
      <c r="S61" s="93">
        <f t="shared" ref="S61:V61" si="59">S60+C61</f>
        <v>25</v>
      </c>
      <c r="T61" s="93">
        <f t="shared" si="59"/>
        <v>77</v>
      </c>
      <c r="U61" s="93">
        <f t="shared" si="59"/>
        <v>93</v>
      </c>
      <c r="V61" s="93">
        <f t="shared" si="59"/>
        <v>80</v>
      </c>
      <c r="W61" s="93">
        <f t="shared" si="11"/>
        <v>275</v>
      </c>
      <c r="Y61" s="133">
        <f>(COUNTIFS(Base!$B:$B,C$11,Base!$S:$S,"&gt;8",Base!$N:$N,"&lt;="&amp;$B61) - COUNTIFS(Base!$B:$B,C$11,Base!$S:$S,"&lt;7",Base!$N:$N,"&lt;="&amp;$B61) - COUNTIFS(Base!$B:$B,C$11,Base!$S:$S,"&lt;7",Base!$K:$K,"&lt;="&amp;$B61,Base!$O:$O,"Finalizado"))/(COUNTIFS(Base!$B:$B,C$11,Base!$S:$S,"&lt;&gt;",Base!$N:$N,"&lt;="&amp;$B61)+COUNTIFS(Base!$B:$B,C$11,Base!$S:$S,"&lt;7",Base!$K:$K,"&lt;="&amp;$B61,Base!$O:$O,"Finalizado"))</f>
        <v>0</v>
      </c>
      <c r="Z61" s="133">
        <f>(COUNTIFS(Base!$B:$B,D$11,Base!$S:$S,"&gt;8",Base!$N:$N,"&lt;="&amp;$B61) - COUNTIFS(Base!$B:$B,D$11,Base!$S:$S,"&lt;7",Base!$N:$N,"&lt;="&amp;$B61) - COUNTIFS(Base!$B:$B,D$11,Base!$S:$S,"&lt;7",Base!$K:$K,"&lt;="&amp;$B61,Base!$O:$O,"Finalizado"))/(COUNTIFS(Base!$B:$B,D$11,Base!$S:$S,"&lt;&gt;",Base!$N:$N,"&lt;="&amp;$B61)+COUNTIFS(Base!$B:$B,D$11,Base!$S:$S,"&lt;7",Base!$K:$K,"&lt;="&amp;$B61,Base!$O:$O,"Finalizado"))</f>
        <v>0.5</v>
      </c>
      <c r="AA61" s="133">
        <f>(COUNTIFS(Base!$B:$B,E$11,Base!$S:$S,"&gt;8",Base!$N:$N,"&lt;="&amp;$B61) - COUNTIFS(Base!$B:$B,E$11,Base!$S:$S,"&lt;7",Base!$N:$N,"&lt;="&amp;$B61) - COUNTIFS(Base!$B:$B,E$11,Base!$S:$S,"&lt;7",Base!$K:$K,"&lt;="&amp;$B61,Base!$O:$O,"Finalizado"))/(COUNTIFS(Base!$B:$B,E$11,Base!$S:$S,"&lt;&gt;",Base!$N:$N,"&lt;="&amp;$B61)+COUNTIFS(Base!$B:$B,E$11,Base!$S:$S,"&lt;7",Base!$K:$K,"&lt;="&amp;$B61,Base!$O:$O,"Finalizado"))</f>
        <v>0.25</v>
      </c>
      <c r="AB61" s="133">
        <f t="shared" si="12"/>
        <v>0.6666666667</v>
      </c>
      <c r="AD61" s="93">
        <f>(COUNTIFS(Base!$B:$B,F$11,Base!$S:$S,"&gt;8",Base!$N:$N,"&lt;="&amp;$B61)+(COUNTIFS(Base!$B:$B,F$11,Base!$AG:$AG,"&gt;8",Base!$K:$K,"&lt;="&amp;$B61)))</f>
        <v>2</v>
      </c>
      <c r="AE61" s="93">
        <f>(COUNTIFS(Base!$B:$B,F$11,Base!$S:$S,"&lt;&gt;",Base!$N:$N,"&lt;="&amp;$B61)+(COUNTIFS(Base!$B:$B,F$11,Base!$AG:$AG,"&lt;&gt;",Base!$K:$K,"&lt;="&amp;$B61)+COUNTIFS(Base!$B:$B,F$11,Base!$S:$S,"&lt;7",Base!$K:$K,"&lt;="&amp;$B61,Base!$O:$O,"Finalizado")))</f>
        <v>3</v>
      </c>
      <c r="AF61" s="93">
        <f>COUNTIFS(Base!$B:$B,F$11,Base!$S:$S,"&lt;7",Base!$N:$N,"&lt;="&amp;$B61) +COUNTIFS(Base!$B:$B,F$11,Base!$AG:$AG,"&lt;7",Base!$K:$K,"&lt;="&amp;$B61) + COUNTIFS(Base!$B:$B,F$11,Base!$S:$S,"&lt;7",Base!$K:$K,"&lt;="&amp;$B61,Base!$O:$O,"Finalizado")</f>
        <v>0</v>
      </c>
    </row>
    <row r="62">
      <c r="B62" s="151">
        <f t="shared" si="13"/>
        <v>45317</v>
      </c>
      <c r="C62" s="93">
        <f>COUNTIFS(Base!$B:$B,C$11,Base!$M:$M,"&lt;"&amp;$B62,Base!$N:$N,"&gt;="&amp;$B62,Base!$O:$O,"&lt;&gt;Finalizado",Base!$O:$O,"&lt;&gt;Congelado",Base!$O:$O,"&lt;&gt;Concluindo pendências") + COUNTIFS(Base!$B:$B,C$11,Base!$M:$M,"&lt;"&amp;$B62,Base!$N:$N,"",Base!$O:$O,"&lt;&gt;Finalizado",Base!$O:$O,"&lt;&gt;Congelado",Base!$O:$O,"&lt;&gt;Concluindo pendências")</f>
        <v>1</v>
      </c>
      <c r="D62" s="93">
        <f>COUNTIFS(Base!$B:$B,D$11,Base!$M:$M,"&lt;"&amp;$B62,Base!$N:$N,"&gt;="&amp;$B62,Base!$O:$O,"&lt;&gt;Finalizado",Base!$O:$O,"&lt;&gt;Congelado",Base!$O:$O,"&lt;&gt;Concluindo pendências") + COUNTIFS(Base!$B:$B,D$11,Base!$M:$M,"&lt;"&amp;$B62,Base!$N:$N,"",Base!$O:$O,"&lt;&gt;Finalizado",Base!$O:$O,"&lt;&gt;Congelado",Base!$O:$O,"&lt;&gt;Concluindo pendências")</f>
        <v>5</v>
      </c>
      <c r="E62" s="93">
        <f>COUNTIFS(Base!$B:$B,E$11,Base!$M:$M,"&lt;"&amp;$B62,Base!$N:$N,"&gt;="&amp;$B62,Base!$O:$O,"&lt;&gt;Finalizado",Base!$O:$O,"&lt;&gt;Congelado",Base!$O:$O,"&lt;&gt;Concluindo pendências") + COUNTIFS(Base!$B:$B,E$11,Base!$M:$M,"&lt;"&amp;$B62,Base!$N:$N,"",Base!$O:$O,"&lt;&gt;Finalizado",Base!$O:$O,"&lt;&gt;Congelado",Base!$O:$O,"&lt;&gt;Concluindo pendências")</f>
        <v>7</v>
      </c>
      <c r="F62" s="93">
        <f>COUNTIFS(Base!$B:$B,F$11,Base!$M:$M,"&lt;"&amp;$B62,Base!$N:$N,"&gt;="&amp;$B62,Base!$O:$O,"&lt;&gt;Finalizado",Base!$O:$O,"&lt;&gt;Congelado",Base!$O:$O,"&lt;&gt;Concluindo pendências") + COUNTIFS(Base!$B:$B,F$11,Base!$M:$M,"&lt;"&amp;$B62,Base!$N:$N,"",Base!$O:$O,"&lt;&gt;Finalizado",Base!$O:$O,"&lt;&gt;Congelado",Base!$O:$O,"&lt;&gt;Concluindo pendências")</f>
        <v>4</v>
      </c>
      <c r="H62" s="93">
        <f>COUNTIFS(Base!$B:$B,C$11,Base!$K:$K,"&lt;"&amp;$B62,Base!$N:$N,"&gt;="&amp;$B62,Base!$O:$O,"&lt;&gt;Finalizado",Base!$O:$O,"&lt;&gt;Congelado") + COUNTIFS(Base!$B:$B,C$11,Base!$K:$K,"&lt;"&amp;$B62,Base!$N:$N,"",Base!$O:$O,"&lt;&gt;Finalizado",Base!$O:$O,"&lt;&gt;Congelado")</f>
        <v>10</v>
      </c>
      <c r="I62" s="93">
        <f>COUNTIFS(Base!$B:$B,D$11,Base!$K:$K,"&lt;"&amp;$B62,Base!$N:$N,"&gt;="&amp;$B62,Base!$O:$O,"&lt;&gt;Finalizado",Base!$O:$O,"&lt;&gt;Congelado") + COUNTIFS(Base!$B:$B,D$11,Base!$K:$K,"&lt;"&amp;$B62,Base!$N:$N,"",Base!$O:$O,"&lt;&gt;Finalizado",Base!$O:$O,"&lt;&gt;Congelado")</f>
        <v>28</v>
      </c>
      <c r="J62" s="93">
        <f>COUNTIFS(Base!$B:$B,E$11,Base!$K:$K,"&lt;"&amp;$B62,Base!$N:$N,"&gt;="&amp;$B62,Base!$O:$O,"&lt;&gt;Finalizado",Base!$O:$O,"&lt;&gt;Congelado") + COUNTIFS(Base!$B:$B,E$11,Base!$K:$K,"&lt;"&amp;$B62,Base!$N:$N,"",Base!$O:$O,"&lt;&gt;Finalizado",Base!$O:$O,"&lt;&gt;Congelado")</f>
        <v>18</v>
      </c>
      <c r="K62" s="93">
        <f>COUNTIFS(Base!$B:$B,F$11,Base!$K:$K,"&lt;"&amp;$B62,Base!$N:$N,"&gt;="&amp;$B62,Base!$O:$O,"&lt;&gt;Finalizado",Base!$O:$O,"&lt;&gt;Congelado") + COUNTIFS(Base!$B:$B,F$11,Base!$K:$K,"&lt;"&amp;$B62,Base!$N:$N,"",Base!$O:$O,"&lt;&gt;Finalizado",Base!$O:$O,"&lt;&gt;Congelado")</f>
        <v>13</v>
      </c>
      <c r="M62" s="133">
        <f t="shared" ref="M62:P62" si="60">C62/H62</f>
        <v>0.1</v>
      </c>
      <c r="N62" s="133">
        <f t="shared" si="60"/>
        <v>0.1785714286</v>
      </c>
      <c r="O62" s="133">
        <f t="shared" si="60"/>
        <v>0.3888888889</v>
      </c>
      <c r="P62" s="133">
        <f t="shared" si="60"/>
        <v>0.3076923077</v>
      </c>
      <c r="Q62" s="133">
        <f t="shared" si="9"/>
        <v>0.2463768116</v>
      </c>
      <c r="S62" s="93">
        <f t="shared" ref="S62:V62" si="61">S61+C62</f>
        <v>26</v>
      </c>
      <c r="T62" s="93">
        <f t="shared" si="61"/>
        <v>82</v>
      </c>
      <c r="U62" s="93">
        <f t="shared" si="61"/>
        <v>100</v>
      </c>
      <c r="V62" s="93">
        <f t="shared" si="61"/>
        <v>84</v>
      </c>
      <c r="W62" s="93">
        <f t="shared" si="11"/>
        <v>292</v>
      </c>
      <c r="Y62" s="133">
        <f>(COUNTIFS(Base!$B:$B,C$11,Base!$S:$S,"&gt;8",Base!$N:$N,"&lt;="&amp;$B62) - COUNTIFS(Base!$B:$B,C$11,Base!$S:$S,"&lt;7",Base!$N:$N,"&lt;="&amp;$B62) - COUNTIFS(Base!$B:$B,C$11,Base!$S:$S,"&lt;7",Base!$K:$K,"&lt;="&amp;$B62,Base!$O:$O,"Finalizado"))/(COUNTIFS(Base!$B:$B,C$11,Base!$S:$S,"&lt;&gt;",Base!$N:$N,"&lt;="&amp;$B62)+COUNTIFS(Base!$B:$B,C$11,Base!$S:$S,"&lt;7",Base!$K:$K,"&lt;="&amp;$B62,Base!$O:$O,"Finalizado"))</f>
        <v>0</v>
      </c>
      <c r="Z62" s="133">
        <f>(COUNTIFS(Base!$B:$B,D$11,Base!$S:$S,"&gt;8",Base!$N:$N,"&lt;="&amp;$B62) - COUNTIFS(Base!$B:$B,D$11,Base!$S:$S,"&lt;7",Base!$N:$N,"&lt;="&amp;$B62) - COUNTIFS(Base!$B:$B,D$11,Base!$S:$S,"&lt;7",Base!$K:$K,"&lt;="&amp;$B62,Base!$O:$O,"Finalizado"))/(COUNTIFS(Base!$B:$B,D$11,Base!$S:$S,"&lt;&gt;",Base!$N:$N,"&lt;="&amp;$B62)+COUNTIFS(Base!$B:$B,D$11,Base!$S:$S,"&lt;7",Base!$K:$K,"&lt;="&amp;$B62,Base!$O:$O,"Finalizado"))</f>
        <v>0.3333333333</v>
      </c>
      <c r="AA62" s="133">
        <f>(COUNTIFS(Base!$B:$B,E$11,Base!$S:$S,"&gt;8",Base!$N:$N,"&lt;="&amp;$B62) - COUNTIFS(Base!$B:$B,E$11,Base!$S:$S,"&lt;7",Base!$N:$N,"&lt;="&amp;$B62) - COUNTIFS(Base!$B:$B,E$11,Base!$S:$S,"&lt;7",Base!$K:$K,"&lt;="&amp;$B62,Base!$O:$O,"Finalizado"))/(COUNTIFS(Base!$B:$B,E$11,Base!$S:$S,"&lt;&gt;",Base!$N:$N,"&lt;="&amp;$B62)+COUNTIFS(Base!$B:$B,E$11,Base!$S:$S,"&lt;7",Base!$K:$K,"&lt;="&amp;$B62,Base!$O:$O,"Finalizado"))</f>
        <v>0.25</v>
      </c>
      <c r="AB62" s="133">
        <f t="shared" si="12"/>
        <v>0.6666666667</v>
      </c>
      <c r="AD62" s="93">
        <f>(COUNTIFS(Base!$B:$B,F$11,Base!$S:$S,"&gt;8",Base!$N:$N,"&lt;="&amp;$B62)+(COUNTIFS(Base!$B:$B,F$11,Base!$AG:$AG,"&gt;8",Base!$K:$K,"&lt;="&amp;$B62)))</f>
        <v>2</v>
      </c>
      <c r="AE62" s="93">
        <f>(COUNTIFS(Base!$B:$B,F$11,Base!$S:$S,"&lt;&gt;",Base!$N:$N,"&lt;="&amp;$B62)+(COUNTIFS(Base!$B:$B,F$11,Base!$AG:$AG,"&lt;&gt;",Base!$K:$K,"&lt;="&amp;$B62)+COUNTIFS(Base!$B:$B,F$11,Base!$S:$S,"&lt;7",Base!$K:$K,"&lt;="&amp;$B62,Base!$O:$O,"Finalizado")))</f>
        <v>3</v>
      </c>
      <c r="AF62" s="93">
        <f>COUNTIFS(Base!$B:$B,F$11,Base!$S:$S,"&lt;7",Base!$N:$N,"&lt;="&amp;$B62) +COUNTIFS(Base!$B:$B,F$11,Base!$AG:$AG,"&lt;7",Base!$K:$K,"&lt;="&amp;$B62) + COUNTIFS(Base!$B:$B,F$11,Base!$S:$S,"&lt;7",Base!$K:$K,"&lt;="&amp;$B62,Base!$O:$O,"Finalizado")</f>
        <v>0</v>
      </c>
    </row>
    <row r="63">
      <c r="B63" s="151">
        <f t="shared" si="13"/>
        <v>45318</v>
      </c>
      <c r="C63" s="93">
        <f>COUNTIFS(Base!$B:$B,C$11,Base!$M:$M,"&lt;"&amp;$B63,Base!$N:$N,"&gt;="&amp;$B63,Base!$O:$O,"&lt;&gt;Finalizado",Base!$O:$O,"&lt;&gt;Congelado",Base!$O:$O,"&lt;&gt;Concluindo pendências") + COUNTIFS(Base!$B:$B,C$11,Base!$M:$M,"&lt;"&amp;$B63,Base!$N:$N,"",Base!$O:$O,"&lt;&gt;Finalizado",Base!$O:$O,"&lt;&gt;Congelado",Base!$O:$O,"&lt;&gt;Concluindo pendências")</f>
        <v>1</v>
      </c>
      <c r="D63" s="93">
        <f>COUNTIFS(Base!$B:$B,D$11,Base!$M:$M,"&lt;"&amp;$B63,Base!$N:$N,"&gt;="&amp;$B63,Base!$O:$O,"&lt;&gt;Finalizado",Base!$O:$O,"&lt;&gt;Congelado",Base!$O:$O,"&lt;&gt;Concluindo pendências") + COUNTIFS(Base!$B:$B,D$11,Base!$M:$M,"&lt;"&amp;$B63,Base!$N:$N,"",Base!$O:$O,"&lt;&gt;Finalizado",Base!$O:$O,"&lt;&gt;Congelado",Base!$O:$O,"&lt;&gt;Concluindo pendências")</f>
        <v>5</v>
      </c>
      <c r="E63" s="93">
        <f>COUNTIFS(Base!$B:$B,E$11,Base!$M:$M,"&lt;"&amp;$B63,Base!$N:$N,"&gt;="&amp;$B63,Base!$O:$O,"&lt;&gt;Finalizado",Base!$O:$O,"&lt;&gt;Congelado",Base!$O:$O,"&lt;&gt;Concluindo pendências") + COUNTIFS(Base!$B:$B,E$11,Base!$M:$M,"&lt;"&amp;$B63,Base!$N:$N,"",Base!$O:$O,"&lt;&gt;Finalizado",Base!$O:$O,"&lt;&gt;Congelado",Base!$O:$O,"&lt;&gt;Concluindo pendências")</f>
        <v>7</v>
      </c>
      <c r="F63" s="93">
        <f>COUNTIFS(Base!$B:$B,F$11,Base!$M:$M,"&lt;"&amp;$B63,Base!$N:$N,"&gt;="&amp;$B63,Base!$O:$O,"&lt;&gt;Finalizado",Base!$O:$O,"&lt;&gt;Congelado",Base!$O:$O,"&lt;&gt;Concluindo pendências") + COUNTIFS(Base!$B:$B,F$11,Base!$M:$M,"&lt;"&amp;$B63,Base!$N:$N,"",Base!$O:$O,"&lt;&gt;Finalizado",Base!$O:$O,"&lt;&gt;Congelado",Base!$O:$O,"&lt;&gt;Concluindo pendências")</f>
        <v>4</v>
      </c>
      <c r="H63" s="93">
        <f>COUNTIFS(Base!$B:$B,C$11,Base!$K:$K,"&lt;"&amp;$B63,Base!$N:$N,"&gt;="&amp;$B63,Base!$O:$O,"&lt;&gt;Finalizado",Base!$O:$O,"&lt;&gt;Congelado") + COUNTIFS(Base!$B:$B,C$11,Base!$K:$K,"&lt;"&amp;$B63,Base!$N:$N,"",Base!$O:$O,"&lt;&gt;Finalizado",Base!$O:$O,"&lt;&gt;Congelado")</f>
        <v>10</v>
      </c>
      <c r="I63" s="93">
        <f>COUNTIFS(Base!$B:$B,D$11,Base!$K:$K,"&lt;"&amp;$B63,Base!$N:$N,"&gt;="&amp;$B63,Base!$O:$O,"&lt;&gt;Finalizado",Base!$O:$O,"&lt;&gt;Congelado") + COUNTIFS(Base!$B:$B,D$11,Base!$K:$K,"&lt;"&amp;$B63,Base!$N:$N,"",Base!$O:$O,"&lt;&gt;Finalizado",Base!$O:$O,"&lt;&gt;Congelado")</f>
        <v>27</v>
      </c>
      <c r="J63" s="93">
        <f>COUNTIFS(Base!$B:$B,E$11,Base!$K:$K,"&lt;"&amp;$B63,Base!$N:$N,"&gt;="&amp;$B63,Base!$O:$O,"&lt;&gt;Finalizado",Base!$O:$O,"&lt;&gt;Congelado") + COUNTIFS(Base!$B:$B,E$11,Base!$K:$K,"&lt;"&amp;$B63,Base!$N:$N,"",Base!$O:$O,"&lt;&gt;Finalizado",Base!$O:$O,"&lt;&gt;Congelado")</f>
        <v>18</v>
      </c>
      <c r="K63" s="93">
        <f>COUNTIFS(Base!$B:$B,F$11,Base!$K:$K,"&lt;"&amp;$B63,Base!$N:$N,"&gt;="&amp;$B63,Base!$O:$O,"&lt;&gt;Finalizado",Base!$O:$O,"&lt;&gt;Congelado") + COUNTIFS(Base!$B:$B,F$11,Base!$K:$K,"&lt;"&amp;$B63,Base!$N:$N,"",Base!$O:$O,"&lt;&gt;Finalizado",Base!$O:$O,"&lt;&gt;Congelado")</f>
        <v>14</v>
      </c>
      <c r="M63" s="133">
        <f t="shared" ref="M63:P63" si="62">C63/H63</f>
        <v>0.1</v>
      </c>
      <c r="N63" s="133">
        <f t="shared" si="62"/>
        <v>0.1851851852</v>
      </c>
      <c r="O63" s="133">
        <f t="shared" si="62"/>
        <v>0.3888888889</v>
      </c>
      <c r="P63" s="133">
        <f t="shared" si="62"/>
        <v>0.2857142857</v>
      </c>
      <c r="Q63" s="133">
        <f t="shared" si="9"/>
        <v>0.2463768116</v>
      </c>
      <c r="S63" s="93">
        <f t="shared" ref="S63:V63" si="63">S62+C63</f>
        <v>27</v>
      </c>
      <c r="T63" s="93">
        <f t="shared" si="63"/>
        <v>87</v>
      </c>
      <c r="U63" s="93">
        <f t="shared" si="63"/>
        <v>107</v>
      </c>
      <c r="V63" s="93">
        <f t="shared" si="63"/>
        <v>88</v>
      </c>
      <c r="W63" s="93">
        <f t="shared" si="11"/>
        <v>309</v>
      </c>
      <c r="Y63" s="133">
        <f>(COUNTIFS(Base!$B:$B,C$11,Base!$S:$S,"&gt;8",Base!$N:$N,"&lt;="&amp;$B63) - COUNTIFS(Base!$B:$B,C$11,Base!$S:$S,"&lt;7",Base!$N:$N,"&lt;="&amp;$B63) - COUNTIFS(Base!$B:$B,C$11,Base!$S:$S,"&lt;7",Base!$K:$K,"&lt;="&amp;$B63,Base!$O:$O,"Finalizado"))/(COUNTIFS(Base!$B:$B,C$11,Base!$S:$S,"&lt;&gt;",Base!$N:$N,"&lt;="&amp;$B63)+COUNTIFS(Base!$B:$B,C$11,Base!$S:$S,"&lt;7",Base!$K:$K,"&lt;="&amp;$B63,Base!$O:$O,"Finalizado"))</f>
        <v>0</v>
      </c>
      <c r="Z63" s="133">
        <f>(COUNTIFS(Base!$B:$B,D$11,Base!$S:$S,"&gt;8",Base!$N:$N,"&lt;="&amp;$B63) - COUNTIFS(Base!$B:$B,D$11,Base!$S:$S,"&lt;7",Base!$N:$N,"&lt;="&amp;$B63) - COUNTIFS(Base!$B:$B,D$11,Base!$S:$S,"&lt;7",Base!$K:$K,"&lt;="&amp;$B63,Base!$O:$O,"Finalizado"))/(COUNTIFS(Base!$B:$B,D$11,Base!$S:$S,"&lt;&gt;",Base!$N:$N,"&lt;="&amp;$B63)+COUNTIFS(Base!$B:$B,D$11,Base!$S:$S,"&lt;7",Base!$K:$K,"&lt;="&amp;$B63,Base!$O:$O,"Finalizado"))</f>
        <v>0.3333333333</v>
      </c>
      <c r="AA63" s="133">
        <f>(COUNTIFS(Base!$B:$B,E$11,Base!$S:$S,"&gt;8",Base!$N:$N,"&lt;="&amp;$B63) - COUNTIFS(Base!$B:$B,E$11,Base!$S:$S,"&lt;7",Base!$N:$N,"&lt;="&amp;$B63) - COUNTIFS(Base!$B:$B,E$11,Base!$S:$S,"&lt;7",Base!$K:$K,"&lt;="&amp;$B63,Base!$O:$O,"Finalizado"))/(COUNTIFS(Base!$B:$B,E$11,Base!$S:$S,"&lt;&gt;",Base!$N:$N,"&lt;="&amp;$B63)+COUNTIFS(Base!$B:$B,E$11,Base!$S:$S,"&lt;7",Base!$K:$K,"&lt;="&amp;$B63,Base!$O:$O,"Finalizado"))</f>
        <v>0.25</v>
      </c>
      <c r="AB63" s="133">
        <f t="shared" si="12"/>
        <v>0.6666666667</v>
      </c>
      <c r="AD63" s="93">
        <f>(COUNTIFS(Base!$B:$B,F$11,Base!$S:$S,"&gt;8",Base!$N:$N,"&lt;="&amp;$B63)+(COUNTIFS(Base!$B:$B,F$11,Base!$AG:$AG,"&gt;8",Base!$K:$K,"&lt;="&amp;$B63)))</f>
        <v>2</v>
      </c>
      <c r="AE63" s="93">
        <f>(COUNTIFS(Base!$B:$B,F$11,Base!$S:$S,"&lt;&gt;",Base!$N:$N,"&lt;="&amp;$B63)+(COUNTIFS(Base!$B:$B,F$11,Base!$AG:$AG,"&lt;&gt;",Base!$K:$K,"&lt;="&amp;$B63)+COUNTIFS(Base!$B:$B,F$11,Base!$S:$S,"&lt;7",Base!$K:$K,"&lt;="&amp;$B63,Base!$O:$O,"Finalizado")))</f>
        <v>3</v>
      </c>
      <c r="AF63" s="93">
        <f>COUNTIFS(Base!$B:$B,F$11,Base!$S:$S,"&lt;7",Base!$N:$N,"&lt;="&amp;$B63) +COUNTIFS(Base!$B:$B,F$11,Base!$AG:$AG,"&lt;7",Base!$K:$K,"&lt;="&amp;$B63) + COUNTIFS(Base!$B:$B,F$11,Base!$S:$S,"&lt;7",Base!$K:$K,"&lt;="&amp;$B63,Base!$O:$O,"Finalizado")</f>
        <v>0</v>
      </c>
    </row>
    <row r="64">
      <c r="B64" s="151">
        <f t="shared" si="13"/>
        <v>45319</v>
      </c>
      <c r="C64" s="93">
        <f>COUNTIFS(Base!$B:$B,C$11,Base!$M:$M,"&lt;"&amp;$B64,Base!$N:$N,"&gt;="&amp;$B64,Base!$O:$O,"&lt;&gt;Finalizado",Base!$O:$O,"&lt;&gt;Congelado",Base!$O:$O,"&lt;&gt;Concluindo pendências") + COUNTIFS(Base!$B:$B,C$11,Base!$M:$M,"&lt;"&amp;$B64,Base!$N:$N,"",Base!$O:$O,"&lt;&gt;Finalizado",Base!$O:$O,"&lt;&gt;Congelado",Base!$O:$O,"&lt;&gt;Concluindo pendências")</f>
        <v>1</v>
      </c>
      <c r="D64" s="93">
        <f>COUNTIFS(Base!$B:$B,D$11,Base!$M:$M,"&lt;"&amp;$B64,Base!$N:$N,"&gt;="&amp;$B64,Base!$O:$O,"&lt;&gt;Finalizado",Base!$O:$O,"&lt;&gt;Congelado",Base!$O:$O,"&lt;&gt;Concluindo pendências") + COUNTIFS(Base!$B:$B,D$11,Base!$M:$M,"&lt;"&amp;$B64,Base!$N:$N,"",Base!$O:$O,"&lt;&gt;Finalizado",Base!$O:$O,"&lt;&gt;Congelado",Base!$O:$O,"&lt;&gt;Concluindo pendências")</f>
        <v>5</v>
      </c>
      <c r="E64" s="93">
        <f>COUNTIFS(Base!$B:$B,E$11,Base!$M:$M,"&lt;"&amp;$B64,Base!$N:$N,"&gt;="&amp;$B64,Base!$O:$O,"&lt;&gt;Finalizado",Base!$O:$O,"&lt;&gt;Congelado",Base!$O:$O,"&lt;&gt;Concluindo pendências") + COUNTIFS(Base!$B:$B,E$11,Base!$M:$M,"&lt;"&amp;$B64,Base!$N:$N,"",Base!$O:$O,"&lt;&gt;Finalizado",Base!$O:$O,"&lt;&gt;Congelado",Base!$O:$O,"&lt;&gt;Concluindo pendências")</f>
        <v>7</v>
      </c>
      <c r="F64" s="93">
        <f>COUNTIFS(Base!$B:$B,F$11,Base!$M:$M,"&lt;"&amp;$B64,Base!$N:$N,"&gt;="&amp;$B64,Base!$O:$O,"&lt;&gt;Finalizado",Base!$O:$O,"&lt;&gt;Congelado",Base!$O:$O,"&lt;&gt;Concluindo pendências") + COUNTIFS(Base!$B:$B,F$11,Base!$M:$M,"&lt;"&amp;$B64,Base!$N:$N,"",Base!$O:$O,"&lt;&gt;Finalizado",Base!$O:$O,"&lt;&gt;Congelado",Base!$O:$O,"&lt;&gt;Concluindo pendências")</f>
        <v>4</v>
      </c>
      <c r="H64" s="93">
        <f>COUNTIFS(Base!$B:$B,C$11,Base!$K:$K,"&lt;"&amp;$B64,Base!$N:$N,"&gt;="&amp;$B64,Base!$O:$O,"&lt;&gt;Finalizado",Base!$O:$O,"&lt;&gt;Congelado") + COUNTIFS(Base!$B:$B,C$11,Base!$K:$K,"&lt;"&amp;$B64,Base!$N:$N,"",Base!$O:$O,"&lt;&gt;Finalizado",Base!$O:$O,"&lt;&gt;Congelado")</f>
        <v>10</v>
      </c>
      <c r="I64" s="93">
        <f>COUNTIFS(Base!$B:$B,D$11,Base!$K:$K,"&lt;"&amp;$B64,Base!$N:$N,"&gt;="&amp;$B64,Base!$O:$O,"&lt;&gt;Finalizado",Base!$O:$O,"&lt;&gt;Congelado") + COUNTIFS(Base!$B:$B,D$11,Base!$K:$K,"&lt;"&amp;$B64,Base!$N:$N,"",Base!$O:$O,"&lt;&gt;Finalizado",Base!$O:$O,"&lt;&gt;Congelado")</f>
        <v>27</v>
      </c>
      <c r="J64" s="93">
        <f>COUNTIFS(Base!$B:$B,E$11,Base!$K:$K,"&lt;"&amp;$B64,Base!$N:$N,"&gt;="&amp;$B64,Base!$O:$O,"&lt;&gt;Finalizado",Base!$O:$O,"&lt;&gt;Congelado") + COUNTIFS(Base!$B:$B,E$11,Base!$K:$K,"&lt;"&amp;$B64,Base!$N:$N,"",Base!$O:$O,"&lt;&gt;Finalizado",Base!$O:$O,"&lt;&gt;Congelado")</f>
        <v>18</v>
      </c>
      <c r="K64" s="93">
        <f>COUNTIFS(Base!$B:$B,F$11,Base!$K:$K,"&lt;"&amp;$B64,Base!$N:$N,"&gt;="&amp;$B64,Base!$O:$O,"&lt;&gt;Finalizado",Base!$O:$O,"&lt;&gt;Congelado") + COUNTIFS(Base!$B:$B,F$11,Base!$K:$K,"&lt;"&amp;$B64,Base!$N:$N,"",Base!$O:$O,"&lt;&gt;Finalizado",Base!$O:$O,"&lt;&gt;Congelado")</f>
        <v>14</v>
      </c>
      <c r="M64" s="133">
        <f t="shared" ref="M64:P64" si="64">C64/H64</f>
        <v>0.1</v>
      </c>
      <c r="N64" s="133">
        <f t="shared" si="64"/>
        <v>0.1851851852</v>
      </c>
      <c r="O64" s="133">
        <f t="shared" si="64"/>
        <v>0.3888888889</v>
      </c>
      <c r="P64" s="133">
        <f t="shared" si="64"/>
        <v>0.2857142857</v>
      </c>
      <c r="Q64" s="133">
        <f t="shared" si="9"/>
        <v>0.2463768116</v>
      </c>
      <c r="S64" s="93">
        <f t="shared" ref="S64:V64" si="65">S63+C64</f>
        <v>28</v>
      </c>
      <c r="T64" s="93">
        <f t="shared" si="65"/>
        <v>92</v>
      </c>
      <c r="U64" s="93">
        <f t="shared" si="65"/>
        <v>114</v>
      </c>
      <c r="V64" s="93">
        <f t="shared" si="65"/>
        <v>92</v>
      </c>
      <c r="W64" s="93">
        <f t="shared" si="11"/>
        <v>326</v>
      </c>
      <c r="Y64" s="133">
        <f>(COUNTIFS(Base!$B:$B,C$11,Base!$S:$S,"&gt;8",Base!$N:$N,"&lt;="&amp;$B64) - COUNTIFS(Base!$B:$B,C$11,Base!$S:$S,"&lt;7",Base!$N:$N,"&lt;="&amp;$B64) - COUNTIFS(Base!$B:$B,C$11,Base!$S:$S,"&lt;7",Base!$K:$K,"&lt;="&amp;$B64,Base!$O:$O,"Finalizado"))/(COUNTIFS(Base!$B:$B,C$11,Base!$S:$S,"&lt;&gt;",Base!$N:$N,"&lt;="&amp;$B64)+COUNTIFS(Base!$B:$B,C$11,Base!$S:$S,"&lt;7",Base!$K:$K,"&lt;="&amp;$B64,Base!$O:$O,"Finalizado"))</f>
        <v>0</v>
      </c>
      <c r="Z64" s="133">
        <f>(COUNTIFS(Base!$B:$B,D$11,Base!$S:$S,"&gt;8",Base!$N:$N,"&lt;="&amp;$B64) - COUNTIFS(Base!$B:$B,D$11,Base!$S:$S,"&lt;7",Base!$N:$N,"&lt;="&amp;$B64) - COUNTIFS(Base!$B:$B,D$11,Base!$S:$S,"&lt;7",Base!$K:$K,"&lt;="&amp;$B64,Base!$O:$O,"Finalizado"))/(COUNTIFS(Base!$B:$B,D$11,Base!$S:$S,"&lt;&gt;",Base!$N:$N,"&lt;="&amp;$B64)+COUNTIFS(Base!$B:$B,D$11,Base!$S:$S,"&lt;7",Base!$K:$K,"&lt;="&amp;$B64,Base!$O:$O,"Finalizado"))</f>
        <v>0.3333333333</v>
      </c>
      <c r="AA64" s="133">
        <f>(COUNTIFS(Base!$B:$B,E$11,Base!$S:$S,"&gt;8",Base!$N:$N,"&lt;="&amp;$B64) - COUNTIFS(Base!$B:$B,E$11,Base!$S:$S,"&lt;7",Base!$N:$N,"&lt;="&amp;$B64) - COUNTIFS(Base!$B:$B,E$11,Base!$S:$S,"&lt;7",Base!$K:$K,"&lt;="&amp;$B64,Base!$O:$O,"Finalizado"))/(COUNTIFS(Base!$B:$B,E$11,Base!$S:$S,"&lt;&gt;",Base!$N:$N,"&lt;="&amp;$B64)+COUNTIFS(Base!$B:$B,E$11,Base!$S:$S,"&lt;7",Base!$K:$K,"&lt;="&amp;$B64,Base!$O:$O,"Finalizado"))</f>
        <v>0.25</v>
      </c>
      <c r="AB64" s="133">
        <f t="shared" si="12"/>
        <v>0.6666666667</v>
      </c>
      <c r="AD64" s="93">
        <f>(COUNTIFS(Base!$B:$B,F$11,Base!$S:$S,"&gt;8",Base!$N:$N,"&lt;="&amp;$B64)+(COUNTIFS(Base!$B:$B,F$11,Base!$AG:$AG,"&gt;8",Base!$K:$K,"&lt;="&amp;$B64)))</f>
        <v>2</v>
      </c>
      <c r="AE64" s="93">
        <f>(COUNTIFS(Base!$B:$B,F$11,Base!$S:$S,"&lt;&gt;",Base!$N:$N,"&lt;="&amp;$B64)+(COUNTIFS(Base!$B:$B,F$11,Base!$AG:$AG,"&lt;&gt;",Base!$K:$K,"&lt;="&amp;$B64)+COUNTIFS(Base!$B:$B,F$11,Base!$S:$S,"&lt;7",Base!$K:$K,"&lt;="&amp;$B64,Base!$O:$O,"Finalizado")))</f>
        <v>3</v>
      </c>
      <c r="AF64" s="93">
        <f>COUNTIFS(Base!$B:$B,F$11,Base!$S:$S,"&lt;7",Base!$N:$N,"&lt;="&amp;$B64) +COUNTIFS(Base!$B:$B,F$11,Base!$AG:$AG,"&lt;7",Base!$K:$K,"&lt;="&amp;$B64) + COUNTIFS(Base!$B:$B,F$11,Base!$S:$S,"&lt;7",Base!$K:$K,"&lt;="&amp;$B64,Base!$O:$O,"Finalizado")</f>
        <v>0</v>
      </c>
    </row>
    <row r="65">
      <c r="B65" s="151">
        <f t="shared" si="13"/>
        <v>45320</v>
      </c>
      <c r="C65" s="93">
        <f>COUNTIFS(Base!$B:$B,C$11,Base!$M:$M,"&lt;"&amp;$B65,Base!$N:$N,"&gt;="&amp;$B65,Base!$O:$O,"&lt;&gt;Finalizado",Base!$O:$O,"&lt;&gt;Congelado",Base!$O:$O,"&lt;&gt;Concluindo pendências") + COUNTIFS(Base!$B:$B,C$11,Base!$M:$M,"&lt;"&amp;$B65,Base!$N:$N,"",Base!$O:$O,"&lt;&gt;Finalizado",Base!$O:$O,"&lt;&gt;Congelado",Base!$O:$O,"&lt;&gt;Concluindo pendências")</f>
        <v>1</v>
      </c>
      <c r="D65" s="93">
        <f>COUNTIFS(Base!$B:$B,D$11,Base!$M:$M,"&lt;"&amp;$B65,Base!$N:$N,"&gt;="&amp;$B65,Base!$O:$O,"&lt;&gt;Finalizado",Base!$O:$O,"&lt;&gt;Congelado",Base!$O:$O,"&lt;&gt;Concluindo pendências") + COUNTIFS(Base!$B:$B,D$11,Base!$M:$M,"&lt;"&amp;$B65,Base!$N:$N,"",Base!$O:$O,"&lt;&gt;Finalizado",Base!$O:$O,"&lt;&gt;Congelado",Base!$O:$O,"&lt;&gt;Concluindo pendências")</f>
        <v>5</v>
      </c>
      <c r="E65" s="93">
        <f>COUNTIFS(Base!$B:$B,E$11,Base!$M:$M,"&lt;"&amp;$B65,Base!$N:$N,"&gt;="&amp;$B65,Base!$O:$O,"&lt;&gt;Finalizado",Base!$O:$O,"&lt;&gt;Congelado",Base!$O:$O,"&lt;&gt;Concluindo pendências") + COUNTIFS(Base!$B:$B,E$11,Base!$M:$M,"&lt;"&amp;$B65,Base!$N:$N,"",Base!$O:$O,"&lt;&gt;Finalizado",Base!$O:$O,"&lt;&gt;Congelado",Base!$O:$O,"&lt;&gt;Concluindo pendências")</f>
        <v>7</v>
      </c>
      <c r="F65" s="93">
        <f>COUNTIFS(Base!$B:$B,F$11,Base!$M:$M,"&lt;"&amp;$B65,Base!$N:$N,"&gt;="&amp;$B65,Base!$O:$O,"&lt;&gt;Finalizado",Base!$O:$O,"&lt;&gt;Congelado",Base!$O:$O,"&lt;&gt;Concluindo pendências") + COUNTIFS(Base!$B:$B,F$11,Base!$M:$M,"&lt;"&amp;$B65,Base!$N:$N,"",Base!$O:$O,"&lt;&gt;Finalizado",Base!$O:$O,"&lt;&gt;Congelado",Base!$O:$O,"&lt;&gt;Concluindo pendências")</f>
        <v>4</v>
      </c>
      <c r="H65" s="93">
        <f>COUNTIFS(Base!$B:$B,C$11,Base!$K:$K,"&lt;"&amp;$B65,Base!$N:$N,"&gt;="&amp;$B65,Base!$O:$O,"&lt;&gt;Finalizado",Base!$O:$O,"&lt;&gt;Congelado") + COUNTIFS(Base!$B:$B,C$11,Base!$K:$K,"&lt;"&amp;$B65,Base!$N:$N,"",Base!$O:$O,"&lt;&gt;Finalizado",Base!$O:$O,"&lt;&gt;Congelado")</f>
        <v>10</v>
      </c>
      <c r="I65" s="93">
        <f>COUNTIFS(Base!$B:$B,D$11,Base!$K:$K,"&lt;"&amp;$B65,Base!$N:$N,"&gt;="&amp;$B65,Base!$O:$O,"&lt;&gt;Finalizado",Base!$O:$O,"&lt;&gt;Congelado") + COUNTIFS(Base!$B:$B,D$11,Base!$K:$K,"&lt;"&amp;$B65,Base!$N:$N,"",Base!$O:$O,"&lt;&gt;Finalizado",Base!$O:$O,"&lt;&gt;Congelado")</f>
        <v>27</v>
      </c>
      <c r="J65" s="93">
        <f>COUNTIFS(Base!$B:$B,E$11,Base!$K:$K,"&lt;"&amp;$B65,Base!$N:$N,"&gt;="&amp;$B65,Base!$O:$O,"&lt;&gt;Finalizado",Base!$O:$O,"&lt;&gt;Congelado") + COUNTIFS(Base!$B:$B,E$11,Base!$K:$K,"&lt;"&amp;$B65,Base!$N:$N,"",Base!$O:$O,"&lt;&gt;Finalizado",Base!$O:$O,"&lt;&gt;Congelado")</f>
        <v>18</v>
      </c>
      <c r="K65" s="93">
        <f>COUNTIFS(Base!$B:$B,F$11,Base!$K:$K,"&lt;"&amp;$B65,Base!$N:$N,"&gt;="&amp;$B65,Base!$O:$O,"&lt;&gt;Finalizado",Base!$O:$O,"&lt;&gt;Congelado") + COUNTIFS(Base!$B:$B,F$11,Base!$K:$K,"&lt;"&amp;$B65,Base!$N:$N,"",Base!$O:$O,"&lt;&gt;Finalizado",Base!$O:$O,"&lt;&gt;Congelado")</f>
        <v>14</v>
      </c>
      <c r="M65" s="133">
        <f t="shared" ref="M65:P65" si="66">C65/H65</f>
        <v>0.1</v>
      </c>
      <c r="N65" s="133">
        <f t="shared" si="66"/>
        <v>0.1851851852</v>
      </c>
      <c r="O65" s="133">
        <f t="shared" si="66"/>
        <v>0.3888888889</v>
      </c>
      <c r="P65" s="133">
        <f t="shared" si="66"/>
        <v>0.2857142857</v>
      </c>
      <c r="Q65" s="133">
        <f t="shared" si="9"/>
        <v>0.2463768116</v>
      </c>
      <c r="S65" s="93">
        <f t="shared" ref="S65:V65" si="67">S64+C65</f>
        <v>29</v>
      </c>
      <c r="T65" s="93">
        <f t="shared" si="67"/>
        <v>97</v>
      </c>
      <c r="U65" s="93">
        <f t="shared" si="67"/>
        <v>121</v>
      </c>
      <c r="V65" s="93">
        <f t="shared" si="67"/>
        <v>96</v>
      </c>
      <c r="W65" s="93">
        <f t="shared" si="11"/>
        <v>343</v>
      </c>
      <c r="Y65" s="133">
        <f>(COUNTIFS(Base!$B:$B,C$11,Base!$S:$S,"&gt;8",Base!$N:$N,"&lt;="&amp;$B65) - COUNTIFS(Base!$B:$B,C$11,Base!$S:$S,"&lt;7",Base!$N:$N,"&lt;="&amp;$B65) - COUNTIFS(Base!$B:$B,C$11,Base!$S:$S,"&lt;7",Base!$K:$K,"&lt;="&amp;$B65,Base!$O:$O,"Finalizado"))/(COUNTIFS(Base!$B:$B,C$11,Base!$S:$S,"&lt;&gt;",Base!$N:$N,"&lt;="&amp;$B65)+COUNTIFS(Base!$B:$B,C$11,Base!$S:$S,"&lt;7",Base!$K:$K,"&lt;="&amp;$B65,Base!$O:$O,"Finalizado"))</f>
        <v>0</v>
      </c>
      <c r="Z65" s="133">
        <f>(COUNTIFS(Base!$B:$B,D$11,Base!$S:$S,"&gt;8",Base!$N:$N,"&lt;="&amp;$B65) - COUNTIFS(Base!$B:$B,D$11,Base!$S:$S,"&lt;7",Base!$N:$N,"&lt;="&amp;$B65) - COUNTIFS(Base!$B:$B,D$11,Base!$S:$S,"&lt;7",Base!$K:$K,"&lt;="&amp;$B65,Base!$O:$O,"Finalizado"))/(COUNTIFS(Base!$B:$B,D$11,Base!$S:$S,"&lt;&gt;",Base!$N:$N,"&lt;="&amp;$B65)+COUNTIFS(Base!$B:$B,D$11,Base!$S:$S,"&lt;7",Base!$K:$K,"&lt;="&amp;$B65,Base!$O:$O,"Finalizado"))</f>
        <v>0.3333333333</v>
      </c>
      <c r="AA65" s="133">
        <f>(COUNTIFS(Base!$B:$B,E$11,Base!$S:$S,"&gt;8",Base!$N:$N,"&lt;="&amp;$B65) - COUNTIFS(Base!$B:$B,E$11,Base!$S:$S,"&lt;7",Base!$N:$N,"&lt;="&amp;$B65) - COUNTIFS(Base!$B:$B,E$11,Base!$S:$S,"&lt;7",Base!$K:$K,"&lt;="&amp;$B65,Base!$O:$O,"Finalizado"))/(COUNTIFS(Base!$B:$B,E$11,Base!$S:$S,"&lt;&gt;",Base!$N:$N,"&lt;="&amp;$B65)+COUNTIFS(Base!$B:$B,E$11,Base!$S:$S,"&lt;7",Base!$K:$K,"&lt;="&amp;$B65,Base!$O:$O,"Finalizado"))</f>
        <v>0.25</v>
      </c>
      <c r="AB65" s="133">
        <f t="shared" si="12"/>
        <v>0.6666666667</v>
      </c>
      <c r="AD65" s="93">
        <f>(COUNTIFS(Base!$B:$B,F$11,Base!$S:$S,"&gt;8",Base!$N:$N,"&lt;="&amp;$B65)+(COUNTIFS(Base!$B:$B,F$11,Base!$AG:$AG,"&gt;8",Base!$K:$K,"&lt;="&amp;$B65)))</f>
        <v>2</v>
      </c>
      <c r="AE65" s="93">
        <f>(COUNTIFS(Base!$B:$B,F$11,Base!$S:$S,"&lt;&gt;",Base!$N:$N,"&lt;="&amp;$B65)+(COUNTIFS(Base!$B:$B,F$11,Base!$AG:$AG,"&lt;&gt;",Base!$K:$K,"&lt;="&amp;$B65)+COUNTIFS(Base!$B:$B,F$11,Base!$S:$S,"&lt;7",Base!$K:$K,"&lt;="&amp;$B65,Base!$O:$O,"Finalizado")))</f>
        <v>3</v>
      </c>
      <c r="AF65" s="93">
        <f>COUNTIFS(Base!$B:$B,F$11,Base!$S:$S,"&lt;7",Base!$N:$N,"&lt;="&amp;$B65) +COUNTIFS(Base!$B:$B,F$11,Base!$AG:$AG,"&lt;7",Base!$K:$K,"&lt;="&amp;$B65) + COUNTIFS(Base!$B:$B,F$11,Base!$S:$S,"&lt;7",Base!$K:$K,"&lt;="&amp;$B65,Base!$O:$O,"Finalizado")</f>
        <v>0</v>
      </c>
    </row>
    <row r="66">
      <c r="B66" s="151">
        <f t="shared" si="13"/>
        <v>45321</v>
      </c>
      <c r="C66" s="93">
        <f>COUNTIFS(Base!$B:$B,C$11,Base!$M:$M,"&lt;"&amp;$B66,Base!$N:$N,"&gt;="&amp;$B66,Base!$O:$O,"&lt;&gt;Finalizado",Base!$O:$O,"&lt;&gt;Congelado",Base!$O:$O,"&lt;&gt;Concluindo pendências") + COUNTIFS(Base!$B:$B,C$11,Base!$M:$M,"&lt;"&amp;$B66,Base!$N:$N,"",Base!$O:$O,"&lt;&gt;Finalizado",Base!$O:$O,"&lt;&gt;Congelado",Base!$O:$O,"&lt;&gt;Concluindo pendências")</f>
        <v>1</v>
      </c>
      <c r="D66" s="93">
        <f>COUNTIFS(Base!$B:$B,D$11,Base!$M:$M,"&lt;"&amp;$B66,Base!$N:$N,"&gt;="&amp;$B66,Base!$O:$O,"&lt;&gt;Finalizado",Base!$O:$O,"&lt;&gt;Congelado",Base!$O:$O,"&lt;&gt;Concluindo pendências") + COUNTIFS(Base!$B:$B,D$11,Base!$M:$M,"&lt;"&amp;$B66,Base!$N:$N,"",Base!$O:$O,"&lt;&gt;Finalizado",Base!$O:$O,"&lt;&gt;Congelado",Base!$O:$O,"&lt;&gt;Concluindo pendências")</f>
        <v>6</v>
      </c>
      <c r="E66" s="93">
        <f>COUNTIFS(Base!$B:$B,E$11,Base!$M:$M,"&lt;"&amp;$B66,Base!$N:$N,"&gt;="&amp;$B66,Base!$O:$O,"&lt;&gt;Finalizado",Base!$O:$O,"&lt;&gt;Congelado",Base!$O:$O,"&lt;&gt;Concluindo pendências") + COUNTIFS(Base!$B:$B,E$11,Base!$M:$M,"&lt;"&amp;$B66,Base!$N:$N,"",Base!$O:$O,"&lt;&gt;Finalizado",Base!$O:$O,"&lt;&gt;Congelado",Base!$O:$O,"&lt;&gt;Concluindo pendências")</f>
        <v>7</v>
      </c>
      <c r="F66" s="93">
        <f>COUNTIFS(Base!$B:$B,F$11,Base!$M:$M,"&lt;"&amp;$B66,Base!$N:$N,"&gt;="&amp;$B66,Base!$O:$O,"&lt;&gt;Finalizado",Base!$O:$O,"&lt;&gt;Congelado",Base!$O:$O,"&lt;&gt;Concluindo pendências") + COUNTIFS(Base!$B:$B,F$11,Base!$M:$M,"&lt;"&amp;$B66,Base!$N:$N,"",Base!$O:$O,"&lt;&gt;Finalizado",Base!$O:$O,"&lt;&gt;Congelado",Base!$O:$O,"&lt;&gt;Concluindo pendências")</f>
        <v>4</v>
      </c>
      <c r="H66" s="93">
        <f>COUNTIFS(Base!$B:$B,C$11,Base!$K:$K,"&lt;"&amp;$B66,Base!$N:$N,"&gt;="&amp;$B66,Base!$O:$O,"&lt;&gt;Finalizado",Base!$O:$O,"&lt;&gt;Congelado") + COUNTIFS(Base!$B:$B,C$11,Base!$K:$K,"&lt;"&amp;$B66,Base!$N:$N,"",Base!$O:$O,"&lt;&gt;Finalizado",Base!$O:$O,"&lt;&gt;Congelado")</f>
        <v>11</v>
      </c>
      <c r="I66" s="93">
        <f>COUNTIFS(Base!$B:$B,D$11,Base!$K:$K,"&lt;"&amp;$B66,Base!$N:$N,"&gt;="&amp;$B66,Base!$O:$O,"&lt;&gt;Finalizado",Base!$O:$O,"&lt;&gt;Congelado") + COUNTIFS(Base!$B:$B,D$11,Base!$K:$K,"&lt;"&amp;$B66,Base!$N:$N,"",Base!$O:$O,"&lt;&gt;Finalizado",Base!$O:$O,"&lt;&gt;Congelado")</f>
        <v>27</v>
      </c>
      <c r="J66" s="93">
        <f>COUNTIFS(Base!$B:$B,E$11,Base!$K:$K,"&lt;"&amp;$B66,Base!$N:$N,"&gt;="&amp;$B66,Base!$O:$O,"&lt;&gt;Finalizado",Base!$O:$O,"&lt;&gt;Congelado") + COUNTIFS(Base!$B:$B,E$11,Base!$K:$K,"&lt;"&amp;$B66,Base!$N:$N,"",Base!$O:$O,"&lt;&gt;Finalizado",Base!$O:$O,"&lt;&gt;Congelado")</f>
        <v>18</v>
      </c>
      <c r="K66" s="93">
        <f>COUNTIFS(Base!$B:$B,F$11,Base!$K:$K,"&lt;"&amp;$B66,Base!$N:$N,"&gt;="&amp;$B66,Base!$O:$O,"&lt;&gt;Finalizado",Base!$O:$O,"&lt;&gt;Congelado") + COUNTIFS(Base!$B:$B,F$11,Base!$K:$K,"&lt;"&amp;$B66,Base!$N:$N,"",Base!$O:$O,"&lt;&gt;Finalizado",Base!$O:$O,"&lt;&gt;Congelado")</f>
        <v>14</v>
      </c>
      <c r="M66" s="133">
        <f t="shared" ref="M66:P66" si="68">C66/H66</f>
        <v>0.09090909091</v>
      </c>
      <c r="N66" s="133">
        <f t="shared" si="68"/>
        <v>0.2222222222</v>
      </c>
      <c r="O66" s="133">
        <f t="shared" si="68"/>
        <v>0.3888888889</v>
      </c>
      <c r="P66" s="133">
        <f t="shared" si="68"/>
        <v>0.2857142857</v>
      </c>
      <c r="Q66" s="133">
        <f t="shared" si="9"/>
        <v>0.2571428571</v>
      </c>
      <c r="S66" s="93">
        <f t="shared" ref="S66:V66" si="69">S65+C66</f>
        <v>30</v>
      </c>
      <c r="T66" s="93">
        <f t="shared" si="69"/>
        <v>103</v>
      </c>
      <c r="U66" s="93">
        <f t="shared" si="69"/>
        <v>128</v>
      </c>
      <c r="V66" s="93">
        <f t="shared" si="69"/>
        <v>100</v>
      </c>
      <c r="W66" s="93">
        <f t="shared" si="11"/>
        <v>361</v>
      </c>
      <c r="Y66" s="133">
        <f>(COUNTIFS(Base!$B:$B,C$11,Base!$S:$S,"&gt;8",Base!$N:$N,"&lt;="&amp;$B66) - COUNTIFS(Base!$B:$B,C$11,Base!$S:$S,"&lt;7",Base!$N:$N,"&lt;="&amp;$B66) - COUNTIFS(Base!$B:$B,C$11,Base!$S:$S,"&lt;7",Base!$K:$K,"&lt;="&amp;$B66,Base!$O:$O,"Finalizado"))/(COUNTIFS(Base!$B:$B,C$11,Base!$S:$S,"&lt;&gt;",Base!$N:$N,"&lt;="&amp;$B66)+COUNTIFS(Base!$B:$B,C$11,Base!$S:$S,"&lt;7",Base!$K:$K,"&lt;="&amp;$B66,Base!$O:$O,"Finalizado"))</f>
        <v>0</v>
      </c>
      <c r="Z66" s="133">
        <f>(COUNTIFS(Base!$B:$B,D$11,Base!$S:$S,"&gt;8",Base!$N:$N,"&lt;="&amp;$B66) - COUNTIFS(Base!$B:$B,D$11,Base!$S:$S,"&lt;7",Base!$N:$N,"&lt;="&amp;$B66) - COUNTIFS(Base!$B:$B,D$11,Base!$S:$S,"&lt;7",Base!$K:$K,"&lt;="&amp;$B66,Base!$O:$O,"Finalizado"))/(COUNTIFS(Base!$B:$B,D$11,Base!$S:$S,"&lt;&gt;",Base!$N:$N,"&lt;="&amp;$B66)+COUNTIFS(Base!$B:$B,D$11,Base!$S:$S,"&lt;7",Base!$K:$K,"&lt;="&amp;$B66,Base!$O:$O,"Finalizado"))</f>
        <v>0.3333333333</v>
      </c>
      <c r="AA66" s="133">
        <f>(COUNTIFS(Base!$B:$B,E$11,Base!$S:$S,"&gt;8",Base!$N:$N,"&lt;="&amp;$B66) - COUNTIFS(Base!$B:$B,E$11,Base!$S:$S,"&lt;7",Base!$N:$N,"&lt;="&amp;$B66) - COUNTIFS(Base!$B:$B,E$11,Base!$S:$S,"&lt;7",Base!$K:$K,"&lt;="&amp;$B66,Base!$O:$O,"Finalizado"))/(COUNTIFS(Base!$B:$B,E$11,Base!$S:$S,"&lt;&gt;",Base!$N:$N,"&lt;="&amp;$B66)+COUNTIFS(Base!$B:$B,E$11,Base!$S:$S,"&lt;7",Base!$K:$K,"&lt;="&amp;$B66,Base!$O:$O,"Finalizado"))</f>
        <v>0.25</v>
      </c>
      <c r="AB66" s="133">
        <f t="shared" si="12"/>
        <v>0.6666666667</v>
      </c>
      <c r="AD66" s="93">
        <f>(COUNTIFS(Base!$B:$B,F$11,Base!$S:$S,"&gt;8",Base!$N:$N,"&lt;="&amp;$B66)+(COUNTIFS(Base!$B:$B,F$11,Base!$AG:$AG,"&gt;8",Base!$K:$K,"&lt;="&amp;$B66)))</f>
        <v>2</v>
      </c>
      <c r="AE66" s="93">
        <f>(COUNTIFS(Base!$B:$B,F$11,Base!$S:$S,"&lt;&gt;",Base!$N:$N,"&lt;="&amp;$B66)+(COUNTIFS(Base!$B:$B,F$11,Base!$AG:$AG,"&lt;&gt;",Base!$K:$K,"&lt;="&amp;$B66)+COUNTIFS(Base!$B:$B,F$11,Base!$S:$S,"&lt;7",Base!$K:$K,"&lt;="&amp;$B66,Base!$O:$O,"Finalizado")))</f>
        <v>3</v>
      </c>
      <c r="AF66" s="93">
        <f>COUNTIFS(Base!$B:$B,F$11,Base!$S:$S,"&lt;7",Base!$N:$N,"&lt;="&amp;$B66) +COUNTIFS(Base!$B:$B,F$11,Base!$AG:$AG,"&lt;7",Base!$K:$K,"&lt;="&amp;$B66) + COUNTIFS(Base!$B:$B,F$11,Base!$S:$S,"&lt;7",Base!$K:$K,"&lt;="&amp;$B66,Base!$O:$O,"Finalizado")</f>
        <v>0</v>
      </c>
    </row>
    <row r="67">
      <c r="B67" s="151">
        <f t="shared" si="13"/>
        <v>45322</v>
      </c>
      <c r="C67" s="93">
        <f>COUNTIFS(Base!$B:$B,C$11,Base!$M:$M,"&lt;"&amp;$B67,Base!$N:$N,"&gt;="&amp;$B67,Base!$O:$O,"&lt;&gt;Finalizado",Base!$O:$O,"&lt;&gt;Congelado",Base!$O:$O,"&lt;&gt;Concluindo pendências") + COUNTIFS(Base!$B:$B,C$11,Base!$M:$M,"&lt;"&amp;$B67,Base!$N:$N,"",Base!$O:$O,"&lt;&gt;Finalizado",Base!$O:$O,"&lt;&gt;Congelado",Base!$O:$O,"&lt;&gt;Concluindo pendências")</f>
        <v>1</v>
      </c>
      <c r="D67" s="93">
        <f>COUNTIFS(Base!$B:$B,D$11,Base!$M:$M,"&lt;"&amp;$B67,Base!$N:$N,"&gt;="&amp;$B67,Base!$O:$O,"&lt;&gt;Finalizado",Base!$O:$O,"&lt;&gt;Congelado",Base!$O:$O,"&lt;&gt;Concluindo pendências") + COUNTIFS(Base!$B:$B,D$11,Base!$M:$M,"&lt;"&amp;$B67,Base!$N:$N,"",Base!$O:$O,"&lt;&gt;Finalizado",Base!$O:$O,"&lt;&gt;Congelado",Base!$O:$O,"&lt;&gt;Concluindo pendências")</f>
        <v>6</v>
      </c>
      <c r="E67" s="93">
        <f>COUNTIFS(Base!$B:$B,E$11,Base!$M:$M,"&lt;"&amp;$B67,Base!$N:$N,"&gt;="&amp;$B67,Base!$O:$O,"&lt;&gt;Finalizado",Base!$O:$O,"&lt;&gt;Congelado",Base!$O:$O,"&lt;&gt;Concluindo pendências") + COUNTIFS(Base!$B:$B,E$11,Base!$M:$M,"&lt;"&amp;$B67,Base!$N:$N,"",Base!$O:$O,"&lt;&gt;Finalizado",Base!$O:$O,"&lt;&gt;Congelado",Base!$O:$O,"&lt;&gt;Concluindo pendências")</f>
        <v>7</v>
      </c>
      <c r="F67" s="93">
        <f>COUNTIFS(Base!$B:$B,F$11,Base!$M:$M,"&lt;"&amp;$B67,Base!$N:$N,"&gt;="&amp;$B67,Base!$O:$O,"&lt;&gt;Finalizado",Base!$O:$O,"&lt;&gt;Congelado",Base!$O:$O,"&lt;&gt;Concluindo pendências") + COUNTIFS(Base!$B:$B,F$11,Base!$M:$M,"&lt;"&amp;$B67,Base!$N:$N,"",Base!$O:$O,"&lt;&gt;Finalizado",Base!$O:$O,"&lt;&gt;Congelado",Base!$O:$O,"&lt;&gt;Concluindo pendências")</f>
        <v>4</v>
      </c>
      <c r="H67" s="93">
        <f>COUNTIFS(Base!$B:$B,C$11,Base!$K:$K,"&lt;"&amp;$B67,Base!$N:$N,"&gt;="&amp;$B67,Base!$O:$O,"&lt;&gt;Finalizado",Base!$O:$O,"&lt;&gt;Congelado") + COUNTIFS(Base!$B:$B,C$11,Base!$K:$K,"&lt;"&amp;$B67,Base!$N:$N,"",Base!$O:$O,"&lt;&gt;Finalizado",Base!$O:$O,"&lt;&gt;Congelado")</f>
        <v>12</v>
      </c>
      <c r="I67" s="93">
        <f>COUNTIFS(Base!$B:$B,D$11,Base!$K:$K,"&lt;"&amp;$B67,Base!$N:$N,"&gt;="&amp;$B67,Base!$O:$O,"&lt;&gt;Finalizado",Base!$O:$O,"&lt;&gt;Congelado") + COUNTIFS(Base!$B:$B,D$11,Base!$K:$K,"&lt;"&amp;$B67,Base!$N:$N,"",Base!$O:$O,"&lt;&gt;Finalizado",Base!$O:$O,"&lt;&gt;Congelado")</f>
        <v>27</v>
      </c>
      <c r="J67" s="93">
        <f>COUNTIFS(Base!$B:$B,E$11,Base!$K:$K,"&lt;"&amp;$B67,Base!$N:$N,"&gt;="&amp;$B67,Base!$O:$O,"&lt;&gt;Finalizado",Base!$O:$O,"&lt;&gt;Congelado") + COUNTIFS(Base!$B:$B,E$11,Base!$K:$K,"&lt;"&amp;$B67,Base!$N:$N,"",Base!$O:$O,"&lt;&gt;Finalizado",Base!$O:$O,"&lt;&gt;Congelado")</f>
        <v>19</v>
      </c>
      <c r="K67" s="93">
        <f>COUNTIFS(Base!$B:$B,F$11,Base!$K:$K,"&lt;"&amp;$B67,Base!$N:$N,"&gt;="&amp;$B67,Base!$O:$O,"&lt;&gt;Finalizado",Base!$O:$O,"&lt;&gt;Congelado") + COUNTIFS(Base!$B:$B,F$11,Base!$K:$K,"&lt;"&amp;$B67,Base!$N:$N,"",Base!$O:$O,"&lt;&gt;Finalizado",Base!$O:$O,"&lt;&gt;Congelado")</f>
        <v>15</v>
      </c>
      <c r="M67" s="133">
        <f t="shared" ref="M67:P67" si="70">C67/H67</f>
        <v>0.08333333333</v>
      </c>
      <c r="N67" s="133">
        <f t="shared" si="70"/>
        <v>0.2222222222</v>
      </c>
      <c r="O67" s="133">
        <f t="shared" si="70"/>
        <v>0.3684210526</v>
      </c>
      <c r="P67" s="133">
        <f t="shared" si="70"/>
        <v>0.2666666667</v>
      </c>
      <c r="Q67" s="133">
        <f t="shared" si="9"/>
        <v>0.2465753425</v>
      </c>
      <c r="S67" s="93">
        <f t="shared" ref="S67:V67" si="71">S66+C67</f>
        <v>31</v>
      </c>
      <c r="T67" s="93">
        <f t="shared" si="71"/>
        <v>109</v>
      </c>
      <c r="U67" s="93">
        <f t="shared" si="71"/>
        <v>135</v>
      </c>
      <c r="V67" s="93">
        <f t="shared" si="71"/>
        <v>104</v>
      </c>
      <c r="W67" s="93">
        <f t="shared" si="11"/>
        <v>379</v>
      </c>
      <c r="Y67" s="133">
        <f>(COUNTIFS(Base!$B:$B,C$11,Base!$S:$S,"&gt;8",Base!$N:$N,"&lt;="&amp;$B67) - COUNTIFS(Base!$B:$B,C$11,Base!$S:$S,"&lt;7",Base!$N:$N,"&lt;="&amp;$B67) - COUNTIFS(Base!$B:$B,C$11,Base!$S:$S,"&lt;7",Base!$K:$K,"&lt;="&amp;$B67,Base!$O:$O,"Finalizado"))/(COUNTIFS(Base!$B:$B,C$11,Base!$S:$S,"&lt;&gt;",Base!$N:$N,"&lt;="&amp;$B67)+COUNTIFS(Base!$B:$B,C$11,Base!$S:$S,"&lt;7",Base!$K:$K,"&lt;="&amp;$B67,Base!$O:$O,"Finalizado"))</f>
        <v>0</v>
      </c>
      <c r="Z67" s="133">
        <f>(COUNTIFS(Base!$B:$B,D$11,Base!$S:$S,"&gt;8",Base!$N:$N,"&lt;="&amp;$B67) - COUNTIFS(Base!$B:$B,D$11,Base!$S:$S,"&lt;7",Base!$N:$N,"&lt;="&amp;$B67) - COUNTIFS(Base!$B:$B,D$11,Base!$S:$S,"&lt;7",Base!$K:$K,"&lt;="&amp;$B67,Base!$O:$O,"Finalizado"))/(COUNTIFS(Base!$B:$B,D$11,Base!$S:$S,"&lt;&gt;",Base!$N:$N,"&lt;="&amp;$B67)+COUNTIFS(Base!$B:$B,D$11,Base!$S:$S,"&lt;7",Base!$K:$K,"&lt;="&amp;$B67,Base!$O:$O,"Finalizado"))</f>
        <v>0.5</v>
      </c>
      <c r="AA67" s="133">
        <f>(COUNTIFS(Base!$B:$B,E$11,Base!$S:$S,"&gt;8",Base!$N:$N,"&lt;="&amp;$B67) - COUNTIFS(Base!$B:$B,E$11,Base!$S:$S,"&lt;7",Base!$N:$N,"&lt;="&amp;$B67) - COUNTIFS(Base!$B:$B,E$11,Base!$S:$S,"&lt;7",Base!$K:$K,"&lt;="&amp;$B67,Base!$O:$O,"Finalizado"))/(COUNTIFS(Base!$B:$B,E$11,Base!$S:$S,"&lt;&gt;",Base!$N:$N,"&lt;="&amp;$B67)+COUNTIFS(Base!$B:$B,E$11,Base!$S:$S,"&lt;7",Base!$K:$K,"&lt;="&amp;$B67,Base!$O:$O,"Finalizado"))</f>
        <v>0.25</v>
      </c>
      <c r="AB67" s="133">
        <f t="shared" si="12"/>
        <v>0.6666666667</v>
      </c>
      <c r="AD67" s="93">
        <f>(COUNTIFS(Base!$B:$B,F$11,Base!$S:$S,"&gt;8",Base!$N:$N,"&lt;="&amp;$B67)+(COUNTIFS(Base!$B:$B,F$11,Base!$AG:$AG,"&gt;8",Base!$K:$K,"&lt;="&amp;$B67)))</f>
        <v>2</v>
      </c>
      <c r="AE67" s="93">
        <f>(COUNTIFS(Base!$B:$B,F$11,Base!$S:$S,"&lt;&gt;",Base!$N:$N,"&lt;="&amp;$B67)+(COUNTIFS(Base!$B:$B,F$11,Base!$AG:$AG,"&lt;&gt;",Base!$K:$K,"&lt;="&amp;$B67)+COUNTIFS(Base!$B:$B,F$11,Base!$S:$S,"&lt;7",Base!$K:$K,"&lt;="&amp;$B67,Base!$O:$O,"Finalizado")))</f>
        <v>3</v>
      </c>
      <c r="AF67" s="93">
        <f>COUNTIFS(Base!$B:$B,F$11,Base!$S:$S,"&lt;7",Base!$N:$N,"&lt;="&amp;$B67) +COUNTIFS(Base!$B:$B,F$11,Base!$AG:$AG,"&lt;7",Base!$K:$K,"&lt;="&amp;$B67) + COUNTIFS(Base!$B:$B,F$11,Base!$S:$S,"&lt;7",Base!$K:$K,"&lt;="&amp;$B67,Base!$O:$O,"Finalizado")</f>
        <v>0</v>
      </c>
    </row>
    <row r="68">
      <c r="B68" s="151">
        <f t="shared" si="13"/>
        <v>45323</v>
      </c>
      <c r="C68" s="93">
        <f>COUNTIFS(Base!$B:$B,C$11,Base!$M:$M,"&lt;"&amp;$B68,Base!$N:$N,"&gt;="&amp;$B68,Base!$O:$O,"&lt;&gt;Finalizado",Base!$O:$O,"&lt;&gt;Congelado",Base!$O:$O,"&lt;&gt;Concluindo pendências") + COUNTIFS(Base!$B:$B,C$11,Base!$M:$M,"&lt;"&amp;$B68,Base!$N:$N,"",Base!$O:$O,"&lt;&gt;Finalizado",Base!$O:$O,"&lt;&gt;Congelado",Base!$O:$O,"&lt;&gt;Concluindo pendências")</f>
        <v>1</v>
      </c>
      <c r="D68" s="93">
        <f>COUNTIFS(Base!$B:$B,D$11,Base!$M:$M,"&lt;"&amp;$B68,Base!$N:$N,"&gt;="&amp;$B68,Base!$O:$O,"&lt;&gt;Finalizado",Base!$O:$O,"&lt;&gt;Congelado",Base!$O:$O,"&lt;&gt;Concluindo pendências") + COUNTIFS(Base!$B:$B,D$11,Base!$M:$M,"&lt;"&amp;$B68,Base!$N:$N,"",Base!$O:$O,"&lt;&gt;Finalizado",Base!$O:$O,"&lt;&gt;Congelado",Base!$O:$O,"&lt;&gt;Concluindo pendências")</f>
        <v>5</v>
      </c>
      <c r="E68" s="93">
        <f>COUNTIFS(Base!$B:$B,E$11,Base!$M:$M,"&lt;"&amp;$B68,Base!$N:$N,"&gt;="&amp;$B68,Base!$O:$O,"&lt;&gt;Finalizado",Base!$O:$O,"&lt;&gt;Congelado",Base!$O:$O,"&lt;&gt;Concluindo pendências") + COUNTIFS(Base!$B:$B,E$11,Base!$M:$M,"&lt;"&amp;$B68,Base!$N:$N,"",Base!$O:$O,"&lt;&gt;Finalizado",Base!$O:$O,"&lt;&gt;Congelado",Base!$O:$O,"&lt;&gt;Concluindo pendências")</f>
        <v>7</v>
      </c>
      <c r="F68" s="93">
        <f>COUNTIFS(Base!$B:$B,F$11,Base!$M:$M,"&lt;"&amp;$B68,Base!$N:$N,"&gt;="&amp;$B68,Base!$O:$O,"&lt;&gt;Finalizado",Base!$O:$O,"&lt;&gt;Congelado",Base!$O:$O,"&lt;&gt;Concluindo pendências") + COUNTIFS(Base!$B:$B,F$11,Base!$M:$M,"&lt;"&amp;$B68,Base!$N:$N,"",Base!$O:$O,"&lt;&gt;Finalizado",Base!$O:$O,"&lt;&gt;Congelado",Base!$O:$O,"&lt;&gt;Concluindo pendências")</f>
        <v>4</v>
      </c>
      <c r="H68" s="93">
        <f>COUNTIFS(Base!$B:$B,C$11,Base!$K:$K,"&lt;"&amp;$B68,Base!$N:$N,"&gt;="&amp;$B68,Base!$O:$O,"&lt;&gt;Finalizado",Base!$O:$O,"&lt;&gt;Congelado") + COUNTIFS(Base!$B:$B,C$11,Base!$K:$K,"&lt;"&amp;$B68,Base!$N:$N,"",Base!$O:$O,"&lt;&gt;Finalizado",Base!$O:$O,"&lt;&gt;Congelado")</f>
        <v>12</v>
      </c>
      <c r="I68" s="93">
        <f>COUNTIFS(Base!$B:$B,D$11,Base!$K:$K,"&lt;"&amp;$B68,Base!$N:$N,"&gt;="&amp;$B68,Base!$O:$O,"&lt;&gt;Finalizado",Base!$O:$O,"&lt;&gt;Congelado") + COUNTIFS(Base!$B:$B,D$11,Base!$K:$K,"&lt;"&amp;$B68,Base!$N:$N,"",Base!$O:$O,"&lt;&gt;Finalizado",Base!$O:$O,"&lt;&gt;Congelado")</f>
        <v>26</v>
      </c>
      <c r="J68" s="93">
        <f>COUNTIFS(Base!$B:$B,E$11,Base!$K:$K,"&lt;"&amp;$B68,Base!$N:$N,"&gt;="&amp;$B68,Base!$O:$O,"&lt;&gt;Finalizado",Base!$O:$O,"&lt;&gt;Congelado") + COUNTIFS(Base!$B:$B,E$11,Base!$K:$K,"&lt;"&amp;$B68,Base!$N:$N,"",Base!$O:$O,"&lt;&gt;Finalizado",Base!$O:$O,"&lt;&gt;Congelado")</f>
        <v>19</v>
      </c>
      <c r="K68" s="93">
        <f>COUNTIFS(Base!$B:$B,F$11,Base!$K:$K,"&lt;"&amp;$B68,Base!$N:$N,"&gt;="&amp;$B68,Base!$O:$O,"&lt;&gt;Finalizado",Base!$O:$O,"&lt;&gt;Congelado") + COUNTIFS(Base!$B:$B,F$11,Base!$K:$K,"&lt;"&amp;$B68,Base!$N:$N,"",Base!$O:$O,"&lt;&gt;Finalizado",Base!$O:$O,"&lt;&gt;Congelado")</f>
        <v>15</v>
      </c>
      <c r="M68" s="133">
        <f t="shared" ref="M68:P68" si="72">C68/H68</f>
        <v>0.08333333333</v>
      </c>
      <c r="N68" s="133">
        <f t="shared" si="72"/>
        <v>0.1923076923</v>
      </c>
      <c r="O68" s="133">
        <f t="shared" si="72"/>
        <v>0.3684210526</v>
      </c>
      <c r="P68" s="133">
        <f t="shared" si="72"/>
        <v>0.2666666667</v>
      </c>
      <c r="Q68" s="133">
        <f t="shared" si="9"/>
        <v>0.2361111111</v>
      </c>
      <c r="S68" s="93">
        <f t="shared" ref="S68:V68" si="73">S67+C68</f>
        <v>32</v>
      </c>
      <c r="T68" s="93">
        <f t="shared" si="73"/>
        <v>114</v>
      </c>
      <c r="U68" s="93">
        <f t="shared" si="73"/>
        <v>142</v>
      </c>
      <c r="V68" s="93">
        <f t="shared" si="73"/>
        <v>108</v>
      </c>
      <c r="W68" s="93">
        <f t="shared" si="11"/>
        <v>396</v>
      </c>
      <c r="Y68" s="133">
        <f>(COUNTIFS(Base!$B:$B,C$11,Base!$S:$S,"&gt;8",Base!$N:$N,"&lt;="&amp;$B68) - COUNTIFS(Base!$B:$B,C$11,Base!$S:$S,"&lt;7",Base!$N:$N,"&lt;="&amp;$B68) - COUNTIFS(Base!$B:$B,C$11,Base!$S:$S,"&lt;7",Base!$K:$K,"&lt;="&amp;$B68,Base!$O:$O,"Finalizado"))/(COUNTIFS(Base!$B:$B,C$11,Base!$S:$S,"&lt;&gt;",Base!$N:$N,"&lt;="&amp;$B68)+COUNTIFS(Base!$B:$B,C$11,Base!$S:$S,"&lt;7",Base!$K:$K,"&lt;="&amp;$B68,Base!$O:$O,"Finalizado"))</f>
        <v>0</v>
      </c>
      <c r="Z68" s="133">
        <f>(COUNTIFS(Base!$B:$B,D$11,Base!$S:$S,"&gt;8",Base!$N:$N,"&lt;="&amp;$B68) - COUNTIFS(Base!$B:$B,D$11,Base!$S:$S,"&lt;7",Base!$N:$N,"&lt;="&amp;$B68) - COUNTIFS(Base!$B:$B,D$11,Base!$S:$S,"&lt;7",Base!$K:$K,"&lt;="&amp;$B68,Base!$O:$O,"Finalizado"))/(COUNTIFS(Base!$B:$B,D$11,Base!$S:$S,"&lt;&gt;",Base!$N:$N,"&lt;="&amp;$B68)+COUNTIFS(Base!$B:$B,D$11,Base!$S:$S,"&lt;7",Base!$K:$K,"&lt;="&amp;$B68,Base!$O:$O,"Finalizado"))</f>
        <v>0.5</v>
      </c>
      <c r="AA68" s="133">
        <f>(COUNTIFS(Base!$B:$B,E$11,Base!$S:$S,"&gt;8",Base!$N:$N,"&lt;="&amp;$B68) - COUNTIFS(Base!$B:$B,E$11,Base!$S:$S,"&lt;7",Base!$N:$N,"&lt;="&amp;$B68) - COUNTIFS(Base!$B:$B,E$11,Base!$S:$S,"&lt;7",Base!$K:$K,"&lt;="&amp;$B68,Base!$O:$O,"Finalizado"))/(COUNTIFS(Base!$B:$B,E$11,Base!$S:$S,"&lt;&gt;",Base!$N:$N,"&lt;="&amp;$B68)+COUNTIFS(Base!$B:$B,E$11,Base!$S:$S,"&lt;7",Base!$K:$K,"&lt;="&amp;$B68,Base!$O:$O,"Finalizado"))</f>
        <v>0.25</v>
      </c>
      <c r="AB68" s="133">
        <f t="shared" si="12"/>
        <v>0.6666666667</v>
      </c>
      <c r="AD68" s="93">
        <f>(COUNTIFS(Base!$B:$B,F$11,Base!$S:$S,"&gt;8",Base!$N:$N,"&lt;="&amp;$B68)+(COUNTIFS(Base!$B:$B,F$11,Base!$AG:$AG,"&gt;8",Base!$K:$K,"&lt;="&amp;$B68)))</f>
        <v>2</v>
      </c>
      <c r="AE68" s="93">
        <f>(COUNTIFS(Base!$B:$B,F$11,Base!$S:$S,"&lt;&gt;",Base!$N:$N,"&lt;="&amp;$B68)+(COUNTIFS(Base!$B:$B,F$11,Base!$AG:$AG,"&lt;&gt;",Base!$K:$K,"&lt;="&amp;$B68)+COUNTIFS(Base!$B:$B,F$11,Base!$S:$S,"&lt;7",Base!$K:$K,"&lt;="&amp;$B68,Base!$O:$O,"Finalizado")))</f>
        <v>3</v>
      </c>
      <c r="AF68" s="93">
        <f>COUNTIFS(Base!$B:$B,F$11,Base!$S:$S,"&lt;7",Base!$N:$N,"&lt;="&amp;$B68) +COUNTIFS(Base!$B:$B,F$11,Base!$AG:$AG,"&lt;7",Base!$K:$K,"&lt;="&amp;$B68) + COUNTIFS(Base!$B:$B,F$11,Base!$S:$S,"&lt;7",Base!$K:$K,"&lt;="&amp;$B68,Base!$O:$O,"Finalizado")</f>
        <v>0</v>
      </c>
    </row>
    <row r="69">
      <c r="B69" s="151">
        <f t="shared" si="13"/>
        <v>45324</v>
      </c>
      <c r="C69" s="93">
        <f>COUNTIFS(Base!$B:$B,C$11,Base!$M:$M,"&lt;"&amp;$B69,Base!$N:$N,"&gt;="&amp;$B69,Base!$O:$O,"&lt;&gt;Finalizado",Base!$O:$O,"&lt;&gt;Congelado",Base!$O:$O,"&lt;&gt;Concluindo pendências") + COUNTIFS(Base!$B:$B,C$11,Base!$M:$M,"&lt;"&amp;$B69,Base!$N:$N,"",Base!$O:$O,"&lt;&gt;Finalizado",Base!$O:$O,"&lt;&gt;Congelado",Base!$O:$O,"&lt;&gt;Concluindo pendências")</f>
        <v>1</v>
      </c>
      <c r="D69" s="93">
        <f>COUNTIFS(Base!$B:$B,D$11,Base!$M:$M,"&lt;"&amp;$B69,Base!$N:$N,"&gt;="&amp;$B69,Base!$O:$O,"&lt;&gt;Finalizado",Base!$O:$O,"&lt;&gt;Congelado",Base!$O:$O,"&lt;&gt;Concluindo pendências") + COUNTIFS(Base!$B:$B,D$11,Base!$M:$M,"&lt;"&amp;$B69,Base!$N:$N,"",Base!$O:$O,"&lt;&gt;Finalizado",Base!$O:$O,"&lt;&gt;Congelado",Base!$O:$O,"&lt;&gt;Concluindo pendências")</f>
        <v>5</v>
      </c>
      <c r="E69" s="93">
        <f>COUNTIFS(Base!$B:$B,E$11,Base!$M:$M,"&lt;"&amp;$B69,Base!$N:$N,"&gt;="&amp;$B69,Base!$O:$O,"&lt;&gt;Finalizado",Base!$O:$O,"&lt;&gt;Congelado",Base!$O:$O,"&lt;&gt;Concluindo pendências") + COUNTIFS(Base!$B:$B,E$11,Base!$M:$M,"&lt;"&amp;$B69,Base!$N:$N,"",Base!$O:$O,"&lt;&gt;Finalizado",Base!$O:$O,"&lt;&gt;Congelado",Base!$O:$O,"&lt;&gt;Concluindo pendências")</f>
        <v>7</v>
      </c>
      <c r="F69" s="93">
        <f>COUNTIFS(Base!$B:$B,F$11,Base!$M:$M,"&lt;"&amp;$B69,Base!$N:$N,"&gt;="&amp;$B69,Base!$O:$O,"&lt;&gt;Finalizado",Base!$O:$O,"&lt;&gt;Congelado",Base!$O:$O,"&lt;&gt;Concluindo pendências") + COUNTIFS(Base!$B:$B,F$11,Base!$M:$M,"&lt;"&amp;$B69,Base!$N:$N,"",Base!$O:$O,"&lt;&gt;Finalizado",Base!$O:$O,"&lt;&gt;Congelado",Base!$O:$O,"&lt;&gt;Concluindo pendências")</f>
        <v>4</v>
      </c>
      <c r="H69" s="93">
        <f>COUNTIFS(Base!$B:$B,C$11,Base!$K:$K,"&lt;"&amp;$B69,Base!$N:$N,"&gt;="&amp;$B69,Base!$O:$O,"&lt;&gt;Finalizado",Base!$O:$O,"&lt;&gt;Congelado") + COUNTIFS(Base!$B:$B,C$11,Base!$K:$K,"&lt;"&amp;$B69,Base!$N:$N,"",Base!$O:$O,"&lt;&gt;Finalizado",Base!$O:$O,"&lt;&gt;Congelado")</f>
        <v>12</v>
      </c>
      <c r="I69" s="93">
        <f>COUNTIFS(Base!$B:$B,D$11,Base!$K:$K,"&lt;"&amp;$B69,Base!$N:$N,"&gt;="&amp;$B69,Base!$O:$O,"&lt;&gt;Finalizado",Base!$O:$O,"&lt;&gt;Congelado") + COUNTIFS(Base!$B:$B,D$11,Base!$K:$K,"&lt;"&amp;$B69,Base!$N:$N,"",Base!$O:$O,"&lt;&gt;Finalizado",Base!$O:$O,"&lt;&gt;Congelado")</f>
        <v>28</v>
      </c>
      <c r="J69" s="93">
        <f>COUNTIFS(Base!$B:$B,E$11,Base!$K:$K,"&lt;"&amp;$B69,Base!$N:$N,"&gt;="&amp;$B69,Base!$O:$O,"&lt;&gt;Finalizado",Base!$O:$O,"&lt;&gt;Congelado") + COUNTIFS(Base!$B:$B,E$11,Base!$K:$K,"&lt;"&amp;$B69,Base!$N:$N,"",Base!$O:$O,"&lt;&gt;Finalizado",Base!$O:$O,"&lt;&gt;Congelado")</f>
        <v>19</v>
      </c>
      <c r="K69" s="93">
        <f>COUNTIFS(Base!$B:$B,F$11,Base!$K:$K,"&lt;"&amp;$B69,Base!$N:$N,"&gt;="&amp;$B69,Base!$O:$O,"&lt;&gt;Finalizado",Base!$O:$O,"&lt;&gt;Congelado") + COUNTIFS(Base!$B:$B,F$11,Base!$K:$K,"&lt;"&amp;$B69,Base!$N:$N,"",Base!$O:$O,"&lt;&gt;Finalizado",Base!$O:$O,"&lt;&gt;Congelado")</f>
        <v>15</v>
      </c>
      <c r="M69" s="133">
        <f t="shared" ref="M69:P69" si="74">C69/H69</f>
        <v>0.08333333333</v>
      </c>
      <c r="N69" s="133">
        <f t="shared" si="74"/>
        <v>0.1785714286</v>
      </c>
      <c r="O69" s="133">
        <f t="shared" si="74"/>
        <v>0.3684210526</v>
      </c>
      <c r="P69" s="133">
        <f t="shared" si="74"/>
        <v>0.2666666667</v>
      </c>
      <c r="Q69" s="133">
        <f t="shared" si="9"/>
        <v>0.2297297297</v>
      </c>
      <c r="S69" s="93">
        <f t="shared" ref="S69:V69" si="75">S68+C69</f>
        <v>33</v>
      </c>
      <c r="T69" s="93">
        <f t="shared" si="75"/>
        <v>119</v>
      </c>
      <c r="U69" s="93">
        <f t="shared" si="75"/>
        <v>149</v>
      </c>
      <c r="V69" s="93">
        <f t="shared" si="75"/>
        <v>112</v>
      </c>
      <c r="W69" s="93">
        <f t="shared" si="11"/>
        <v>413</v>
      </c>
      <c r="Y69" s="133">
        <f>(COUNTIFS(Base!$B:$B,C$11,Base!$S:$S,"&gt;8",Base!$N:$N,"&lt;="&amp;$B69) - COUNTIFS(Base!$B:$B,C$11,Base!$S:$S,"&lt;7",Base!$N:$N,"&lt;="&amp;$B69) - COUNTIFS(Base!$B:$B,C$11,Base!$S:$S,"&lt;7",Base!$K:$K,"&lt;="&amp;$B69,Base!$O:$O,"Finalizado"))/(COUNTIFS(Base!$B:$B,C$11,Base!$S:$S,"&lt;&gt;",Base!$N:$N,"&lt;="&amp;$B69)+COUNTIFS(Base!$B:$B,C$11,Base!$S:$S,"&lt;7",Base!$K:$K,"&lt;="&amp;$B69,Base!$O:$O,"Finalizado"))</f>
        <v>0</v>
      </c>
      <c r="Z69" s="133">
        <f>(COUNTIFS(Base!$B:$B,D$11,Base!$S:$S,"&gt;8",Base!$N:$N,"&lt;="&amp;$B69) - COUNTIFS(Base!$B:$B,D$11,Base!$S:$S,"&lt;7",Base!$N:$N,"&lt;="&amp;$B69) - COUNTIFS(Base!$B:$B,D$11,Base!$S:$S,"&lt;7",Base!$K:$K,"&lt;="&amp;$B69,Base!$O:$O,"Finalizado"))/(COUNTIFS(Base!$B:$B,D$11,Base!$S:$S,"&lt;&gt;",Base!$N:$N,"&lt;="&amp;$B69)+COUNTIFS(Base!$B:$B,D$11,Base!$S:$S,"&lt;7",Base!$K:$K,"&lt;="&amp;$B69,Base!$O:$O,"Finalizado"))</f>
        <v>0.5</v>
      </c>
      <c r="AA69" s="133">
        <f>(COUNTIFS(Base!$B:$B,E$11,Base!$S:$S,"&gt;8",Base!$N:$N,"&lt;="&amp;$B69) - COUNTIFS(Base!$B:$B,E$11,Base!$S:$S,"&lt;7",Base!$N:$N,"&lt;="&amp;$B69) - COUNTIFS(Base!$B:$B,E$11,Base!$S:$S,"&lt;7",Base!$K:$K,"&lt;="&amp;$B69,Base!$O:$O,"Finalizado"))/(COUNTIFS(Base!$B:$B,E$11,Base!$S:$S,"&lt;&gt;",Base!$N:$N,"&lt;="&amp;$B69)+COUNTIFS(Base!$B:$B,E$11,Base!$S:$S,"&lt;7",Base!$K:$K,"&lt;="&amp;$B69,Base!$O:$O,"Finalizado"))</f>
        <v>0.4</v>
      </c>
      <c r="AB69" s="133">
        <f t="shared" si="12"/>
        <v>0.6666666667</v>
      </c>
      <c r="AD69" s="93">
        <f>(COUNTIFS(Base!$B:$B,F$11,Base!$S:$S,"&gt;8",Base!$N:$N,"&lt;="&amp;$B69)+(COUNTIFS(Base!$B:$B,F$11,Base!$AG:$AG,"&gt;8",Base!$K:$K,"&lt;="&amp;$B69)))</f>
        <v>2</v>
      </c>
      <c r="AE69" s="93">
        <f>(COUNTIFS(Base!$B:$B,F$11,Base!$S:$S,"&lt;&gt;",Base!$N:$N,"&lt;="&amp;$B69)+(COUNTIFS(Base!$B:$B,F$11,Base!$AG:$AG,"&lt;&gt;",Base!$K:$K,"&lt;="&amp;$B69)+COUNTIFS(Base!$B:$B,F$11,Base!$S:$S,"&lt;7",Base!$K:$K,"&lt;="&amp;$B69,Base!$O:$O,"Finalizado")))</f>
        <v>3</v>
      </c>
      <c r="AF69" s="93">
        <f>COUNTIFS(Base!$B:$B,F$11,Base!$S:$S,"&lt;7",Base!$N:$N,"&lt;="&amp;$B69) +COUNTIFS(Base!$B:$B,F$11,Base!$AG:$AG,"&lt;7",Base!$K:$K,"&lt;="&amp;$B69) + COUNTIFS(Base!$B:$B,F$11,Base!$S:$S,"&lt;7",Base!$K:$K,"&lt;="&amp;$B69,Base!$O:$O,"Finalizado")</f>
        <v>0</v>
      </c>
    </row>
    <row r="70">
      <c r="B70" s="151">
        <f t="shared" si="13"/>
        <v>45325</v>
      </c>
      <c r="C70" s="93">
        <f>COUNTIFS(Base!$B:$B,C$11,Base!$M:$M,"&lt;"&amp;$B70,Base!$N:$N,"&gt;="&amp;$B70,Base!$O:$O,"&lt;&gt;Finalizado",Base!$O:$O,"&lt;&gt;Congelado",Base!$O:$O,"&lt;&gt;Concluindo pendências") + COUNTIFS(Base!$B:$B,C$11,Base!$M:$M,"&lt;"&amp;$B70,Base!$N:$N,"",Base!$O:$O,"&lt;&gt;Finalizado",Base!$O:$O,"&lt;&gt;Congelado",Base!$O:$O,"&lt;&gt;Concluindo pendências")</f>
        <v>1</v>
      </c>
      <c r="D70" s="93">
        <f>COUNTIFS(Base!$B:$B,D$11,Base!$M:$M,"&lt;"&amp;$B70,Base!$N:$N,"&gt;="&amp;$B70,Base!$O:$O,"&lt;&gt;Finalizado",Base!$O:$O,"&lt;&gt;Congelado",Base!$O:$O,"&lt;&gt;Concluindo pendências") + COUNTIFS(Base!$B:$B,D$11,Base!$M:$M,"&lt;"&amp;$B70,Base!$N:$N,"",Base!$O:$O,"&lt;&gt;Finalizado",Base!$O:$O,"&lt;&gt;Congelado",Base!$O:$O,"&lt;&gt;Concluindo pendências")</f>
        <v>6</v>
      </c>
      <c r="E70" s="93">
        <f>COUNTIFS(Base!$B:$B,E$11,Base!$M:$M,"&lt;"&amp;$B70,Base!$N:$N,"&gt;="&amp;$B70,Base!$O:$O,"&lt;&gt;Finalizado",Base!$O:$O,"&lt;&gt;Congelado",Base!$O:$O,"&lt;&gt;Concluindo pendências") + COUNTIFS(Base!$B:$B,E$11,Base!$M:$M,"&lt;"&amp;$B70,Base!$N:$N,"",Base!$O:$O,"&lt;&gt;Finalizado",Base!$O:$O,"&lt;&gt;Congelado",Base!$O:$O,"&lt;&gt;Concluindo pendências")</f>
        <v>7</v>
      </c>
      <c r="F70" s="93">
        <f>COUNTIFS(Base!$B:$B,F$11,Base!$M:$M,"&lt;"&amp;$B70,Base!$N:$N,"&gt;="&amp;$B70,Base!$O:$O,"&lt;&gt;Finalizado",Base!$O:$O,"&lt;&gt;Congelado",Base!$O:$O,"&lt;&gt;Concluindo pendências") + COUNTIFS(Base!$B:$B,F$11,Base!$M:$M,"&lt;"&amp;$B70,Base!$N:$N,"",Base!$O:$O,"&lt;&gt;Finalizado",Base!$O:$O,"&lt;&gt;Congelado",Base!$O:$O,"&lt;&gt;Concluindo pendências")</f>
        <v>4</v>
      </c>
      <c r="H70" s="93">
        <f>COUNTIFS(Base!$B:$B,C$11,Base!$K:$K,"&lt;"&amp;$B70,Base!$N:$N,"&gt;="&amp;$B70,Base!$O:$O,"&lt;&gt;Finalizado",Base!$O:$O,"&lt;&gt;Congelado") + COUNTIFS(Base!$B:$B,C$11,Base!$K:$K,"&lt;"&amp;$B70,Base!$N:$N,"",Base!$O:$O,"&lt;&gt;Finalizado",Base!$O:$O,"&lt;&gt;Congelado")</f>
        <v>12</v>
      </c>
      <c r="I70" s="93">
        <f>COUNTIFS(Base!$B:$B,D$11,Base!$K:$K,"&lt;"&amp;$B70,Base!$N:$N,"&gt;="&amp;$B70,Base!$O:$O,"&lt;&gt;Finalizado",Base!$O:$O,"&lt;&gt;Congelado") + COUNTIFS(Base!$B:$B,D$11,Base!$K:$K,"&lt;"&amp;$B70,Base!$N:$N,"",Base!$O:$O,"&lt;&gt;Finalizado",Base!$O:$O,"&lt;&gt;Congelado")</f>
        <v>28</v>
      </c>
      <c r="J70" s="93">
        <f>COUNTIFS(Base!$B:$B,E$11,Base!$K:$K,"&lt;"&amp;$B70,Base!$N:$N,"&gt;="&amp;$B70,Base!$O:$O,"&lt;&gt;Finalizado",Base!$O:$O,"&lt;&gt;Congelado") + COUNTIFS(Base!$B:$B,E$11,Base!$K:$K,"&lt;"&amp;$B70,Base!$N:$N,"",Base!$O:$O,"&lt;&gt;Finalizado",Base!$O:$O,"&lt;&gt;Congelado")</f>
        <v>18</v>
      </c>
      <c r="K70" s="93">
        <f>COUNTIFS(Base!$B:$B,F$11,Base!$K:$K,"&lt;"&amp;$B70,Base!$N:$N,"&gt;="&amp;$B70,Base!$O:$O,"&lt;&gt;Finalizado",Base!$O:$O,"&lt;&gt;Congelado") + COUNTIFS(Base!$B:$B,F$11,Base!$K:$K,"&lt;"&amp;$B70,Base!$N:$N,"",Base!$O:$O,"&lt;&gt;Finalizado",Base!$O:$O,"&lt;&gt;Congelado")</f>
        <v>15</v>
      </c>
      <c r="M70" s="133">
        <f t="shared" ref="M70:P70" si="76">C70/H70</f>
        <v>0.08333333333</v>
      </c>
      <c r="N70" s="133">
        <f t="shared" si="76"/>
        <v>0.2142857143</v>
      </c>
      <c r="O70" s="133">
        <f t="shared" si="76"/>
        <v>0.3888888889</v>
      </c>
      <c r="P70" s="133">
        <f t="shared" si="76"/>
        <v>0.2666666667</v>
      </c>
      <c r="Q70" s="133">
        <f t="shared" si="9"/>
        <v>0.2465753425</v>
      </c>
      <c r="S70" s="93">
        <f t="shared" ref="S70:V70" si="77">S69+C70</f>
        <v>34</v>
      </c>
      <c r="T70" s="93">
        <f t="shared" si="77"/>
        <v>125</v>
      </c>
      <c r="U70" s="93">
        <f t="shared" si="77"/>
        <v>156</v>
      </c>
      <c r="V70" s="93">
        <f t="shared" si="77"/>
        <v>116</v>
      </c>
      <c r="W70" s="93">
        <f t="shared" si="11"/>
        <v>431</v>
      </c>
      <c r="Y70" s="133">
        <f>(COUNTIFS(Base!$B:$B,C$11,Base!$S:$S,"&gt;8",Base!$N:$N,"&lt;="&amp;$B70) - COUNTIFS(Base!$B:$B,C$11,Base!$S:$S,"&lt;7",Base!$N:$N,"&lt;="&amp;$B70) - COUNTIFS(Base!$B:$B,C$11,Base!$S:$S,"&lt;7",Base!$K:$K,"&lt;="&amp;$B70,Base!$O:$O,"Finalizado"))/(COUNTIFS(Base!$B:$B,C$11,Base!$S:$S,"&lt;&gt;",Base!$N:$N,"&lt;="&amp;$B70)+COUNTIFS(Base!$B:$B,C$11,Base!$S:$S,"&lt;7",Base!$K:$K,"&lt;="&amp;$B70,Base!$O:$O,"Finalizado"))</f>
        <v>0</v>
      </c>
      <c r="Z70" s="133">
        <f>(COUNTIFS(Base!$B:$B,D$11,Base!$S:$S,"&gt;8",Base!$N:$N,"&lt;="&amp;$B70) - COUNTIFS(Base!$B:$B,D$11,Base!$S:$S,"&lt;7",Base!$N:$N,"&lt;="&amp;$B70) - COUNTIFS(Base!$B:$B,D$11,Base!$S:$S,"&lt;7",Base!$K:$K,"&lt;="&amp;$B70,Base!$O:$O,"Finalizado"))/(COUNTIFS(Base!$B:$B,D$11,Base!$S:$S,"&lt;&gt;",Base!$N:$N,"&lt;="&amp;$B70)+COUNTIFS(Base!$B:$B,D$11,Base!$S:$S,"&lt;7",Base!$K:$K,"&lt;="&amp;$B70,Base!$O:$O,"Finalizado"))</f>
        <v>0.5</v>
      </c>
      <c r="AA70" s="133">
        <f>(COUNTIFS(Base!$B:$B,E$11,Base!$S:$S,"&gt;8",Base!$N:$N,"&lt;="&amp;$B70) - COUNTIFS(Base!$B:$B,E$11,Base!$S:$S,"&lt;7",Base!$N:$N,"&lt;="&amp;$B70) - COUNTIFS(Base!$B:$B,E$11,Base!$S:$S,"&lt;7",Base!$K:$K,"&lt;="&amp;$B70,Base!$O:$O,"Finalizado"))/(COUNTIFS(Base!$B:$B,E$11,Base!$S:$S,"&lt;&gt;",Base!$N:$N,"&lt;="&amp;$B70)+COUNTIFS(Base!$B:$B,E$11,Base!$S:$S,"&lt;7",Base!$K:$K,"&lt;="&amp;$B70,Base!$O:$O,"Finalizado"))</f>
        <v>0.4</v>
      </c>
      <c r="AB70" s="133">
        <f t="shared" si="12"/>
        <v>0.6666666667</v>
      </c>
      <c r="AD70" s="93">
        <f>(COUNTIFS(Base!$B:$B,F$11,Base!$S:$S,"&gt;8",Base!$N:$N,"&lt;="&amp;$B70)+(COUNTIFS(Base!$B:$B,F$11,Base!$AG:$AG,"&gt;8",Base!$K:$K,"&lt;="&amp;$B70)))</f>
        <v>2</v>
      </c>
      <c r="AE70" s="93">
        <f>(COUNTIFS(Base!$B:$B,F$11,Base!$S:$S,"&lt;&gt;",Base!$N:$N,"&lt;="&amp;$B70)+(COUNTIFS(Base!$B:$B,F$11,Base!$AG:$AG,"&lt;&gt;",Base!$K:$K,"&lt;="&amp;$B70)+COUNTIFS(Base!$B:$B,F$11,Base!$S:$S,"&lt;7",Base!$K:$K,"&lt;="&amp;$B70,Base!$O:$O,"Finalizado")))</f>
        <v>3</v>
      </c>
      <c r="AF70" s="93">
        <f>COUNTIFS(Base!$B:$B,F$11,Base!$S:$S,"&lt;7",Base!$N:$N,"&lt;="&amp;$B70) +COUNTIFS(Base!$B:$B,F$11,Base!$AG:$AG,"&lt;7",Base!$K:$K,"&lt;="&amp;$B70) + COUNTIFS(Base!$B:$B,F$11,Base!$S:$S,"&lt;7",Base!$K:$K,"&lt;="&amp;$B70,Base!$O:$O,"Finalizado")</f>
        <v>0</v>
      </c>
    </row>
    <row r="71">
      <c r="B71" s="151">
        <f t="shared" si="13"/>
        <v>45326</v>
      </c>
      <c r="C71" s="93">
        <f>COUNTIFS(Base!$B:$B,C$11,Base!$M:$M,"&lt;"&amp;$B71,Base!$N:$N,"&gt;="&amp;$B71,Base!$O:$O,"&lt;&gt;Finalizado",Base!$O:$O,"&lt;&gt;Congelado",Base!$O:$O,"&lt;&gt;Concluindo pendências") + COUNTIFS(Base!$B:$B,C$11,Base!$M:$M,"&lt;"&amp;$B71,Base!$N:$N,"",Base!$O:$O,"&lt;&gt;Finalizado",Base!$O:$O,"&lt;&gt;Congelado",Base!$O:$O,"&lt;&gt;Concluindo pendências")</f>
        <v>2</v>
      </c>
      <c r="D71" s="93">
        <f>COUNTIFS(Base!$B:$B,D$11,Base!$M:$M,"&lt;"&amp;$B71,Base!$N:$N,"&gt;="&amp;$B71,Base!$O:$O,"&lt;&gt;Finalizado",Base!$O:$O,"&lt;&gt;Congelado",Base!$O:$O,"&lt;&gt;Concluindo pendências") + COUNTIFS(Base!$B:$B,D$11,Base!$M:$M,"&lt;"&amp;$B71,Base!$N:$N,"",Base!$O:$O,"&lt;&gt;Finalizado",Base!$O:$O,"&lt;&gt;Congelado",Base!$O:$O,"&lt;&gt;Concluindo pendências")</f>
        <v>6</v>
      </c>
      <c r="E71" s="93">
        <f>COUNTIFS(Base!$B:$B,E$11,Base!$M:$M,"&lt;"&amp;$B71,Base!$N:$N,"&gt;="&amp;$B71,Base!$O:$O,"&lt;&gt;Finalizado",Base!$O:$O,"&lt;&gt;Congelado",Base!$O:$O,"&lt;&gt;Concluindo pendências") + COUNTIFS(Base!$B:$B,E$11,Base!$M:$M,"&lt;"&amp;$B71,Base!$N:$N,"",Base!$O:$O,"&lt;&gt;Finalizado",Base!$O:$O,"&lt;&gt;Congelado",Base!$O:$O,"&lt;&gt;Concluindo pendências")</f>
        <v>7</v>
      </c>
      <c r="F71" s="93">
        <f>COUNTIFS(Base!$B:$B,F$11,Base!$M:$M,"&lt;"&amp;$B71,Base!$N:$N,"&gt;="&amp;$B71,Base!$O:$O,"&lt;&gt;Finalizado",Base!$O:$O,"&lt;&gt;Congelado",Base!$O:$O,"&lt;&gt;Concluindo pendências") + COUNTIFS(Base!$B:$B,F$11,Base!$M:$M,"&lt;"&amp;$B71,Base!$N:$N,"",Base!$O:$O,"&lt;&gt;Finalizado",Base!$O:$O,"&lt;&gt;Congelado",Base!$O:$O,"&lt;&gt;Concluindo pendências")</f>
        <v>4</v>
      </c>
      <c r="H71" s="93">
        <f>COUNTIFS(Base!$B:$B,C$11,Base!$K:$K,"&lt;"&amp;$B71,Base!$N:$N,"&gt;="&amp;$B71,Base!$O:$O,"&lt;&gt;Finalizado",Base!$O:$O,"&lt;&gt;Congelado") + COUNTIFS(Base!$B:$B,C$11,Base!$K:$K,"&lt;"&amp;$B71,Base!$N:$N,"",Base!$O:$O,"&lt;&gt;Finalizado",Base!$O:$O,"&lt;&gt;Congelado")</f>
        <v>12</v>
      </c>
      <c r="I71" s="93">
        <f>COUNTIFS(Base!$B:$B,D$11,Base!$K:$K,"&lt;"&amp;$B71,Base!$N:$N,"&gt;="&amp;$B71,Base!$O:$O,"&lt;&gt;Finalizado",Base!$O:$O,"&lt;&gt;Congelado") + COUNTIFS(Base!$B:$B,D$11,Base!$K:$K,"&lt;"&amp;$B71,Base!$N:$N,"",Base!$O:$O,"&lt;&gt;Finalizado",Base!$O:$O,"&lt;&gt;Congelado")</f>
        <v>28</v>
      </c>
      <c r="J71" s="93">
        <f>COUNTIFS(Base!$B:$B,E$11,Base!$K:$K,"&lt;"&amp;$B71,Base!$N:$N,"&gt;="&amp;$B71,Base!$O:$O,"&lt;&gt;Finalizado",Base!$O:$O,"&lt;&gt;Congelado") + COUNTIFS(Base!$B:$B,E$11,Base!$K:$K,"&lt;"&amp;$B71,Base!$N:$N,"",Base!$O:$O,"&lt;&gt;Finalizado",Base!$O:$O,"&lt;&gt;Congelado")</f>
        <v>18</v>
      </c>
      <c r="K71" s="93">
        <f>COUNTIFS(Base!$B:$B,F$11,Base!$K:$K,"&lt;"&amp;$B71,Base!$N:$N,"&gt;="&amp;$B71,Base!$O:$O,"&lt;&gt;Finalizado",Base!$O:$O,"&lt;&gt;Congelado") + COUNTIFS(Base!$B:$B,F$11,Base!$K:$K,"&lt;"&amp;$B71,Base!$N:$N,"",Base!$O:$O,"&lt;&gt;Finalizado",Base!$O:$O,"&lt;&gt;Congelado")</f>
        <v>15</v>
      </c>
      <c r="M71" s="133">
        <f t="shared" ref="M71:P71" si="78">C71/H71</f>
        <v>0.1666666667</v>
      </c>
      <c r="N71" s="133">
        <f t="shared" si="78"/>
        <v>0.2142857143</v>
      </c>
      <c r="O71" s="133">
        <f t="shared" si="78"/>
        <v>0.3888888889</v>
      </c>
      <c r="P71" s="133">
        <f t="shared" si="78"/>
        <v>0.2666666667</v>
      </c>
      <c r="Q71" s="133">
        <f t="shared" si="9"/>
        <v>0.2602739726</v>
      </c>
      <c r="S71" s="93">
        <f t="shared" ref="S71:V71" si="79">S70+C71</f>
        <v>36</v>
      </c>
      <c r="T71" s="93">
        <f t="shared" si="79"/>
        <v>131</v>
      </c>
      <c r="U71" s="93">
        <f t="shared" si="79"/>
        <v>163</v>
      </c>
      <c r="V71" s="93">
        <f t="shared" si="79"/>
        <v>120</v>
      </c>
      <c r="W71" s="93">
        <f t="shared" si="11"/>
        <v>450</v>
      </c>
      <c r="Y71" s="133">
        <f>(COUNTIFS(Base!$B:$B,C$11,Base!$S:$S,"&gt;8",Base!$N:$N,"&lt;="&amp;$B71) - COUNTIFS(Base!$B:$B,C$11,Base!$S:$S,"&lt;7",Base!$N:$N,"&lt;="&amp;$B71) - COUNTIFS(Base!$B:$B,C$11,Base!$S:$S,"&lt;7",Base!$K:$K,"&lt;="&amp;$B71,Base!$O:$O,"Finalizado"))/(COUNTIFS(Base!$B:$B,C$11,Base!$S:$S,"&lt;&gt;",Base!$N:$N,"&lt;="&amp;$B71)+COUNTIFS(Base!$B:$B,C$11,Base!$S:$S,"&lt;7",Base!$K:$K,"&lt;="&amp;$B71,Base!$O:$O,"Finalizado"))</f>
        <v>0</v>
      </c>
      <c r="Z71" s="133">
        <f>(COUNTIFS(Base!$B:$B,D$11,Base!$S:$S,"&gt;8",Base!$N:$N,"&lt;="&amp;$B71) - COUNTIFS(Base!$B:$B,D$11,Base!$S:$S,"&lt;7",Base!$N:$N,"&lt;="&amp;$B71) - COUNTIFS(Base!$B:$B,D$11,Base!$S:$S,"&lt;7",Base!$K:$K,"&lt;="&amp;$B71,Base!$O:$O,"Finalizado"))/(COUNTIFS(Base!$B:$B,D$11,Base!$S:$S,"&lt;&gt;",Base!$N:$N,"&lt;="&amp;$B71)+COUNTIFS(Base!$B:$B,D$11,Base!$S:$S,"&lt;7",Base!$K:$K,"&lt;="&amp;$B71,Base!$O:$O,"Finalizado"))</f>
        <v>0.5</v>
      </c>
      <c r="AA71" s="133">
        <f>(COUNTIFS(Base!$B:$B,E$11,Base!$S:$S,"&gt;8",Base!$N:$N,"&lt;="&amp;$B71) - COUNTIFS(Base!$B:$B,E$11,Base!$S:$S,"&lt;7",Base!$N:$N,"&lt;="&amp;$B71) - COUNTIFS(Base!$B:$B,E$11,Base!$S:$S,"&lt;7",Base!$K:$K,"&lt;="&amp;$B71,Base!$O:$O,"Finalizado"))/(COUNTIFS(Base!$B:$B,E$11,Base!$S:$S,"&lt;&gt;",Base!$N:$N,"&lt;="&amp;$B71)+COUNTIFS(Base!$B:$B,E$11,Base!$S:$S,"&lt;7",Base!$K:$K,"&lt;="&amp;$B71,Base!$O:$O,"Finalizado"))</f>
        <v>0.4</v>
      </c>
      <c r="AB71" s="133">
        <f t="shared" si="12"/>
        <v>0.6666666667</v>
      </c>
      <c r="AD71" s="93">
        <f>(COUNTIFS(Base!$B:$B,F$11,Base!$S:$S,"&gt;8",Base!$N:$N,"&lt;="&amp;$B71)+(COUNTIFS(Base!$B:$B,F$11,Base!$AG:$AG,"&gt;8",Base!$K:$K,"&lt;="&amp;$B71)))</f>
        <v>2</v>
      </c>
      <c r="AE71" s="93">
        <f>(COUNTIFS(Base!$B:$B,F$11,Base!$S:$S,"&lt;&gt;",Base!$N:$N,"&lt;="&amp;$B71)+(COUNTIFS(Base!$B:$B,F$11,Base!$AG:$AG,"&lt;&gt;",Base!$K:$K,"&lt;="&amp;$B71)+COUNTIFS(Base!$B:$B,F$11,Base!$S:$S,"&lt;7",Base!$K:$K,"&lt;="&amp;$B71,Base!$O:$O,"Finalizado")))</f>
        <v>3</v>
      </c>
      <c r="AF71" s="93">
        <f>COUNTIFS(Base!$B:$B,F$11,Base!$S:$S,"&lt;7",Base!$N:$N,"&lt;="&amp;$B71) +COUNTIFS(Base!$B:$B,F$11,Base!$AG:$AG,"&lt;7",Base!$K:$K,"&lt;="&amp;$B71) + COUNTIFS(Base!$B:$B,F$11,Base!$S:$S,"&lt;7",Base!$K:$K,"&lt;="&amp;$B71,Base!$O:$O,"Finalizado")</f>
        <v>0</v>
      </c>
    </row>
    <row r="72">
      <c r="B72" s="151">
        <f t="shared" si="13"/>
        <v>45327</v>
      </c>
      <c r="C72" s="93">
        <f>COUNTIFS(Base!$B:$B,C$11,Base!$M:$M,"&lt;"&amp;$B72,Base!$N:$N,"&gt;="&amp;$B72,Base!$O:$O,"&lt;&gt;Finalizado",Base!$O:$O,"&lt;&gt;Congelado",Base!$O:$O,"&lt;&gt;Concluindo pendências") + COUNTIFS(Base!$B:$B,C$11,Base!$M:$M,"&lt;"&amp;$B72,Base!$N:$N,"",Base!$O:$O,"&lt;&gt;Finalizado",Base!$O:$O,"&lt;&gt;Congelado",Base!$O:$O,"&lt;&gt;Concluindo pendências")</f>
        <v>2</v>
      </c>
      <c r="D72" s="93">
        <f>COUNTIFS(Base!$B:$B,D$11,Base!$M:$M,"&lt;"&amp;$B72,Base!$N:$N,"&gt;="&amp;$B72,Base!$O:$O,"&lt;&gt;Finalizado",Base!$O:$O,"&lt;&gt;Congelado",Base!$O:$O,"&lt;&gt;Concluindo pendências") + COUNTIFS(Base!$B:$B,D$11,Base!$M:$M,"&lt;"&amp;$B72,Base!$N:$N,"",Base!$O:$O,"&lt;&gt;Finalizado",Base!$O:$O,"&lt;&gt;Congelado",Base!$O:$O,"&lt;&gt;Concluindo pendências")</f>
        <v>6</v>
      </c>
      <c r="E72" s="93">
        <f>COUNTIFS(Base!$B:$B,E$11,Base!$M:$M,"&lt;"&amp;$B72,Base!$N:$N,"&gt;="&amp;$B72,Base!$O:$O,"&lt;&gt;Finalizado",Base!$O:$O,"&lt;&gt;Congelado",Base!$O:$O,"&lt;&gt;Concluindo pendências") + COUNTIFS(Base!$B:$B,E$11,Base!$M:$M,"&lt;"&amp;$B72,Base!$N:$N,"",Base!$O:$O,"&lt;&gt;Finalizado",Base!$O:$O,"&lt;&gt;Congelado",Base!$O:$O,"&lt;&gt;Concluindo pendências")</f>
        <v>7</v>
      </c>
      <c r="F72" s="93">
        <f>COUNTIFS(Base!$B:$B,F$11,Base!$M:$M,"&lt;"&amp;$B72,Base!$N:$N,"&gt;="&amp;$B72,Base!$O:$O,"&lt;&gt;Finalizado",Base!$O:$O,"&lt;&gt;Congelado",Base!$O:$O,"&lt;&gt;Concluindo pendências") + COUNTIFS(Base!$B:$B,F$11,Base!$M:$M,"&lt;"&amp;$B72,Base!$N:$N,"",Base!$O:$O,"&lt;&gt;Finalizado",Base!$O:$O,"&lt;&gt;Congelado",Base!$O:$O,"&lt;&gt;Concluindo pendências")</f>
        <v>4</v>
      </c>
      <c r="H72" s="93">
        <f>COUNTIFS(Base!$B:$B,C$11,Base!$K:$K,"&lt;"&amp;$B72,Base!$N:$N,"&gt;="&amp;$B72,Base!$O:$O,"&lt;&gt;Finalizado",Base!$O:$O,"&lt;&gt;Congelado") + COUNTIFS(Base!$B:$B,C$11,Base!$K:$K,"&lt;"&amp;$B72,Base!$N:$N,"",Base!$O:$O,"&lt;&gt;Finalizado",Base!$O:$O,"&lt;&gt;Congelado")</f>
        <v>12</v>
      </c>
      <c r="I72" s="93">
        <f>COUNTIFS(Base!$B:$B,D$11,Base!$K:$K,"&lt;"&amp;$B72,Base!$N:$N,"&gt;="&amp;$B72,Base!$O:$O,"&lt;&gt;Finalizado",Base!$O:$O,"&lt;&gt;Congelado") + COUNTIFS(Base!$B:$B,D$11,Base!$K:$K,"&lt;"&amp;$B72,Base!$N:$N,"",Base!$O:$O,"&lt;&gt;Finalizado",Base!$O:$O,"&lt;&gt;Congelado")</f>
        <v>28</v>
      </c>
      <c r="J72" s="93">
        <f>COUNTIFS(Base!$B:$B,E$11,Base!$K:$K,"&lt;"&amp;$B72,Base!$N:$N,"&gt;="&amp;$B72,Base!$O:$O,"&lt;&gt;Finalizado",Base!$O:$O,"&lt;&gt;Congelado") + COUNTIFS(Base!$B:$B,E$11,Base!$K:$K,"&lt;"&amp;$B72,Base!$N:$N,"",Base!$O:$O,"&lt;&gt;Finalizado",Base!$O:$O,"&lt;&gt;Congelado")</f>
        <v>18</v>
      </c>
      <c r="K72" s="93">
        <f>COUNTIFS(Base!$B:$B,F$11,Base!$K:$K,"&lt;"&amp;$B72,Base!$N:$N,"&gt;="&amp;$B72,Base!$O:$O,"&lt;&gt;Finalizado",Base!$O:$O,"&lt;&gt;Congelado") + COUNTIFS(Base!$B:$B,F$11,Base!$K:$K,"&lt;"&amp;$B72,Base!$N:$N,"",Base!$O:$O,"&lt;&gt;Finalizado",Base!$O:$O,"&lt;&gt;Congelado")</f>
        <v>15</v>
      </c>
      <c r="M72" s="133">
        <f t="shared" ref="M72:P72" si="80">C72/H72</f>
        <v>0.1666666667</v>
      </c>
      <c r="N72" s="133">
        <f t="shared" si="80"/>
        <v>0.2142857143</v>
      </c>
      <c r="O72" s="133">
        <f t="shared" si="80"/>
        <v>0.3888888889</v>
      </c>
      <c r="P72" s="133">
        <f t="shared" si="80"/>
        <v>0.2666666667</v>
      </c>
      <c r="Q72" s="133">
        <f t="shared" si="9"/>
        <v>0.2602739726</v>
      </c>
      <c r="S72" s="93">
        <f t="shared" ref="S72:V72" si="81">S71+C72</f>
        <v>38</v>
      </c>
      <c r="T72" s="93">
        <f t="shared" si="81"/>
        <v>137</v>
      </c>
      <c r="U72" s="93">
        <f t="shared" si="81"/>
        <v>170</v>
      </c>
      <c r="V72" s="93">
        <f t="shared" si="81"/>
        <v>124</v>
      </c>
      <c r="W72" s="93">
        <f t="shared" si="11"/>
        <v>469</v>
      </c>
      <c r="Y72" s="133">
        <f>(COUNTIFS(Base!$B:$B,C$11,Base!$S:$S,"&gt;8",Base!$N:$N,"&lt;="&amp;$B72) - COUNTIFS(Base!$B:$B,C$11,Base!$S:$S,"&lt;7",Base!$N:$N,"&lt;="&amp;$B72) - COUNTIFS(Base!$B:$B,C$11,Base!$S:$S,"&lt;7",Base!$K:$K,"&lt;="&amp;$B72,Base!$O:$O,"Finalizado"))/(COUNTIFS(Base!$B:$B,C$11,Base!$S:$S,"&lt;&gt;",Base!$N:$N,"&lt;="&amp;$B72)+COUNTIFS(Base!$B:$B,C$11,Base!$S:$S,"&lt;7",Base!$K:$K,"&lt;="&amp;$B72,Base!$O:$O,"Finalizado"))</f>
        <v>0.3333333333</v>
      </c>
      <c r="Z72" s="133">
        <f>(COUNTIFS(Base!$B:$B,D$11,Base!$S:$S,"&gt;8",Base!$N:$N,"&lt;="&amp;$B72) - COUNTIFS(Base!$B:$B,D$11,Base!$S:$S,"&lt;7",Base!$N:$N,"&lt;="&amp;$B72) - COUNTIFS(Base!$B:$B,D$11,Base!$S:$S,"&lt;7",Base!$K:$K,"&lt;="&amp;$B72,Base!$O:$O,"Finalizado"))/(COUNTIFS(Base!$B:$B,D$11,Base!$S:$S,"&lt;&gt;",Base!$N:$N,"&lt;="&amp;$B72)+COUNTIFS(Base!$B:$B,D$11,Base!$S:$S,"&lt;7",Base!$K:$K,"&lt;="&amp;$B72,Base!$O:$O,"Finalizado"))</f>
        <v>0.5</v>
      </c>
      <c r="AA72" s="133">
        <f>(COUNTIFS(Base!$B:$B,E$11,Base!$S:$S,"&gt;8",Base!$N:$N,"&lt;="&amp;$B72) - COUNTIFS(Base!$B:$B,E$11,Base!$S:$S,"&lt;7",Base!$N:$N,"&lt;="&amp;$B72) - COUNTIFS(Base!$B:$B,E$11,Base!$S:$S,"&lt;7",Base!$K:$K,"&lt;="&amp;$B72,Base!$O:$O,"Finalizado"))/(COUNTIFS(Base!$B:$B,E$11,Base!$S:$S,"&lt;&gt;",Base!$N:$N,"&lt;="&amp;$B72)+COUNTIFS(Base!$B:$B,E$11,Base!$S:$S,"&lt;7",Base!$K:$K,"&lt;="&amp;$B72,Base!$O:$O,"Finalizado"))</f>
        <v>0.4</v>
      </c>
      <c r="AB72" s="133">
        <f t="shared" si="12"/>
        <v>0.75</v>
      </c>
      <c r="AD72" s="93">
        <f>(COUNTIFS(Base!$B:$B,F$11,Base!$S:$S,"&gt;8",Base!$N:$N,"&lt;="&amp;$B72)+(COUNTIFS(Base!$B:$B,F$11,Base!$AG:$AG,"&gt;8",Base!$K:$K,"&lt;="&amp;$B72)))</f>
        <v>3</v>
      </c>
      <c r="AE72" s="93">
        <f>(COUNTIFS(Base!$B:$B,F$11,Base!$S:$S,"&lt;&gt;",Base!$N:$N,"&lt;="&amp;$B72)+(COUNTIFS(Base!$B:$B,F$11,Base!$AG:$AG,"&lt;&gt;",Base!$K:$K,"&lt;="&amp;$B72)+COUNTIFS(Base!$B:$B,F$11,Base!$S:$S,"&lt;7",Base!$K:$K,"&lt;="&amp;$B72,Base!$O:$O,"Finalizado")))</f>
        <v>4</v>
      </c>
      <c r="AF72" s="93">
        <f>COUNTIFS(Base!$B:$B,F$11,Base!$S:$S,"&lt;7",Base!$N:$N,"&lt;="&amp;$B72) +COUNTIFS(Base!$B:$B,F$11,Base!$AG:$AG,"&lt;7",Base!$K:$K,"&lt;="&amp;$B72) + COUNTIFS(Base!$B:$B,F$11,Base!$S:$S,"&lt;7",Base!$K:$K,"&lt;="&amp;$B72,Base!$O:$O,"Finalizado")</f>
        <v>0</v>
      </c>
    </row>
    <row r="73">
      <c r="B73" s="151">
        <f t="shared" si="13"/>
        <v>45328</v>
      </c>
      <c r="C73" s="93">
        <f>COUNTIFS(Base!$B:$B,C$11,Base!$M:$M,"&lt;"&amp;$B73,Base!$N:$N,"&gt;="&amp;$B73,Base!$O:$O,"&lt;&gt;Finalizado",Base!$O:$O,"&lt;&gt;Congelado",Base!$O:$O,"&lt;&gt;Concluindo pendências") + COUNTIFS(Base!$B:$B,C$11,Base!$M:$M,"&lt;"&amp;$B73,Base!$N:$N,"",Base!$O:$O,"&lt;&gt;Finalizado",Base!$O:$O,"&lt;&gt;Congelado",Base!$O:$O,"&lt;&gt;Concluindo pendências")</f>
        <v>2</v>
      </c>
      <c r="D73" s="93">
        <f>COUNTIFS(Base!$B:$B,D$11,Base!$M:$M,"&lt;"&amp;$B73,Base!$N:$N,"&gt;="&amp;$B73,Base!$O:$O,"&lt;&gt;Finalizado",Base!$O:$O,"&lt;&gt;Congelado",Base!$O:$O,"&lt;&gt;Concluindo pendências") + COUNTIFS(Base!$B:$B,D$11,Base!$M:$M,"&lt;"&amp;$B73,Base!$N:$N,"",Base!$O:$O,"&lt;&gt;Finalizado",Base!$O:$O,"&lt;&gt;Congelado",Base!$O:$O,"&lt;&gt;Concluindo pendências")</f>
        <v>7</v>
      </c>
      <c r="E73" s="93">
        <f>COUNTIFS(Base!$B:$B,E$11,Base!$M:$M,"&lt;"&amp;$B73,Base!$N:$N,"&gt;="&amp;$B73,Base!$O:$O,"&lt;&gt;Finalizado",Base!$O:$O,"&lt;&gt;Congelado",Base!$O:$O,"&lt;&gt;Concluindo pendências") + COUNTIFS(Base!$B:$B,E$11,Base!$M:$M,"&lt;"&amp;$B73,Base!$N:$N,"",Base!$O:$O,"&lt;&gt;Finalizado",Base!$O:$O,"&lt;&gt;Congelado",Base!$O:$O,"&lt;&gt;Concluindo pendências")</f>
        <v>7</v>
      </c>
      <c r="F73" s="93">
        <f>COUNTIFS(Base!$B:$B,F$11,Base!$M:$M,"&lt;"&amp;$B73,Base!$N:$N,"&gt;="&amp;$B73,Base!$O:$O,"&lt;&gt;Finalizado",Base!$O:$O,"&lt;&gt;Congelado",Base!$O:$O,"&lt;&gt;Concluindo pendências") + COUNTIFS(Base!$B:$B,F$11,Base!$M:$M,"&lt;"&amp;$B73,Base!$N:$N,"",Base!$O:$O,"&lt;&gt;Finalizado",Base!$O:$O,"&lt;&gt;Congelado",Base!$O:$O,"&lt;&gt;Concluindo pendências")</f>
        <v>4</v>
      </c>
      <c r="H73" s="93">
        <f>COUNTIFS(Base!$B:$B,C$11,Base!$K:$K,"&lt;"&amp;$B73,Base!$N:$N,"&gt;="&amp;$B73,Base!$O:$O,"&lt;&gt;Finalizado",Base!$O:$O,"&lt;&gt;Congelado") + COUNTIFS(Base!$B:$B,C$11,Base!$K:$K,"&lt;"&amp;$B73,Base!$N:$N,"",Base!$O:$O,"&lt;&gt;Finalizado",Base!$O:$O,"&lt;&gt;Congelado")</f>
        <v>11</v>
      </c>
      <c r="I73" s="93">
        <f>COUNTIFS(Base!$B:$B,D$11,Base!$K:$K,"&lt;"&amp;$B73,Base!$N:$N,"&gt;="&amp;$B73,Base!$O:$O,"&lt;&gt;Finalizado",Base!$O:$O,"&lt;&gt;Congelado") + COUNTIFS(Base!$B:$B,D$11,Base!$K:$K,"&lt;"&amp;$B73,Base!$N:$N,"",Base!$O:$O,"&lt;&gt;Finalizado",Base!$O:$O,"&lt;&gt;Congelado")</f>
        <v>28</v>
      </c>
      <c r="J73" s="93">
        <f>COUNTIFS(Base!$B:$B,E$11,Base!$K:$K,"&lt;"&amp;$B73,Base!$N:$N,"&gt;="&amp;$B73,Base!$O:$O,"&lt;&gt;Finalizado",Base!$O:$O,"&lt;&gt;Congelado") + COUNTIFS(Base!$B:$B,E$11,Base!$K:$K,"&lt;"&amp;$B73,Base!$N:$N,"",Base!$O:$O,"&lt;&gt;Finalizado",Base!$O:$O,"&lt;&gt;Congelado")</f>
        <v>18</v>
      </c>
      <c r="K73" s="93">
        <f>COUNTIFS(Base!$B:$B,F$11,Base!$K:$K,"&lt;"&amp;$B73,Base!$N:$N,"&gt;="&amp;$B73,Base!$O:$O,"&lt;&gt;Finalizado",Base!$O:$O,"&lt;&gt;Congelado") + COUNTIFS(Base!$B:$B,F$11,Base!$K:$K,"&lt;"&amp;$B73,Base!$N:$N,"",Base!$O:$O,"&lt;&gt;Finalizado",Base!$O:$O,"&lt;&gt;Congelado")</f>
        <v>17</v>
      </c>
      <c r="M73" s="133">
        <f t="shared" ref="M73:P73" si="82">C73/H73</f>
        <v>0.1818181818</v>
      </c>
      <c r="N73" s="133">
        <f t="shared" si="82"/>
        <v>0.25</v>
      </c>
      <c r="O73" s="133">
        <f t="shared" si="82"/>
        <v>0.3888888889</v>
      </c>
      <c r="P73" s="133">
        <f t="shared" si="82"/>
        <v>0.2352941176</v>
      </c>
      <c r="Q73" s="133">
        <f t="shared" si="9"/>
        <v>0.2702702703</v>
      </c>
      <c r="S73" s="93">
        <f t="shared" ref="S73:V73" si="83">S72+C73</f>
        <v>40</v>
      </c>
      <c r="T73" s="93">
        <f t="shared" si="83"/>
        <v>144</v>
      </c>
      <c r="U73" s="93">
        <f t="shared" si="83"/>
        <v>177</v>
      </c>
      <c r="V73" s="93">
        <f t="shared" si="83"/>
        <v>128</v>
      </c>
      <c r="W73" s="93">
        <f t="shared" si="11"/>
        <v>489</v>
      </c>
      <c r="Y73" s="133">
        <f>(COUNTIFS(Base!$B:$B,C$11,Base!$S:$S,"&gt;8",Base!$N:$N,"&lt;="&amp;$B73) - COUNTIFS(Base!$B:$B,C$11,Base!$S:$S,"&lt;7",Base!$N:$N,"&lt;="&amp;$B73) - COUNTIFS(Base!$B:$B,C$11,Base!$S:$S,"&lt;7",Base!$K:$K,"&lt;="&amp;$B73,Base!$O:$O,"Finalizado"))/(COUNTIFS(Base!$B:$B,C$11,Base!$S:$S,"&lt;&gt;",Base!$N:$N,"&lt;="&amp;$B73)+COUNTIFS(Base!$B:$B,C$11,Base!$S:$S,"&lt;7",Base!$K:$K,"&lt;="&amp;$B73,Base!$O:$O,"Finalizado"))</f>
        <v>0.3333333333</v>
      </c>
      <c r="Z73" s="133">
        <f>(COUNTIFS(Base!$B:$B,D$11,Base!$S:$S,"&gt;8",Base!$N:$N,"&lt;="&amp;$B73) - COUNTIFS(Base!$B:$B,D$11,Base!$S:$S,"&lt;7",Base!$N:$N,"&lt;="&amp;$B73) - COUNTIFS(Base!$B:$B,D$11,Base!$S:$S,"&lt;7",Base!$K:$K,"&lt;="&amp;$B73,Base!$O:$O,"Finalizado"))/(COUNTIFS(Base!$B:$B,D$11,Base!$S:$S,"&lt;&gt;",Base!$N:$N,"&lt;="&amp;$B73)+COUNTIFS(Base!$B:$B,D$11,Base!$S:$S,"&lt;7",Base!$K:$K,"&lt;="&amp;$B73,Base!$O:$O,"Finalizado"))</f>
        <v>0.5</v>
      </c>
      <c r="AA73" s="133">
        <f>(COUNTIFS(Base!$B:$B,E$11,Base!$S:$S,"&gt;8",Base!$N:$N,"&lt;="&amp;$B73) - COUNTIFS(Base!$B:$B,E$11,Base!$S:$S,"&lt;7",Base!$N:$N,"&lt;="&amp;$B73) - COUNTIFS(Base!$B:$B,E$11,Base!$S:$S,"&lt;7",Base!$K:$K,"&lt;="&amp;$B73,Base!$O:$O,"Finalizado"))/(COUNTIFS(Base!$B:$B,E$11,Base!$S:$S,"&lt;&gt;",Base!$N:$N,"&lt;="&amp;$B73)+COUNTIFS(Base!$B:$B,E$11,Base!$S:$S,"&lt;7",Base!$K:$K,"&lt;="&amp;$B73,Base!$O:$O,"Finalizado"))</f>
        <v>0.4</v>
      </c>
      <c r="AB73" s="133">
        <f t="shared" si="12"/>
        <v>0.75</v>
      </c>
      <c r="AD73" s="93">
        <f>(COUNTIFS(Base!$B:$B,F$11,Base!$S:$S,"&gt;8",Base!$N:$N,"&lt;="&amp;$B73)+(COUNTIFS(Base!$B:$B,F$11,Base!$AG:$AG,"&gt;8",Base!$K:$K,"&lt;="&amp;$B73)))</f>
        <v>3</v>
      </c>
      <c r="AE73" s="93">
        <f>(COUNTIFS(Base!$B:$B,F$11,Base!$S:$S,"&lt;&gt;",Base!$N:$N,"&lt;="&amp;$B73)+(COUNTIFS(Base!$B:$B,F$11,Base!$AG:$AG,"&lt;&gt;",Base!$K:$K,"&lt;="&amp;$B73)+COUNTIFS(Base!$B:$B,F$11,Base!$S:$S,"&lt;7",Base!$K:$K,"&lt;="&amp;$B73,Base!$O:$O,"Finalizado")))</f>
        <v>4</v>
      </c>
      <c r="AF73" s="93">
        <f>COUNTIFS(Base!$B:$B,F$11,Base!$S:$S,"&lt;7",Base!$N:$N,"&lt;="&amp;$B73) +COUNTIFS(Base!$B:$B,F$11,Base!$AG:$AG,"&lt;7",Base!$K:$K,"&lt;="&amp;$B73) + COUNTIFS(Base!$B:$B,F$11,Base!$S:$S,"&lt;7",Base!$K:$K,"&lt;="&amp;$B73,Base!$O:$O,"Finalizado")</f>
        <v>0</v>
      </c>
    </row>
    <row r="74">
      <c r="B74" s="151">
        <f t="shared" si="13"/>
        <v>45329</v>
      </c>
      <c r="C74" s="93">
        <f>COUNTIFS(Base!$B:$B,C$11,Base!$M:$M,"&lt;"&amp;$B74,Base!$N:$N,"&gt;="&amp;$B74,Base!$O:$O,"&lt;&gt;Finalizado",Base!$O:$O,"&lt;&gt;Congelado",Base!$O:$O,"&lt;&gt;Concluindo pendências") + COUNTIFS(Base!$B:$B,C$11,Base!$M:$M,"&lt;"&amp;$B74,Base!$N:$N,"",Base!$O:$O,"&lt;&gt;Finalizado",Base!$O:$O,"&lt;&gt;Congelado",Base!$O:$O,"&lt;&gt;Concluindo pendências")</f>
        <v>2</v>
      </c>
      <c r="D74" s="93">
        <f>COUNTIFS(Base!$B:$B,D$11,Base!$M:$M,"&lt;"&amp;$B74,Base!$N:$N,"&gt;="&amp;$B74,Base!$O:$O,"&lt;&gt;Finalizado",Base!$O:$O,"&lt;&gt;Congelado",Base!$O:$O,"&lt;&gt;Concluindo pendências") + COUNTIFS(Base!$B:$B,D$11,Base!$M:$M,"&lt;"&amp;$B74,Base!$N:$N,"",Base!$O:$O,"&lt;&gt;Finalizado",Base!$O:$O,"&lt;&gt;Congelado",Base!$O:$O,"&lt;&gt;Concluindo pendências")</f>
        <v>7</v>
      </c>
      <c r="E74" s="93">
        <f>COUNTIFS(Base!$B:$B,E$11,Base!$M:$M,"&lt;"&amp;$B74,Base!$N:$N,"&gt;="&amp;$B74,Base!$O:$O,"&lt;&gt;Finalizado",Base!$O:$O,"&lt;&gt;Congelado",Base!$O:$O,"&lt;&gt;Concluindo pendências") + COUNTIFS(Base!$B:$B,E$11,Base!$M:$M,"&lt;"&amp;$B74,Base!$N:$N,"",Base!$O:$O,"&lt;&gt;Finalizado",Base!$O:$O,"&lt;&gt;Congelado",Base!$O:$O,"&lt;&gt;Concluindo pendências")</f>
        <v>8</v>
      </c>
      <c r="F74" s="93">
        <f>COUNTIFS(Base!$B:$B,F$11,Base!$M:$M,"&lt;"&amp;$B74,Base!$N:$N,"&gt;="&amp;$B74,Base!$O:$O,"&lt;&gt;Finalizado",Base!$O:$O,"&lt;&gt;Congelado",Base!$O:$O,"&lt;&gt;Concluindo pendências") + COUNTIFS(Base!$B:$B,F$11,Base!$M:$M,"&lt;"&amp;$B74,Base!$N:$N,"",Base!$O:$O,"&lt;&gt;Finalizado",Base!$O:$O,"&lt;&gt;Congelado",Base!$O:$O,"&lt;&gt;Concluindo pendências")</f>
        <v>4</v>
      </c>
      <c r="H74" s="93">
        <f>COUNTIFS(Base!$B:$B,C$11,Base!$K:$K,"&lt;"&amp;$B74,Base!$N:$N,"&gt;="&amp;$B74,Base!$O:$O,"&lt;&gt;Finalizado",Base!$O:$O,"&lt;&gt;Congelado") + COUNTIFS(Base!$B:$B,C$11,Base!$K:$K,"&lt;"&amp;$B74,Base!$N:$N,"",Base!$O:$O,"&lt;&gt;Finalizado",Base!$O:$O,"&lt;&gt;Congelado")</f>
        <v>11</v>
      </c>
      <c r="I74" s="93">
        <f>COUNTIFS(Base!$B:$B,D$11,Base!$K:$K,"&lt;"&amp;$B74,Base!$N:$N,"&gt;="&amp;$B74,Base!$O:$O,"&lt;&gt;Finalizado",Base!$O:$O,"&lt;&gt;Congelado") + COUNTIFS(Base!$B:$B,D$11,Base!$K:$K,"&lt;"&amp;$B74,Base!$N:$N,"",Base!$O:$O,"&lt;&gt;Finalizado",Base!$O:$O,"&lt;&gt;Congelado")</f>
        <v>28</v>
      </c>
      <c r="J74" s="93">
        <f>COUNTIFS(Base!$B:$B,E$11,Base!$K:$K,"&lt;"&amp;$B74,Base!$N:$N,"&gt;="&amp;$B74,Base!$O:$O,"&lt;&gt;Finalizado",Base!$O:$O,"&lt;&gt;Congelado") + COUNTIFS(Base!$B:$B,E$11,Base!$K:$K,"&lt;"&amp;$B74,Base!$N:$N,"",Base!$O:$O,"&lt;&gt;Finalizado",Base!$O:$O,"&lt;&gt;Congelado")</f>
        <v>18</v>
      </c>
      <c r="K74" s="93">
        <f>COUNTIFS(Base!$B:$B,F$11,Base!$K:$K,"&lt;"&amp;$B74,Base!$N:$N,"&gt;="&amp;$B74,Base!$O:$O,"&lt;&gt;Finalizado",Base!$O:$O,"&lt;&gt;Congelado") + COUNTIFS(Base!$B:$B,F$11,Base!$K:$K,"&lt;"&amp;$B74,Base!$N:$N,"",Base!$O:$O,"&lt;&gt;Finalizado",Base!$O:$O,"&lt;&gt;Congelado")</f>
        <v>17</v>
      </c>
      <c r="M74" s="133">
        <f t="shared" ref="M74:P74" si="84">C74/H74</f>
        <v>0.1818181818</v>
      </c>
      <c r="N74" s="133">
        <f t="shared" si="84"/>
        <v>0.25</v>
      </c>
      <c r="O74" s="133">
        <f t="shared" si="84"/>
        <v>0.4444444444</v>
      </c>
      <c r="P74" s="133">
        <f t="shared" si="84"/>
        <v>0.2352941176</v>
      </c>
      <c r="Q74" s="133">
        <f t="shared" si="9"/>
        <v>0.2837837838</v>
      </c>
      <c r="S74" s="93">
        <f t="shared" ref="S74:V74" si="85">S73+C74</f>
        <v>42</v>
      </c>
      <c r="T74" s="93">
        <f t="shared" si="85"/>
        <v>151</v>
      </c>
      <c r="U74" s="93">
        <f t="shared" si="85"/>
        <v>185</v>
      </c>
      <c r="V74" s="93">
        <f t="shared" si="85"/>
        <v>132</v>
      </c>
      <c r="W74" s="93">
        <f t="shared" si="11"/>
        <v>510</v>
      </c>
      <c r="Y74" s="133">
        <f>(COUNTIFS(Base!$B:$B,C$11,Base!$S:$S,"&gt;8",Base!$N:$N,"&lt;="&amp;$B74) - COUNTIFS(Base!$B:$B,C$11,Base!$S:$S,"&lt;7",Base!$N:$N,"&lt;="&amp;$B74) - COUNTIFS(Base!$B:$B,C$11,Base!$S:$S,"&lt;7",Base!$K:$K,"&lt;="&amp;$B74,Base!$O:$O,"Finalizado"))/(COUNTIFS(Base!$B:$B,C$11,Base!$S:$S,"&lt;&gt;",Base!$N:$N,"&lt;="&amp;$B74)+COUNTIFS(Base!$B:$B,C$11,Base!$S:$S,"&lt;7",Base!$K:$K,"&lt;="&amp;$B74,Base!$O:$O,"Finalizado"))</f>
        <v>0.3333333333</v>
      </c>
      <c r="Z74" s="133">
        <f>(COUNTIFS(Base!$B:$B,D$11,Base!$S:$S,"&gt;8",Base!$N:$N,"&lt;="&amp;$B74) - COUNTIFS(Base!$B:$B,D$11,Base!$S:$S,"&lt;7",Base!$N:$N,"&lt;="&amp;$B74) - COUNTIFS(Base!$B:$B,D$11,Base!$S:$S,"&lt;7",Base!$K:$K,"&lt;="&amp;$B74,Base!$O:$O,"Finalizado"))/(COUNTIFS(Base!$B:$B,D$11,Base!$S:$S,"&lt;&gt;",Base!$N:$N,"&lt;="&amp;$B74)+COUNTIFS(Base!$B:$B,D$11,Base!$S:$S,"&lt;7",Base!$K:$K,"&lt;="&amp;$B74,Base!$O:$O,"Finalizado"))</f>
        <v>0.5</v>
      </c>
      <c r="AA74" s="133">
        <f>(COUNTIFS(Base!$B:$B,E$11,Base!$S:$S,"&gt;8",Base!$N:$N,"&lt;="&amp;$B74) - COUNTIFS(Base!$B:$B,E$11,Base!$S:$S,"&lt;7",Base!$N:$N,"&lt;="&amp;$B74) - COUNTIFS(Base!$B:$B,E$11,Base!$S:$S,"&lt;7",Base!$K:$K,"&lt;="&amp;$B74,Base!$O:$O,"Finalizado"))/(COUNTIFS(Base!$B:$B,E$11,Base!$S:$S,"&lt;&gt;",Base!$N:$N,"&lt;="&amp;$B74)+COUNTIFS(Base!$B:$B,E$11,Base!$S:$S,"&lt;7",Base!$K:$K,"&lt;="&amp;$B74,Base!$O:$O,"Finalizado"))</f>
        <v>0.4</v>
      </c>
      <c r="AB74" s="133">
        <f t="shared" si="12"/>
        <v>0.75</v>
      </c>
      <c r="AD74" s="93">
        <f>(COUNTIFS(Base!$B:$B,F$11,Base!$S:$S,"&gt;8",Base!$N:$N,"&lt;="&amp;$B74)+(COUNTIFS(Base!$B:$B,F$11,Base!$AG:$AG,"&gt;8",Base!$K:$K,"&lt;="&amp;$B74)))</f>
        <v>3</v>
      </c>
      <c r="AE74" s="93">
        <f>(COUNTIFS(Base!$B:$B,F$11,Base!$S:$S,"&lt;&gt;",Base!$N:$N,"&lt;="&amp;$B74)+(COUNTIFS(Base!$B:$B,F$11,Base!$AG:$AG,"&lt;&gt;",Base!$K:$K,"&lt;="&amp;$B74)+COUNTIFS(Base!$B:$B,F$11,Base!$S:$S,"&lt;7",Base!$K:$K,"&lt;="&amp;$B74,Base!$O:$O,"Finalizado")))</f>
        <v>4</v>
      </c>
      <c r="AF74" s="93">
        <f>COUNTIFS(Base!$B:$B,F$11,Base!$S:$S,"&lt;7",Base!$N:$N,"&lt;="&amp;$B74) +COUNTIFS(Base!$B:$B,F$11,Base!$AG:$AG,"&lt;7",Base!$K:$K,"&lt;="&amp;$B74) + COUNTIFS(Base!$B:$B,F$11,Base!$S:$S,"&lt;7",Base!$K:$K,"&lt;="&amp;$B74,Base!$O:$O,"Finalizado")</f>
        <v>0</v>
      </c>
    </row>
    <row r="75">
      <c r="B75" s="151">
        <f t="shared" si="13"/>
        <v>45330</v>
      </c>
      <c r="C75" s="93">
        <f>COUNTIFS(Base!$B:$B,C$11,Base!$M:$M,"&lt;"&amp;$B75,Base!$N:$N,"&gt;="&amp;$B75,Base!$O:$O,"&lt;&gt;Finalizado",Base!$O:$O,"&lt;&gt;Congelado",Base!$O:$O,"&lt;&gt;Concluindo pendências") + COUNTIFS(Base!$B:$B,C$11,Base!$M:$M,"&lt;"&amp;$B75,Base!$N:$N,"",Base!$O:$O,"&lt;&gt;Finalizado",Base!$O:$O,"&lt;&gt;Congelado",Base!$O:$O,"&lt;&gt;Concluindo pendências")</f>
        <v>3</v>
      </c>
      <c r="D75" s="93">
        <f>COUNTIFS(Base!$B:$B,D$11,Base!$M:$M,"&lt;"&amp;$B75,Base!$N:$N,"&gt;="&amp;$B75,Base!$O:$O,"&lt;&gt;Finalizado",Base!$O:$O,"&lt;&gt;Congelado",Base!$O:$O,"&lt;&gt;Concluindo pendências") + COUNTIFS(Base!$B:$B,D$11,Base!$M:$M,"&lt;"&amp;$B75,Base!$N:$N,"",Base!$O:$O,"&lt;&gt;Finalizado",Base!$O:$O,"&lt;&gt;Congelado",Base!$O:$O,"&lt;&gt;Concluindo pendências")</f>
        <v>7</v>
      </c>
      <c r="E75" s="93">
        <f>COUNTIFS(Base!$B:$B,E$11,Base!$M:$M,"&lt;"&amp;$B75,Base!$N:$N,"&gt;="&amp;$B75,Base!$O:$O,"&lt;&gt;Finalizado",Base!$O:$O,"&lt;&gt;Congelado",Base!$O:$O,"&lt;&gt;Concluindo pendências") + COUNTIFS(Base!$B:$B,E$11,Base!$M:$M,"&lt;"&amp;$B75,Base!$N:$N,"",Base!$O:$O,"&lt;&gt;Finalizado",Base!$O:$O,"&lt;&gt;Congelado",Base!$O:$O,"&lt;&gt;Concluindo pendências")</f>
        <v>8</v>
      </c>
      <c r="F75" s="93">
        <f>COUNTIFS(Base!$B:$B,F$11,Base!$M:$M,"&lt;"&amp;$B75,Base!$N:$N,"&gt;="&amp;$B75,Base!$O:$O,"&lt;&gt;Finalizado",Base!$O:$O,"&lt;&gt;Congelado",Base!$O:$O,"&lt;&gt;Concluindo pendências") + COUNTIFS(Base!$B:$B,F$11,Base!$M:$M,"&lt;"&amp;$B75,Base!$N:$N,"",Base!$O:$O,"&lt;&gt;Finalizado",Base!$O:$O,"&lt;&gt;Congelado",Base!$O:$O,"&lt;&gt;Concluindo pendências")</f>
        <v>4</v>
      </c>
      <c r="H75" s="93">
        <f>COUNTIFS(Base!$B:$B,C$11,Base!$K:$K,"&lt;"&amp;$B75,Base!$N:$N,"&gt;="&amp;$B75,Base!$O:$O,"&lt;&gt;Finalizado",Base!$O:$O,"&lt;&gt;Congelado") + COUNTIFS(Base!$B:$B,C$11,Base!$K:$K,"&lt;"&amp;$B75,Base!$N:$N,"",Base!$O:$O,"&lt;&gt;Finalizado",Base!$O:$O,"&lt;&gt;Congelado")</f>
        <v>12</v>
      </c>
      <c r="I75" s="93">
        <f>COUNTIFS(Base!$B:$B,D$11,Base!$K:$K,"&lt;"&amp;$B75,Base!$N:$N,"&gt;="&amp;$B75,Base!$O:$O,"&lt;&gt;Finalizado",Base!$O:$O,"&lt;&gt;Congelado") + COUNTIFS(Base!$B:$B,D$11,Base!$K:$K,"&lt;"&amp;$B75,Base!$N:$N,"",Base!$O:$O,"&lt;&gt;Finalizado",Base!$O:$O,"&lt;&gt;Congelado")</f>
        <v>29</v>
      </c>
      <c r="J75" s="93">
        <f>COUNTIFS(Base!$B:$B,E$11,Base!$K:$K,"&lt;"&amp;$B75,Base!$N:$N,"&gt;="&amp;$B75,Base!$O:$O,"&lt;&gt;Finalizado",Base!$O:$O,"&lt;&gt;Congelado") + COUNTIFS(Base!$B:$B,E$11,Base!$K:$K,"&lt;"&amp;$B75,Base!$N:$N,"",Base!$O:$O,"&lt;&gt;Finalizado",Base!$O:$O,"&lt;&gt;Congelado")</f>
        <v>18</v>
      </c>
      <c r="K75" s="93">
        <f>COUNTIFS(Base!$B:$B,F$11,Base!$K:$K,"&lt;"&amp;$B75,Base!$N:$N,"&gt;="&amp;$B75,Base!$O:$O,"&lt;&gt;Finalizado",Base!$O:$O,"&lt;&gt;Congelado") + COUNTIFS(Base!$B:$B,F$11,Base!$K:$K,"&lt;"&amp;$B75,Base!$N:$N,"",Base!$O:$O,"&lt;&gt;Finalizado",Base!$O:$O,"&lt;&gt;Congelado")</f>
        <v>18</v>
      </c>
      <c r="M75" s="133">
        <f t="shared" ref="M75:P75" si="86">C75/H75</f>
        <v>0.25</v>
      </c>
      <c r="N75" s="133">
        <f t="shared" si="86"/>
        <v>0.2413793103</v>
      </c>
      <c r="O75" s="133">
        <f t="shared" si="86"/>
        <v>0.4444444444</v>
      </c>
      <c r="P75" s="133">
        <f t="shared" si="86"/>
        <v>0.2222222222</v>
      </c>
      <c r="Q75" s="133">
        <f t="shared" si="9"/>
        <v>0.2857142857</v>
      </c>
      <c r="S75" s="93">
        <f t="shared" ref="S75:V75" si="87">S74+C75</f>
        <v>45</v>
      </c>
      <c r="T75" s="93">
        <f t="shared" si="87"/>
        <v>158</v>
      </c>
      <c r="U75" s="93">
        <f t="shared" si="87"/>
        <v>193</v>
      </c>
      <c r="V75" s="93">
        <f t="shared" si="87"/>
        <v>136</v>
      </c>
      <c r="W75" s="93">
        <f t="shared" si="11"/>
        <v>532</v>
      </c>
      <c r="Y75" s="133">
        <f>(COUNTIFS(Base!$B:$B,C$11,Base!$S:$S,"&gt;8",Base!$N:$N,"&lt;="&amp;$B75) - COUNTIFS(Base!$B:$B,C$11,Base!$S:$S,"&lt;7",Base!$N:$N,"&lt;="&amp;$B75) - COUNTIFS(Base!$B:$B,C$11,Base!$S:$S,"&lt;7",Base!$K:$K,"&lt;="&amp;$B75,Base!$O:$O,"Finalizado"))/(COUNTIFS(Base!$B:$B,C$11,Base!$S:$S,"&lt;&gt;",Base!$N:$N,"&lt;="&amp;$B75)+COUNTIFS(Base!$B:$B,C$11,Base!$S:$S,"&lt;7",Base!$K:$K,"&lt;="&amp;$B75,Base!$O:$O,"Finalizado"))</f>
        <v>0.3333333333</v>
      </c>
      <c r="Z75" s="133">
        <f>(COUNTIFS(Base!$B:$B,D$11,Base!$S:$S,"&gt;8",Base!$N:$N,"&lt;="&amp;$B75) - COUNTIFS(Base!$B:$B,D$11,Base!$S:$S,"&lt;7",Base!$N:$N,"&lt;="&amp;$B75) - COUNTIFS(Base!$B:$B,D$11,Base!$S:$S,"&lt;7",Base!$K:$K,"&lt;="&amp;$B75,Base!$O:$O,"Finalizado"))/(COUNTIFS(Base!$B:$B,D$11,Base!$S:$S,"&lt;&gt;",Base!$N:$N,"&lt;="&amp;$B75)+COUNTIFS(Base!$B:$B,D$11,Base!$S:$S,"&lt;7",Base!$K:$K,"&lt;="&amp;$B75,Base!$O:$O,"Finalizado"))</f>
        <v>0.5</v>
      </c>
      <c r="AA75" s="133">
        <f>(COUNTIFS(Base!$B:$B,E$11,Base!$S:$S,"&gt;8",Base!$N:$N,"&lt;="&amp;$B75) - COUNTIFS(Base!$B:$B,E$11,Base!$S:$S,"&lt;7",Base!$N:$N,"&lt;="&amp;$B75) - COUNTIFS(Base!$B:$B,E$11,Base!$S:$S,"&lt;7",Base!$K:$K,"&lt;="&amp;$B75,Base!$O:$O,"Finalizado"))/(COUNTIFS(Base!$B:$B,E$11,Base!$S:$S,"&lt;&gt;",Base!$N:$N,"&lt;="&amp;$B75)+COUNTIFS(Base!$B:$B,E$11,Base!$S:$S,"&lt;7",Base!$K:$K,"&lt;="&amp;$B75,Base!$O:$O,"Finalizado"))</f>
        <v>0.4</v>
      </c>
      <c r="AB75" s="133">
        <f t="shared" si="12"/>
        <v>0.75</v>
      </c>
      <c r="AD75" s="93">
        <f>(COUNTIFS(Base!$B:$B,F$11,Base!$S:$S,"&gt;8",Base!$N:$N,"&lt;="&amp;$B75)+(COUNTIFS(Base!$B:$B,F$11,Base!$AG:$AG,"&gt;8",Base!$K:$K,"&lt;="&amp;$B75)))</f>
        <v>3</v>
      </c>
      <c r="AE75" s="93">
        <f>(COUNTIFS(Base!$B:$B,F$11,Base!$S:$S,"&lt;&gt;",Base!$N:$N,"&lt;="&amp;$B75)+(COUNTIFS(Base!$B:$B,F$11,Base!$AG:$AG,"&lt;&gt;",Base!$K:$K,"&lt;="&amp;$B75)+COUNTIFS(Base!$B:$B,F$11,Base!$S:$S,"&lt;7",Base!$K:$K,"&lt;="&amp;$B75,Base!$O:$O,"Finalizado")))</f>
        <v>4</v>
      </c>
      <c r="AF75" s="93">
        <f>COUNTIFS(Base!$B:$B,F$11,Base!$S:$S,"&lt;7",Base!$N:$N,"&lt;="&amp;$B75) +COUNTIFS(Base!$B:$B,F$11,Base!$AG:$AG,"&lt;7",Base!$K:$K,"&lt;="&amp;$B75) + COUNTIFS(Base!$B:$B,F$11,Base!$S:$S,"&lt;7",Base!$K:$K,"&lt;="&amp;$B75,Base!$O:$O,"Finalizado")</f>
        <v>0</v>
      </c>
    </row>
    <row r="76">
      <c r="B76" s="151">
        <f t="shared" si="13"/>
        <v>45331</v>
      </c>
      <c r="C76" s="93">
        <f>COUNTIFS(Base!$B:$B,C$11,Base!$M:$M,"&lt;"&amp;$B76,Base!$N:$N,"&gt;="&amp;$B76,Base!$O:$O,"&lt;&gt;Finalizado",Base!$O:$O,"&lt;&gt;Congelado",Base!$O:$O,"&lt;&gt;Concluindo pendências") + COUNTIFS(Base!$B:$B,C$11,Base!$M:$M,"&lt;"&amp;$B76,Base!$N:$N,"",Base!$O:$O,"&lt;&gt;Finalizado",Base!$O:$O,"&lt;&gt;Congelado",Base!$O:$O,"&lt;&gt;Concluindo pendências")</f>
        <v>3</v>
      </c>
      <c r="D76" s="93">
        <f>COUNTIFS(Base!$B:$B,D$11,Base!$M:$M,"&lt;"&amp;$B76,Base!$N:$N,"&gt;="&amp;$B76,Base!$O:$O,"&lt;&gt;Finalizado",Base!$O:$O,"&lt;&gt;Congelado",Base!$O:$O,"&lt;&gt;Concluindo pendências") + COUNTIFS(Base!$B:$B,D$11,Base!$M:$M,"&lt;"&amp;$B76,Base!$N:$N,"",Base!$O:$O,"&lt;&gt;Finalizado",Base!$O:$O,"&lt;&gt;Congelado",Base!$O:$O,"&lt;&gt;Concluindo pendências")</f>
        <v>7</v>
      </c>
      <c r="E76" s="93">
        <f>COUNTIFS(Base!$B:$B,E$11,Base!$M:$M,"&lt;"&amp;$B76,Base!$N:$N,"&gt;="&amp;$B76,Base!$O:$O,"&lt;&gt;Finalizado",Base!$O:$O,"&lt;&gt;Congelado",Base!$O:$O,"&lt;&gt;Concluindo pendências") + COUNTIFS(Base!$B:$B,E$11,Base!$M:$M,"&lt;"&amp;$B76,Base!$N:$N,"",Base!$O:$O,"&lt;&gt;Finalizado",Base!$O:$O,"&lt;&gt;Congelado",Base!$O:$O,"&lt;&gt;Concluindo pendências")</f>
        <v>8</v>
      </c>
      <c r="F76" s="93">
        <f>COUNTIFS(Base!$B:$B,F$11,Base!$M:$M,"&lt;"&amp;$B76,Base!$N:$N,"&gt;="&amp;$B76,Base!$O:$O,"&lt;&gt;Finalizado",Base!$O:$O,"&lt;&gt;Congelado",Base!$O:$O,"&lt;&gt;Concluindo pendências") + COUNTIFS(Base!$B:$B,F$11,Base!$M:$M,"&lt;"&amp;$B76,Base!$N:$N,"",Base!$O:$O,"&lt;&gt;Finalizado",Base!$O:$O,"&lt;&gt;Congelado",Base!$O:$O,"&lt;&gt;Concluindo pendências")</f>
        <v>5</v>
      </c>
      <c r="H76" s="93">
        <f>COUNTIFS(Base!$B:$B,C$11,Base!$K:$K,"&lt;"&amp;$B76,Base!$N:$N,"&gt;="&amp;$B76,Base!$O:$O,"&lt;&gt;Finalizado",Base!$O:$O,"&lt;&gt;Congelado") + COUNTIFS(Base!$B:$B,C$11,Base!$K:$K,"&lt;"&amp;$B76,Base!$N:$N,"",Base!$O:$O,"&lt;&gt;Finalizado",Base!$O:$O,"&lt;&gt;Congelado")</f>
        <v>12</v>
      </c>
      <c r="I76" s="93">
        <f>COUNTIFS(Base!$B:$B,D$11,Base!$K:$K,"&lt;"&amp;$B76,Base!$N:$N,"&gt;="&amp;$B76,Base!$O:$O,"&lt;&gt;Finalizado",Base!$O:$O,"&lt;&gt;Congelado") + COUNTIFS(Base!$B:$B,D$11,Base!$K:$K,"&lt;"&amp;$B76,Base!$N:$N,"",Base!$O:$O,"&lt;&gt;Finalizado",Base!$O:$O,"&lt;&gt;Congelado")</f>
        <v>29</v>
      </c>
      <c r="J76" s="93">
        <f>COUNTIFS(Base!$B:$B,E$11,Base!$K:$K,"&lt;"&amp;$B76,Base!$N:$N,"&gt;="&amp;$B76,Base!$O:$O,"&lt;&gt;Finalizado",Base!$O:$O,"&lt;&gt;Congelado") + COUNTIFS(Base!$B:$B,E$11,Base!$K:$K,"&lt;"&amp;$B76,Base!$N:$N,"",Base!$O:$O,"&lt;&gt;Finalizado",Base!$O:$O,"&lt;&gt;Congelado")</f>
        <v>18</v>
      </c>
      <c r="K76" s="93">
        <f>COUNTIFS(Base!$B:$B,F$11,Base!$K:$K,"&lt;"&amp;$B76,Base!$N:$N,"&gt;="&amp;$B76,Base!$O:$O,"&lt;&gt;Finalizado",Base!$O:$O,"&lt;&gt;Congelado") + COUNTIFS(Base!$B:$B,F$11,Base!$K:$K,"&lt;"&amp;$B76,Base!$N:$N,"",Base!$O:$O,"&lt;&gt;Finalizado",Base!$O:$O,"&lt;&gt;Congelado")</f>
        <v>18</v>
      </c>
      <c r="M76" s="133">
        <f t="shared" ref="M76:P76" si="88">C76/H76</f>
        <v>0.25</v>
      </c>
      <c r="N76" s="133">
        <f t="shared" si="88"/>
        <v>0.2413793103</v>
      </c>
      <c r="O76" s="133">
        <f t="shared" si="88"/>
        <v>0.4444444444</v>
      </c>
      <c r="P76" s="133">
        <f t="shared" si="88"/>
        <v>0.2777777778</v>
      </c>
      <c r="Q76" s="133">
        <f t="shared" si="9"/>
        <v>0.2987012987</v>
      </c>
      <c r="S76" s="93">
        <f t="shared" ref="S76:V76" si="89">S75+C76</f>
        <v>48</v>
      </c>
      <c r="T76" s="93">
        <f t="shared" si="89"/>
        <v>165</v>
      </c>
      <c r="U76" s="93">
        <f t="shared" si="89"/>
        <v>201</v>
      </c>
      <c r="V76" s="93">
        <f t="shared" si="89"/>
        <v>141</v>
      </c>
      <c r="W76" s="93">
        <f t="shared" si="11"/>
        <v>555</v>
      </c>
      <c r="Y76" s="133">
        <f>(COUNTIFS(Base!$B:$B,C$11,Base!$S:$S,"&gt;8",Base!$N:$N,"&lt;="&amp;$B76) - COUNTIFS(Base!$B:$B,C$11,Base!$S:$S,"&lt;7",Base!$N:$N,"&lt;="&amp;$B76) - COUNTIFS(Base!$B:$B,C$11,Base!$S:$S,"&lt;7",Base!$K:$K,"&lt;="&amp;$B76,Base!$O:$O,"Finalizado"))/(COUNTIFS(Base!$B:$B,C$11,Base!$S:$S,"&lt;&gt;",Base!$N:$N,"&lt;="&amp;$B76)+COUNTIFS(Base!$B:$B,C$11,Base!$S:$S,"&lt;7",Base!$K:$K,"&lt;="&amp;$B76,Base!$O:$O,"Finalizado"))</f>
        <v>0.3333333333</v>
      </c>
      <c r="Z76" s="133">
        <f>(COUNTIFS(Base!$B:$B,D$11,Base!$S:$S,"&gt;8",Base!$N:$N,"&lt;="&amp;$B76) - COUNTIFS(Base!$B:$B,D$11,Base!$S:$S,"&lt;7",Base!$N:$N,"&lt;="&amp;$B76) - COUNTIFS(Base!$B:$B,D$11,Base!$S:$S,"&lt;7",Base!$K:$K,"&lt;="&amp;$B76,Base!$O:$O,"Finalizado"))/(COUNTIFS(Base!$B:$B,D$11,Base!$S:$S,"&lt;&gt;",Base!$N:$N,"&lt;="&amp;$B76)+COUNTIFS(Base!$B:$B,D$11,Base!$S:$S,"&lt;7",Base!$K:$K,"&lt;="&amp;$B76,Base!$O:$O,"Finalizado"))</f>
        <v>0.5</v>
      </c>
      <c r="AA76" s="133">
        <f>(COUNTIFS(Base!$B:$B,E$11,Base!$S:$S,"&gt;8",Base!$N:$N,"&lt;="&amp;$B76) - COUNTIFS(Base!$B:$B,E$11,Base!$S:$S,"&lt;7",Base!$N:$N,"&lt;="&amp;$B76) - COUNTIFS(Base!$B:$B,E$11,Base!$S:$S,"&lt;7",Base!$K:$K,"&lt;="&amp;$B76,Base!$O:$O,"Finalizado"))/(COUNTIFS(Base!$B:$B,E$11,Base!$S:$S,"&lt;&gt;",Base!$N:$N,"&lt;="&amp;$B76)+COUNTIFS(Base!$B:$B,E$11,Base!$S:$S,"&lt;7",Base!$K:$K,"&lt;="&amp;$B76,Base!$O:$O,"Finalizado"))</f>
        <v>0.4</v>
      </c>
      <c r="AB76" s="133">
        <f t="shared" si="12"/>
        <v>0.75</v>
      </c>
      <c r="AD76" s="93">
        <f>(COUNTIFS(Base!$B:$B,F$11,Base!$S:$S,"&gt;8",Base!$N:$N,"&lt;="&amp;$B76)+(COUNTIFS(Base!$B:$B,F$11,Base!$AG:$AG,"&gt;8",Base!$K:$K,"&lt;="&amp;$B76)))</f>
        <v>3</v>
      </c>
      <c r="AE76" s="93">
        <f>(COUNTIFS(Base!$B:$B,F$11,Base!$S:$S,"&lt;&gt;",Base!$N:$N,"&lt;="&amp;$B76)+(COUNTIFS(Base!$B:$B,F$11,Base!$AG:$AG,"&lt;&gt;",Base!$K:$K,"&lt;="&amp;$B76)+COUNTIFS(Base!$B:$B,F$11,Base!$S:$S,"&lt;7",Base!$K:$K,"&lt;="&amp;$B76,Base!$O:$O,"Finalizado")))</f>
        <v>4</v>
      </c>
      <c r="AF76" s="93">
        <f>COUNTIFS(Base!$B:$B,F$11,Base!$S:$S,"&lt;7",Base!$N:$N,"&lt;="&amp;$B76) +COUNTIFS(Base!$B:$B,F$11,Base!$AG:$AG,"&lt;7",Base!$K:$K,"&lt;="&amp;$B76) + COUNTIFS(Base!$B:$B,F$11,Base!$S:$S,"&lt;7",Base!$K:$K,"&lt;="&amp;$B76,Base!$O:$O,"Finalizado")</f>
        <v>0</v>
      </c>
    </row>
    <row r="77">
      <c r="B77" s="151">
        <f t="shared" si="13"/>
        <v>45332</v>
      </c>
      <c r="C77" s="93">
        <f>COUNTIFS(Base!$B:$B,C$11,Base!$M:$M,"&lt;"&amp;$B77,Base!$N:$N,"&gt;="&amp;$B77,Base!$O:$O,"&lt;&gt;Finalizado",Base!$O:$O,"&lt;&gt;Congelado",Base!$O:$O,"&lt;&gt;Concluindo pendências") + COUNTIFS(Base!$B:$B,C$11,Base!$M:$M,"&lt;"&amp;$B77,Base!$N:$N,"",Base!$O:$O,"&lt;&gt;Finalizado",Base!$O:$O,"&lt;&gt;Congelado",Base!$O:$O,"&lt;&gt;Concluindo pendências")</f>
        <v>3</v>
      </c>
      <c r="D77" s="93">
        <f>COUNTIFS(Base!$B:$B,D$11,Base!$M:$M,"&lt;"&amp;$B77,Base!$N:$N,"&gt;="&amp;$B77,Base!$O:$O,"&lt;&gt;Finalizado",Base!$O:$O,"&lt;&gt;Congelado",Base!$O:$O,"&lt;&gt;Concluindo pendências") + COUNTIFS(Base!$B:$B,D$11,Base!$M:$M,"&lt;"&amp;$B77,Base!$N:$N,"",Base!$O:$O,"&lt;&gt;Finalizado",Base!$O:$O,"&lt;&gt;Congelado",Base!$O:$O,"&lt;&gt;Concluindo pendências")</f>
        <v>6</v>
      </c>
      <c r="E77" s="93">
        <f>COUNTIFS(Base!$B:$B,E$11,Base!$M:$M,"&lt;"&amp;$B77,Base!$N:$N,"&gt;="&amp;$B77,Base!$O:$O,"&lt;&gt;Finalizado",Base!$O:$O,"&lt;&gt;Congelado",Base!$O:$O,"&lt;&gt;Concluindo pendências") + COUNTIFS(Base!$B:$B,E$11,Base!$M:$M,"&lt;"&amp;$B77,Base!$N:$N,"",Base!$O:$O,"&lt;&gt;Finalizado",Base!$O:$O,"&lt;&gt;Congelado",Base!$O:$O,"&lt;&gt;Concluindo pendências")</f>
        <v>8</v>
      </c>
      <c r="F77" s="93">
        <f>COUNTIFS(Base!$B:$B,F$11,Base!$M:$M,"&lt;"&amp;$B77,Base!$N:$N,"&gt;="&amp;$B77,Base!$O:$O,"&lt;&gt;Finalizado",Base!$O:$O,"&lt;&gt;Congelado",Base!$O:$O,"&lt;&gt;Concluindo pendências") + COUNTIFS(Base!$B:$B,F$11,Base!$M:$M,"&lt;"&amp;$B77,Base!$N:$N,"",Base!$O:$O,"&lt;&gt;Finalizado",Base!$O:$O,"&lt;&gt;Congelado",Base!$O:$O,"&lt;&gt;Concluindo pendências")</f>
        <v>5</v>
      </c>
      <c r="H77" s="93">
        <f>COUNTIFS(Base!$B:$B,C$11,Base!$K:$K,"&lt;"&amp;$B77,Base!$N:$N,"&gt;="&amp;$B77,Base!$O:$O,"&lt;&gt;Finalizado",Base!$O:$O,"&lt;&gt;Congelado") + COUNTIFS(Base!$B:$B,C$11,Base!$K:$K,"&lt;"&amp;$B77,Base!$N:$N,"",Base!$O:$O,"&lt;&gt;Finalizado",Base!$O:$O,"&lt;&gt;Congelado")</f>
        <v>12</v>
      </c>
      <c r="I77" s="93">
        <f>COUNTIFS(Base!$B:$B,D$11,Base!$K:$K,"&lt;"&amp;$B77,Base!$N:$N,"&gt;="&amp;$B77,Base!$O:$O,"&lt;&gt;Finalizado",Base!$O:$O,"&lt;&gt;Congelado") + COUNTIFS(Base!$B:$B,D$11,Base!$K:$K,"&lt;"&amp;$B77,Base!$N:$N,"",Base!$O:$O,"&lt;&gt;Finalizado",Base!$O:$O,"&lt;&gt;Congelado")</f>
        <v>28</v>
      </c>
      <c r="J77" s="93">
        <f>COUNTIFS(Base!$B:$B,E$11,Base!$K:$K,"&lt;"&amp;$B77,Base!$N:$N,"&gt;="&amp;$B77,Base!$O:$O,"&lt;&gt;Finalizado",Base!$O:$O,"&lt;&gt;Congelado") + COUNTIFS(Base!$B:$B,E$11,Base!$K:$K,"&lt;"&amp;$B77,Base!$N:$N,"",Base!$O:$O,"&lt;&gt;Finalizado",Base!$O:$O,"&lt;&gt;Congelado")</f>
        <v>18</v>
      </c>
      <c r="K77" s="93">
        <f>COUNTIFS(Base!$B:$B,F$11,Base!$K:$K,"&lt;"&amp;$B77,Base!$N:$N,"&gt;="&amp;$B77,Base!$O:$O,"&lt;&gt;Finalizado",Base!$O:$O,"&lt;&gt;Congelado") + COUNTIFS(Base!$B:$B,F$11,Base!$K:$K,"&lt;"&amp;$B77,Base!$N:$N,"",Base!$O:$O,"&lt;&gt;Finalizado",Base!$O:$O,"&lt;&gt;Congelado")</f>
        <v>18</v>
      </c>
      <c r="M77" s="133">
        <f t="shared" ref="M77:P77" si="90">C77/H77</f>
        <v>0.25</v>
      </c>
      <c r="N77" s="133">
        <f t="shared" si="90"/>
        <v>0.2142857143</v>
      </c>
      <c r="O77" s="133">
        <f t="shared" si="90"/>
        <v>0.4444444444</v>
      </c>
      <c r="P77" s="133">
        <f t="shared" si="90"/>
        <v>0.2777777778</v>
      </c>
      <c r="Q77" s="133">
        <f t="shared" si="9"/>
        <v>0.2894736842</v>
      </c>
      <c r="S77" s="93">
        <f t="shared" ref="S77:V77" si="91">S76+C77</f>
        <v>51</v>
      </c>
      <c r="T77" s="93">
        <f t="shared" si="91"/>
        <v>171</v>
      </c>
      <c r="U77" s="93">
        <f t="shared" si="91"/>
        <v>209</v>
      </c>
      <c r="V77" s="93">
        <f t="shared" si="91"/>
        <v>146</v>
      </c>
      <c r="W77" s="93">
        <f t="shared" si="11"/>
        <v>577</v>
      </c>
      <c r="Y77" s="133">
        <f>(COUNTIFS(Base!$B:$B,C$11,Base!$S:$S,"&gt;8",Base!$N:$N,"&lt;="&amp;$B77) - COUNTIFS(Base!$B:$B,C$11,Base!$S:$S,"&lt;7",Base!$N:$N,"&lt;="&amp;$B77) - COUNTIFS(Base!$B:$B,C$11,Base!$S:$S,"&lt;7",Base!$K:$K,"&lt;="&amp;$B77,Base!$O:$O,"Finalizado"))/(COUNTIFS(Base!$B:$B,C$11,Base!$S:$S,"&lt;&gt;",Base!$N:$N,"&lt;="&amp;$B77)+COUNTIFS(Base!$B:$B,C$11,Base!$S:$S,"&lt;7",Base!$K:$K,"&lt;="&amp;$B77,Base!$O:$O,"Finalizado"))</f>
        <v>0.3333333333</v>
      </c>
      <c r="Z77" s="133">
        <f>(COUNTIFS(Base!$B:$B,D$11,Base!$S:$S,"&gt;8",Base!$N:$N,"&lt;="&amp;$B77) - COUNTIFS(Base!$B:$B,D$11,Base!$S:$S,"&lt;7",Base!$N:$N,"&lt;="&amp;$B77) - COUNTIFS(Base!$B:$B,D$11,Base!$S:$S,"&lt;7",Base!$K:$K,"&lt;="&amp;$B77,Base!$O:$O,"Finalizado"))/(COUNTIFS(Base!$B:$B,D$11,Base!$S:$S,"&lt;&gt;",Base!$N:$N,"&lt;="&amp;$B77)+COUNTIFS(Base!$B:$B,D$11,Base!$S:$S,"&lt;7",Base!$K:$K,"&lt;="&amp;$B77,Base!$O:$O,"Finalizado"))</f>
        <v>0.5</v>
      </c>
      <c r="AA77" s="133">
        <f>(COUNTIFS(Base!$B:$B,E$11,Base!$S:$S,"&gt;8",Base!$N:$N,"&lt;="&amp;$B77) - COUNTIFS(Base!$B:$B,E$11,Base!$S:$S,"&lt;7",Base!$N:$N,"&lt;="&amp;$B77) - COUNTIFS(Base!$B:$B,E$11,Base!$S:$S,"&lt;7",Base!$K:$K,"&lt;="&amp;$B77,Base!$O:$O,"Finalizado"))/(COUNTIFS(Base!$B:$B,E$11,Base!$S:$S,"&lt;&gt;",Base!$N:$N,"&lt;="&amp;$B77)+COUNTIFS(Base!$B:$B,E$11,Base!$S:$S,"&lt;7",Base!$K:$K,"&lt;="&amp;$B77,Base!$O:$O,"Finalizado"))</f>
        <v>0.4</v>
      </c>
      <c r="AB77" s="133">
        <f t="shared" si="12"/>
        <v>0.75</v>
      </c>
      <c r="AD77" s="93">
        <f>(COUNTIFS(Base!$B:$B,F$11,Base!$S:$S,"&gt;8",Base!$N:$N,"&lt;="&amp;$B77)+(COUNTIFS(Base!$B:$B,F$11,Base!$AG:$AG,"&gt;8",Base!$K:$K,"&lt;="&amp;$B77)))</f>
        <v>3</v>
      </c>
      <c r="AE77" s="93">
        <f>(COUNTIFS(Base!$B:$B,F$11,Base!$S:$S,"&lt;&gt;",Base!$N:$N,"&lt;="&amp;$B77)+(COUNTIFS(Base!$B:$B,F$11,Base!$AG:$AG,"&lt;&gt;",Base!$K:$K,"&lt;="&amp;$B77)+COUNTIFS(Base!$B:$B,F$11,Base!$S:$S,"&lt;7",Base!$K:$K,"&lt;="&amp;$B77,Base!$O:$O,"Finalizado")))</f>
        <v>4</v>
      </c>
      <c r="AF77" s="93">
        <f>COUNTIFS(Base!$B:$B,F$11,Base!$S:$S,"&lt;7",Base!$N:$N,"&lt;="&amp;$B77) +COUNTIFS(Base!$B:$B,F$11,Base!$AG:$AG,"&lt;7",Base!$K:$K,"&lt;="&amp;$B77) + COUNTIFS(Base!$B:$B,F$11,Base!$S:$S,"&lt;7",Base!$K:$K,"&lt;="&amp;$B77,Base!$O:$O,"Finalizado")</f>
        <v>0</v>
      </c>
    </row>
    <row r="78">
      <c r="B78" s="151">
        <f t="shared" si="13"/>
        <v>45333</v>
      </c>
      <c r="C78" s="93">
        <f>COUNTIFS(Base!$B:$B,C$11,Base!$M:$M,"&lt;"&amp;$B78,Base!$N:$N,"&gt;="&amp;$B78,Base!$O:$O,"&lt;&gt;Finalizado",Base!$O:$O,"&lt;&gt;Congelado",Base!$O:$O,"&lt;&gt;Concluindo pendências") + COUNTIFS(Base!$B:$B,C$11,Base!$M:$M,"&lt;"&amp;$B78,Base!$N:$N,"",Base!$O:$O,"&lt;&gt;Finalizado",Base!$O:$O,"&lt;&gt;Congelado",Base!$O:$O,"&lt;&gt;Concluindo pendências")</f>
        <v>3</v>
      </c>
      <c r="D78" s="93">
        <f>COUNTIFS(Base!$B:$B,D$11,Base!$M:$M,"&lt;"&amp;$B78,Base!$N:$N,"&gt;="&amp;$B78,Base!$O:$O,"&lt;&gt;Finalizado",Base!$O:$O,"&lt;&gt;Congelado",Base!$O:$O,"&lt;&gt;Concluindo pendências") + COUNTIFS(Base!$B:$B,D$11,Base!$M:$M,"&lt;"&amp;$B78,Base!$N:$N,"",Base!$O:$O,"&lt;&gt;Finalizado",Base!$O:$O,"&lt;&gt;Congelado",Base!$O:$O,"&lt;&gt;Concluindo pendências")</f>
        <v>6</v>
      </c>
      <c r="E78" s="93">
        <f>COUNTIFS(Base!$B:$B,E$11,Base!$M:$M,"&lt;"&amp;$B78,Base!$N:$N,"&gt;="&amp;$B78,Base!$O:$O,"&lt;&gt;Finalizado",Base!$O:$O,"&lt;&gt;Congelado",Base!$O:$O,"&lt;&gt;Concluindo pendências") + COUNTIFS(Base!$B:$B,E$11,Base!$M:$M,"&lt;"&amp;$B78,Base!$N:$N,"",Base!$O:$O,"&lt;&gt;Finalizado",Base!$O:$O,"&lt;&gt;Congelado",Base!$O:$O,"&lt;&gt;Concluindo pendências")</f>
        <v>8</v>
      </c>
      <c r="F78" s="93">
        <f>COUNTIFS(Base!$B:$B,F$11,Base!$M:$M,"&lt;"&amp;$B78,Base!$N:$N,"&gt;="&amp;$B78,Base!$O:$O,"&lt;&gt;Finalizado",Base!$O:$O,"&lt;&gt;Congelado",Base!$O:$O,"&lt;&gt;Concluindo pendências") + COUNTIFS(Base!$B:$B,F$11,Base!$M:$M,"&lt;"&amp;$B78,Base!$N:$N,"",Base!$O:$O,"&lt;&gt;Finalizado",Base!$O:$O,"&lt;&gt;Congelado",Base!$O:$O,"&lt;&gt;Concluindo pendências")</f>
        <v>5</v>
      </c>
      <c r="H78" s="93">
        <f>COUNTIFS(Base!$B:$B,C$11,Base!$K:$K,"&lt;"&amp;$B78,Base!$N:$N,"&gt;="&amp;$B78,Base!$O:$O,"&lt;&gt;Finalizado",Base!$O:$O,"&lt;&gt;Congelado") + COUNTIFS(Base!$B:$B,C$11,Base!$K:$K,"&lt;"&amp;$B78,Base!$N:$N,"",Base!$O:$O,"&lt;&gt;Finalizado",Base!$O:$O,"&lt;&gt;Congelado")</f>
        <v>12</v>
      </c>
      <c r="I78" s="93">
        <f>COUNTIFS(Base!$B:$B,D$11,Base!$K:$K,"&lt;"&amp;$B78,Base!$N:$N,"&gt;="&amp;$B78,Base!$O:$O,"&lt;&gt;Finalizado",Base!$O:$O,"&lt;&gt;Congelado") + COUNTIFS(Base!$B:$B,D$11,Base!$K:$K,"&lt;"&amp;$B78,Base!$N:$N,"",Base!$O:$O,"&lt;&gt;Finalizado",Base!$O:$O,"&lt;&gt;Congelado")</f>
        <v>28</v>
      </c>
      <c r="J78" s="93">
        <f>COUNTIFS(Base!$B:$B,E$11,Base!$K:$K,"&lt;"&amp;$B78,Base!$N:$N,"&gt;="&amp;$B78,Base!$O:$O,"&lt;&gt;Finalizado",Base!$O:$O,"&lt;&gt;Congelado") + COUNTIFS(Base!$B:$B,E$11,Base!$K:$K,"&lt;"&amp;$B78,Base!$N:$N,"",Base!$O:$O,"&lt;&gt;Finalizado",Base!$O:$O,"&lt;&gt;Congelado")</f>
        <v>18</v>
      </c>
      <c r="K78" s="93">
        <f>COUNTIFS(Base!$B:$B,F$11,Base!$K:$K,"&lt;"&amp;$B78,Base!$N:$N,"&gt;="&amp;$B78,Base!$O:$O,"&lt;&gt;Finalizado",Base!$O:$O,"&lt;&gt;Congelado") + COUNTIFS(Base!$B:$B,F$11,Base!$K:$K,"&lt;"&amp;$B78,Base!$N:$N,"",Base!$O:$O,"&lt;&gt;Finalizado",Base!$O:$O,"&lt;&gt;Congelado")</f>
        <v>18</v>
      </c>
      <c r="M78" s="133">
        <f t="shared" ref="M78:P78" si="92">C78/H78</f>
        <v>0.25</v>
      </c>
      <c r="N78" s="133">
        <f t="shared" si="92"/>
        <v>0.2142857143</v>
      </c>
      <c r="O78" s="133">
        <f t="shared" si="92"/>
        <v>0.4444444444</v>
      </c>
      <c r="P78" s="133">
        <f t="shared" si="92"/>
        <v>0.2777777778</v>
      </c>
      <c r="Q78" s="133">
        <f t="shared" si="9"/>
        <v>0.2894736842</v>
      </c>
      <c r="S78" s="93">
        <f t="shared" ref="S78:V78" si="93">S77+C78</f>
        <v>54</v>
      </c>
      <c r="T78" s="93">
        <f t="shared" si="93"/>
        <v>177</v>
      </c>
      <c r="U78" s="93">
        <f t="shared" si="93"/>
        <v>217</v>
      </c>
      <c r="V78" s="93">
        <f t="shared" si="93"/>
        <v>151</v>
      </c>
      <c r="W78" s="93">
        <f t="shared" si="11"/>
        <v>599</v>
      </c>
      <c r="Y78" s="133">
        <f>(COUNTIFS(Base!$B:$B,C$11,Base!$S:$S,"&gt;8",Base!$N:$N,"&lt;="&amp;$B78) - COUNTIFS(Base!$B:$B,C$11,Base!$S:$S,"&lt;7",Base!$N:$N,"&lt;="&amp;$B78) - COUNTIFS(Base!$B:$B,C$11,Base!$S:$S,"&lt;7",Base!$K:$K,"&lt;="&amp;$B78,Base!$O:$O,"Finalizado"))/(COUNTIFS(Base!$B:$B,C$11,Base!$S:$S,"&lt;&gt;",Base!$N:$N,"&lt;="&amp;$B78)+COUNTIFS(Base!$B:$B,C$11,Base!$S:$S,"&lt;7",Base!$K:$K,"&lt;="&amp;$B78,Base!$O:$O,"Finalizado"))</f>
        <v>0.3333333333</v>
      </c>
      <c r="Z78" s="133">
        <f>(COUNTIFS(Base!$B:$B,D$11,Base!$S:$S,"&gt;8",Base!$N:$N,"&lt;="&amp;$B78) - COUNTIFS(Base!$B:$B,D$11,Base!$S:$S,"&lt;7",Base!$N:$N,"&lt;="&amp;$B78) - COUNTIFS(Base!$B:$B,D$11,Base!$S:$S,"&lt;7",Base!$K:$K,"&lt;="&amp;$B78,Base!$O:$O,"Finalizado"))/(COUNTIFS(Base!$B:$B,D$11,Base!$S:$S,"&lt;&gt;",Base!$N:$N,"&lt;="&amp;$B78)+COUNTIFS(Base!$B:$B,D$11,Base!$S:$S,"&lt;7",Base!$K:$K,"&lt;="&amp;$B78,Base!$O:$O,"Finalizado"))</f>
        <v>0.5</v>
      </c>
      <c r="AA78" s="133">
        <f>(COUNTIFS(Base!$B:$B,E$11,Base!$S:$S,"&gt;8",Base!$N:$N,"&lt;="&amp;$B78) - COUNTIFS(Base!$B:$B,E$11,Base!$S:$S,"&lt;7",Base!$N:$N,"&lt;="&amp;$B78) - COUNTIFS(Base!$B:$B,E$11,Base!$S:$S,"&lt;7",Base!$K:$K,"&lt;="&amp;$B78,Base!$O:$O,"Finalizado"))/(COUNTIFS(Base!$B:$B,E$11,Base!$S:$S,"&lt;&gt;",Base!$N:$N,"&lt;="&amp;$B78)+COUNTIFS(Base!$B:$B,E$11,Base!$S:$S,"&lt;7",Base!$K:$K,"&lt;="&amp;$B78,Base!$O:$O,"Finalizado"))</f>
        <v>0.4</v>
      </c>
      <c r="AB78" s="133">
        <f t="shared" si="12"/>
        <v>0.75</v>
      </c>
      <c r="AD78" s="93">
        <f>(COUNTIFS(Base!$B:$B,F$11,Base!$S:$S,"&gt;8",Base!$N:$N,"&lt;="&amp;$B78)+(COUNTIFS(Base!$B:$B,F$11,Base!$AG:$AG,"&gt;8",Base!$K:$K,"&lt;="&amp;$B78)))</f>
        <v>3</v>
      </c>
      <c r="AE78" s="93">
        <f>(COUNTIFS(Base!$B:$B,F$11,Base!$S:$S,"&lt;&gt;",Base!$N:$N,"&lt;="&amp;$B78)+(COUNTIFS(Base!$B:$B,F$11,Base!$AG:$AG,"&lt;&gt;",Base!$K:$K,"&lt;="&amp;$B78)+COUNTIFS(Base!$B:$B,F$11,Base!$S:$S,"&lt;7",Base!$K:$K,"&lt;="&amp;$B78,Base!$O:$O,"Finalizado")))</f>
        <v>4</v>
      </c>
      <c r="AF78" s="93">
        <f>COUNTIFS(Base!$B:$B,F$11,Base!$S:$S,"&lt;7",Base!$N:$N,"&lt;="&amp;$B78) +COUNTIFS(Base!$B:$B,F$11,Base!$AG:$AG,"&lt;7",Base!$K:$K,"&lt;="&amp;$B78) + COUNTIFS(Base!$B:$B,F$11,Base!$S:$S,"&lt;7",Base!$K:$K,"&lt;="&amp;$B78,Base!$O:$O,"Finalizado")</f>
        <v>0</v>
      </c>
    </row>
    <row r="79">
      <c r="B79" s="151">
        <f t="shared" si="13"/>
        <v>45334</v>
      </c>
      <c r="C79" s="93">
        <f>COUNTIFS(Base!$B:$B,C$11,Base!$M:$M,"&lt;"&amp;$B79,Base!$N:$N,"&gt;="&amp;$B79,Base!$O:$O,"&lt;&gt;Finalizado",Base!$O:$O,"&lt;&gt;Congelado",Base!$O:$O,"&lt;&gt;Concluindo pendências") + COUNTIFS(Base!$B:$B,C$11,Base!$M:$M,"&lt;"&amp;$B79,Base!$N:$N,"",Base!$O:$O,"&lt;&gt;Finalizado",Base!$O:$O,"&lt;&gt;Congelado",Base!$O:$O,"&lt;&gt;Concluindo pendências")</f>
        <v>3</v>
      </c>
      <c r="D79" s="93">
        <f>COUNTIFS(Base!$B:$B,D$11,Base!$M:$M,"&lt;"&amp;$B79,Base!$N:$N,"&gt;="&amp;$B79,Base!$O:$O,"&lt;&gt;Finalizado",Base!$O:$O,"&lt;&gt;Congelado",Base!$O:$O,"&lt;&gt;Concluindo pendências") + COUNTIFS(Base!$B:$B,D$11,Base!$M:$M,"&lt;"&amp;$B79,Base!$N:$N,"",Base!$O:$O,"&lt;&gt;Finalizado",Base!$O:$O,"&lt;&gt;Congelado",Base!$O:$O,"&lt;&gt;Concluindo pendências")</f>
        <v>6</v>
      </c>
      <c r="E79" s="93">
        <f>COUNTIFS(Base!$B:$B,E$11,Base!$M:$M,"&lt;"&amp;$B79,Base!$N:$N,"&gt;="&amp;$B79,Base!$O:$O,"&lt;&gt;Finalizado",Base!$O:$O,"&lt;&gt;Congelado",Base!$O:$O,"&lt;&gt;Concluindo pendências") + COUNTIFS(Base!$B:$B,E$11,Base!$M:$M,"&lt;"&amp;$B79,Base!$N:$N,"",Base!$O:$O,"&lt;&gt;Finalizado",Base!$O:$O,"&lt;&gt;Congelado",Base!$O:$O,"&lt;&gt;Concluindo pendências")</f>
        <v>8</v>
      </c>
      <c r="F79" s="93">
        <f>COUNTIFS(Base!$B:$B,F$11,Base!$M:$M,"&lt;"&amp;$B79,Base!$N:$N,"&gt;="&amp;$B79,Base!$O:$O,"&lt;&gt;Finalizado",Base!$O:$O,"&lt;&gt;Congelado",Base!$O:$O,"&lt;&gt;Concluindo pendências") + COUNTIFS(Base!$B:$B,F$11,Base!$M:$M,"&lt;"&amp;$B79,Base!$N:$N,"",Base!$O:$O,"&lt;&gt;Finalizado",Base!$O:$O,"&lt;&gt;Congelado",Base!$O:$O,"&lt;&gt;Concluindo pendências")</f>
        <v>5</v>
      </c>
      <c r="H79" s="93">
        <f>COUNTIFS(Base!$B:$B,C$11,Base!$K:$K,"&lt;"&amp;$B79,Base!$N:$N,"&gt;="&amp;$B79,Base!$O:$O,"&lt;&gt;Finalizado",Base!$O:$O,"&lt;&gt;Congelado") + COUNTIFS(Base!$B:$B,C$11,Base!$K:$K,"&lt;"&amp;$B79,Base!$N:$N,"",Base!$O:$O,"&lt;&gt;Finalizado",Base!$O:$O,"&lt;&gt;Congelado")</f>
        <v>12</v>
      </c>
      <c r="I79" s="93">
        <f>COUNTIFS(Base!$B:$B,D$11,Base!$K:$K,"&lt;"&amp;$B79,Base!$N:$N,"&gt;="&amp;$B79,Base!$O:$O,"&lt;&gt;Finalizado",Base!$O:$O,"&lt;&gt;Congelado") + COUNTIFS(Base!$B:$B,D$11,Base!$K:$K,"&lt;"&amp;$B79,Base!$N:$N,"",Base!$O:$O,"&lt;&gt;Finalizado",Base!$O:$O,"&lt;&gt;Congelado")</f>
        <v>28</v>
      </c>
      <c r="J79" s="93">
        <f>COUNTIFS(Base!$B:$B,E$11,Base!$K:$K,"&lt;"&amp;$B79,Base!$N:$N,"&gt;="&amp;$B79,Base!$O:$O,"&lt;&gt;Finalizado",Base!$O:$O,"&lt;&gt;Congelado") + COUNTIFS(Base!$B:$B,E$11,Base!$K:$K,"&lt;"&amp;$B79,Base!$N:$N,"",Base!$O:$O,"&lt;&gt;Finalizado",Base!$O:$O,"&lt;&gt;Congelado")</f>
        <v>18</v>
      </c>
      <c r="K79" s="93">
        <f>COUNTIFS(Base!$B:$B,F$11,Base!$K:$K,"&lt;"&amp;$B79,Base!$N:$N,"&gt;="&amp;$B79,Base!$O:$O,"&lt;&gt;Finalizado",Base!$O:$O,"&lt;&gt;Congelado") + COUNTIFS(Base!$B:$B,F$11,Base!$K:$K,"&lt;"&amp;$B79,Base!$N:$N,"",Base!$O:$O,"&lt;&gt;Finalizado",Base!$O:$O,"&lt;&gt;Congelado")</f>
        <v>18</v>
      </c>
      <c r="M79" s="133">
        <f t="shared" ref="M79:P79" si="94">C79/H79</f>
        <v>0.25</v>
      </c>
      <c r="N79" s="133">
        <f t="shared" si="94"/>
        <v>0.2142857143</v>
      </c>
      <c r="O79" s="133">
        <f t="shared" si="94"/>
        <v>0.4444444444</v>
      </c>
      <c r="P79" s="133">
        <f t="shared" si="94"/>
        <v>0.2777777778</v>
      </c>
      <c r="Q79" s="133">
        <f t="shared" si="9"/>
        <v>0.2894736842</v>
      </c>
      <c r="S79" s="93">
        <f t="shared" ref="S79:V79" si="95">S78+C79</f>
        <v>57</v>
      </c>
      <c r="T79" s="93">
        <f t="shared" si="95"/>
        <v>183</v>
      </c>
      <c r="U79" s="93">
        <f t="shared" si="95"/>
        <v>225</v>
      </c>
      <c r="V79" s="93">
        <f t="shared" si="95"/>
        <v>156</v>
      </c>
      <c r="W79" s="93">
        <f t="shared" si="11"/>
        <v>621</v>
      </c>
      <c r="Y79" s="133">
        <f>(COUNTIFS(Base!$B:$B,C$11,Base!$S:$S,"&gt;8",Base!$N:$N,"&lt;="&amp;$B79) - COUNTIFS(Base!$B:$B,C$11,Base!$S:$S,"&lt;7",Base!$N:$N,"&lt;="&amp;$B79) - COUNTIFS(Base!$B:$B,C$11,Base!$S:$S,"&lt;7",Base!$K:$K,"&lt;="&amp;$B79,Base!$O:$O,"Finalizado"))/(COUNTIFS(Base!$B:$B,C$11,Base!$S:$S,"&lt;&gt;",Base!$N:$N,"&lt;="&amp;$B79)+COUNTIFS(Base!$B:$B,C$11,Base!$S:$S,"&lt;7",Base!$K:$K,"&lt;="&amp;$B79,Base!$O:$O,"Finalizado"))</f>
        <v>0.3333333333</v>
      </c>
      <c r="Z79" s="133">
        <f>(COUNTIFS(Base!$B:$B,D$11,Base!$S:$S,"&gt;8",Base!$N:$N,"&lt;="&amp;$B79) - COUNTIFS(Base!$B:$B,D$11,Base!$S:$S,"&lt;7",Base!$N:$N,"&lt;="&amp;$B79) - COUNTIFS(Base!$B:$B,D$11,Base!$S:$S,"&lt;7",Base!$K:$K,"&lt;="&amp;$B79,Base!$O:$O,"Finalizado"))/(COUNTIFS(Base!$B:$B,D$11,Base!$S:$S,"&lt;&gt;",Base!$N:$N,"&lt;="&amp;$B79)+COUNTIFS(Base!$B:$B,D$11,Base!$S:$S,"&lt;7",Base!$K:$K,"&lt;="&amp;$B79,Base!$O:$O,"Finalizado"))</f>
        <v>0.5</v>
      </c>
      <c r="AA79" s="133">
        <f>(COUNTIFS(Base!$B:$B,E$11,Base!$S:$S,"&gt;8",Base!$N:$N,"&lt;="&amp;$B79) - COUNTIFS(Base!$B:$B,E$11,Base!$S:$S,"&lt;7",Base!$N:$N,"&lt;="&amp;$B79) - COUNTIFS(Base!$B:$B,E$11,Base!$S:$S,"&lt;7",Base!$K:$K,"&lt;="&amp;$B79,Base!$O:$O,"Finalizado"))/(COUNTIFS(Base!$B:$B,E$11,Base!$S:$S,"&lt;&gt;",Base!$N:$N,"&lt;="&amp;$B79)+COUNTIFS(Base!$B:$B,E$11,Base!$S:$S,"&lt;7",Base!$K:$K,"&lt;="&amp;$B79,Base!$O:$O,"Finalizado"))</f>
        <v>0.4</v>
      </c>
      <c r="AB79" s="133">
        <f t="shared" si="12"/>
        <v>0.75</v>
      </c>
      <c r="AD79" s="93">
        <f>(COUNTIFS(Base!$B:$B,F$11,Base!$S:$S,"&gt;8",Base!$N:$N,"&lt;="&amp;$B79)+(COUNTIFS(Base!$B:$B,F$11,Base!$AG:$AG,"&gt;8",Base!$K:$K,"&lt;="&amp;$B79)))</f>
        <v>3</v>
      </c>
      <c r="AE79" s="93">
        <f>(COUNTIFS(Base!$B:$B,F$11,Base!$S:$S,"&lt;&gt;",Base!$N:$N,"&lt;="&amp;$B79)+(COUNTIFS(Base!$B:$B,F$11,Base!$AG:$AG,"&lt;&gt;",Base!$K:$K,"&lt;="&amp;$B79)+COUNTIFS(Base!$B:$B,F$11,Base!$S:$S,"&lt;7",Base!$K:$K,"&lt;="&amp;$B79,Base!$O:$O,"Finalizado")))</f>
        <v>4</v>
      </c>
      <c r="AF79" s="93">
        <f>COUNTIFS(Base!$B:$B,F$11,Base!$S:$S,"&lt;7",Base!$N:$N,"&lt;="&amp;$B79) +COUNTIFS(Base!$B:$B,F$11,Base!$AG:$AG,"&lt;7",Base!$K:$K,"&lt;="&amp;$B79) + COUNTIFS(Base!$B:$B,F$11,Base!$S:$S,"&lt;7",Base!$K:$K,"&lt;="&amp;$B79,Base!$O:$O,"Finalizado")</f>
        <v>0</v>
      </c>
    </row>
    <row r="80">
      <c r="B80" s="151">
        <f t="shared" si="13"/>
        <v>45335</v>
      </c>
      <c r="C80" s="93">
        <f>COUNTIFS(Base!$B:$B,C$11,Base!$M:$M,"&lt;"&amp;$B80,Base!$N:$N,"&gt;="&amp;$B80,Base!$O:$O,"&lt;&gt;Finalizado",Base!$O:$O,"&lt;&gt;Congelado",Base!$O:$O,"&lt;&gt;Concluindo pendências") + COUNTIFS(Base!$B:$B,C$11,Base!$M:$M,"&lt;"&amp;$B80,Base!$N:$N,"",Base!$O:$O,"&lt;&gt;Finalizado",Base!$O:$O,"&lt;&gt;Congelado",Base!$O:$O,"&lt;&gt;Concluindo pendências")</f>
        <v>3</v>
      </c>
      <c r="D80" s="93">
        <f>COUNTIFS(Base!$B:$B,D$11,Base!$M:$M,"&lt;"&amp;$B80,Base!$N:$N,"&gt;="&amp;$B80,Base!$O:$O,"&lt;&gt;Finalizado",Base!$O:$O,"&lt;&gt;Congelado",Base!$O:$O,"&lt;&gt;Concluindo pendências") + COUNTIFS(Base!$B:$B,D$11,Base!$M:$M,"&lt;"&amp;$B80,Base!$N:$N,"",Base!$O:$O,"&lt;&gt;Finalizado",Base!$O:$O,"&lt;&gt;Congelado",Base!$O:$O,"&lt;&gt;Concluindo pendências")</f>
        <v>8</v>
      </c>
      <c r="E80" s="93">
        <f>COUNTIFS(Base!$B:$B,E$11,Base!$M:$M,"&lt;"&amp;$B80,Base!$N:$N,"&gt;="&amp;$B80,Base!$O:$O,"&lt;&gt;Finalizado",Base!$O:$O,"&lt;&gt;Congelado",Base!$O:$O,"&lt;&gt;Concluindo pendências") + COUNTIFS(Base!$B:$B,E$11,Base!$M:$M,"&lt;"&amp;$B80,Base!$N:$N,"",Base!$O:$O,"&lt;&gt;Finalizado",Base!$O:$O,"&lt;&gt;Congelado",Base!$O:$O,"&lt;&gt;Concluindo pendências")</f>
        <v>8</v>
      </c>
      <c r="F80" s="93">
        <f>COUNTIFS(Base!$B:$B,F$11,Base!$M:$M,"&lt;"&amp;$B80,Base!$N:$N,"&gt;="&amp;$B80,Base!$O:$O,"&lt;&gt;Finalizado",Base!$O:$O,"&lt;&gt;Congelado",Base!$O:$O,"&lt;&gt;Concluindo pendências") + COUNTIFS(Base!$B:$B,F$11,Base!$M:$M,"&lt;"&amp;$B80,Base!$N:$N,"",Base!$O:$O,"&lt;&gt;Finalizado",Base!$O:$O,"&lt;&gt;Congelado",Base!$O:$O,"&lt;&gt;Concluindo pendências")</f>
        <v>6</v>
      </c>
      <c r="H80" s="93">
        <f>COUNTIFS(Base!$B:$B,C$11,Base!$K:$K,"&lt;"&amp;$B80,Base!$N:$N,"&gt;="&amp;$B80,Base!$O:$O,"&lt;&gt;Finalizado",Base!$O:$O,"&lt;&gt;Congelado") + COUNTIFS(Base!$B:$B,C$11,Base!$K:$K,"&lt;"&amp;$B80,Base!$N:$N,"",Base!$O:$O,"&lt;&gt;Finalizado",Base!$O:$O,"&lt;&gt;Congelado")</f>
        <v>12</v>
      </c>
      <c r="I80" s="93">
        <f>COUNTIFS(Base!$B:$B,D$11,Base!$K:$K,"&lt;"&amp;$B80,Base!$N:$N,"&gt;="&amp;$B80,Base!$O:$O,"&lt;&gt;Finalizado",Base!$O:$O,"&lt;&gt;Congelado") + COUNTIFS(Base!$B:$B,D$11,Base!$K:$K,"&lt;"&amp;$B80,Base!$N:$N,"",Base!$O:$O,"&lt;&gt;Finalizado",Base!$O:$O,"&lt;&gt;Congelado")</f>
        <v>28</v>
      </c>
      <c r="J80" s="93">
        <f>COUNTIFS(Base!$B:$B,E$11,Base!$K:$K,"&lt;"&amp;$B80,Base!$N:$N,"&gt;="&amp;$B80,Base!$O:$O,"&lt;&gt;Finalizado",Base!$O:$O,"&lt;&gt;Congelado") + COUNTIFS(Base!$B:$B,E$11,Base!$K:$K,"&lt;"&amp;$B80,Base!$N:$N,"",Base!$O:$O,"&lt;&gt;Finalizado",Base!$O:$O,"&lt;&gt;Congelado")</f>
        <v>18</v>
      </c>
      <c r="K80" s="93">
        <f>COUNTIFS(Base!$B:$B,F$11,Base!$K:$K,"&lt;"&amp;$B80,Base!$N:$N,"&gt;="&amp;$B80,Base!$O:$O,"&lt;&gt;Finalizado",Base!$O:$O,"&lt;&gt;Congelado") + COUNTIFS(Base!$B:$B,F$11,Base!$K:$K,"&lt;"&amp;$B80,Base!$N:$N,"",Base!$O:$O,"&lt;&gt;Finalizado",Base!$O:$O,"&lt;&gt;Congelado")</f>
        <v>18</v>
      </c>
      <c r="M80" s="133">
        <f t="shared" ref="M80:P80" si="96">C80/H80</f>
        <v>0.25</v>
      </c>
      <c r="N80" s="133">
        <f t="shared" si="96"/>
        <v>0.2857142857</v>
      </c>
      <c r="O80" s="133">
        <f t="shared" si="96"/>
        <v>0.4444444444</v>
      </c>
      <c r="P80" s="133">
        <f t="shared" si="96"/>
        <v>0.3333333333</v>
      </c>
      <c r="Q80" s="133">
        <f t="shared" si="9"/>
        <v>0.3289473684</v>
      </c>
      <c r="S80" s="93">
        <f t="shared" ref="S80:V80" si="97">S79+C80</f>
        <v>60</v>
      </c>
      <c r="T80" s="93">
        <f t="shared" si="97"/>
        <v>191</v>
      </c>
      <c r="U80" s="93">
        <f t="shared" si="97"/>
        <v>233</v>
      </c>
      <c r="V80" s="93">
        <f t="shared" si="97"/>
        <v>162</v>
      </c>
      <c r="W80" s="93">
        <f t="shared" si="11"/>
        <v>646</v>
      </c>
      <c r="Y80" s="133">
        <f>(COUNTIFS(Base!$B:$B,C$11,Base!$S:$S,"&gt;8",Base!$N:$N,"&lt;="&amp;$B80) - COUNTIFS(Base!$B:$B,C$11,Base!$S:$S,"&lt;7",Base!$N:$N,"&lt;="&amp;$B80) - COUNTIFS(Base!$B:$B,C$11,Base!$S:$S,"&lt;7",Base!$K:$K,"&lt;="&amp;$B80,Base!$O:$O,"Finalizado"))/(COUNTIFS(Base!$B:$B,C$11,Base!$S:$S,"&lt;&gt;",Base!$N:$N,"&lt;="&amp;$B80)+COUNTIFS(Base!$B:$B,C$11,Base!$S:$S,"&lt;7",Base!$K:$K,"&lt;="&amp;$B80,Base!$O:$O,"Finalizado"))</f>
        <v>0.3333333333</v>
      </c>
      <c r="Z80" s="133">
        <f>(COUNTIFS(Base!$B:$B,D$11,Base!$S:$S,"&gt;8",Base!$N:$N,"&lt;="&amp;$B80) - COUNTIFS(Base!$B:$B,D$11,Base!$S:$S,"&lt;7",Base!$N:$N,"&lt;="&amp;$B80) - COUNTIFS(Base!$B:$B,D$11,Base!$S:$S,"&lt;7",Base!$K:$K,"&lt;="&amp;$B80,Base!$O:$O,"Finalizado"))/(COUNTIFS(Base!$B:$B,D$11,Base!$S:$S,"&lt;&gt;",Base!$N:$N,"&lt;="&amp;$B80)+COUNTIFS(Base!$B:$B,D$11,Base!$S:$S,"&lt;7",Base!$K:$K,"&lt;="&amp;$B80,Base!$O:$O,"Finalizado"))</f>
        <v>0.5</v>
      </c>
      <c r="AA80" s="133">
        <f>(COUNTIFS(Base!$B:$B,E$11,Base!$S:$S,"&gt;8",Base!$N:$N,"&lt;="&amp;$B80) - COUNTIFS(Base!$B:$B,E$11,Base!$S:$S,"&lt;7",Base!$N:$N,"&lt;="&amp;$B80) - COUNTIFS(Base!$B:$B,E$11,Base!$S:$S,"&lt;7",Base!$K:$K,"&lt;="&amp;$B80,Base!$O:$O,"Finalizado"))/(COUNTIFS(Base!$B:$B,E$11,Base!$S:$S,"&lt;&gt;",Base!$N:$N,"&lt;="&amp;$B80)+COUNTIFS(Base!$B:$B,E$11,Base!$S:$S,"&lt;7",Base!$K:$K,"&lt;="&amp;$B80,Base!$O:$O,"Finalizado"))</f>
        <v>0.4</v>
      </c>
      <c r="AB80" s="133">
        <f t="shared" si="12"/>
        <v>0.75</v>
      </c>
      <c r="AD80" s="93">
        <f>(COUNTIFS(Base!$B:$B,F$11,Base!$S:$S,"&gt;8",Base!$N:$N,"&lt;="&amp;$B80)+(COUNTIFS(Base!$B:$B,F$11,Base!$AG:$AG,"&gt;8",Base!$K:$K,"&lt;="&amp;$B80)))</f>
        <v>3</v>
      </c>
      <c r="AE80" s="93">
        <f>(COUNTIFS(Base!$B:$B,F$11,Base!$S:$S,"&lt;&gt;",Base!$N:$N,"&lt;="&amp;$B80)+(COUNTIFS(Base!$B:$B,F$11,Base!$AG:$AG,"&lt;&gt;",Base!$K:$K,"&lt;="&amp;$B80)+COUNTIFS(Base!$B:$B,F$11,Base!$S:$S,"&lt;7",Base!$K:$K,"&lt;="&amp;$B80,Base!$O:$O,"Finalizado")))</f>
        <v>4</v>
      </c>
      <c r="AF80" s="93">
        <f>COUNTIFS(Base!$B:$B,F$11,Base!$S:$S,"&lt;7",Base!$N:$N,"&lt;="&amp;$B80) +COUNTIFS(Base!$B:$B,F$11,Base!$AG:$AG,"&lt;7",Base!$K:$K,"&lt;="&amp;$B80) + COUNTIFS(Base!$B:$B,F$11,Base!$S:$S,"&lt;7",Base!$K:$K,"&lt;="&amp;$B80,Base!$O:$O,"Finalizado")</f>
        <v>0</v>
      </c>
    </row>
    <row r="81">
      <c r="B81" s="151">
        <f t="shared" si="13"/>
        <v>45336</v>
      </c>
      <c r="C81" s="93">
        <f>COUNTIFS(Base!$B:$B,C$11,Base!$M:$M,"&lt;"&amp;$B81,Base!$N:$N,"&gt;="&amp;$B81,Base!$O:$O,"&lt;&gt;Finalizado",Base!$O:$O,"&lt;&gt;Congelado",Base!$O:$O,"&lt;&gt;Concluindo pendências") + COUNTIFS(Base!$B:$B,C$11,Base!$M:$M,"&lt;"&amp;$B81,Base!$N:$N,"",Base!$O:$O,"&lt;&gt;Finalizado",Base!$O:$O,"&lt;&gt;Congelado",Base!$O:$O,"&lt;&gt;Concluindo pendências")</f>
        <v>3</v>
      </c>
      <c r="D81" s="93">
        <f>COUNTIFS(Base!$B:$B,D$11,Base!$M:$M,"&lt;"&amp;$B81,Base!$N:$N,"&gt;="&amp;$B81,Base!$O:$O,"&lt;&gt;Finalizado",Base!$O:$O,"&lt;&gt;Congelado",Base!$O:$O,"&lt;&gt;Concluindo pendências") + COUNTIFS(Base!$B:$B,D$11,Base!$M:$M,"&lt;"&amp;$B81,Base!$N:$N,"",Base!$O:$O,"&lt;&gt;Finalizado",Base!$O:$O,"&lt;&gt;Congelado",Base!$O:$O,"&lt;&gt;Concluindo pendências")</f>
        <v>8</v>
      </c>
      <c r="E81" s="93">
        <f>COUNTIFS(Base!$B:$B,E$11,Base!$M:$M,"&lt;"&amp;$B81,Base!$N:$N,"&gt;="&amp;$B81,Base!$O:$O,"&lt;&gt;Finalizado",Base!$O:$O,"&lt;&gt;Congelado",Base!$O:$O,"&lt;&gt;Concluindo pendências") + COUNTIFS(Base!$B:$B,E$11,Base!$M:$M,"&lt;"&amp;$B81,Base!$N:$N,"",Base!$O:$O,"&lt;&gt;Finalizado",Base!$O:$O,"&lt;&gt;Congelado",Base!$O:$O,"&lt;&gt;Concluindo pendências")</f>
        <v>8</v>
      </c>
      <c r="F81" s="93">
        <f>COUNTIFS(Base!$B:$B,F$11,Base!$M:$M,"&lt;"&amp;$B81,Base!$N:$N,"&gt;="&amp;$B81,Base!$O:$O,"&lt;&gt;Finalizado",Base!$O:$O,"&lt;&gt;Congelado",Base!$O:$O,"&lt;&gt;Concluindo pendências") + COUNTIFS(Base!$B:$B,F$11,Base!$M:$M,"&lt;"&amp;$B81,Base!$N:$N,"",Base!$O:$O,"&lt;&gt;Finalizado",Base!$O:$O,"&lt;&gt;Congelado",Base!$O:$O,"&lt;&gt;Concluindo pendências")</f>
        <v>6</v>
      </c>
      <c r="H81" s="93">
        <f>COUNTIFS(Base!$B:$B,C$11,Base!$K:$K,"&lt;"&amp;$B81,Base!$N:$N,"&gt;="&amp;$B81,Base!$O:$O,"&lt;&gt;Finalizado",Base!$O:$O,"&lt;&gt;Congelado") + COUNTIFS(Base!$B:$B,C$11,Base!$K:$K,"&lt;"&amp;$B81,Base!$N:$N,"",Base!$O:$O,"&lt;&gt;Finalizado",Base!$O:$O,"&lt;&gt;Congelado")</f>
        <v>12</v>
      </c>
      <c r="I81" s="93">
        <f>COUNTIFS(Base!$B:$B,D$11,Base!$K:$K,"&lt;"&amp;$B81,Base!$N:$N,"&gt;="&amp;$B81,Base!$O:$O,"&lt;&gt;Finalizado",Base!$O:$O,"&lt;&gt;Congelado") + COUNTIFS(Base!$B:$B,D$11,Base!$K:$K,"&lt;"&amp;$B81,Base!$N:$N,"",Base!$O:$O,"&lt;&gt;Finalizado",Base!$O:$O,"&lt;&gt;Congelado")</f>
        <v>28</v>
      </c>
      <c r="J81" s="93">
        <f>COUNTIFS(Base!$B:$B,E$11,Base!$K:$K,"&lt;"&amp;$B81,Base!$N:$N,"&gt;="&amp;$B81,Base!$O:$O,"&lt;&gt;Finalizado",Base!$O:$O,"&lt;&gt;Congelado") + COUNTIFS(Base!$B:$B,E$11,Base!$K:$K,"&lt;"&amp;$B81,Base!$N:$N,"",Base!$O:$O,"&lt;&gt;Finalizado",Base!$O:$O,"&lt;&gt;Congelado")</f>
        <v>18</v>
      </c>
      <c r="K81" s="93">
        <f>COUNTIFS(Base!$B:$B,F$11,Base!$K:$K,"&lt;"&amp;$B81,Base!$N:$N,"&gt;="&amp;$B81,Base!$O:$O,"&lt;&gt;Finalizado",Base!$O:$O,"&lt;&gt;Congelado") + COUNTIFS(Base!$B:$B,F$11,Base!$K:$K,"&lt;"&amp;$B81,Base!$N:$N,"",Base!$O:$O,"&lt;&gt;Finalizado",Base!$O:$O,"&lt;&gt;Congelado")</f>
        <v>18</v>
      </c>
      <c r="M81" s="133">
        <f t="shared" ref="M81:P81" si="98">C81/H81</f>
        <v>0.25</v>
      </c>
      <c r="N81" s="133">
        <f t="shared" si="98"/>
        <v>0.2857142857</v>
      </c>
      <c r="O81" s="133">
        <f t="shared" si="98"/>
        <v>0.4444444444</v>
      </c>
      <c r="P81" s="133">
        <f t="shared" si="98"/>
        <v>0.3333333333</v>
      </c>
      <c r="Q81" s="133">
        <f t="shared" si="9"/>
        <v>0.3289473684</v>
      </c>
      <c r="S81" s="93">
        <f t="shared" ref="S81:V81" si="99">S80+C81</f>
        <v>63</v>
      </c>
      <c r="T81" s="93">
        <f t="shared" si="99"/>
        <v>199</v>
      </c>
      <c r="U81" s="93">
        <f t="shared" si="99"/>
        <v>241</v>
      </c>
      <c r="V81" s="93">
        <f t="shared" si="99"/>
        <v>168</v>
      </c>
      <c r="W81" s="93">
        <f t="shared" si="11"/>
        <v>671</v>
      </c>
      <c r="Y81" s="133">
        <f>(COUNTIFS(Base!$B:$B,C$11,Base!$S:$S,"&gt;8",Base!$N:$N,"&lt;="&amp;$B81) - COUNTIFS(Base!$B:$B,C$11,Base!$S:$S,"&lt;7",Base!$N:$N,"&lt;="&amp;$B81) - COUNTIFS(Base!$B:$B,C$11,Base!$S:$S,"&lt;7",Base!$K:$K,"&lt;="&amp;$B81,Base!$O:$O,"Finalizado"))/(COUNTIFS(Base!$B:$B,C$11,Base!$S:$S,"&lt;&gt;",Base!$N:$N,"&lt;="&amp;$B81)+COUNTIFS(Base!$B:$B,C$11,Base!$S:$S,"&lt;7",Base!$K:$K,"&lt;="&amp;$B81,Base!$O:$O,"Finalizado"))</f>
        <v>0.3333333333</v>
      </c>
      <c r="Z81" s="133">
        <f>(COUNTIFS(Base!$B:$B,D$11,Base!$S:$S,"&gt;8",Base!$N:$N,"&lt;="&amp;$B81) - COUNTIFS(Base!$B:$B,D$11,Base!$S:$S,"&lt;7",Base!$N:$N,"&lt;="&amp;$B81) - COUNTIFS(Base!$B:$B,D$11,Base!$S:$S,"&lt;7",Base!$K:$K,"&lt;="&amp;$B81,Base!$O:$O,"Finalizado"))/(COUNTIFS(Base!$B:$B,D$11,Base!$S:$S,"&lt;&gt;",Base!$N:$N,"&lt;="&amp;$B81)+COUNTIFS(Base!$B:$B,D$11,Base!$S:$S,"&lt;7",Base!$K:$K,"&lt;="&amp;$B81,Base!$O:$O,"Finalizado"))</f>
        <v>0.5</v>
      </c>
      <c r="AA81" s="133">
        <f>(COUNTIFS(Base!$B:$B,E$11,Base!$S:$S,"&gt;8",Base!$N:$N,"&lt;="&amp;$B81) - COUNTIFS(Base!$B:$B,E$11,Base!$S:$S,"&lt;7",Base!$N:$N,"&lt;="&amp;$B81) - COUNTIFS(Base!$B:$B,E$11,Base!$S:$S,"&lt;7",Base!$K:$K,"&lt;="&amp;$B81,Base!$O:$O,"Finalizado"))/(COUNTIFS(Base!$B:$B,E$11,Base!$S:$S,"&lt;&gt;",Base!$N:$N,"&lt;="&amp;$B81)+COUNTIFS(Base!$B:$B,E$11,Base!$S:$S,"&lt;7",Base!$K:$K,"&lt;="&amp;$B81,Base!$O:$O,"Finalizado"))</f>
        <v>0.4</v>
      </c>
      <c r="AB81" s="133">
        <f t="shared" si="12"/>
        <v>0.75</v>
      </c>
      <c r="AD81" s="93">
        <f>(COUNTIFS(Base!$B:$B,F$11,Base!$S:$S,"&gt;8",Base!$N:$N,"&lt;="&amp;$B81)+(COUNTIFS(Base!$B:$B,F$11,Base!$AG:$AG,"&gt;8",Base!$K:$K,"&lt;="&amp;$B81)))</f>
        <v>3</v>
      </c>
      <c r="AE81" s="93">
        <f>(COUNTIFS(Base!$B:$B,F$11,Base!$S:$S,"&lt;&gt;",Base!$N:$N,"&lt;="&amp;$B81)+(COUNTIFS(Base!$B:$B,F$11,Base!$AG:$AG,"&lt;&gt;",Base!$K:$K,"&lt;="&amp;$B81)+COUNTIFS(Base!$B:$B,F$11,Base!$S:$S,"&lt;7",Base!$K:$K,"&lt;="&amp;$B81,Base!$O:$O,"Finalizado")))</f>
        <v>4</v>
      </c>
      <c r="AF81" s="93">
        <f>COUNTIFS(Base!$B:$B,F$11,Base!$S:$S,"&lt;7",Base!$N:$N,"&lt;="&amp;$B81) +COUNTIFS(Base!$B:$B,F$11,Base!$AG:$AG,"&lt;7",Base!$K:$K,"&lt;="&amp;$B81) + COUNTIFS(Base!$B:$B,F$11,Base!$S:$S,"&lt;7",Base!$K:$K,"&lt;="&amp;$B81,Base!$O:$O,"Finalizado")</f>
        <v>0</v>
      </c>
    </row>
    <row r="82">
      <c r="B82" s="151">
        <f t="shared" si="13"/>
        <v>45337</v>
      </c>
      <c r="C82" s="93">
        <f>COUNTIFS(Base!$B:$B,C$11,Base!$M:$M,"&lt;"&amp;$B82,Base!$N:$N,"&gt;="&amp;$B82,Base!$O:$O,"&lt;&gt;Finalizado",Base!$O:$O,"&lt;&gt;Congelado",Base!$O:$O,"&lt;&gt;Concluindo pendências") + COUNTIFS(Base!$B:$B,C$11,Base!$M:$M,"&lt;"&amp;$B82,Base!$N:$N,"",Base!$O:$O,"&lt;&gt;Finalizado",Base!$O:$O,"&lt;&gt;Congelado",Base!$O:$O,"&lt;&gt;Concluindo pendências")</f>
        <v>3</v>
      </c>
      <c r="D82" s="93">
        <f>COUNTIFS(Base!$B:$B,D$11,Base!$M:$M,"&lt;"&amp;$B82,Base!$N:$N,"&gt;="&amp;$B82,Base!$O:$O,"&lt;&gt;Finalizado",Base!$O:$O,"&lt;&gt;Congelado",Base!$O:$O,"&lt;&gt;Concluindo pendências") + COUNTIFS(Base!$B:$B,D$11,Base!$M:$M,"&lt;"&amp;$B82,Base!$N:$N,"",Base!$O:$O,"&lt;&gt;Finalizado",Base!$O:$O,"&lt;&gt;Congelado",Base!$O:$O,"&lt;&gt;Concluindo pendências")</f>
        <v>8</v>
      </c>
      <c r="E82" s="93">
        <f>COUNTIFS(Base!$B:$B,E$11,Base!$M:$M,"&lt;"&amp;$B82,Base!$N:$N,"&gt;="&amp;$B82,Base!$O:$O,"&lt;&gt;Finalizado",Base!$O:$O,"&lt;&gt;Congelado",Base!$O:$O,"&lt;&gt;Concluindo pendências") + COUNTIFS(Base!$B:$B,E$11,Base!$M:$M,"&lt;"&amp;$B82,Base!$N:$N,"",Base!$O:$O,"&lt;&gt;Finalizado",Base!$O:$O,"&lt;&gt;Congelado",Base!$O:$O,"&lt;&gt;Concluindo pendências")</f>
        <v>8</v>
      </c>
      <c r="F82" s="93">
        <f>COUNTIFS(Base!$B:$B,F$11,Base!$M:$M,"&lt;"&amp;$B82,Base!$N:$N,"&gt;="&amp;$B82,Base!$O:$O,"&lt;&gt;Finalizado",Base!$O:$O,"&lt;&gt;Congelado",Base!$O:$O,"&lt;&gt;Concluindo pendências") + COUNTIFS(Base!$B:$B,F$11,Base!$M:$M,"&lt;"&amp;$B82,Base!$N:$N,"",Base!$O:$O,"&lt;&gt;Finalizado",Base!$O:$O,"&lt;&gt;Congelado",Base!$O:$O,"&lt;&gt;Concluindo pendências")</f>
        <v>6</v>
      </c>
      <c r="H82" s="93">
        <f>COUNTIFS(Base!$B:$B,C$11,Base!$K:$K,"&lt;"&amp;$B82,Base!$N:$N,"&gt;="&amp;$B82,Base!$O:$O,"&lt;&gt;Finalizado",Base!$O:$O,"&lt;&gt;Congelado") + COUNTIFS(Base!$B:$B,C$11,Base!$K:$K,"&lt;"&amp;$B82,Base!$N:$N,"",Base!$O:$O,"&lt;&gt;Finalizado",Base!$O:$O,"&lt;&gt;Congelado")</f>
        <v>12</v>
      </c>
      <c r="I82" s="93">
        <f>COUNTIFS(Base!$B:$B,D$11,Base!$K:$K,"&lt;"&amp;$B82,Base!$N:$N,"&gt;="&amp;$B82,Base!$O:$O,"&lt;&gt;Finalizado",Base!$O:$O,"&lt;&gt;Congelado") + COUNTIFS(Base!$B:$B,D$11,Base!$K:$K,"&lt;"&amp;$B82,Base!$N:$N,"",Base!$O:$O,"&lt;&gt;Finalizado",Base!$O:$O,"&lt;&gt;Congelado")</f>
        <v>28</v>
      </c>
      <c r="J82" s="93">
        <f>COUNTIFS(Base!$B:$B,E$11,Base!$K:$K,"&lt;"&amp;$B82,Base!$N:$N,"&gt;="&amp;$B82,Base!$O:$O,"&lt;&gt;Finalizado",Base!$O:$O,"&lt;&gt;Congelado") + COUNTIFS(Base!$B:$B,E$11,Base!$K:$K,"&lt;"&amp;$B82,Base!$N:$N,"",Base!$O:$O,"&lt;&gt;Finalizado",Base!$O:$O,"&lt;&gt;Congelado")</f>
        <v>18</v>
      </c>
      <c r="K82" s="93">
        <f>COUNTIFS(Base!$B:$B,F$11,Base!$K:$K,"&lt;"&amp;$B82,Base!$N:$N,"&gt;="&amp;$B82,Base!$O:$O,"&lt;&gt;Finalizado",Base!$O:$O,"&lt;&gt;Congelado") + COUNTIFS(Base!$B:$B,F$11,Base!$K:$K,"&lt;"&amp;$B82,Base!$N:$N,"",Base!$O:$O,"&lt;&gt;Finalizado",Base!$O:$O,"&lt;&gt;Congelado")</f>
        <v>18</v>
      </c>
      <c r="M82" s="133">
        <f t="shared" ref="M82:P82" si="100">C82/H82</f>
        <v>0.25</v>
      </c>
      <c r="N82" s="133">
        <f t="shared" si="100"/>
        <v>0.2857142857</v>
      </c>
      <c r="O82" s="133">
        <f t="shared" si="100"/>
        <v>0.4444444444</v>
      </c>
      <c r="P82" s="133">
        <f t="shared" si="100"/>
        <v>0.3333333333</v>
      </c>
      <c r="Q82" s="133">
        <f t="shared" si="9"/>
        <v>0.3289473684</v>
      </c>
      <c r="S82" s="93">
        <f t="shared" ref="S82:V82" si="101">S81+C82</f>
        <v>66</v>
      </c>
      <c r="T82" s="93">
        <f t="shared" si="101"/>
        <v>207</v>
      </c>
      <c r="U82" s="93">
        <f t="shared" si="101"/>
        <v>249</v>
      </c>
      <c r="V82" s="93">
        <f t="shared" si="101"/>
        <v>174</v>
      </c>
      <c r="W82" s="93">
        <f t="shared" si="11"/>
        <v>696</v>
      </c>
      <c r="Y82" s="133">
        <f>(COUNTIFS(Base!$B:$B,C$11,Base!$S:$S,"&gt;8",Base!$N:$N,"&lt;="&amp;$B82) - COUNTIFS(Base!$B:$B,C$11,Base!$S:$S,"&lt;7",Base!$N:$N,"&lt;="&amp;$B82) - COUNTIFS(Base!$B:$B,C$11,Base!$S:$S,"&lt;7",Base!$K:$K,"&lt;="&amp;$B82,Base!$O:$O,"Finalizado"))/(COUNTIFS(Base!$B:$B,C$11,Base!$S:$S,"&lt;&gt;",Base!$N:$N,"&lt;="&amp;$B82)+COUNTIFS(Base!$B:$B,C$11,Base!$S:$S,"&lt;7",Base!$K:$K,"&lt;="&amp;$B82,Base!$O:$O,"Finalizado"))</f>
        <v>0.3333333333</v>
      </c>
      <c r="Z82" s="133">
        <f>(COUNTIFS(Base!$B:$B,D$11,Base!$S:$S,"&gt;8",Base!$N:$N,"&lt;="&amp;$B82) - COUNTIFS(Base!$B:$B,D$11,Base!$S:$S,"&lt;7",Base!$N:$N,"&lt;="&amp;$B82) - COUNTIFS(Base!$B:$B,D$11,Base!$S:$S,"&lt;7",Base!$K:$K,"&lt;="&amp;$B82,Base!$O:$O,"Finalizado"))/(COUNTIFS(Base!$B:$B,D$11,Base!$S:$S,"&lt;&gt;",Base!$N:$N,"&lt;="&amp;$B82)+COUNTIFS(Base!$B:$B,D$11,Base!$S:$S,"&lt;7",Base!$K:$K,"&lt;="&amp;$B82,Base!$O:$O,"Finalizado"))</f>
        <v>0.6</v>
      </c>
      <c r="AA82" s="133">
        <f>(COUNTIFS(Base!$B:$B,E$11,Base!$S:$S,"&gt;8",Base!$N:$N,"&lt;="&amp;$B82) - COUNTIFS(Base!$B:$B,E$11,Base!$S:$S,"&lt;7",Base!$N:$N,"&lt;="&amp;$B82) - COUNTIFS(Base!$B:$B,E$11,Base!$S:$S,"&lt;7",Base!$K:$K,"&lt;="&amp;$B82,Base!$O:$O,"Finalizado"))/(COUNTIFS(Base!$B:$B,E$11,Base!$S:$S,"&lt;&gt;",Base!$N:$N,"&lt;="&amp;$B82)+COUNTIFS(Base!$B:$B,E$11,Base!$S:$S,"&lt;7",Base!$K:$K,"&lt;="&amp;$B82,Base!$O:$O,"Finalizado"))</f>
        <v>0.4</v>
      </c>
      <c r="AB82" s="133">
        <f t="shared" si="12"/>
        <v>0.75</v>
      </c>
      <c r="AD82" s="93">
        <f>(COUNTIFS(Base!$B:$B,F$11,Base!$S:$S,"&gt;8",Base!$N:$N,"&lt;="&amp;$B82)+(COUNTIFS(Base!$B:$B,F$11,Base!$AG:$AG,"&gt;8",Base!$K:$K,"&lt;="&amp;$B82)))</f>
        <v>3</v>
      </c>
      <c r="AE82" s="93">
        <f>(COUNTIFS(Base!$B:$B,F$11,Base!$S:$S,"&lt;&gt;",Base!$N:$N,"&lt;="&amp;$B82)+(COUNTIFS(Base!$B:$B,F$11,Base!$AG:$AG,"&lt;&gt;",Base!$K:$K,"&lt;="&amp;$B82)+COUNTIFS(Base!$B:$B,F$11,Base!$S:$S,"&lt;7",Base!$K:$K,"&lt;="&amp;$B82,Base!$O:$O,"Finalizado")))</f>
        <v>4</v>
      </c>
      <c r="AF82" s="93">
        <f>COUNTIFS(Base!$B:$B,F$11,Base!$S:$S,"&lt;7",Base!$N:$N,"&lt;="&amp;$B82) +COUNTIFS(Base!$B:$B,F$11,Base!$AG:$AG,"&lt;7",Base!$K:$K,"&lt;="&amp;$B82) + COUNTIFS(Base!$B:$B,F$11,Base!$S:$S,"&lt;7",Base!$K:$K,"&lt;="&amp;$B82,Base!$O:$O,"Finalizado")</f>
        <v>0</v>
      </c>
    </row>
    <row r="83">
      <c r="B83" s="151">
        <f t="shared" si="13"/>
        <v>45338</v>
      </c>
      <c r="C83" s="93">
        <f>COUNTIFS(Base!$B:$B,C$11,Base!$M:$M,"&lt;"&amp;$B83,Base!$N:$N,"&gt;="&amp;$B83,Base!$O:$O,"&lt;&gt;Finalizado",Base!$O:$O,"&lt;&gt;Congelado",Base!$O:$O,"&lt;&gt;Concluindo pendências") + COUNTIFS(Base!$B:$B,C$11,Base!$M:$M,"&lt;"&amp;$B83,Base!$N:$N,"",Base!$O:$O,"&lt;&gt;Finalizado",Base!$O:$O,"&lt;&gt;Congelado",Base!$O:$O,"&lt;&gt;Concluindo pendências")</f>
        <v>3</v>
      </c>
      <c r="D83" s="93">
        <f>COUNTIFS(Base!$B:$B,D$11,Base!$M:$M,"&lt;"&amp;$B83,Base!$N:$N,"&gt;="&amp;$B83,Base!$O:$O,"&lt;&gt;Finalizado",Base!$O:$O,"&lt;&gt;Congelado",Base!$O:$O,"&lt;&gt;Concluindo pendências") + COUNTIFS(Base!$B:$B,D$11,Base!$M:$M,"&lt;"&amp;$B83,Base!$N:$N,"",Base!$O:$O,"&lt;&gt;Finalizado",Base!$O:$O,"&lt;&gt;Congelado",Base!$O:$O,"&lt;&gt;Concluindo pendências")</f>
        <v>7</v>
      </c>
      <c r="E83" s="93">
        <f>COUNTIFS(Base!$B:$B,E$11,Base!$M:$M,"&lt;"&amp;$B83,Base!$N:$N,"&gt;="&amp;$B83,Base!$O:$O,"&lt;&gt;Finalizado",Base!$O:$O,"&lt;&gt;Congelado",Base!$O:$O,"&lt;&gt;Concluindo pendências") + COUNTIFS(Base!$B:$B,E$11,Base!$M:$M,"&lt;"&amp;$B83,Base!$N:$N,"",Base!$O:$O,"&lt;&gt;Finalizado",Base!$O:$O,"&lt;&gt;Congelado",Base!$O:$O,"&lt;&gt;Concluindo pendências")</f>
        <v>8</v>
      </c>
      <c r="F83" s="93">
        <f>COUNTIFS(Base!$B:$B,F$11,Base!$M:$M,"&lt;"&amp;$B83,Base!$N:$N,"&gt;="&amp;$B83,Base!$O:$O,"&lt;&gt;Finalizado",Base!$O:$O,"&lt;&gt;Congelado",Base!$O:$O,"&lt;&gt;Concluindo pendências") + COUNTIFS(Base!$B:$B,F$11,Base!$M:$M,"&lt;"&amp;$B83,Base!$N:$N,"",Base!$O:$O,"&lt;&gt;Finalizado",Base!$O:$O,"&lt;&gt;Congelado",Base!$O:$O,"&lt;&gt;Concluindo pendências")</f>
        <v>6</v>
      </c>
      <c r="H83" s="93">
        <f>COUNTIFS(Base!$B:$B,C$11,Base!$K:$K,"&lt;"&amp;$B83,Base!$N:$N,"&gt;="&amp;$B83,Base!$O:$O,"&lt;&gt;Finalizado",Base!$O:$O,"&lt;&gt;Congelado") + COUNTIFS(Base!$B:$B,C$11,Base!$K:$K,"&lt;"&amp;$B83,Base!$N:$N,"",Base!$O:$O,"&lt;&gt;Finalizado",Base!$O:$O,"&lt;&gt;Congelado")</f>
        <v>12</v>
      </c>
      <c r="I83" s="93">
        <f>COUNTIFS(Base!$B:$B,D$11,Base!$K:$K,"&lt;"&amp;$B83,Base!$N:$N,"&gt;="&amp;$B83,Base!$O:$O,"&lt;&gt;Finalizado",Base!$O:$O,"&lt;&gt;Congelado") + COUNTIFS(Base!$B:$B,D$11,Base!$K:$K,"&lt;"&amp;$B83,Base!$N:$N,"",Base!$O:$O,"&lt;&gt;Finalizado",Base!$O:$O,"&lt;&gt;Congelado")</f>
        <v>27</v>
      </c>
      <c r="J83" s="93">
        <f>COUNTIFS(Base!$B:$B,E$11,Base!$K:$K,"&lt;"&amp;$B83,Base!$N:$N,"&gt;="&amp;$B83,Base!$O:$O,"&lt;&gt;Finalizado",Base!$O:$O,"&lt;&gt;Congelado") + COUNTIFS(Base!$B:$B,E$11,Base!$K:$K,"&lt;"&amp;$B83,Base!$N:$N,"",Base!$O:$O,"&lt;&gt;Finalizado",Base!$O:$O,"&lt;&gt;Congelado")</f>
        <v>18</v>
      </c>
      <c r="K83" s="93">
        <f>COUNTIFS(Base!$B:$B,F$11,Base!$K:$K,"&lt;"&amp;$B83,Base!$N:$N,"&gt;="&amp;$B83,Base!$O:$O,"&lt;&gt;Finalizado",Base!$O:$O,"&lt;&gt;Congelado") + COUNTIFS(Base!$B:$B,F$11,Base!$K:$K,"&lt;"&amp;$B83,Base!$N:$N,"",Base!$O:$O,"&lt;&gt;Finalizado",Base!$O:$O,"&lt;&gt;Congelado")</f>
        <v>18</v>
      </c>
      <c r="M83" s="133">
        <f t="shared" ref="M83:P83" si="102">C83/H83</f>
        <v>0.25</v>
      </c>
      <c r="N83" s="133">
        <f t="shared" si="102"/>
        <v>0.2592592593</v>
      </c>
      <c r="O83" s="133">
        <f t="shared" si="102"/>
        <v>0.4444444444</v>
      </c>
      <c r="P83" s="133">
        <f t="shared" si="102"/>
        <v>0.3333333333</v>
      </c>
      <c r="Q83" s="133">
        <f t="shared" si="9"/>
        <v>0.32</v>
      </c>
      <c r="S83" s="93">
        <f t="shared" ref="S83:V83" si="103">S82+C83</f>
        <v>69</v>
      </c>
      <c r="T83" s="93">
        <f t="shared" si="103"/>
        <v>214</v>
      </c>
      <c r="U83" s="93">
        <f t="shared" si="103"/>
        <v>257</v>
      </c>
      <c r="V83" s="93">
        <f t="shared" si="103"/>
        <v>180</v>
      </c>
      <c r="W83" s="93">
        <f t="shared" si="11"/>
        <v>720</v>
      </c>
      <c r="Y83" s="133">
        <f>(COUNTIFS(Base!$B:$B,C$11,Base!$S:$S,"&gt;8",Base!$N:$N,"&lt;="&amp;$B83) - COUNTIFS(Base!$B:$B,C$11,Base!$S:$S,"&lt;7",Base!$N:$N,"&lt;="&amp;$B83) - COUNTIFS(Base!$B:$B,C$11,Base!$S:$S,"&lt;7",Base!$K:$K,"&lt;="&amp;$B83,Base!$O:$O,"Finalizado"))/(COUNTIFS(Base!$B:$B,C$11,Base!$S:$S,"&lt;&gt;",Base!$N:$N,"&lt;="&amp;$B83)+COUNTIFS(Base!$B:$B,C$11,Base!$S:$S,"&lt;7",Base!$K:$K,"&lt;="&amp;$B83,Base!$O:$O,"Finalizado"))</f>
        <v>0.3333333333</v>
      </c>
      <c r="Z83" s="133">
        <f>(COUNTIFS(Base!$B:$B,D$11,Base!$S:$S,"&gt;8",Base!$N:$N,"&lt;="&amp;$B83) - COUNTIFS(Base!$B:$B,D$11,Base!$S:$S,"&lt;7",Base!$N:$N,"&lt;="&amp;$B83) - COUNTIFS(Base!$B:$B,D$11,Base!$S:$S,"&lt;7",Base!$K:$K,"&lt;="&amp;$B83,Base!$O:$O,"Finalizado"))/(COUNTIFS(Base!$B:$B,D$11,Base!$S:$S,"&lt;&gt;",Base!$N:$N,"&lt;="&amp;$B83)+COUNTIFS(Base!$B:$B,D$11,Base!$S:$S,"&lt;7",Base!$K:$K,"&lt;="&amp;$B83,Base!$O:$O,"Finalizado"))</f>
        <v>0.6666666667</v>
      </c>
      <c r="AA83" s="133">
        <f>(COUNTIFS(Base!$B:$B,E$11,Base!$S:$S,"&gt;8",Base!$N:$N,"&lt;="&amp;$B83) - COUNTIFS(Base!$B:$B,E$11,Base!$S:$S,"&lt;7",Base!$N:$N,"&lt;="&amp;$B83) - COUNTIFS(Base!$B:$B,E$11,Base!$S:$S,"&lt;7",Base!$K:$K,"&lt;="&amp;$B83,Base!$O:$O,"Finalizado"))/(COUNTIFS(Base!$B:$B,E$11,Base!$S:$S,"&lt;&gt;",Base!$N:$N,"&lt;="&amp;$B83)+COUNTIFS(Base!$B:$B,E$11,Base!$S:$S,"&lt;7",Base!$K:$K,"&lt;="&amp;$B83,Base!$O:$O,"Finalizado"))</f>
        <v>0.4</v>
      </c>
      <c r="AB83" s="133">
        <f t="shared" si="12"/>
        <v>0.75</v>
      </c>
      <c r="AD83" s="93">
        <f>(COUNTIFS(Base!$B:$B,F$11,Base!$S:$S,"&gt;8",Base!$N:$N,"&lt;="&amp;$B83)+(COUNTIFS(Base!$B:$B,F$11,Base!$AG:$AG,"&gt;8",Base!$K:$K,"&lt;="&amp;$B83)))</f>
        <v>3</v>
      </c>
      <c r="AE83" s="93">
        <f>(COUNTIFS(Base!$B:$B,F$11,Base!$S:$S,"&lt;&gt;",Base!$N:$N,"&lt;="&amp;$B83)+(COUNTIFS(Base!$B:$B,F$11,Base!$AG:$AG,"&lt;&gt;",Base!$K:$K,"&lt;="&amp;$B83)+COUNTIFS(Base!$B:$B,F$11,Base!$S:$S,"&lt;7",Base!$K:$K,"&lt;="&amp;$B83,Base!$O:$O,"Finalizado")))</f>
        <v>4</v>
      </c>
      <c r="AF83" s="93">
        <f>COUNTIFS(Base!$B:$B,F$11,Base!$S:$S,"&lt;7",Base!$N:$N,"&lt;="&amp;$B83) +COUNTIFS(Base!$B:$B,F$11,Base!$AG:$AG,"&lt;7",Base!$K:$K,"&lt;="&amp;$B83) + COUNTIFS(Base!$B:$B,F$11,Base!$S:$S,"&lt;7",Base!$K:$K,"&lt;="&amp;$B83,Base!$O:$O,"Finalizado")</f>
        <v>0</v>
      </c>
    </row>
    <row r="84">
      <c r="B84" s="151">
        <f t="shared" si="13"/>
        <v>45339</v>
      </c>
      <c r="C84" s="93">
        <f>COUNTIFS(Base!$B:$B,C$11,Base!$M:$M,"&lt;"&amp;$B84,Base!$N:$N,"&gt;="&amp;$B84,Base!$O:$O,"&lt;&gt;Finalizado",Base!$O:$O,"&lt;&gt;Congelado",Base!$O:$O,"&lt;&gt;Concluindo pendências") + COUNTIFS(Base!$B:$B,C$11,Base!$M:$M,"&lt;"&amp;$B84,Base!$N:$N,"",Base!$O:$O,"&lt;&gt;Finalizado",Base!$O:$O,"&lt;&gt;Congelado",Base!$O:$O,"&lt;&gt;Concluindo pendências")</f>
        <v>3</v>
      </c>
      <c r="D84" s="93">
        <f>COUNTIFS(Base!$B:$B,D$11,Base!$M:$M,"&lt;"&amp;$B84,Base!$N:$N,"&gt;="&amp;$B84,Base!$O:$O,"&lt;&gt;Finalizado",Base!$O:$O,"&lt;&gt;Congelado",Base!$O:$O,"&lt;&gt;Concluindo pendências") + COUNTIFS(Base!$B:$B,D$11,Base!$M:$M,"&lt;"&amp;$B84,Base!$N:$N,"",Base!$O:$O,"&lt;&gt;Finalizado",Base!$O:$O,"&lt;&gt;Congelado",Base!$O:$O,"&lt;&gt;Concluindo pendências")</f>
        <v>8</v>
      </c>
      <c r="E84" s="93">
        <f>COUNTIFS(Base!$B:$B,E$11,Base!$M:$M,"&lt;"&amp;$B84,Base!$N:$N,"&gt;="&amp;$B84,Base!$O:$O,"&lt;&gt;Finalizado",Base!$O:$O,"&lt;&gt;Congelado",Base!$O:$O,"&lt;&gt;Concluindo pendências") + COUNTIFS(Base!$B:$B,E$11,Base!$M:$M,"&lt;"&amp;$B84,Base!$N:$N,"",Base!$O:$O,"&lt;&gt;Finalizado",Base!$O:$O,"&lt;&gt;Congelado",Base!$O:$O,"&lt;&gt;Concluindo pendências")</f>
        <v>8</v>
      </c>
      <c r="F84" s="93">
        <f>COUNTIFS(Base!$B:$B,F$11,Base!$M:$M,"&lt;"&amp;$B84,Base!$N:$N,"&gt;="&amp;$B84,Base!$O:$O,"&lt;&gt;Finalizado",Base!$O:$O,"&lt;&gt;Congelado",Base!$O:$O,"&lt;&gt;Concluindo pendências") + COUNTIFS(Base!$B:$B,F$11,Base!$M:$M,"&lt;"&amp;$B84,Base!$N:$N,"",Base!$O:$O,"&lt;&gt;Finalizado",Base!$O:$O,"&lt;&gt;Congelado",Base!$O:$O,"&lt;&gt;Concluindo pendências")</f>
        <v>6</v>
      </c>
      <c r="H84" s="93">
        <f>COUNTIFS(Base!$B:$B,C$11,Base!$K:$K,"&lt;"&amp;$B84,Base!$N:$N,"&gt;="&amp;$B84,Base!$O:$O,"&lt;&gt;Finalizado",Base!$O:$O,"&lt;&gt;Congelado") + COUNTIFS(Base!$B:$B,C$11,Base!$K:$K,"&lt;"&amp;$B84,Base!$N:$N,"",Base!$O:$O,"&lt;&gt;Finalizado",Base!$O:$O,"&lt;&gt;Congelado")</f>
        <v>12</v>
      </c>
      <c r="I84" s="93">
        <f>COUNTIFS(Base!$B:$B,D$11,Base!$K:$K,"&lt;"&amp;$B84,Base!$N:$N,"&gt;="&amp;$B84,Base!$O:$O,"&lt;&gt;Finalizado",Base!$O:$O,"&lt;&gt;Congelado") + COUNTIFS(Base!$B:$B,D$11,Base!$K:$K,"&lt;"&amp;$B84,Base!$N:$N,"",Base!$O:$O,"&lt;&gt;Finalizado",Base!$O:$O,"&lt;&gt;Congelado")</f>
        <v>26</v>
      </c>
      <c r="J84" s="93">
        <f>COUNTIFS(Base!$B:$B,E$11,Base!$K:$K,"&lt;"&amp;$B84,Base!$N:$N,"&gt;="&amp;$B84,Base!$O:$O,"&lt;&gt;Finalizado",Base!$O:$O,"&lt;&gt;Congelado") + COUNTIFS(Base!$B:$B,E$11,Base!$K:$K,"&lt;"&amp;$B84,Base!$N:$N,"",Base!$O:$O,"&lt;&gt;Finalizado",Base!$O:$O,"&lt;&gt;Congelado")</f>
        <v>18</v>
      </c>
      <c r="K84" s="93">
        <f>COUNTIFS(Base!$B:$B,F$11,Base!$K:$K,"&lt;"&amp;$B84,Base!$N:$N,"&gt;="&amp;$B84,Base!$O:$O,"&lt;&gt;Finalizado",Base!$O:$O,"&lt;&gt;Congelado") + COUNTIFS(Base!$B:$B,F$11,Base!$K:$K,"&lt;"&amp;$B84,Base!$N:$N,"",Base!$O:$O,"&lt;&gt;Finalizado",Base!$O:$O,"&lt;&gt;Congelado")</f>
        <v>18</v>
      </c>
      <c r="M84" s="133">
        <f t="shared" ref="M84:P84" si="104">C84/H84</f>
        <v>0.25</v>
      </c>
      <c r="N84" s="133">
        <f t="shared" si="104"/>
        <v>0.3076923077</v>
      </c>
      <c r="O84" s="133">
        <f t="shared" si="104"/>
        <v>0.4444444444</v>
      </c>
      <c r="P84" s="133">
        <f t="shared" si="104"/>
        <v>0.3333333333</v>
      </c>
      <c r="Q84" s="133">
        <f t="shared" si="9"/>
        <v>0.3378378378</v>
      </c>
      <c r="S84" s="93">
        <f t="shared" ref="S84:V84" si="105">S83+C84</f>
        <v>72</v>
      </c>
      <c r="T84" s="93">
        <f t="shared" si="105"/>
        <v>222</v>
      </c>
      <c r="U84" s="93">
        <f t="shared" si="105"/>
        <v>265</v>
      </c>
      <c r="V84" s="93">
        <f t="shared" si="105"/>
        <v>186</v>
      </c>
      <c r="W84" s="93">
        <f t="shared" si="11"/>
        <v>745</v>
      </c>
      <c r="Y84" s="133">
        <f>(COUNTIFS(Base!$B:$B,C$11,Base!$S:$S,"&gt;8",Base!$N:$N,"&lt;="&amp;$B84) - COUNTIFS(Base!$B:$B,C$11,Base!$S:$S,"&lt;7",Base!$N:$N,"&lt;="&amp;$B84) - COUNTIFS(Base!$B:$B,C$11,Base!$S:$S,"&lt;7",Base!$K:$K,"&lt;="&amp;$B84,Base!$O:$O,"Finalizado"))/(COUNTIFS(Base!$B:$B,C$11,Base!$S:$S,"&lt;&gt;",Base!$N:$N,"&lt;="&amp;$B84)+COUNTIFS(Base!$B:$B,C$11,Base!$S:$S,"&lt;7",Base!$K:$K,"&lt;="&amp;$B84,Base!$O:$O,"Finalizado"))</f>
        <v>0.3333333333</v>
      </c>
      <c r="Z84" s="133">
        <f>(COUNTIFS(Base!$B:$B,D$11,Base!$S:$S,"&gt;8",Base!$N:$N,"&lt;="&amp;$B84) - COUNTIFS(Base!$B:$B,D$11,Base!$S:$S,"&lt;7",Base!$N:$N,"&lt;="&amp;$B84) - COUNTIFS(Base!$B:$B,D$11,Base!$S:$S,"&lt;7",Base!$K:$K,"&lt;="&amp;$B84,Base!$O:$O,"Finalizado"))/(COUNTIFS(Base!$B:$B,D$11,Base!$S:$S,"&lt;&gt;",Base!$N:$N,"&lt;="&amp;$B84)+COUNTIFS(Base!$B:$B,D$11,Base!$S:$S,"&lt;7",Base!$K:$K,"&lt;="&amp;$B84,Base!$O:$O,"Finalizado"))</f>
        <v>0.6666666667</v>
      </c>
      <c r="AA84" s="133">
        <f>(COUNTIFS(Base!$B:$B,E$11,Base!$S:$S,"&gt;8",Base!$N:$N,"&lt;="&amp;$B84) - COUNTIFS(Base!$B:$B,E$11,Base!$S:$S,"&lt;7",Base!$N:$N,"&lt;="&amp;$B84) - COUNTIFS(Base!$B:$B,E$11,Base!$S:$S,"&lt;7",Base!$K:$K,"&lt;="&amp;$B84,Base!$O:$O,"Finalizado"))/(COUNTIFS(Base!$B:$B,E$11,Base!$S:$S,"&lt;&gt;",Base!$N:$N,"&lt;="&amp;$B84)+COUNTIFS(Base!$B:$B,E$11,Base!$S:$S,"&lt;7",Base!$K:$K,"&lt;="&amp;$B84,Base!$O:$O,"Finalizado"))</f>
        <v>0.4</v>
      </c>
      <c r="AB84" s="133">
        <f t="shared" si="12"/>
        <v>0.75</v>
      </c>
      <c r="AD84" s="93">
        <f>(COUNTIFS(Base!$B:$B,F$11,Base!$S:$S,"&gt;8",Base!$N:$N,"&lt;="&amp;$B84)+(COUNTIFS(Base!$B:$B,F$11,Base!$AG:$AG,"&gt;8",Base!$K:$K,"&lt;="&amp;$B84)))</f>
        <v>3</v>
      </c>
      <c r="AE84" s="93">
        <f>(COUNTIFS(Base!$B:$B,F$11,Base!$S:$S,"&lt;&gt;",Base!$N:$N,"&lt;="&amp;$B84)+(COUNTIFS(Base!$B:$B,F$11,Base!$AG:$AG,"&lt;&gt;",Base!$K:$K,"&lt;="&amp;$B84)+COUNTIFS(Base!$B:$B,F$11,Base!$S:$S,"&lt;7",Base!$K:$K,"&lt;="&amp;$B84,Base!$O:$O,"Finalizado")))</f>
        <v>4</v>
      </c>
      <c r="AF84" s="93">
        <f>COUNTIFS(Base!$B:$B,F$11,Base!$S:$S,"&lt;7",Base!$N:$N,"&lt;="&amp;$B84) +COUNTIFS(Base!$B:$B,F$11,Base!$AG:$AG,"&lt;7",Base!$K:$K,"&lt;="&amp;$B84) + COUNTIFS(Base!$B:$B,F$11,Base!$S:$S,"&lt;7",Base!$K:$K,"&lt;="&amp;$B84,Base!$O:$O,"Finalizado")</f>
        <v>0</v>
      </c>
    </row>
    <row r="85">
      <c r="B85" s="151">
        <f t="shared" si="13"/>
        <v>45340</v>
      </c>
      <c r="C85" s="93">
        <f>COUNTIFS(Base!$B:$B,C$11,Base!$M:$M,"&lt;"&amp;$B85,Base!$N:$N,"&gt;="&amp;$B85,Base!$O:$O,"&lt;&gt;Finalizado",Base!$O:$O,"&lt;&gt;Congelado",Base!$O:$O,"&lt;&gt;Concluindo pendências") + COUNTIFS(Base!$B:$B,C$11,Base!$M:$M,"&lt;"&amp;$B85,Base!$N:$N,"",Base!$O:$O,"&lt;&gt;Finalizado",Base!$O:$O,"&lt;&gt;Congelado",Base!$O:$O,"&lt;&gt;Concluindo pendências")</f>
        <v>3</v>
      </c>
      <c r="D85" s="93">
        <f>COUNTIFS(Base!$B:$B,D$11,Base!$M:$M,"&lt;"&amp;$B85,Base!$N:$N,"&gt;="&amp;$B85,Base!$O:$O,"&lt;&gt;Finalizado",Base!$O:$O,"&lt;&gt;Congelado",Base!$O:$O,"&lt;&gt;Concluindo pendências") + COUNTIFS(Base!$B:$B,D$11,Base!$M:$M,"&lt;"&amp;$B85,Base!$N:$N,"",Base!$O:$O,"&lt;&gt;Finalizado",Base!$O:$O,"&lt;&gt;Congelado",Base!$O:$O,"&lt;&gt;Concluindo pendências")</f>
        <v>8</v>
      </c>
      <c r="E85" s="93">
        <f>COUNTIFS(Base!$B:$B,E$11,Base!$M:$M,"&lt;"&amp;$B85,Base!$N:$N,"&gt;="&amp;$B85,Base!$O:$O,"&lt;&gt;Finalizado",Base!$O:$O,"&lt;&gt;Congelado",Base!$O:$O,"&lt;&gt;Concluindo pendências") + COUNTIFS(Base!$B:$B,E$11,Base!$M:$M,"&lt;"&amp;$B85,Base!$N:$N,"",Base!$O:$O,"&lt;&gt;Finalizado",Base!$O:$O,"&lt;&gt;Congelado",Base!$O:$O,"&lt;&gt;Concluindo pendências")</f>
        <v>8</v>
      </c>
      <c r="F85" s="93">
        <f>COUNTIFS(Base!$B:$B,F$11,Base!$M:$M,"&lt;"&amp;$B85,Base!$N:$N,"&gt;="&amp;$B85,Base!$O:$O,"&lt;&gt;Finalizado",Base!$O:$O,"&lt;&gt;Congelado",Base!$O:$O,"&lt;&gt;Concluindo pendências") + COUNTIFS(Base!$B:$B,F$11,Base!$M:$M,"&lt;"&amp;$B85,Base!$N:$N,"",Base!$O:$O,"&lt;&gt;Finalizado",Base!$O:$O,"&lt;&gt;Congelado",Base!$O:$O,"&lt;&gt;Concluindo pendências")</f>
        <v>6</v>
      </c>
      <c r="H85" s="93">
        <f>COUNTIFS(Base!$B:$B,C$11,Base!$K:$K,"&lt;"&amp;$B85,Base!$N:$N,"&gt;="&amp;$B85,Base!$O:$O,"&lt;&gt;Finalizado",Base!$O:$O,"&lt;&gt;Congelado") + COUNTIFS(Base!$B:$B,C$11,Base!$K:$K,"&lt;"&amp;$B85,Base!$N:$N,"",Base!$O:$O,"&lt;&gt;Finalizado",Base!$O:$O,"&lt;&gt;Congelado")</f>
        <v>12</v>
      </c>
      <c r="I85" s="93">
        <f>COUNTIFS(Base!$B:$B,D$11,Base!$K:$K,"&lt;"&amp;$B85,Base!$N:$N,"&gt;="&amp;$B85,Base!$O:$O,"&lt;&gt;Finalizado",Base!$O:$O,"&lt;&gt;Congelado") + COUNTIFS(Base!$B:$B,D$11,Base!$K:$K,"&lt;"&amp;$B85,Base!$N:$N,"",Base!$O:$O,"&lt;&gt;Finalizado",Base!$O:$O,"&lt;&gt;Congelado")</f>
        <v>26</v>
      </c>
      <c r="J85" s="93">
        <f>COUNTIFS(Base!$B:$B,E$11,Base!$K:$K,"&lt;"&amp;$B85,Base!$N:$N,"&gt;="&amp;$B85,Base!$O:$O,"&lt;&gt;Finalizado",Base!$O:$O,"&lt;&gt;Congelado") + COUNTIFS(Base!$B:$B,E$11,Base!$K:$K,"&lt;"&amp;$B85,Base!$N:$N,"",Base!$O:$O,"&lt;&gt;Finalizado",Base!$O:$O,"&lt;&gt;Congelado")</f>
        <v>18</v>
      </c>
      <c r="K85" s="93">
        <f>COUNTIFS(Base!$B:$B,F$11,Base!$K:$K,"&lt;"&amp;$B85,Base!$N:$N,"&gt;="&amp;$B85,Base!$O:$O,"&lt;&gt;Finalizado",Base!$O:$O,"&lt;&gt;Congelado") + COUNTIFS(Base!$B:$B,F$11,Base!$K:$K,"&lt;"&amp;$B85,Base!$N:$N,"",Base!$O:$O,"&lt;&gt;Finalizado",Base!$O:$O,"&lt;&gt;Congelado")</f>
        <v>18</v>
      </c>
      <c r="M85" s="133">
        <f t="shared" ref="M85:P85" si="106">C85/H85</f>
        <v>0.25</v>
      </c>
      <c r="N85" s="133">
        <f t="shared" si="106"/>
        <v>0.3076923077</v>
      </c>
      <c r="O85" s="133">
        <f t="shared" si="106"/>
        <v>0.4444444444</v>
      </c>
      <c r="P85" s="133">
        <f t="shared" si="106"/>
        <v>0.3333333333</v>
      </c>
      <c r="Q85" s="133">
        <f t="shared" si="9"/>
        <v>0.3378378378</v>
      </c>
      <c r="S85" s="93">
        <f t="shared" ref="S85:V85" si="107">S84+C85</f>
        <v>75</v>
      </c>
      <c r="T85" s="93">
        <f t="shared" si="107"/>
        <v>230</v>
      </c>
      <c r="U85" s="93">
        <f t="shared" si="107"/>
        <v>273</v>
      </c>
      <c r="V85" s="93">
        <f t="shared" si="107"/>
        <v>192</v>
      </c>
      <c r="W85" s="93">
        <f t="shared" si="11"/>
        <v>770</v>
      </c>
      <c r="Y85" s="133">
        <f>(COUNTIFS(Base!$B:$B,C$11,Base!$S:$S,"&gt;8",Base!$N:$N,"&lt;="&amp;$B85) - COUNTIFS(Base!$B:$B,C$11,Base!$S:$S,"&lt;7",Base!$N:$N,"&lt;="&amp;$B85) - COUNTIFS(Base!$B:$B,C$11,Base!$S:$S,"&lt;7",Base!$K:$K,"&lt;="&amp;$B85,Base!$O:$O,"Finalizado"))/(COUNTIFS(Base!$B:$B,C$11,Base!$S:$S,"&lt;&gt;",Base!$N:$N,"&lt;="&amp;$B85)+COUNTIFS(Base!$B:$B,C$11,Base!$S:$S,"&lt;7",Base!$K:$K,"&lt;="&amp;$B85,Base!$O:$O,"Finalizado"))</f>
        <v>0.3333333333</v>
      </c>
      <c r="Z85" s="133">
        <f>(COUNTIFS(Base!$B:$B,D$11,Base!$S:$S,"&gt;8",Base!$N:$N,"&lt;="&amp;$B85) - COUNTIFS(Base!$B:$B,D$11,Base!$S:$S,"&lt;7",Base!$N:$N,"&lt;="&amp;$B85) - COUNTIFS(Base!$B:$B,D$11,Base!$S:$S,"&lt;7",Base!$K:$K,"&lt;="&amp;$B85,Base!$O:$O,"Finalizado"))/(COUNTIFS(Base!$B:$B,D$11,Base!$S:$S,"&lt;&gt;",Base!$N:$N,"&lt;="&amp;$B85)+COUNTIFS(Base!$B:$B,D$11,Base!$S:$S,"&lt;7",Base!$K:$K,"&lt;="&amp;$B85,Base!$O:$O,"Finalizado"))</f>
        <v>0.6666666667</v>
      </c>
      <c r="AA85" s="133">
        <f>(COUNTIFS(Base!$B:$B,E$11,Base!$S:$S,"&gt;8",Base!$N:$N,"&lt;="&amp;$B85) - COUNTIFS(Base!$B:$B,E$11,Base!$S:$S,"&lt;7",Base!$N:$N,"&lt;="&amp;$B85) - COUNTIFS(Base!$B:$B,E$11,Base!$S:$S,"&lt;7",Base!$K:$K,"&lt;="&amp;$B85,Base!$O:$O,"Finalizado"))/(COUNTIFS(Base!$B:$B,E$11,Base!$S:$S,"&lt;&gt;",Base!$N:$N,"&lt;="&amp;$B85)+COUNTIFS(Base!$B:$B,E$11,Base!$S:$S,"&lt;7",Base!$K:$K,"&lt;="&amp;$B85,Base!$O:$O,"Finalizado"))</f>
        <v>0.4</v>
      </c>
      <c r="AB85" s="133">
        <f t="shared" si="12"/>
        <v>0.75</v>
      </c>
      <c r="AD85" s="93">
        <f>(COUNTIFS(Base!$B:$B,F$11,Base!$S:$S,"&gt;8",Base!$N:$N,"&lt;="&amp;$B85)+(COUNTIFS(Base!$B:$B,F$11,Base!$AG:$AG,"&gt;8",Base!$K:$K,"&lt;="&amp;$B85)))</f>
        <v>3</v>
      </c>
      <c r="AE85" s="93">
        <f>(COUNTIFS(Base!$B:$B,F$11,Base!$S:$S,"&lt;&gt;",Base!$N:$N,"&lt;="&amp;$B85)+(COUNTIFS(Base!$B:$B,F$11,Base!$AG:$AG,"&lt;&gt;",Base!$K:$K,"&lt;="&amp;$B85)+COUNTIFS(Base!$B:$B,F$11,Base!$S:$S,"&lt;7",Base!$K:$K,"&lt;="&amp;$B85,Base!$O:$O,"Finalizado")))</f>
        <v>4</v>
      </c>
      <c r="AF85" s="93">
        <f>COUNTIFS(Base!$B:$B,F$11,Base!$S:$S,"&lt;7",Base!$N:$N,"&lt;="&amp;$B85) +COUNTIFS(Base!$B:$B,F$11,Base!$AG:$AG,"&lt;7",Base!$K:$K,"&lt;="&amp;$B85) + COUNTIFS(Base!$B:$B,F$11,Base!$S:$S,"&lt;7",Base!$K:$K,"&lt;="&amp;$B85,Base!$O:$O,"Finalizado")</f>
        <v>0</v>
      </c>
    </row>
    <row r="86">
      <c r="B86" s="151">
        <f t="shared" si="13"/>
        <v>45341</v>
      </c>
      <c r="C86" s="93">
        <f>COUNTIFS(Base!$B:$B,C$11,Base!$M:$M,"&lt;"&amp;$B86,Base!$N:$N,"&gt;="&amp;$B86,Base!$O:$O,"&lt;&gt;Finalizado",Base!$O:$O,"&lt;&gt;Congelado",Base!$O:$O,"&lt;&gt;Concluindo pendências") + COUNTIFS(Base!$B:$B,C$11,Base!$M:$M,"&lt;"&amp;$B86,Base!$N:$N,"",Base!$O:$O,"&lt;&gt;Finalizado",Base!$O:$O,"&lt;&gt;Congelado",Base!$O:$O,"&lt;&gt;Concluindo pendências")</f>
        <v>3</v>
      </c>
      <c r="D86" s="93">
        <f>COUNTIFS(Base!$B:$B,D$11,Base!$M:$M,"&lt;"&amp;$B86,Base!$N:$N,"&gt;="&amp;$B86,Base!$O:$O,"&lt;&gt;Finalizado",Base!$O:$O,"&lt;&gt;Congelado",Base!$O:$O,"&lt;&gt;Concluindo pendências") + COUNTIFS(Base!$B:$B,D$11,Base!$M:$M,"&lt;"&amp;$B86,Base!$N:$N,"",Base!$O:$O,"&lt;&gt;Finalizado",Base!$O:$O,"&lt;&gt;Congelado",Base!$O:$O,"&lt;&gt;Concluindo pendências")</f>
        <v>8</v>
      </c>
      <c r="E86" s="93">
        <f>COUNTIFS(Base!$B:$B,E$11,Base!$M:$M,"&lt;"&amp;$B86,Base!$N:$N,"&gt;="&amp;$B86,Base!$O:$O,"&lt;&gt;Finalizado",Base!$O:$O,"&lt;&gt;Congelado",Base!$O:$O,"&lt;&gt;Concluindo pendências") + COUNTIFS(Base!$B:$B,E$11,Base!$M:$M,"&lt;"&amp;$B86,Base!$N:$N,"",Base!$O:$O,"&lt;&gt;Finalizado",Base!$O:$O,"&lt;&gt;Congelado",Base!$O:$O,"&lt;&gt;Concluindo pendências")</f>
        <v>8</v>
      </c>
      <c r="F86" s="93">
        <f>COUNTIFS(Base!$B:$B,F$11,Base!$M:$M,"&lt;"&amp;$B86,Base!$N:$N,"&gt;="&amp;$B86,Base!$O:$O,"&lt;&gt;Finalizado",Base!$O:$O,"&lt;&gt;Congelado",Base!$O:$O,"&lt;&gt;Concluindo pendências") + COUNTIFS(Base!$B:$B,F$11,Base!$M:$M,"&lt;"&amp;$B86,Base!$N:$N,"",Base!$O:$O,"&lt;&gt;Finalizado",Base!$O:$O,"&lt;&gt;Congelado",Base!$O:$O,"&lt;&gt;Concluindo pendências")</f>
        <v>6</v>
      </c>
      <c r="H86" s="93">
        <f>COUNTIFS(Base!$B:$B,C$11,Base!$K:$K,"&lt;"&amp;$B86,Base!$N:$N,"&gt;="&amp;$B86,Base!$O:$O,"&lt;&gt;Finalizado",Base!$O:$O,"&lt;&gt;Congelado") + COUNTIFS(Base!$B:$B,C$11,Base!$K:$K,"&lt;"&amp;$B86,Base!$N:$N,"",Base!$O:$O,"&lt;&gt;Finalizado",Base!$O:$O,"&lt;&gt;Congelado")</f>
        <v>12</v>
      </c>
      <c r="I86" s="93">
        <f>COUNTIFS(Base!$B:$B,D$11,Base!$K:$K,"&lt;"&amp;$B86,Base!$N:$N,"&gt;="&amp;$B86,Base!$O:$O,"&lt;&gt;Finalizado",Base!$O:$O,"&lt;&gt;Congelado") + COUNTIFS(Base!$B:$B,D$11,Base!$K:$K,"&lt;"&amp;$B86,Base!$N:$N,"",Base!$O:$O,"&lt;&gt;Finalizado",Base!$O:$O,"&lt;&gt;Congelado")</f>
        <v>26</v>
      </c>
      <c r="J86" s="93">
        <f>COUNTIFS(Base!$B:$B,E$11,Base!$K:$K,"&lt;"&amp;$B86,Base!$N:$N,"&gt;="&amp;$B86,Base!$O:$O,"&lt;&gt;Finalizado",Base!$O:$O,"&lt;&gt;Congelado") + COUNTIFS(Base!$B:$B,E$11,Base!$K:$K,"&lt;"&amp;$B86,Base!$N:$N,"",Base!$O:$O,"&lt;&gt;Finalizado",Base!$O:$O,"&lt;&gt;Congelado")</f>
        <v>18</v>
      </c>
      <c r="K86" s="93">
        <f>COUNTIFS(Base!$B:$B,F$11,Base!$K:$K,"&lt;"&amp;$B86,Base!$N:$N,"&gt;="&amp;$B86,Base!$O:$O,"&lt;&gt;Finalizado",Base!$O:$O,"&lt;&gt;Congelado") + COUNTIFS(Base!$B:$B,F$11,Base!$K:$K,"&lt;"&amp;$B86,Base!$N:$N,"",Base!$O:$O,"&lt;&gt;Finalizado",Base!$O:$O,"&lt;&gt;Congelado")</f>
        <v>18</v>
      </c>
      <c r="M86" s="133">
        <f t="shared" ref="M86:P86" si="108">C86/H86</f>
        <v>0.25</v>
      </c>
      <c r="N86" s="133">
        <f t="shared" si="108"/>
        <v>0.3076923077</v>
      </c>
      <c r="O86" s="133">
        <f t="shared" si="108"/>
        <v>0.4444444444</v>
      </c>
      <c r="P86" s="133">
        <f t="shared" si="108"/>
        <v>0.3333333333</v>
      </c>
      <c r="Q86" s="133">
        <f t="shared" si="9"/>
        <v>0.3378378378</v>
      </c>
      <c r="S86" s="93">
        <f t="shared" ref="S86:V86" si="109">S85+C86</f>
        <v>78</v>
      </c>
      <c r="T86" s="93">
        <f t="shared" si="109"/>
        <v>238</v>
      </c>
      <c r="U86" s="93">
        <f t="shared" si="109"/>
        <v>281</v>
      </c>
      <c r="V86" s="93">
        <f t="shared" si="109"/>
        <v>198</v>
      </c>
      <c r="W86" s="93">
        <f t="shared" si="11"/>
        <v>795</v>
      </c>
      <c r="Y86" s="133">
        <f>(COUNTIFS(Base!$B:$B,C$11,Base!$S:$S,"&gt;8",Base!$N:$N,"&lt;="&amp;$B86) - COUNTIFS(Base!$B:$B,C$11,Base!$S:$S,"&lt;7",Base!$N:$N,"&lt;="&amp;$B86) - COUNTIFS(Base!$B:$B,C$11,Base!$S:$S,"&lt;7",Base!$K:$K,"&lt;="&amp;$B86,Base!$O:$O,"Finalizado"))/(COUNTIFS(Base!$B:$B,C$11,Base!$S:$S,"&lt;&gt;",Base!$N:$N,"&lt;="&amp;$B86)+COUNTIFS(Base!$B:$B,C$11,Base!$S:$S,"&lt;7",Base!$K:$K,"&lt;="&amp;$B86,Base!$O:$O,"Finalizado"))</f>
        <v>0.3333333333</v>
      </c>
      <c r="Z86" s="133">
        <f>(COUNTIFS(Base!$B:$B,D$11,Base!$S:$S,"&gt;8",Base!$N:$N,"&lt;="&amp;$B86) - COUNTIFS(Base!$B:$B,D$11,Base!$S:$S,"&lt;7",Base!$N:$N,"&lt;="&amp;$B86) - COUNTIFS(Base!$B:$B,D$11,Base!$S:$S,"&lt;7",Base!$K:$K,"&lt;="&amp;$B86,Base!$O:$O,"Finalizado"))/(COUNTIFS(Base!$B:$B,D$11,Base!$S:$S,"&lt;&gt;",Base!$N:$N,"&lt;="&amp;$B86)+COUNTIFS(Base!$B:$B,D$11,Base!$S:$S,"&lt;7",Base!$K:$K,"&lt;="&amp;$B86,Base!$O:$O,"Finalizado"))</f>
        <v>0.6666666667</v>
      </c>
      <c r="AA86" s="133">
        <f>(COUNTIFS(Base!$B:$B,E$11,Base!$S:$S,"&gt;8",Base!$N:$N,"&lt;="&amp;$B86) - COUNTIFS(Base!$B:$B,E$11,Base!$S:$S,"&lt;7",Base!$N:$N,"&lt;="&amp;$B86) - COUNTIFS(Base!$B:$B,E$11,Base!$S:$S,"&lt;7",Base!$K:$K,"&lt;="&amp;$B86,Base!$O:$O,"Finalizado"))/(COUNTIFS(Base!$B:$B,E$11,Base!$S:$S,"&lt;&gt;",Base!$N:$N,"&lt;="&amp;$B86)+COUNTIFS(Base!$B:$B,E$11,Base!$S:$S,"&lt;7",Base!$K:$K,"&lt;="&amp;$B86,Base!$O:$O,"Finalizado"))</f>
        <v>0.4</v>
      </c>
      <c r="AB86" s="133">
        <f t="shared" si="12"/>
        <v>0.75</v>
      </c>
      <c r="AD86" s="93">
        <f>(COUNTIFS(Base!$B:$B,F$11,Base!$S:$S,"&gt;8",Base!$N:$N,"&lt;="&amp;$B86)+(COUNTIFS(Base!$B:$B,F$11,Base!$AG:$AG,"&gt;8",Base!$K:$K,"&lt;="&amp;$B86)))</f>
        <v>3</v>
      </c>
      <c r="AE86" s="93">
        <f>(COUNTIFS(Base!$B:$B,F$11,Base!$S:$S,"&lt;&gt;",Base!$N:$N,"&lt;="&amp;$B86)+(COUNTIFS(Base!$B:$B,F$11,Base!$AG:$AG,"&lt;&gt;",Base!$K:$K,"&lt;="&amp;$B86)+COUNTIFS(Base!$B:$B,F$11,Base!$S:$S,"&lt;7",Base!$K:$K,"&lt;="&amp;$B86,Base!$O:$O,"Finalizado")))</f>
        <v>4</v>
      </c>
      <c r="AF86" s="93">
        <f>COUNTIFS(Base!$B:$B,F$11,Base!$S:$S,"&lt;7",Base!$N:$N,"&lt;="&amp;$B86) +COUNTIFS(Base!$B:$B,F$11,Base!$AG:$AG,"&lt;7",Base!$K:$K,"&lt;="&amp;$B86) + COUNTIFS(Base!$B:$B,F$11,Base!$S:$S,"&lt;7",Base!$K:$K,"&lt;="&amp;$B86,Base!$O:$O,"Finalizado")</f>
        <v>0</v>
      </c>
    </row>
    <row r="87">
      <c r="B87" s="151">
        <f t="shared" si="13"/>
        <v>45342</v>
      </c>
      <c r="C87" s="93">
        <f>COUNTIFS(Base!$B:$B,C$11,Base!$M:$M,"&lt;"&amp;$B87,Base!$N:$N,"&gt;="&amp;$B87,Base!$O:$O,"&lt;&gt;Finalizado",Base!$O:$O,"&lt;&gt;Congelado",Base!$O:$O,"&lt;&gt;Concluindo pendências") + COUNTIFS(Base!$B:$B,C$11,Base!$M:$M,"&lt;"&amp;$B87,Base!$N:$N,"",Base!$O:$O,"&lt;&gt;Finalizado",Base!$O:$O,"&lt;&gt;Congelado",Base!$O:$O,"&lt;&gt;Concluindo pendências")</f>
        <v>3</v>
      </c>
      <c r="D87" s="93">
        <f>COUNTIFS(Base!$B:$B,D$11,Base!$M:$M,"&lt;"&amp;$B87,Base!$N:$N,"&gt;="&amp;$B87,Base!$O:$O,"&lt;&gt;Finalizado",Base!$O:$O,"&lt;&gt;Congelado",Base!$O:$O,"&lt;&gt;Concluindo pendências") + COUNTIFS(Base!$B:$B,D$11,Base!$M:$M,"&lt;"&amp;$B87,Base!$N:$N,"",Base!$O:$O,"&lt;&gt;Finalizado",Base!$O:$O,"&lt;&gt;Congelado",Base!$O:$O,"&lt;&gt;Concluindo pendências")</f>
        <v>9</v>
      </c>
      <c r="E87" s="93">
        <f>COUNTIFS(Base!$B:$B,E$11,Base!$M:$M,"&lt;"&amp;$B87,Base!$N:$N,"&gt;="&amp;$B87,Base!$O:$O,"&lt;&gt;Finalizado",Base!$O:$O,"&lt;&gt;Congelado",Base!$O:$O,"&lt;&gt;Concluindo pendências") + COUNTIFS(Base!$B:$B,E$11,Base!$M:$M,"&lt;"&amp;$B87,Base!$N:$N,"",Base!$O:$O,"&lt;&gt;Finalizado",Base!$O:$O,"&lt;&gt;Congelado",Base!$O:$O,"&lt;&gt;Concluindo pendências")</f>
        <v>8</v>
      </c>
      <c r="F87" s="93">
        <f>COUNTIFS(Base!$B:$B,F$11,Base!$M:$M,"&lt;"&amp;$B87,Base!$N:$N,"&gt;="&amp;$B87,Base!$O:$O,"&lt;&gt;Finalizado",Base!$O:$O,"&lt;&gt;Congelado",Base!$O:$O,"&lt;&gt;Concluindo pendências") + COUNTIFS(Base!$B:$B,F$11,Base!$M:$M,"&lt;"&amp;$B87,Base!$N:$N,"",Base!$O:$O,"&lt;&gt;Finalizado",Base!$O:$O,"&lt;&gt;Congelado",Base!$O:$O,"&lt;&gt;Concluindo pendências")</f>
        <v>6</v>
      </c>
      <c r="H87" s="93">
        <f>COUNTIFS(Base!$B:$B,C$11,Base!$K:$K,"&lt;"&amp;$B87,Base!$N:$N,"&gt;="&amp;$B87,Base!$O:$O,"&lt;&gt;Finalizado",Base!$O:$O,"&lt;&gt;Congelado") + COUNTIFS(Base!$B:$B,C$11,Base!$K:$K,"&lt;"&amp;$B87,Base!$N:$N,"",Base!$O:$O,"&lt;&gt;Finalizado",Base!$O:$O,"&lt;&gt;Congelado")</f>
        <v>12</v>
      </c>
      <c r="I87" s="93">
        <f>COUNTIFS(Base!$B:$B,D$11,Base!$K:$K,"&lt;"&amp;$B87,Base!$N:$N,"&gt;="&amp;$B87,Base!$O:$O,"&lt;&gt;Finalizado",Base!$O:$O,"&lt;&gt;Congelado") + COUNTIFS(Base!$B:$B,D$11,Base!$K:$K,"&lt;"&amp;$B87,Base!$N:$N,"",Base!$O:$O,"&lt;&gt;Finalizado",Base!$O:$O,"&lt;&gt;Congelado")</f>
        <v>29</v>
      </c>
      <c r="J87" s="93">
        <f>COUNTIFS(Base!$B:$B,E$11,Base!$K:$K,"&lt;"&amp;$B87,Base!$N:$N,"&gt;="&amp;$B87,Base!$O:$O,"&lt;&gt;Finalizado",Base!$O:$O,"&lt;&gt;Congelado") + COUNTIFS(Base!$B:$B,E$11,Base!$K:$K,"&lt;"&amp;$B87,Base!$N:$N,"",Base!$O:$O,"&lt;&gt;Finalizado",Base!$O:$O,"&lt;&gt;Congelado")</f>
        <v>18</v>
      </c>
      <c r="K87" s="93">
        <f>COUNTIFS(Base!$B:$B,F$11,Base!$K:$K,"&lt;"&amp;$B87,Base!$N:$N,"&gt;="&amp;$B87,Base!$O:$O,"&lt;&gt;Finalizado",Base!$O:$O,"&lt;&gt;Congelado") + COUNTIFS(Base!$B:$B,F$11,Base!$K:$K,"&lt;"&amp;$B87,Base!$N:$N,"",Base!$O:$O,"&lt;&gt;Finalizado",Base!$O:$O,"&lt;&gt;Congelado")</f>
        <v>18</v>
      </c>
      <c r="M87" s="133">
        <f t="shared" ref="M87:P87" si="110">C87/H87</f>
        <v>0.25</v>
      </c>
      <c r="N87" s="133">
        <f t="shared" si="110"/>
        <v>0.3103448276</v>
      </c>
      <c r="O87" s="133">
        <f t="shared" si="110"/>
        <v>0.4444444444</v>
      </c>
      <c r="P87" s="133">
        <f t="shared" si="110"/>
        <v>0.3333333333</v>
      </c>
      <c r="Q87" s="133">
        <f t="shared" si="9"/>
        <v>0.3376623377</v>
      </c>
      <c r="S87" s="93">
        <f t="shared" ref="S87:V87" si="111">S86+C87</f>
        <v>81</v>
      </c>
      <c r="T87" s="93">
        <f t="shared" si="111"/>
        <v>247</v>
      </c>
      <c r="U87" s="93">
        <f t="shared" si="111"/>
        <v>289</v>
      </c>
      <c r="V87" s="93">
        <f t="shared" si="111"/>
        <v>204</v>
      </c>
      <c r="W87" s="93">
        <f t="shared" si="11"/>
        <v>821</v>
      </c>
      <c r="Y87" s="133">
        <f>(COUNTIFS(Base!$B:$B,C$11,Base!$S:$S,"&gt;8",Base!$N:$N,"&lt;="&amp;$B87) - COUNTIFS(Base!$B:$B,C$11,Base!$S:$S,"&lt;7",Base!$N:$N,"&lt;="&amp;$B87) - COUNTIFS(Base!$B:$B,C$11,Base!$S:$S,"&lt;7",Base!$K:$K,"&lt;="&amp;$B87,Base!$O:$O,"Finalizado"))/(COUNTIFS(Base!$B:$B,C$11,Base!$S:$S,"&lt;&gt;",Base!$N:$N,"&lt;="&amp;$B87)+COUNTIFS(Base!$B:$B,C$11,Base!$S:$S,"&lt;7",Base!$K:$K,"&lt;="&amp;$B87,Base!$O:$O,"Finalizado"))</f>
        <v>0.3333333333</v>
      </c>
      <c r="Z87" s="133">
        <f>(COUNTIFS(Base!$B:$B,D$11,Base!$S:$S,"&gt;8",Base!$N:$N,"&lt;="&amp;$B87) - COUNTIFS(Base!$B:$B,D$11,Base!$S:$S,"&lt;7",Base!$N:$N,"&lt;="&amp;$B87) - COUNTIFS(Base!$B:$B,D$11,Base!$S:$S,"&lt;7",Base!$K:$K,"&lt;="&amp;$B87,Base!$O:$O,"Finalizado"))/(COUNTIFS(Base!$B:$B,D$11,Base!$S:$S,"&lt;&gt;",Base!$N:$N,"&lt;="&amp;$B87)+COUNTIFS(Base!$B:$B,D$11,Base!$S:$S,"&lt;7",Base!$K:$K,"&lt;="&amp;$B87,Base!$O:$O,"Finalizado"))</f>
        <v>0.7142857143</v>
      </c>
      <c r="AA87" s="133">
        <f>(COUNTIFS(Base!$B:$B,E$11,Base!$S:$S,"&gt;8",Base!$N:$N,"&lt;="&amp;$B87) - COUNTIFS(Base!$B:$B,E$11,Base!$S:$S,"&lt;7",Base!$N:$N,"&lt;="&amp;$B87) - COUNTIFS(Base!$B:$B,E$11,Base!$S:$S,"&lt;7",Base!$K:$K,"&lt;="&amp;$B87,Base!$O:$O,"Finalizado"))/(COUNTIFS(Base!$B:$B,E$11,Base!$S:$S,"&lt;&gt;",Base!$N:$N,"&lt;="&amp;$B87)+COUNTIFS(Base!$B:$B,E$11,Base!$S:$S,"&lt;7",Base!$K:$K,"&lt;="&amp;$B87,Base!$O:$O,"Finalizado"))</f>
        <v>0.4</v>
      </c>
      <c r="AB87" s="133">
        <f t="shared" si="12"/>
        <v>0.75</v>
      </c>
      <c r="AD87" s="93">
        <f>(COUNTIFS(Base!$B:$B,F$11,Base!$S:$S,"&gt;8",Base!$N:$N,"&lt;="&amp;$B87)+(COUNTIFS(Base!$B:$B,F$11,Base!$AG:$AG,"&gt;8",Base!$K:$K,"&lt;="&amp;$B87)))</f>
        <v>3</v>
      </c>
      <c r="AE87" s="93">
        <f>(COUNTIFS(Base!$B:$B,F$11,Base!$S:$S,"&lt;&gt;",Base!$N:$N,"&lt;="&amp;$B87)+(COUNTIFS(Base!$B:$B,F$11,Base!$AG:$AG,"&lt;&gt;",Base!$K:$K,"&lt;="&amp;$B87)+COUNTIFS(Base!$B:$B,F$11,Base!$S:$S,"&lt;7",Base!$K:$K,"&lt;="&amp;$B87,Base!$O:$O,"Finalizado")))</f>
        <v>4</v>
      </c>
      <c r="AF87" s="93">
        <f>COUNTIFS(Base!$B:$B,F$11,Base!$S:$S,"&lt;7",Base!$N:$N,"&lt;="&amp;$B87) +COUNTIFS(Base!$B:$B,F$11,Base!$AG:$AG,"&lt;7",Base!$K:$K,"&lt;="&amp;$B87) + COUNTIFS(Base!$B:$B,F$11,Base!$S:$S,"&lt;7",Base!$K:$K,"&lt;="&amp;$B87,Base!$O:$O,"Finalizado")</f>
        <v>0</v>
      </c>
    </row>
    <row r="88">
      <c r="B88" s="151">
        <f t="shared" si="13"/>
        <v>45343</v>
      </c>
      <c r="C88" s="93">
        <f>COUNTIFS(Base!$B:$B,C$11,Base!$M:$M,"&lt;"&amp;$B88,Base!$N:$N,"&gt;="&amp;$B88,Base!$O:$O,"&lt;&gt;Finalizado",Base!$O:$O,"&lt;&gt;Congelado",Base!$O:$O,"&lt;&gt;Concluindo pendências") + COUNTIFS(Base!$B:$B,C$11,Base!$M:$M,"&lt;"&amp;$B88,Base!$N:$N,"",Base!$O:$O,"&lt;&gt;Finalizado",Base!$O:$O,"&lt;&gt;Congelado",Base!$O:$O,"&lt;&gt;Concluindo pendências")</f>
        <v>4</v>
      </c>
      <c r="D88" s="93">
        <f>COUNTIFS(Base!$B:$B,D$11,Base!$M:$M,"&lt;"&amp;$B88,Base!$N:$N,"&gt;="&amp;$B88,Base!$O:$O,"&lt;&gt;Finalizado",Base!$O:$O,"&lt;&gt;Congelado",Base!$O:$O,"&lt;&gt;Concluindo pendências") + COUNTIFS(Base!$B:$B,D$11,Base!$M:$M,"&lt;"&amp;$B88,Base!$N:$N,"",Base!$O:$O,"&lt;&gt;Finalizado",Base!$O:$O,"&lt;&gt;Congelado",Base!$O:$O,"&lt;&gt;Concluindo pendências")</f>
        <v>9</v>
      </c>
      <c r="E88" s="93">
        <f>COUNTIFS(Base!$B:$B,E$11,Base!$M:$M,"&lt;"&amp;$B88,Base!$N:$N,"&gt;="&amp;$B88,Base!$O:$O,"&lt;&gt;Finalizado",Base!$O:$O,"&lt;&gt;Congelado",Base!$O:$O,"&lt;&gt;Concluindo pendências") + COUNTIFS(Base!$B:$B,E$11,Base!$M:$M,"&lt;"&amp;$B88,Base!$N:$N,"",Base!$O:$O,"&lt;&gt;Finalizado",Base!$O:$O,"&lt;&gt;Congelado",Base!$O:$O,"&lt;&gt;Concluindo pendências")</f>
        <v>8</v>
      </c>
      <c r="F88" s="93">
        <f>COUNTIFS(Base!$B:$B,F$11,Base!$M:$M,"&lt;"&amp;$B88,Base!$N:$N,"&gt;="&amp;$B88,Base!$O:$O,"&lt;&gt;Finalizado",Base!$O:$O,"&lt;&gt;Congelado",Base!$O:$O,"&lt;&gt;Concluindo pendências") + COUNTIFS(Base!$B:$B,F$11,Base!$M:$M,"&lt;"&amp;$B88,Base!$N:$N,"",Base!$O:$O,"&lt;&gt;Finalizado",Base!$O:$O,"&lt;&gt;Congelado",Base!$O:$O,"&lt;&gt;Concluindo pendências")</f>
        <v>6</v>
      </c>
      <c r="H88" s="93">
        <f>COUNTIFS(Base!$B:$B,C$11,Base!$K:$K,"&lt;"&amp;$B88,Base!$N:$N,"&gt;="&amp;$B88,Base!$O:$O,"&lt;&gt;Finalizado",Base!$O:$O,"&lt;&gt;Congelado") + COUNTIFS(Base!$B:$B,C$11,Base!$K:$K,"&lt;"&amp;$B88,Base!$N:$N,"",Base!$O:$O,"&lt;&gt;Finalizado",Base!$O:$O,"&lt;&gt;Congelado")</f>
        <v>12</v>
      </c>
      <c r="I88" s="93">
        <f>COUNTIFS(Base!$B:$B,D$11,Base!$K:$K,"&lt;"&amp;$B88,Base!$N:$N,"&gt;="&amp;$B88,Base!$O:$O,"&lt;&gt;Finalizado",Base!$O:$O,"&lt;&gt;Congelado") + COUNTIFS(Base!$B:$B,D$11,Base!$K:$K,"&lt;"&amp;$B88,Base!$N:$N,"",Base!$O:$O,"&lt;&gt;Finalizado",Base!$O:$O,"&lt;&gt;Congelado")</f>
        <v>28</v>
      </c>
      <c r="J88" s="93">
        <f>COUNTIFS(Base!$B:$B,E$11,Base!$K:$K,"&lt;"&amp;$B88,Base!$N:$N,"&gt;="&amp;$B88,Base!$O:$O,"&lt;&gt;Finalizado",Base!$O:$O,"&lt;&gt;Congelado") + COUNTIFS(Base!$B:$B,E$11,Base!$K:$K,"&lt;"&amp;$B88,Base!$N:$N,"",Base!$O:$O,"&lt;&gt;Finalizado",Base!$O:$O,"&lt;&gt;Congelado")</f>
        <v>19</v>
      </c>
      <c r="K88" s="93">
        <f>COUNTIFS(Base!$B:$B,F$11,Base!$K:$K,"&lt;"&amp;$B88,Base!$N:$N,"&gt;="&amp;$B88,Base!$O:$O,"&lt;&gt;Finalizado",Base!$O:$O,"&lt;&gt;Congelado") + COUNTIFS(Base!$B:$B,F$11,Base!$K:$K,"&lt;"&amp;$B88,Base!$N:$N,"",Base!$O:$O,"&lt;&gt;Finalizado",Base!$O:$O,"&lt;&gt;Congelado")</f>
        <v>18</v>
      </c>
      <c r="M88" s="133">
        <f t="shared" ref="M88:P88" si="112">C88/H88</f>
        <v>0.3333333333</v>
      </c>
      <c r="N88" s="133">
        <f t="shared" si="112"/>
        <v>0.3214285714</v>
      </c>
      <c r="O88" s="133">
        <f t="shared" si="112"/>
        <v>0.4210526316</v>
      </c>
      <c r="P88" s="133">
        <f t="shared" si="112"/>
        <v>0.3333333333</v>
      </c>
      <c r="Q88" s="133">
        <f t="shared" si="9"/>
        <v>0.3506493506</v>
      </c>
      <c r="S88" s="93">
        <f t="shared" ref="S88:V88" si="113">S87+C88</f>
        <v>85</v>
      </c>
      <c r="T88" s="93">
        <f t="shared" si="113"/>
        <v>256</v>
      </c>
      <c r="U88" s="93">
        <f t="shared" si="113"/>
        <v>297</v>
      </c>
      <c r="V88" s="93">
        <f t="shared" si="113"/>
        <v>210</v>
      </c>
      <c r="W88" s="93">
        <f t="shared" si="11"/>
        <v>848</v>
      </c>
      <c r="Y88" s="133">
        <f>(COUNTIFS(Base!$B:$B,C$11,Base!$S:$S,"&gt;8",Base!$N:$N,"&lt;="&amp;$B88) - COUNTIFS(Base!$B:$B,C$11,Base!$S:$S,"&lt;7",Base!$N:$N,"&lt;="&amp;$B88) - COUNTIFS(Base!$B:$B,C$11,Base!$S:$S,"&lt;7",Base!$K:$K,"&lt;="&amp;$B88,Base!$O:$O,"Finalizado"))/(COUNTIFS(Base!$B:$B,C$11,Base!$S:$S,"&lt;&gt;",Base!$N:$N,"&lt;="&amp;$B88)+COUNTIFS(Base!$B:$B,C$11,Base!$S:$S,"&lt;7",Base!$K:$K,"&lt;="&amp;$B88,Base!$O:$O,"Finalizado"))</f>
        <v>0.3333333333</v>
      </c>
      <c r="Z88" s="133">
        <f>(COUNTIFS(Base!$B:$B,D$11,Base!$S:$S,"&gt;8",Base!$N:$N,"&lt;="&amp;$B88) - COUNTIFS(Base!$B:$B,D$11,Base!$S:$S,"&lt;7",Base!$N:$N,"&lt;="&amp;$B88) - COUNTIFS(Base!$B:$B,D$11,Base!$S:$S,"&lt;7",Base!$K:$K,"&lt;="&amp;$B88,Base!$O:$O,"Finalizado"))/(COUNTIFS(Base!$B:$B,D$11,Base!$S:$S,"&lt;&gt;",Base!$N:$N,"&lt;="&amp;$B88)+COUNTIFS(Base!$B:$B,D$11,Base!$S:$S,"&lt;7",Base!$K:$K,"&lt;="&amp;$B88,Base!$O:$O,"Finalizado"))</f>
        <v>0.7777777778</v>
      </c>
      <c r="AA88" s="133">
        <f>(COUNTIFS(Base!$B:$B,E$11,Base!$S:$S,"&gt;8",Base!$N:$N,"&lt;="&amp;$B88) - COUNTIFS(Base!$B:$B,E$11,Base!$S:$S,"&lt;7",Base!$N:$N,"&lt;="&amp;$B88) - COUNTIFS(Base!$B:$B,E$11,Base!$S:$S,"&lt;7",Base!$K:$K,"&lt;="&amp;$B88,Base!$O:$O,"Finalizado"))/(COUNTIFS(Base!$B:$B,E$11,Base!$S:$S,"&lt;&gt;",Base!$N:$N,"&lt;="&amp;$B88)+COUNTIFS(Base!$B:$B,E$11,Base!$S:$S,"&lt;7",Base!$K:$K,"&lt;="&amp;$B88,Base!$O:$O,"Finalizado"))</f>
        <v>0.5</v>
      </c>
      <c r="AB88" s="133">
        <f t="shared" si="12"/>
        <v>0.6</v>
      </c>
      <c r="AD88" s="93">
        <f>(COUNTIFS(Base!$B:$B,F$11,Base!$S:$S,"&gt;8",Base!$N:$N,"&lt;="&amp;$B88)+(COUNTIFS(Base!$B:$B,F$11,Base!$AG:$AG,"&gt;8",Base!$K:$K,"&lt;="&amp;$B88)))</f>
        <v>3</v>
      </c>
      <c r="AE88" s="93">
        <f>(COUNTIFS(Base!$B:$B,F$11,Base!$S:$S,"&lt;&gt;",Base!$N:$N,"&lt;="&amp;$B88)+(COUNTIFS(Base!$B:$B,F$11,Base!$AG:$AG,"&lt;&gt;",Base!$K:$K,"&lt;="&amp;$B88)+COUNTIFS(Base!$B:$B,F$11,Base!$S:$S,"&lt;7",Base!$K:$K,"&lt;="&amp;$B88,Base!$O:$O,"Finalizado")))</f>
        <v>5</v>
      </c>
      <c r="AF88" s="93">
        <f>COUNTIFS(Base!$B:$B,F$11,Base!$S:$S,"&lt;7",Base!$N:$N,"&lt;="&amp;$B88) +COUNTIFS(Base!$B:$B,F$11,Base!$AG:$AG,"&lt;7",Base!$K:$K,"&lt;="&amp;$B88) + COUNTIFS(Base!$B:$B,F$11,Base!$S:$S,"&lt;7",Base!$K:$K,"&lt;="&amp;$B88,Base!$O:$O,"Finalizado")</f>
        <v>0</v>
      </c>
    </row>
    <row r="89">
      <c r="B89" s="151">
        <f t="shared" si="13"/>
        <v>45344</v>
      </c>
      <c r="C89" s="93">
        <f>COUNTIFS(Base!$B:$B,C$11,Base!$M:$M,"&lt;"&amp;$B89,Base!$N:$N,"&gt;="&amp;$B89,Base!$O:$O,"&lt;&gt;Finalizado",Base!$O:$O,"&lt;&gt;Congelado",Base!$O:$O,"&lt;&gt;Concluindo pendências") + COUNTIFS(Base!$B:$B,C$11,Base!$M:$M,"&lt;"&amp;$B89,Base!$N:$N,"",Base!$O:$O,"&lt;&gt;Finalizado",Base!$O:$O,"&lt;&gt;Congelado",Base!$O:$O,"&lt;&gt;Concluindo pendências")</f>
        <v>4</v>
      </c>
      <c r="D89" s="93">
        <f>COUNTIFS(Base!$B:$B,D$11,Base!$M:$M,"&lt;"&amp;$B89,Base!$N:$N,"&gt;="&amp;$B89,Base!$O:$O,"&lt;&gt;Finalizado",Base!$O:$O,"&lt;&gt;Congelado",Base!$O:$O,"&lt;&gt;Concluindo pendências") + COUNTIFS(Base!$B:$B,D$11,Base!$M:$M,"&lt;"&amp;$B89,Base!$N:$N,"",Base!$O:$O,"&lt;&gt;Finalizado",Base!$O:$O,"&lt;&gt;Congelado",Base!$O:$O,"&lt;&gt;Concluindo pendências")</f>
        <v>7</v>
      </c>
      <c r="E89" s="93">
        <f>COUNTIFS(Base!$B:$B,E$11,Base!$M:$M,"&lt;"&amp;$B89,Base!$N:$N,"&gt;="&amp;$B89,Base!$O:$O,"&lt;&gt;Finalizado",Base!$O:$O,"&lt;&gt;Congelado",Base!$O:$O,"&lt;&gt;Concluindo pendências") + COUNTIFS(Base!$B:$B,E$11,Base!$M:$M,"&lt;"&amp;$B89,Base!$N:$N,"",Base!$O:$O,"&lt;&gt;Finalizado",Base!$O:$O,"&lt;&gt;Congelado",Base!$O:$O,"&lt;&gt;Concluindo pendências")</f>
        <v>7</v>
      </c>
      <c r="F89" s="93">
        <f>COUNTIFS(Base!$B:$B,F$11,Base!$M:$M,"&lt;"&amp;$B89,Base!$N:$N,"&gt;="&amp;$B89,Base!$O:$O,"&lt;&gt;Finalizado",Base!$O:$O,"&lt;&gt;Congelado",Base!$O:$O,"&lt;&gt;Concluindo pendências") + COUNTIFS(Base!$B:$B,F$11,Base!$M:$M,"&lt;"&amp;$B89,Base!$N:$N,"",Base!$O:$O,"&lt;&gt;Finalizado",Base!$O:$O,"&lt;&gt;Congelado",Base!$O:$O,"&lt;&gt;Concluindo pendências")</f>
        <v>5</v>
      </c>
      <c r="H89" s="93">
        <f>COUNTIFS(Base!$B:$B,C$11,Base!$K:$K,"&lt;"&amp;$B89,Base!$N:$N,"&gt;="&amp;$B89,Base!$O:$O,"&lt;&gt;Finalizado",Base!$O:$O,"&lt;&gt;Congelado") + COUNTIFS(Base!$B:$B,C$11,Base!$K:$K,"&lt;"&amp;$B89,Base!$N:$N,"",Base!$O:$O,"&lt;&gt;Finalizado",Base!$O:$O,"&lt;&gt;Congelado")</f>
        <v>12</v>
      </c>
      <c r="I89" s="93">
        <f>COUNTIFS(Base!$B:$B,D$11,Base!$K:$K,"&lt;"&amp;$B89,Base!$N:$N,"&gt;="&amp;$B89,Base!$O:$O,"&lt;&gt;Finalizado",Base!$O:$O,"&lt;&gt;Congelado") + COUNTIFS(Base!$B:$B,D$11,Base!$K:$K,"&lt;"&amp;$B89,Base!$N:$N,"",Base!$O:$O,"&lt;&gt;Finalizado",Base!$O:$O,"&lt;&gt;Congelado")</f>
        <v>26</v>
      </c>
      <c r="J89" s="93">
        <f>COUNTIFS(Base!$B:$B,E$11,Base!$K:$K,"&lt;"&amp;$B89,Base!$N:$N,"&gt;="&amp;$B89,Base!$O:$O,"&lt;&gt;Finalizado",Base!$O:$O,"&lt;&gt;Congelado") + COUNTIFS(Base!$B:$B,E$11,Base!$K:$K,"&lt;"&amp;$B89,Base!$N:$N,"",Base!$O:$O,"&lt;&gt;Finalizado",Base!$O:$O,"&lt;&gt;Congelado")</f>
        <v>18</v>
      </c>
      <c r="K89" s="93">
        <f>COUNTIFS(Base!$B:$B,F$11,Base!$K:$K,"&lt;"&amp;$B89,Base!$N:$N,"&gt;="&amp;$B89,Base!$O:$O,"&lt;&gt;Finalizado",Base!$O:$O,"&lt;&gt;Congelado") + COUNTIFS(Base!$B:$B,F$11,Base!$K:$K,"&lt;"&amp;$B89,Base!$N:$N,"",Base!$O:$O,"&lt;&gt;Finalizado",Base!$O:$O,"&lt;&gt;Congelado")</f>
        <v>17</v>
      </c>
      <c r="M89" s="133">
        <f t="shared" ref="M89:P89" si="114">C89/H89</f>
        <v>0.3333333333</v>
      </c>
      <c r="N89" s="133">
        <f t="shared" si="114"/>
        <v>0.2692307692</v>
      </c>
      <c r="O89" s="133">
        <f t="shared" si="114"/>
        <v>0.3888888889</v>
      </c>
      <c r="P89" s="133">
        <f t="shared" si="114"/>
        <v>0.2941176471</v>
      </c>
      <c r="Q89" s="133">
        <f t="shared" si="9"/>
        <v>0.3150684932</v>
      </c>
      <c r="S89" s="93">
        <f t="shared" ref="S89:V89" si="115">S88+C89</f>
        <v>89</v>
      </c>
      <c r="T89" s="93">
        <f t="shared" si="115"/>
        <v>263</v>
      </c>
      <c r="U89" s="93">
        <f t="shared" si="115"/>
        <v>304</v>
      </c>
      <c r="V89" s="93">
        <f t="shared" si="115"/>
        <v>215</v>
      </c>
      <c r="W89" s="93">
        <f t="shared" si="11"/>
        <v>871</v>
      </c>
      <c r="Y89" s="133">
        <f>(COUNTIFS(Base!$B:$B,C$11,Base!$S:$S,"&gt;8",Base!$N:$N,"&lt;="&amp;$B89) - COUNTIFS(Base!$B:$B,C$11,Base!$S:$S,"&lt;7",Base!$N:$N,"&lt;="&amp;$B89) - COUNTIFS(Base!$B:$B,C$11,Base!$S:$S,"&lt;7",Base!$K:$K,"&lt;="&amp;$B89,Base!$O:$O,"Finalizado"))/(COUNTIFS(Base!$B:$B,C$11,Base!$S:$S,"&lt;&gt;",Base!$N:$N,"&lt;="&amp;$B89)+COUNTIFS(Base!$B:$B,C$11,Base!$S:$S,"&lt;7",Base!$K:$K,"&lt;="&amp;$B89,Base!$O:$O,"Finalizado"))</f>
        <v>0.3333333333</v>
      </c>
      <c r="Z89" s="133">
        <f>(COUNTIFS(Base!$B:$B,D$11,Base!$S:$S,"&gt;8",Base!$N:$N,"&lt;="&amp;$B89) - COUNTIFS(Base!$B:$B,D$11,Base!$S:$S,"&lt;7",Base!$N:$N,"&lt;="&amp;$B89) - COUNTIFS(Base!$B:$B,D$11,Base!$S:$S,"&lt;7",Base!$K:$K,"&lt;="&amp;$B89,Base!$O:$O,"Finalizado"))/(COUNTIFS(Base!$B:$B,D$11,Base!$S:$S,"&lt;&gt;",Base!$N:$N,"&lt;="&amp;$B89)+COUNTIFS(Base!$B:$B,D$11,Base!$S:$S,"&lt;7",Base!$K:$K,"&lt;="&amp;$B89,Base!$O:$O,"Finalizado"))</f>
        <v>0.7777777778</v>
      </c>
      <c r="AA89" s="133">
        <f>(COUNTIFS(Base!$B:$B,E$11,Base!$S:$S,"&gt;8",Base!$N:$N,"&lt;="&amp;$B89) - COUNTIFS(Base!$B:$B,E$11,Base!$S:$S,"&lt;7",Base!$N:$N,"&lt;="&amp;$B89) - COUNTIFS(Base!$B:$B,E$11,Base!$S:$S,"&lt;7",Base!$K:$K,"&lt;="&amp;$B89,Base!$O:$O,"Finalizado"))/(COUNTIFS(Base!$B:$B,E$11,Base!$S:$S,"&lt;&gt;",Base!$N:$N,"&lt;="&amp;$B89)+COUNTIFS(Base!$B:$B,E$11,Base!$S:$S,"&lt;7",Base!$K:$K,"&lt;="&amp;$B89,Base!$O:$O,"Finalizado"))</f>
        <v>0.5</v>
      </c>
      <c r="AB89" s="133">
        <f t="shared" si="12"/>
        <v>0.6</v>
      </c>
      <c r="AD89" s="93">
        <f>(COUNTIFS(Base!$B:$B,F$11,Base!$S:$S,"&gt;8",Base!$N:$N,"&lt;="&amp;$B89)+(COUNTIFS(Base!$B:$B,F$11,Base!$AG:$AG,"&gt;8",Base!$K:$K,"&lt;="&amp;$B89)))</f>
        <v>3</v>
      </c>
      <c r="AE89" s="93">
        <f>(COUNTIFS(Base!$B:$B,F$11,Base!$S:$S,"&lt;&gt;",Base!$N:$N,"&lt;="&amp;$B89)+(COUNTIFS(Base!$B:$B,F$11,Base!$AG:$AG,"&lt;&gt;",Base!$K:$K,"&lt;="&amp;$B89)+COUNTIFS(Base!$B:$B,F$11,Base!$S:$S,"&lt;7",Base!$K:$K,"&lt;="&amp;$B89,Base!$O:$O,"Finalizado")))</f>
        <v>5</v>
      </c>
      <c r="AF89" s="93">
        <f>COUNTIFS(Base!$B:$B,F$11,Base!$S:$S,"&lt;7",Base!$N:$N,"&lt;="&amp;$B89) +COUNTIFS(Base!$B:$B,F$11,Base!$AG:$AG,"&lt;7",Base!$K:$K,"&lt;="&amp;$B89) + COUNTIFS(Base!$B:$B,F$11,Base!$S:$S,"&lt;7",Base!$K:$K,"&lt;="&amp;$B89,Base!$O:$O,"Finalizado")</f>
        <v>0</v>
      </c>
    </row>
    <row r="90">
      <c r="B90" s="151">
        <f t="shared" si="13"/>
        <v>45345</v>
      </c>
      <c r="C90" s="93">
        <f>COUNTIFS(Base!$B:$B,C$11,Base!$M:$M,"&lt;"&amp;$B90,Base!$N:$N,"&gt;="&amp;$B90,Base!$O:$O,"&lt;&gt;Finalizado",Base!$O:$O,"&lt;&gt;Congelado",Base!$O:$O,"&lt;&gt;Concluindo pendências") + COUNTIFS(Base!$B:$B,C$11,Base!$M:$M,"&lt;"&amp;$B90,Base!$N:$N,"",Base!$O:$O,"&lt;&gt;Finalizado",Base!$O:$O,"&lt;&gt;Congelado",Base!$O:$O,"&lt;&gt;Concluindo pendências")</f>
        <v>4</v>
      </c>
      <c r="D90" s="93">
        <f>COUNTIFS(Base!$B:$B,D$11,Base!$M:$M,"&lt;"&amp;$B90,Base!$N:$N,"&gt;="&amp;$B90,Base!$O:$O,"&lt;&gt;Finalizado",Base!$O:$O,"&lt;&gt;Congelado",Base!$O:$O,"&lt;&gt;Concluindo pendências") + COUNTIFS(Base!$B:$B,D$11,Base!$M:$M,"&lt;"&amp;$B90,Base!$N:$N,"",Base!$O:$O,"&lt;&gt;Finalizado",Base!$O:$O,"&lt;&gt;Congelado",Base!$O:$O,"&lt;&gt;Concluindo pendências")</f>
        <v>7</v>
      </c>
      <c r="E90" s="93">
        <f>COUNTIFS(Base!$B:$B,E$11,Base!$M:$M,"&lt;"&amp;$B90,Base!$N:$N,"&gt;="&amp;$B90,Base!$O:$O,"&lt;&gt;Finalizado",Base!$O:$O,"&lt;&gt;Congelado",Base!$O:$O,"&lt;&gt;Concluindo pendências") + COUNTIFS(Base!$B:$B,E$11,Base!$M:$M,"&lt;"&amp;$B90,Base!$N:$N,"",Base!$O:$O,"&lt;&gt;Finalizado",Base!$O:$O,"&lt;&gt;Congelado",Base!$O:$O,"&lt;&gt;Concluindo pendências")</f>
        <v>7</v>
      </c>
      <c r="F90" s="93">
        <f>COUNTIFS(Base!$B:$B,F$11,Base!$M:$M,"&lt;"&amp;$B90,Base!$N:$N,"&gt;="&amp;$B90,Base!$O:$O,"&lt;&gt;Finalizado",Base!$O:$O,"&lt;&gt;Congelado",Base!$O:$O,"&lt;&gt;Concluindo pendências") + COUNTIFS(Base!$B:$B,F$11,Base!$M:$M,"&lt;"&amp;$B90,Base!$N:$N,"",Base!$O:$O,"&lt;&gt;Finalizado",Base!$O:$O,"&lt;&gt;Congelado",Base!$O:$O,"&lt;&gt;Concluindo pendências")</f>
        <v>5</v>
      </c>
      <c r="H90" s="93">
        <f>COUNTIFS(Base!$B:$B,C$11,Base!$K:$K,"&lt;"&amp;$B90,Base!$N:$N,"&gt;="&amp;$B90,Base!$O:$O,"&lt;&gt;Finalizado",Base!$O:$O,"&lt;&gt;Congelado") + COUNTIFS(Base!$B:$B,C$11,Base!$K:$K,"&lt;"&amp;$B90,Base!$N:$N,"",Base!$O:$O,"&lt;&gt;Finalizado",Base!$O:$O,"&lt;&gt;Congelado")</f>
        <v>12</v>
      </c>
      <c r="I90" s="93">
        <f>COUNTIFS(Base!$B:$B,D$11,Base!$K:$K,"&lt;"&amp;$B90,Base!$N:$N,"&gt;="&amp;$B90,Base!$O:$O,"&lt;&gt;Finalizado",Base!$O:$O,"&lt;&gt;Congelado") + COUNTIFS(Base!$B:$B,D$11,Base!$K:$K,"&lt;"&amp;$B90,Base!$N:$N,"",Base!$O:$O,"&lt;&gt;Finalizado",Base!$O:$O,"&lt;&gt;Congelado")</f>
        <v>26</v>
      </c>
      <c r="J90" s="93">
        <f>COUNTIFS(Base!$B:$B,E$11,Base!$K:$K,"&lt;"&amp;$B90,Base!$N:$N,"&gt;="&amp;$B90,Base!$O:$O,"&lt;&gt;Finalizado",Base!$O:$O,"&lt;&gt;Congelado") + COUNTIFS(Base!$B:$B,E$11,Base!$K:$K,"&lt;"&amp;$B90,Base!$N:$N,"",Base!$O:$O,"&lt;&gt;Finalizado",Base!$O:$O,"&lt;&gt;Congelado")</f>
        <v>18</v>
      </c>
      <c r="K90" s="93">
        <f>COUNTIFS(Base!$B:$B,F$11,Base!$K:$K,"&lt;"&amp;$B90,Base!$N:$N,"&gt;="&amp;$B90,Base!$O:$O,"&lt;&gt;Finalizado",Base!$O:$O,"&lt;&gt;Congelado") + COUNTIFS(Base!$B:$B,F$11,Base!$K:$K,"&lt;"&amp;$B90,Base!$N:$N,"",Base!$O:$O,"&lt;&gt;Finalizado",Base!$O:$O,"&lt;&gt;Congelado")</f>
        <v>17</v>
      </c>
      <c r="M90" s="133">
        <f t="shared" ref="M90:P90" si="116">C90/H90</f>
        <v>0.3333333333</v>
      </c>
      <c r="N90" s="133">
        <f t="shared" si="116"/>
        <v>0.2692307692</v>
      </c>
      <c r="O90" s="133">
        <f t="shared" si="116"/>
        <v>0.3888888889</v>
      </c>
      <c r="P90" s="133">
        <f t="shared" si="116"/>
        <v>0.2941176471</v>
      </c>
      <c r="Q90" s="133">
        <f t="shared" si="9"/>
        <v>0.3150684932</v>
      </c>
      <c r="S90" s="93">
        <f t="shared" ref="S90:V90" si="117">S89+C90</f>
        <v>93</v>
      </c>
      <c r="T90" s="93">
        <f t="shared" si="117"/>
        <v>270</v>
      </c>
      <c r="U90" s="93">
        <f t="shared" si="117"/>
        <v>311</v>
      </c>
      <c r="V90" s="93">
        <f t="shared" si="117"/>
        <v>220</v>
      </c>
      <c r="W90" s="93">
        <f t="shared" si="11"/>
        <v>894</v>
      </c>
      <c r="Y90" s="133">
        <f>(COUNTIFS(Base!$B:$B,C$11,Base!$S:$S,"&gt;8",Base!$N:$N,"&lt;="&amp;$B90) - COUNTIFS(Base!$B:$B,C$11,Base!$S:$S,"&lt;7",Base!$N:$N,"&lt;="&amp;$B90) - COUNTIFS(Base!$B:$B,C$11,Base!$S:$S,"&lt;7",Base!$K:$K,"&lt;="&amp;$B90,Base!$O:$O,"Finalizado"))/(COUNTIFS(Base!$B:$B,C$11,Base!$S:$S,"&lt;&gt;",Base!$N:$N,"&lt;="&amp;$B90)+COUNTIFS(Base!$B:$B,C$11,Base!$S:$S,"&lt;7",Base!$K:$K,"&lt;="&amp;$B90,Base!$O:$O,"Finalizado"))</f>
        <v>0.3333333333</v>
      </c>
      <c r="Z90" s="133">
        <f>(COUNTIFS(Base!$B:$B,D$11,Base!$S:$S,"&gt;8",Base!$N:$N,"&lt;="&amp;$B90) - COUNTIFS(Base!$B:$B,D$11,Base!$S:$S,"&lt;7",Base!$N:$N,"&lt;="&amp;$B90) - COUNTIFS(Base!$B:$B,D$11,Base!$S:$S,"&lt;7",Base!$K:$K,"&lt;="&amp;$B90,Base!$O:$O,"Finalizado"))/(COUNTIFS(Base!$B:$B,D$11,Base!$S:$S,"&lt;&gt;",Base!$N:$N,"&lt;="&amp;$B90)+COUNTIFS(Base!$B:$B,D$11,Base!$S:$S,"&lt;7",Base!$K:$K,"&lt;="&amp;$B90,Base!$O:$O,"Finalizado"))</f>
        <v>0.8</v>
      </c>
      <c r="AA90" s="133">
        <f>(COUNTIFS(Base!$B:$B,E$11,Base!$S:$S,"&gt;8",Base!$N:$N,"&lt;="&amp;$B90) - COUNTIFS(Base!$B:$B,E$11,Base!$S:$S,"&lt;7",Base!$N:$N,"&lt;="&amp;$B90) - COUNTIFS(Base!$B:$B,E$11,Base!$S:$S,"&lt;7",Base!$K:$K,"&lt;="&amp;$B90,Base!$O:$O,"Finalizado"))/(COUNTIFS(Base!$B:$B,E$11,Base!$S:$S,"&lt;&gt;",Base!$N:$N,"&lt;="&amp;$B90)+COUNTIFS(Base!$B:$B,E$11,Base!$S:$S,"&lt;7",Base!$K:$K,"&lt;="&amp;$B90,Base!$O:$O,"Finalizado"))</f>
        <v>0.5</v>
      </c>
      <c r="AB90" s="133">
        <f t="shared" si="12"/>
        <v>0.6</v>
      </c>
      <c r="AD90" s="93">
        <f>(COUNTIFS(Base!$B:$B,F$11,Base!$S:$S,"&gt;8",Base!$N:$N,"&lt;="&amp;$B90)+(COUNTIFS(Base!$B:$B,F$11,Base!$AG:$AG,"&gt;8",Base!$K:$K,"&lt;="&amp;$B90)))</f>
        <v>3</v>
      </c>
      <c r="AE90" s="93">
        <f>(COUNTIFS(Base!$B:$B,F$11,Base!$S:$S,"&lt;&gt;",Base!$N:$N,"&lt;="&amp;$B90)+(COUNTIFS(Base!$B:$B,F$11,Base!$AG:$AG,"&lt;&gt;",Base!$K:$K,"&lt;="&amp;$B90)+COUNTIFS(Base!$B:$B,F$11,Base!$S:$S,"&lt;7",Base!$K:$K,"&lt;="&amp;$B90,Base!$O:$O,"Finalizado")))</f>
        <v>5</v>
      </c>
      <c r="AF90" s="93">
        <f>COUNTIFS(Base!$B:$B,F$11,Base!$S:$S,"&lt;7",Base!$N:$N,"&lt;="&amp;$B90) +COUNTIFS(Base!$B:$B,F$11,Base!$AG:$AG,"&lt;7",Base!$K:$K,"&lt;="&amp;$B90) + COUNTIFS(Base!$B:$B,F$11,Base!$S:$S,"&lt;7",Base!$K:$K,"&lt;="&amp;$B90,Base!$O:$O,"Finalizado")</f>
        <v>0</v>
      </c>
    </row>
    <row r="91">
      <c r="B91" s="151">
        <f t="shared" si="13"/>
        <v>45346</v>
      </c>
      <c r="C91" s="93">
        <f>COUNTIFS(Base!$B:$B,C$11,Base!$M:$M,"&lt;"&amp;$B91,Base!$N:$N,"&gt;="&amp;$B91,Base!$O:$O,"&lt;&gt;Finalizado",Base!$O:$O,"&lt;&gt;Congelado",Base!$O:$O,"&lt;&gt;Concluindo pendências") + COUNTIFS(Base!$B:$B,C$11,Base!$M:$M,"&lt;"&amp;$B91,Base!$N:$N,"",Base!$O:$O,"&lt;&gt;Finalizado",Base!$O:$O,"&lt;&gt;Congelado",Base!$O:$O,"&lt;&gt;Concluindo pendências")</f>
        <v>5</v>
      </c>
      <c r="D91" s="93">
        <f>COUNTIFS(Base!$B:$B,D$11,Base!$M:$M,"&lt;"&amp;$B91,Base!$N:$N,"&gt;="&amp;$B91,Base!$O:$O,"&lt;&gt;Finalizado",Base!$O:$O,"&lt;&gt;Congelado",Base!$O:$O,"&lt;&gt;Concluindo pendências") + COUNTIFS(Base!$B:$B,D$11,Base!$M:$M,"&lt;"&amp;$B91,Base!$N:$N,"",Base!$O:$O,"&lt;&gt;Finalizado",Base!$O:$O,"&lt;&gt;Congelado",Base!$O:$O,"&lt;&gt;Concluindo pendências")</f>
        <v>8</v>
      </c>
      <c r="E91" s="93">
        <f>COUNTIFS(Base!$B:$B,E$11,Base!$M:$M,"&lt;"&amp;$B91,Base!$N:$N,"&gt;="&amp;$B91,Base!$O:$O,"&lt;&gt;Finalizado",Base!$O:$O,"&lt;&gt;Congelado",Base!$O:$O,"&lt;&gt;Concluindo pendências") + COUNTIFS(Base!$B:$B,E$11,Base!$M:$M,"&lt;"&amp;$B91,Base!$N:$N,"",Base!$O:$O,"&lt;&gt;Finalizado",Base!$O:$O,"&lt;&gt;Congelado",Base!$O:$O,"&lt;&gt;Concluindo pendências")</f>
        <v>7</v>
      </c>
      <c r="F91" s="93">
        <f>COUNTIFS(Base!$B:$B,F$11,Base!$M:$M,"&lt;"&amp;$B91,Base!$N:$N,"&gt;="&amp;$B91,Base!$O:$O,"&lt;&gt;Finalizado",Base!$O:$O,"&lt;&gt;Congelado",Base!$O:$O,"&lt;&gt;Concluindo pendências") + COUNTIFS(Base!$B:$B,F$11,Base!$M:$M,"&lt;"&amp;$B91,Base!$N:$N,"",Base!$O:$O,"&lt;&gt;Finalizado",Base!$O:$O,"&lt;&gt;Congelado",Base!$O:$O,"&lt;&gt;Concluindo pendências")</f>
        <v>5</v>
      </c>
      <c r="H91" s="93">
        <f>COUNTIFS(Base!$B:$B,C$11,Base!$K:$K,"&lt;"&amp;$B91,Base!$N:$N,"&gt;="&amp;$B91,Base!$O:$O,"&lt;&gt;Finalizado",Base!$O:$O,"&lt;&gt;Congelado") + COUNTIFS(Base!$B:$B,C$11,Base!$K:$K,"&lt;"&amp;$B91,Base!$N:$N,"",Base!$O:$O,"&lt;&gt;Finalizado",Base!$O:$O,"&lt;&gt;Congelado")</f>
        <v>12</v>
      </c>
      <c r="I91" s="93">
        <f>COUNTIFS(Base!$B:$B,D$11,Base!$K:$K,"&lt;"&amp;$B91,Base!$N:$N,"&gt;="&amp;$B91,Base!$O:$O,"&lt;&gt;Finalizado",Base!$O:$O,"&lt;&gt;Congelado") + COUNTIFS(Base!$B:$B,D$11,Base!$K:$K,"&lt;"&amp;$B91,Base!$N:$N,"",Base!$O:$O,"&lt;&gt;Finalizado",Base!$O:$O,"&lt;&gt;Congelado")</f>
        <v>25</v>
      </c>
      <c r="J91" s="93">
        <f>COUNTIFS(Base!$B:$B,E$11,Base!$K:$K,"&lt;"&amp;$B91,Base!$N:$N,"&gt;="&amp;$B91,Base!$O:$O,"&lt;&gt;Finalizado",Base!$O:$O,"&lt;&gt;Congelado") + COUNTIFS(Base!$B:$B,E$11,Base!$K:$K,"&lt;"&amp;$B91,Base!$N:$N,"",Base!$O:$O,"&lt;&gt;Finalizado",Base!$O:$O,"&lt;&gt;Congelado")</f>
        <v>18</v>
      </c>
      <c r="K91" s="93">
        <f>COUNTIFS(Base!$B:$B,F$11,Base!$K:$K,"&lt;"&amp;$B91,Base!$N:$N,"&gt;="&amp;$B91,Base!$O:$O,"&lt;&gt;Finalizado",Base!$O:$O,"&lt;&gt;Congelado") + COUNTIFS(Base!$B:$B,F$11,Base!$K:$K,"&lt;"&amp;$B91,Base!$N:$N,"",Base!$O:$O,"&lt;&gt;Finalizado",Base!$O:$O,"&lt;&gt;Congelado")</f>
        <v>17</v>
      </c>
      <c r="M91" s="133">
        <f t="shared" ref="M91:P91" si="118">C91/H91</f>
        <v>0.4166666667</v>
      </c>
      <c r="N91" s="133">
        <f t="shared" si="118"/>
        <v>0.32</v>
      </c>
      <c r="O91" s="133">
        <f t="shared" si="118"/>
        <v>0.3888888889</v>
      </c>
      <c r="P91" s="133">
        <f t="shared" si="118"/>
        <v>0.2941176471</v>
      </c>
      <c r="Q91" s="133">
        <f t="shared" si="9"/>
        <v>0.3472222222</v>
      </c>
      <c r="S91" s="93">
        <f t="shared" ref="S91:V91" si="119">S90+C91</f>
        <v>98</v>
      </c>
      <c r="T91" s="93">
        <f t="shared" si="119"/>
        <v>278</v>
      </c>
      <c r="U91" s="93">
        <f t="shared" si="119"/>
        <v>318</v>
      </c>
      <c r="V91" s="93">
        <f t="shared" si="119"/>
        <v>225</v>
      </c>
      <c r="W91" s="93">
        <f t="shared" si="11"/>
        <v>919</v>
      </c>
      <c r="Y91" s="133">
        <f>(COUNTIFS(Base!$B:$B,C$11,Base!$S:$S,"&gt;8",Base!$N:$N,"&lt;="&amp;$B91) - COUNTIFS(Base!$B:$B,C$11,Base!$S:$S,"&lt;7",Base!$N:$N,"&lt;="&amp;$B91) - COUNTIFS(Base!$B:$B,C$11,Base!$S:$S,"&lt;7",Base!$K:$K,"&lt;="&amp;$B91,Base!$O:$O,"Finalizado"))/(COUNTIFS(Base!$B:$B,C$11,Base!$S:$S,"&lt;&gt;",Base!$N:$N,"&lt;="&amp;$B91)+COUNTIFS(Base!$B:$B,C$11,Base!$S:$S,"&lt;7",Base!$K:$K,"&lt;="&amp;$B91,Base!$O:$O,"Finalizado"))</f>
        <v>0.3333333333</v>
      </c>
      <c r="Z91" s="133">
        <f>(COUNTIFS(Base!$B:$B,D$11,Base!$S:$S,"&gt;8",Base!$N:$N,"&lt;="&amp;$B91) - COUNTIFS(Base!$B:$B,D$11,Base!$S:$S,"&lt;7",Base!$N:$N,"&lt;="&amp;$B91) - COUNTIFS(Base!$B:$B,D$11,Base!$S:$S,"&lt;7",Base!$K:$K,"&lt;="&amp;$B91,Base!$O:$O,"Finalizado"))/(COUNTIFS(Base!$B:$B,D$11,Base!$S:$S,"&lt;&gt;",Base!$N:$N,"&lt;="&amp;$B91)+COUNTIFS(Base!$B:$B,D$11,Base!$S:$S,"&lt;7",Base!$K:$K,"&lt;="&amp;$B91,Base!$O:$O,"Finalizado"))</f>
        <v>0.8</v>
      </c>
      <c r="AA91" s="133">
        <f>(COUNTIFS(Base!$B:$B,E$11,Base!$S:$S,"&gt;8",Base!$N:$N,"&lt;="&amp;$B91) - COUNTIFS(Base!$B:$B,E$11,Base!$S:$S,"&lt;7",Base!$N:$N,"&lt;="&amp;$B91) - COUNTIFS(Base!$B:$B,E$11,Base!$S:$S,"&lt;7",Base!$K:$K,"&lt;="&amp;$B91,Base!$O:$O,"Finalizado"))/(COUNTIFS(Base!$B:$B,E$11,Base!$S:$S,"&lt;&gt;",Base!$N:$N,"&lt;="&amp;$B91)+COUNTIFS(Base!$B:$B,E$11,Base!$S:$S,"&lt;7",Base!$K:$K,"&lt;="&amp;$B91,Base!$O:$O,"Finalizado"))</f>
        <v>0.5</v>
      </c>
      <c r="AB91" s="133">
        <f t="shared" si="12"/>
        <v>0.6</v>
      </c>
      <c r="AD91" s="93">
        <f>(COUNTIFS(Base!$B:$B,F$11,Base!$S:$S,"&gt;8",Base!$N:$N,"&lt;="&amp;$B91)+(COUNTIFS(Base!$B:$B,F$11,Base!$AG:$AG,"&gt;8",Base!$K:$K,"&lt;="&amp;$B91)))</f>
        <v>3</v>
      </c>
      <c r="AE91" s="93">
        <f>(COUNTIFS(Base!$B:$B,F$11,Base!$S:$S,"&lt;&gt;",Base!$N:$N,"&lt;="&amp;$B91)+(COUNTIFS(Base!$B:$B,F$11,Base!$AG:$AG,"&lt;&gt;",Base!$K:$K,"&lt;="&amp;$B91)+COUNTIFS(Base!$B:$B,F$11,Base!$S:$S,"&lt;7",Base!$K:$K,"&lt;="&amp;$B91,Base!$O:$O,"Finalizado")))</f>
        <v>5</v>
      </c>
      <c r="AF91" s="93">
        <f>COUNTIFS(Base!$B:$B,F$11,Base!$S:$S,"&lt;7",Base!$N:$N,"&lt;="&amp;$B91) +COUNTIFS(Base!$B:$B,F$11,Base!$AG:$AG,"&lt;7",Base!$K:$K,"&lt;="&amp;$B91) + COUNTIFS(Base!$B:$B,F$11,Base!$S:$S,"&lt;7",Base!$K:$K,"&lt;="&amp;$B91,Base!$O:$O,"Finalizado")</f>
        <v>0</v>
      </c>
    </row>
    <row r="92">
      <c r="B92" s="151">
        <f t="shared" si="13"/>
        <v>45347</v>
      </c>
      <c r="C92" s="93">
        <f>COUNTIFS(Base!$B:$B,C$11,Base!$M:$M,"&lt;"&amp;$B92,Base!$N:$N,"&gt;="&amp;$B92,Base!$O:$O,"&lt;&gt;Finalizado",Base!$O:$O,"&lt;&gt;Congelado",Base!$O:$O,"&lt;&gt;Concluindo pendências") + COUNTIFS(Base!$B:$B,C$11,Base!$M:$M,"&lt;"&amp;$B92,Base!$N:$N,"",Base!$O:$O,"&lt;&gt;Finalizado",Base!$O:$O,"&lt;&gt;Congelado",Base!$O:$O,"&lt;&gt;Concluindo pendências")</f>
        <v>5</v>
      </c>
      <c r="D92" s="93">
        <f>COUNTIFS(Base!$B:$B,D$11,Base!$M:$M,"&lt;"&amp;$B92,Base!$N:$N,"&gt;="&amp;$B92,Base!$O:$O,"&lt;&gt;Finalizado",Base!$O:$O,"&lt;&gt;Congelado",Base!$O:$O,"&lt;&gt;Concluindo pendências") + COUNTIFS(Base!$B:$B,D$11,Base!$M:$M,"&lt;"&amp;$B92,Base!$N:$N,"",Base!$O:$O,"&lt;&gt;Finalizado",Base!$O:$O,"&lt;&gt;Congelado",Base!$O:$O,"&lt;&gt;Concluindo pendências")</f>
        <v>8</v>
      </c>
      <c r="E92" s="93">
        <f>COUNTIFS(Base!$B:$B,E$11,Base!$M:$M,"&lt;"&amp;$B92,Base!$N:$N,"&gt;="&amp;$B92,Base!$O:$O,"&lt;&gt;Finalizado",Base!$O:$O,"&lt;&gt;Congelado",Base!$O:$O,"&lt;&gt;Concluindo pendências") + COUNTIFS(Base!$B:$B,E$11,Base!$M:$M,"&lt;"&amp;$B92,Base!$N:$N,"",Base!$O:$O,"&lt;&gt;Finalizado",Base!$O:$O,"&lt;&gt;Congelado",Base!$O:$O,"&lt;&gt;Concluindo pendências")</f>
        <v>7</v>
      </c>
      <c r="F92" s="93">
        <f>COUNTIFS(Base!$B:$B,F$11,Base!$M:$M,"&lt;"&amp;$B92,Base!$N:$N,"&gt;="&amp;$B92,Base!$O:$O,"&lt;&gt;Finalizado",Base!$O:$O,"&lt;&gt;Congelado",Base!$O:$O,"&lt;&gt;Concluindo pendências") + COUNTIFS(Base!$B:$B,F$11,Base!$M:$M,"&lt;"&amp;$B92,Base!$N:$N,"",Base!$O:$O,"&lt;&gt;Finalizado",Base!$O:$O,"&lt;&gt;Congelado",Base!$O:$O,"&lt;&gt;Concluindo pendências")</f>
        <v>5</v>
      </c>
      <c r="H92" s="93">
        <f>COUNTIFS(Base!$B:$B,C$11,Base!$K:$K,"&lt;"&amp;$B92,Base!$N:$N,"&gt;="&amp;$B92,Base!$O:$O,"&lt;&gt;Finalizado",Base!$O:$O,"&lt;&gt;Congelado") + COUNTIFS(Base!$B:$B,C$11,Base!$K:$K,"&lt;"&amp;$B92,Base!$N:$N,"",Base!$O:$O,"&lt;&gt;Finalizado",Base!$O:$O,"&lt;&gt;Congelado")</f>
        <v>12</v>
      </c>
      <c r="I92" s="93">
        <f>COUNTIFS(Base!$B:$B,D$11,Base!$K:$K,"&lt;"&amp;$B92,Base!$N:$N,"&gt;="&amp;$B92,Base!$O:$O,"&lt;&gt;Finalizado",Base!$O:$O,"&lt;&gt;Congelado") + COUNTIFS(Base!$B:$B,D$11,Base!$K:$K,"&lt;"&amp;$B92,Base!$N:$N,"",Base!$O:$O,"&lt;&gt;Finalizado",Base!$O:$O,"&lt;&gt;Congelado")</f>
        <v>25</v>
      </c>
      <c r="J92" s="93">
        <f>COUNTIFS(Base!$B:$B,E$11,Base!$K:$K,"&lt;"&amp;$B92,Base!$N:$N,"&gt;="&amp;$B92,Base!$O:$O,"&lt;&gt;Finalizado",Base!$O:$O,"&lt;&gt;Congelado") + COUNTIFS(Base!$B:$B,E$11,Base!$K:$K,"&lt;"&amp;$B92,Base!$N:$N,"",Base!$O:$O,"&lt;&gt;Finalizado",Base!$O:$O,"&lt;&gt;Congelado")</f>
        <v>18</v>
      </c>
      <c r="K92" s="93">
        <f>COUNTIFS(Base!$B:$B,F$11,Base!$K:$K,"&lt;"&amp;$B92,Base!$N:$N,"&gt;="&amp;$B92,Base!$O:$O,"&lt;&gt;Finalizado",Base!$O:$O,"&lt;&gt;Congelado") + COUNTIFS(Base!$B:$B,F$11,Base!$K:$K,"&lt;"&amp;$B92,Base!$N:$N,"",Base!$O:$O,"&lt;&gt;Finalizado",Base!$O:$O,"&lt;&gt;Congelado")</f>
        <v>17</v>
      </c>
      <c r="M92" s="133">
        <f t="shared" ref="M92:P92" si="120">C92/H92</f>
        <v>0.4166666667</v>
      </c>
      <c r="N92" s="133">
        <f t="shared" si="120"/>
        <v>0.32</v>
      </c>
      <c r="O92" s="133">
        <f t="shared" si="120"/>
        <v>0.3888888889</v>
      </c>
      <c r="P92" s="133">
        <f t="shared" si="120"/>
        <v>0.2941176471</v>
      </c>
      <c r="Q92" s="133">
        <f t="shared" si="9"/>
        <v>0.3472222222</v>
      </c>
      <c r="S92" s="93">
        <f t="shared" ref="S92:V92" si="121">S91+C92</f>
        <v>103</v>
      </c>
      <c r="T92" s="93">
        <f t="shared" si="121"/>
        <v>286</v>
      </c>
      <c r="U92" s="93">
        <f t="shared" si="121"/>
        <v>325</v>
      </c>
      <c r="V92" s="93">
        <f t="shared" si="121"/>
        <v>230</v>
      </c>
      <c r="W92" s="93">
        <f t="shared" si="11"/>
        <v>944</v>
      </c>
      <c r="Y92" s="133">
        <f>(COUNTIFS(Base!$B:$B,C$11,Base!$S:$S,"&gt;8",Base!$N:$N,"&lt;="&amp;$B92) - COUNTIFS(Base!$B:$B,C$11,Base!$S:$S,"&lt;7",Base!$N:$N,"&lt;="&amp;$B92) - COUNTIFS(Base!$B:$B,C$11,Base!$S:$S,"&lt;7",Base!$K:$K,"&lt;="&amp;$B92,Base!$O:$O,"Finalizado"))/(COUNTIFS(Base!$B:$B,C$11,Base!$S:$S,"&lt;&gt;",Base!$N:$N,"&lt;="&amp;$B92)+COUNTIFS(Base!$B:$B,C$11,Base!$S:$S,"&lt;7",Base!$K:$K,"&lt;="&amp;$B92,Base!$O:$O,"Finalizado"))</f>
        <v>0.3333333333</v>
      </c>
      <c r="Z92" s="133">
        <f>(COUNTIFS(Base!$B:$B,D$11,Base!$S:$S,"&gt;8",Base!$N:$N,"&lt;="&amp;$B92) - COUNTIFS(Base!$B:$B,D$11,Base!$S:$S,"&lt;7",Base!$N:$N,"&lt;="&amp;$B92) - COUNTIFS(Base!$B:$B,D$11,Base!$S:$S,"&lt;7",Base!$K:$K,"&lt;="&amp;$B92,Base!$O:$O,"Finalizado"))/(COUNTIFS(Base!$B:$B,D$11,Base!$S:$S,"&lt;&gt;",Base!$N:$N,"&lt;="&amp;$B92)+COUNTIFS(Base!$B:$B,D$11,Base!$S:$S,"&lt;7",Base!$K:$K,"&lt;="&amp;$B92,Base!$O:$O,"Finalizado"))</f>
        <v>0.8</v>
      </c>
      <c r="AA92" s="133">
        <f>(COUNTIFS(Base!$B:$B,E$11,Base!$S:$S,"&gt;8",Base!$N:$N,"&lt;="&amp;$B92) - COUNTIFS(Base!$B:$B,E$11,Base!$S:$S,"&lt;7",Base!$N:$N,"&lt;="&amp;$B92) - COUNTIFS(Base!$B:$B,E$11,Base!$S:$S,"&lt;7",Base!$K:$K,"&lt;="&amp;$B92,Base!$O:$O,"Finalizado"))/(COUNTIFS(Base!$B:$B,E$11,Base!$S:$S,"&lt;&gt;",Base!$N:$N,"&lt;="&amp;$B92)+COUNTIFS(Base!$B:$B,E$11,Base!$S:$S,"&lt;7",Base!$K:$K,"&lt;="&amp;$B92,Base!$O:$O,"Finalizado"))</f>
        <v>0.5</v>
      </c>
      <c r="AB92" s="133">
        <f t="shared" si="12"/>
        <v>0.6</v>
      </c>
      <c r="AD92" s="93">
        <f>(COUNTIFS(Base!$B:$B,F$11,Base!$S:$S,"&gt;8",Base!$N:$N,"&lt;="&amp;$B92)+(COUNTIFS(Base!$B:$B,F$11,Base!$AG:$AG,"&gt;8",Base!$K:$K,"&lt;="&amp;$B92)))</f>
        <v>3</v>
      </c>
      <c r="AE92" s="93">
        <f>(COUNTIFS(Base!$B:$B,F$11,Base!$S:$S,"&lt;&gt;",Base!$N:$N,"&lt;="&amp;$B92)+(COUNTIFS(Base!$B:$B,F$11,Base!$AG:$AG,"&lt;&gt;",Base!$K:$K,"&lt;="&amp;$B92)+COUNTIFS(Base!$B:$B,F$11,Base!$S:$S,"&lt;7",Base!$K:$K,"&lt;="&amp;$B92,Base!$O:$O,"Finalizado")))</f>
        <v>5</v>
      </c>
      <c r="AF92" s="93">
        <f>COUNTIFS(Base!$B:$B,F$11,Base!$S:$S,"&lt;7",Base!$N:$N,"&lt;="&amp;$B92) +COUNTIFS(Base!$B:$B,F$11,Base!$AG:$AG,"&lt;7",Base!$K:$K,"&lt;="&amp;$B92) + COUNTIFS(Base!$B:$B,F$11,Base!$S:$S,"&lt;7",Base!$K:$K,"&lt;="&amp;$B92,Base!$O:$O,"Finalizado")</f>
        <v>0</v>
      </c>
    </row>
    <row r="93">
      <c r="B93" s="151">
        <f t="shared" si="13"/>
        <v>45348</v>
      </c>
      <c r="C93" s="93">
        <f>COUNTIFS(Base!$B:$B,C$11,Base!$M:$M,"&lt;"&amp;$B93,Base!$N:$N,"&gt;="&amp;$B93,Base!$O:$O,"&lt;&gt;Finalizado",Base!$O:$O,"&lt;&gt;Congelado",Base!$O:$O,"&lt;&gt;Concluindo pendências") + COUNTIFS(Base!$B:$B,C$11,Base!$M:$M,"&lt;"&amp;$B93,Base!$N:$N,"",Base!$O:$O,"&lt;&gt;Finalizado",Base!$O:$O,"&lt;&gt;Congelado",Base!$O:$O,"&lt;&gt;Concluindo pendências")</f>
        <v>5</v>
      </c>
      <c r="D93" s="93">
        <f>COUNTIFS(Base!$B:$B,D$11,Base!$M:$M,"&lt;"&amp;$B93,Base!$N:$N,"&gt;="&amp;$B93,Base!$O:$O,"&lt;&gt;Finalizado",Base!$O:$O,"&lt;&gt;Congelado",Base!$O:$O,"&lt;&gt;Concluindo pendências") + COUNTIFS(Base!$B:$B,D$11,Base!$M:$M,"&lt;"&amp;$B93,Base!$N:$N,"",Base!$O:$O,"&lt;&gt;Finalizado",Base!$O:$O,"&lt;&gt;Congelado",Base!$O:$O,"&lt;&gt;Concluindo pendências")</f>
        <v>8</v>
      </c>
      <c r="E93" s="93">
        <f>COUNTIFS(Base!$B:$B,E$11,Base!$M:$M,"&lt;"&amp;$B93,Base!$N:$N,"&gt;="&amp;$B93,Base!$O:$O,"&lt;&gt;Finalizado",Base!$O:$O,"&lt;&gt;Congelado",Base!$O:$O,"&lt;&gt;Concluindo pendências") + COUNTIFS(Base!$B:$B,E$11,Base!$M:$M,"&lt;"&amp;$B93,Base!$N:$N,"",Base!$O:$O,"&lt;&gt;Finalizado",Base!$O:$O,"&lt;&gt;Congelado",Base!$O:$O,"&lt;&gt;Concluindo pendências")</f>
        <v>7</v>
      </c>
      <c r="F93" s="93">
        <f>COUNTIFS(Base!$B:$B,F$11,Base!$M:$M,"&lt;"&amp;$B93,Base!$N:$N,"&gt;="&amp;$B93,Base!$O:$O,"&lt;&gt;Finalizado",Base!$O:$O,"&lt;&gt;Congelado",Base!$O:$O,"&lt;&gt;Concluindo pendências") + COUNTIFS(Base!$B:$B,F$11,Base!$M:$M,"&lt;"&amp;$B93,Base!$N:$N,"",Base!$O:$O,"&lt;&gt;Finalizado",Base!$O:$O,"&lt;&gt;Congelado",Base!$O:$O,"&lt;&gt;Concluindo pendências")</f>
        <v>5</v>
      </c>
      <c r="H93" s="93">
        <f>COUNTIFS(Base!$B:$B,C$11,Base!$K:$K,"&lt;"&amp;$B93,Base!$N:$N,"&gt;="&amp;$B93,Base!$O:$O,"&lt;&gt;Finalizado",Base!$O:$O,"&lt;&gt;Congelado") + COUNTIFS(Base!$B:$B,C$11,Base!$K:$K,"&lt;"&amp;$B93,Base!$N:$N,"",Base!$O:$O,"&lt;&gt;Finalizado",Base!$O:$O,"&lt;&gt;Congelado")</f>
        <v>12</v>
      </c>
      <c r="I93" s="93">
        <f>COUNTIFS(Base!$B:$B,D$11,Base!$K:$K,"&lt;"&amp;$B93,Base!$N:$N,"&gt;="&amp;$B93,Base!$O:$O,"&lt;&gt;Finalizado",Base!$O:$O,"&lt;&gt;Congelado") + COUNTIFS(Base!$B:$B,D$11,Base!$K:$K,"&lt;"&amp;$B93,Base!$N:$N,"",Base!$O:$O,"&lt;&gt;Finalizado",Base!$O:$O,"&lt;&gt;Congelado")</f>
        <v>25</v>
      </c>
      <c r="J93" s="93">
        <f>COUNTIFS(Base!$B:$B,E$11,Base!$K:$K,"&lt;"&amp;$B93,Base!$N:$N,"&gt;="&amp;$B93,Base!$O:$O,"&lt;&gt;Finalizado",Base!$O:$O,"&lt;&gt;Congelado") + COUNTIFS(Base!$B:$B,E$11,Base!$K:$K,"&lt;"&amp;$B93,Base!$N:$N,"",Base!$O:$O,"&lt;&gt;Finalizado",Base!$O:$O,"&lt;&gt;Congelado")</f>
        <v>18</v>
      </c>
      <c r="K93" s="93">
        <f>COUNTIFS(Base!$B:$B,F$11,Base!$K:$K,"&lt;"&amp;$B93,Base!$N:$N,"&gt;="&amp;$B93,Base!$O:$O,"&lt;&gt;Finalizado",Base!$O:$O,"&lt;&gt;Congelado") + COUNTIFS(Base!$B:$B,F$11,Base!$K:$K,"&lt;"&amp;$B93,Base!$N:$N,"",Base!$O:$O,"&lt;&gt;Finalizado",Base!$O:$O,"&lt;&gt;Congelado")</f>
        <v>17</v>
      </c>
      <c r="M93" s="133">
        <f t="shared" ref="M93:P93" si="122">C93/H93</f>
        <v>0.4166666667</v>
      </c>
      <c r="N93" s="133">
        <f t="shared" si="122"/>
        <v>0.32</v>
      </c>
      <c r="O93" s="133">
        <f t="shared" si="122"/>
        <v>0.3888888889</v>
      </c>
      <c r="P93" s="133">
        <f t="shared" si="122"/>
        <v>0.2941176471</v>
      </c>
      <c r="Q93" s="133">
        <f t="shared" si="9"/>
        <v>0.3472222222</v>
      </c>
      <c r="S93" s="93">
        <f t="shared" ref="S93:V93" si="123">S92+C93</f>
        <v>108</v>
      </c>
      <c r="T93" s="93">
        <f t="shared" si="123"/>
        <v>294</v>
      </c>
      <c r="U93" s="93">
        <f t="shared" si="123"/>
        <v>332</v>
      </c>
      <c r="V93" s="93">
        <f t="shared" si="123"/>
        <v>235</v>
      </c>
      <c r="W93" s="93">
        <f t="shared" si="11"/>
        <v>969</v>
      </c>
      <c r="Y93" s="133">
        <f>(COUNTIFS(Base!$B:$B,C$11,Base!$S:$S,"&gt;8",Base!$N:$N,"&lt;="&amp;$B93) - COUNTIFS(Base!$B:$B,C$11,Base!$S:$S,"&lt;7",Base!$N:$N,"&lt;="&amp;$B93) - COUNTIFS(Base!$B:$B,C$11,Base!$S:$S,"&lt;7",Base!$K:$K,"&lt;="&amp;$B93,Base!$O:$O,"Finalizado"))/(COUNTIFS(Base!$B:$B,C$11,Base!$S:$S,"&lt;&gt;",Base!$N:$N,"&lt;="&amp;$B93)+COUNTIFS(Base!$B:$B,C$11,Base!$S:$S,"&lt;7",Base!$K:$K,"&lt;="&amp;$B93,Base!$O:$O,"Finalizado"))</f>
        <v>0.5</v>
      </c>
      <c r="Z93" s="133">
        <f>(COUNTIFS(Base!$B:$B,D$11,Base!$S:$S,"&gt;8",Base!$N:$N,"&lt;="&amp;$B93) - COUNTIFS(Base!$B:$B,D$11,Base!$S:$S,"&lt;7",Base!$N:$N,"&lt;="&amp;$B93) - COUNTIFS(Base!$B:$B,D$11,Base!$S:$S,"&lt;7",Base!$K:$K,"&lt;="&amp;$B93,Base!$O:$O,"Finalizado"))/(COUNTIFS(Base!$B:$B,D$11,Base!$S:$S,"&lt;&gt;",Base!$N:$N,"&lt;="&amp;$B93)+COUNTIFS(Base!$B:$B,D$11,Base!$S:$S,"&lt;7",Base!$K:$K,"&lt;="&amp;$B93,Base!$O:$O,"Finalizado"))</f>
        <v>0.8</v>
      </c>
      <c r="AA93" s="133">
        <f>(COUNTIFS(Base!$B:$B,E$11,Base!$S:$S,"&gt;8",Base!$N:$N,"&lt;="&amp;$B93) - COUNTIFS(Base!$B:$B,E$11,Base!$S:$S,"&lt;7",Base!$N:$N,"&lt;="&amp;$B93) - COUNTIFS(Base!$B:$B,E$11,Base!$S:$S,"&lt;7",Base!$K:$K,"&lt;="&amp;$B93,Base!$O:$O,"Finalizado"))/(COUNTIFS(Base!$B:$B,E$11,Base!$S:$S,"&lt;&gt;",Base!$N:$N,"&lt;="&amp;$B93)+COUNTIFS(Base!$B:$B,E$11,Base!$S:$S,"&lt;7",Base!$K:$K,"&lt;="&amp;$B93,Base!$O:$O,"Finalizado"))</f>
        <v>0.5</v>
      </c>
      <c r="AB93" s="133">
        <f t="shared" si="12"/>
        <v>0.6666666667</v>
      </c>
      <c r="AD93" s="93">
        <f>(COUNTIFS(Base!$B:$B,F$11,Base!$S:$S,"&gt;8",Base!$N:$N,"&lt;="&amp;$B93)+(COUNTIFS(Base!$B:$B,F$11,Base!$AG:$AG,"&gt;8",Base!$K:$K,"&lt;="&amp;$B93)))</f>
        <v>4</v>
      </c>
      <c r="AE93" s="93">
        <f>(COUNTIFS(Base!$B:$B,F$11,Base!$S:$S,"&lt;&gt;",Base!$N:$N,"&lt;="&amp;$B93)+(COUNTIFS(Base!$B:$B,F$11,Base!$AG:$AG,"&lt;&gt;",Base!$K:$K,"&lt;="&amp;$B93)+COUNTIFS(Base!$B:$B,F$11,Base!$S:$S,"&lt;7",Base!$K:$K,"&lt;="&amp;$B93,Base!$O:$O,"Finalizado")))</f>
        <v>6</v>
      </c>
      <c r="AF93" s="93">
        <f>COUNTIFS(Base!$B:$B,F$11,Base!$S:$S,"&lt;7",Base!$N:$N,"&lt;="&amp;$B93) +COUNTIFS(Base!$B:$B,F$11,Base!$AG:$AG,"&lt;7",Base!$K:$K,"&lt;="&amp;$B93) + COUNTIFS(Base!$B:$B,F$11,Base!$S:$S,"&lt;7",Base!$K:$K,"&lt;="&amp;$B93,Base!$O:$O,"Finalizado")</f>
        <v>0</v>
      </c>
    </row>
    <row r="94">
      <c r="B94" s="151">
        <f t="shared" si="13"/>
        <v>45349</v>
      </c>
      <c r="C94" s="93">
        <f>COUNTIFS(Base!$B:$B,C$11,Base!$M:$M,"&lt;"&amp;$B94,Base!$N:$N,"&gt;="&amp;$B94,Base!$O:$O,"&lt;&gt;Finalizado",Base!$O:$O,"&lt;&gt;Congelado",Base!$O:$O,"&lt;&gt;Concluindo pendências") + COUNTIFS(Base!$B:$B,C$11,Base!$M:$M,"&lt;"&amp;$B94,Base!$N:$N,"",Base!$O:$O,"&lt;&gt;Finalizado",Base!$O:$O,"&lt;&gt;Congelado",Base!$O:$O,"&lt;&gt;Concluindo pendências")</f>
        <v>5</v>
      </c>
      <c r="D94" s="93">
        <f>COUNTIFS(Base!$B:$B,D$11,Base!$M:$M,"&lt;"&amp;$B94,Base!$N:$N,"&gt;="&amp;$B94,Base!$O:$O,"&lt;&gt;Finalizado",Base!$O:$O,"&lt;&gt;Congelado",Base!$O:$O,"&lt;&gt;Concluindo pendências") + COUNTIFS(Base!$B:$B,D$11,Base!$M:$M,"&lt;"&amp;$B94,Base!$N:$N,"",Base!$O:$O,"&lt;&gt;Finalizado",Base!$O:$O,"&lt;&gt;Congelado",Base!$O:$O,"&lt;&gt;Concluindo pendências")</f>
        <v>8</v>
      </c>
      <c r="E94" s="93">
        <f>COUNTIFS(Base!$B:$B,E$11,Base!$M:$M,"&lt;"&amp;$B94,Base!$N:$N,"&gt;="&amp;$B94,Base!$O:$O,"&lt;&gt;Finalizado",Base!$O:$O,"&lt;&gt;Congelado",Base!$O:$O,"&lt;&gt;Concluindo pendências") + COUNTIFS(Base!$B:$B,E$11,Base!$M:$M,"&lt;"&amp;$B94,Base!$N:$N,"",Base!$O:$O,"&lt;&gt;Finalizado",Base!$O:$O,"&lt;&gt;Congelado",Base!$O:$O,"&lt;&gt;Concluindo pendências")</f>
        <v>7</v>
      </c>
      <c r="F94" s="93">
        <f>COUNTIFS(Base!$B:$B,F$11,Base!$M:$M,"&lt;"&amp;$B94,Base!$N:$N,"&gt;="&amp;$B94,Base!$O:$O,"&lt;&gt;Finalizado",Base!$O:$O,"&lt;&gt;Congelado",Base!$O:$O,"&lt;&gt;Concluindo pendências") + COUNTIFS(Base!$B:$B,F$11,Base!$M:$M,"&lt;"&amp;$B94,Base!$N:$N,"",Base!$O:$O,"&lt;&gt;Finalizado",Base!$O:$O,"&lt;&gt;Congelado",Base!$O:$O,"&lt;&gt;Concluindo pendências")</f>
        <v>5</v>
      </c>
      <c r="H94" s="93">
        <f>COUNTIFS(Base!$B:$B,C$11,Base!$K:$K,"&lt;"&amp;$B94,Base!$N:$N,"&gt;="&amp;$B94,Base!$O:$O,"&lt;&gt;Finalizado",Base!$O:$O,"&lt;&gt;Congelado") + COUNTIFS(Base!$B:$B,C$11,Base!$K:$K,"&lt;"&amp;$B94,Base!$N:$N,"",Base!$O:$O,"&lt;&gt;Finalizado",Base!$O:$O,"&lt;&gt;Congelado")</f>
        <v>11</v>
      </c>
      <c r="I94" s="93">
        <f>COUNTIFS(Base!$B:$B,D$11,Base!$K:$K,"&lt;"&amp;$B94,Base!$N:$N,"&gt;="&amp;$B94,Base!$O:$O,"&lt;&gt;Finalizado",Base!$O:$O,"&lt;&gt;Congelado") + COUNTIFS(Base!$B:$B,D$11,Base!$K:$K,"&lt;"&amp;$B94,Base!$N:$N,"",Base!$O:$O,"&lt;&gt;Finalizado",Base!$O:$O,"&lt;&gt;Congelado")</f>
        <v>26</v>
      </c>
      <c r="J94" s="93">
        <f>COUNTIFS(Base!$B:$B,E$11,Base!$K:$K,"&lt;"&amp;$B94,Base!$N:$N,"&gt;="&amp;$B94,Base!$O:$O,"&lt;&gt;Finalizado",Base!$O:$O,"&lt;&gt;Congelado") + COUNTIFS(Base!$B:$B,E$11,Base!$K:$K,"&lt;"&amp;$B94,Base!$N:$N,"",Base!$O:$O,"&lt;&gt;Finalizado",Base!$O:$O,"&lt;&gt;Congelado")</f>
        <v>18</v>
      </c>
      <c r="K94" s="93">
        <f>COUNTIFS(Base!$B:$B,F$11,Base!$K:$K,"&lt;"&amp;$B94,Base!$N:$N,"&gt;="&amp;$B94,Base!$O:$O,"&lt;&gt;Finalizado",Base!$O:$O,"&lt;&gt;Congelado") + COUNTIFS(Base!$B:$B,F$11,Base!$K:$K,"&lt;"&amp;$B94,Base!$N:$N,"",Base!$O:$O,"&lt;&gt;Finalizado",Base!$O:$O,"&lt;&gt;Congelado")</f>
        <v>18</v>
      </c>
      <c r="M94" s="133">
        <f t="shared" ref="M94:P94" si="124">C94/H94</f>
        <v>0.4545454545</v>
      </c>
      <c r="N94" s="133">
        <f t="shared" si="124"/>
        <v>0.3076923077</v>
      </c>
      <c r="O94" s="133">
        <f t="shared" si="124"/>
        <v>0.3888888889</v>
      </c>
      <c r="P94" s="133">
        <f t="shared" si="124"/>
        <v>0.2777777778</v>
      </c>
      <c r="Q94" s="133">
        <f t="shared" si="9"/>
        <v>0.3424657534</v>
      </c>
      <c r="S94" s="93">
        <f t="shared" ref="S94:V94" si="125">S93+C94</f>
        <v>113</v>
      </c>
      <c r="T94" s="93">
        <f t="shared" si="125"/>
        <v>302</v>
      </c>
      <c r="U94" s="93">
        <f t="shared" si="125"/>
        <v>339</v>
      </c>
      <c r="V94" s="93">
        <f t="shared" si="125"/>
        <v>240</v>
      </c>
      <c r="W94" s="93">
        <f t="shared" si="11"/>
        <v>994</v>
      </c>
      <c r="Y94" s="133">
        <f>(COUNTIFS(Base!$B:$B,C$11,Base!$S:$S,"&gt;8",Base!$N:$N,"&lt;="&amp;$B94) - COUNTIFS(Base!$B:$B,C$11,Base!$S:$S,"&lt;7",Base!$N:$N,"&lt;="&amp;$B94) - COUNTIFS(Base!$B:$B,C$11,Base!$S:$S,"&lt;7",Base!$K:$K,"&lt;="&amp;$B94,Base!$O:$O,"Finalizado"))/(COUNTIFS(Base!$B:$B,C$11,Base!$S:$S,"&lt;&gt;",Base!$N:$N,"&lt;="&amp;$B94)+COUNTIFS(Base!$B:$B,C$11,Base!$S:$S,"&lt;7",Base!$K:$K,"&lt;="&amp;$B94,Base!$O:$O,"Finalizado"))</f>
        <v>0.6</v>
      </c>
      <c r="Z94" s="133">
        <f>(COUNTIFS(Base!$B:$B,D$11,Base!$S:$S,"&gt;8",Base!$N:$N,"&lt;="&amp;$B94) - COUNTIFS(Base!$B:$B,D$11,Base!$S:$S,"&lt;7",Base!$N:$N,"&lt;="&amp;$B94) - COUNTIFS(Base!$B:$B,D$11,Base!$S:$S,"&lt;7",Base!$K:$K,"&lt;="&amp;$B94,Base!$O:$O,"Finalizado"))/(COUNTIFS(Base!$B:$B,D$11,Base!$S:$S,"&lt;&gt;",Base!$N:$N,"&lt;="&amp;$B94)+COUNTIFS(Base!$B:$B,D$11,Base!$S:$S,"&lt;7",Base!$K:$K,"&lt;="&amp;$B94,Base!$O:$O,"Finalizado"))</f>
        <v>0.8</v>
      </c>
      <c r="AA94" s="133">
        <f>(COUNTIFS(Base!$B:$B,E$11,Base!$S:$S,"&gt;8",Base!$N:$N,"&lt;="&amp;$B94) - COUNTIFS(Base!$B:$B,E$11,Base!$S:$S,"&lt;7",Base!$N:$N,"&lt;="&amp;$B94) - COUNTIFS(Base!$B:$B,E$11,Base!$S:$S,"&lt;7",Base!$K:$K,"&lt;="&amp;$B94,Base!$O:$O,"Finalizado"))/(COUNTIFS(Base!$B:$B,E$11,Base!$S:$S,"&lt;&gt;",Base!$N:$N,"&lt;="&amp;$B94)+COUNTIFS(Base!$B:$B,E$11,Base!$S:$S,"&lt;7",Base!$K:$K,"&lt;="&amp;$B94,Base!$O:$O,"Finalizado"))</f>
        <v>0.5</v>
      </c>
      <c r="AB94" s="133">
        <f t="shared" si="12"/>
        <v>0.6666666667</v>
      </c>
      <c r="AD94" s="93">
        <f>(COUNTIFS(Base!$B:$B,F$11,Base!$S:$S,"&gt;8",Base!$N:$N,"&lt;="&amp;$B94)+(COUNTIFS(Base!$B:$B,F$11,Base!$AG:$AG,"&gt;8",Base!$K:$K,"&lt;="&amp;$B94)))</f>
        <v>4</v>
      </c>
      <c r="AE94" s="93">
        <f>(COUNTIFS(Base!$B:$B,F$11,Base!$S:$S,"&lt;&gt;",Base!$N:$N,"&lt;="&amp;$B94)+(COUNTIFS(Base!$B:$B,F$11,Base!$AG:$AG,"&lt;&gt;",Base!$K:$K,"&lt;="&amp;$B94)+COUNTIFS(Base!$B:$B,F$11,Base!$S:$S,"&lt;7",Base!$K:$K,"&lt;="&amp;$B94,Base!$O:$O,"Finalizado")))</f>
        <v>6</v>
      </c>
      <c r="AF94" s="93">
        <f>COUNTIFS(Base!$B:$B,F$11,Base!$S:$S,"&lt;7",Base!$N:$N,"&lt;="&amp;$B94) +COUNTIFS(Base!$B:$B,F$11,Base!$AG:$AG,"&lt;7",Base!$K:$K,"&lt;="&amp;$B94) + COUNTIFS(Base!$B:$B,F$11,Base!$S:$S,"&lt;7",Base!$K:$K,"&lt;="&amp;$B94,Base!$O:$O,"Finalizado")</f>
        <v>0</v>
      </c>
    </row>
    <row r="95">
      <c r="B95" s="151">
        <f t="shared" si="13"/>
        <v>45350</v>
      </c>
      <c r="C95" s="93">
        <f>COUNTIFS(Base!$B:$B,C$11,Base!$M:$M,"&lt;"&amp;$B95,Base!$N:$N,"&gt;="&amp;$B95,Base!$O:$O,"&lt;&gt;Finalizado",Base!$O:$O,"&lt;&gt;Congelado",Base!$O:$O,"&lt;&gt;Concluindo pendências") + COUNTIFS(Base!$B:$B,C$11,Base!$M:$M,"&lt;"&amp;$B95,Base!$N:$N,"",Base!$O:$O,"&lt;&gt;Finalizado",Base!$O:$O,"&lt;&gt;Congelado",Base!$O:$O,"&lt;&gt;Concluindo pendências")</f>
        <v>4</v>
      </c>
      <c r="D95" s="93">
        <f>COUNTIFS(Base!$B:$B,D$11,Base!$M:$M,"&lt;"&amp;$B95,Base!$N:$N,"&gt;="&amp;$B95,Base!$O:$O,"&lt;&gt;Finalizado",Base!$O:$O,"&lt;&gt;Congelado",Base!$O:$O,"&lt;&gt;Concluindo pendências") + COUNTIFS(Base!$B:$B,D$11,Base!$M:$M,"&lt;"&amp;$B95,Base!$N:$N,"",Base!$O:$O,"&lt;&gt;Finalizado",Base!$O:$O,"&lt;&gt;Congelado",Base!$O:$O,"&lt;&gt;Concluindo pendências")</f>
        <v>8</v>
      </c>
      <c r="E95" s="93">
        <f>COUNTIFS(Base!$B:$B,E$11,Base!$M:$M,"&lt;"&amp;$B95,Base!$N:$N,"&gt;="&amp;$B95,Base!$O:$O,"&lt;&gt;Finalizado",Base!$O:$O,"&lt;&gt;Congelado",Base!$O:$O,"&lt;&gt;Concluindo pendências") + COUNTIFS(Base!$B:$B,E$11,Base!$M:$M,"&lt;"&amp;$B95,Base!$N:$N,"",Base!$O:$O,"&lt;&gt;Finalizado",Base!$O:$O,"&lt;&gt;Congelado",Base!$O:$O,"&lt;&gt;Concluindo pendências")</f>
        <v>7</v>
      </c>
      <c r="F95" s="93">
        <f>COUNTIFS(Base!$B:$B,F$11,Base!$M:$M,"&lt;"&amp;$B95,Base!$N:$N,"&gt;="&amp;$B95,Base!$O:$O,"&lt;&gt;Finalizado",Base!$O:$O,"&lt;&gt;Congelado",Base!$O:$O,"&lt;&gt;Concluindo pendências") + COUNTIFS(Base!$B:$B,F$11,Base!$M:$M,"&lt;"&amp;$B95,Base!$N:$N,"",Base!$O:$O,"&lt;&gt;Finalizado",Base!$O:$O,"&lt;&gt;Congelado",Base!$O:$O,"&lt;&gt;Concluindo pendências")</f>
        <v>5</v>
      </c>
      <c r="H95" s="93">
        <f>COUNTIFS(Base!$B:$B,C$11,Base!$K:$K,"&lt;"&amp;$B95,Base!$N:$N,"&gt;="&amp;$B95,Base!$O:$O,"&lt;&gt;Finalizado",Base!$O:$O,"&lt;&gt;Congelado") + COUNTIFS(Base!$B:$B,C$11,Base!$K:$K,"&lt;"&amp;$B95,Base!$N:$N,"",Base!$O:$O,"&lt;&gt;Finalizado",Base!$O:$O,"&lt;&gt;Congelado")</f>
        <v>10</v>
      </c>
      <c r="I95" s="93">
        <f>COUNTIFS(Base!$B:$B,D$11,Base!$K:$K,"&lt;"&amp;$B95,Base!$N:$N,"&gt;="&amp;$B95,Base!$O:$O,"&lt;&gt;Finalizado",Base!$O:$O,"&lt;&gt;Congelado") + COUNTIFS(Base!$B:$B,D$11,Base!$K:$K,"&lt;"&amp;$B95,Base!$N:$N,"",Base!$O:$O,"&lt;&gt;Finalizado",Base!$O:$O,"&lt;&gt;Congelado")</f>
        <v>26</v>
      </c>
      <c r="J95" s="93">
        <f>COUNTIFS(Base!$B:$B,E$11,Base!$K:$K,"&lt;"&amp;$B95,Base!$N:$N,"&gt;="&amp;$B95,Base!$O:$O,"&lt;&gt;Finalizado",Base!$O:$O,"&lt;&gt;Congelado") + COUNTIFS(Base!$B:$B,E$11,Base!$K:$K,"&lt;"&amp;$B95,Base!$N:$N,"",Base!$O:$O,"&lt;&gt;Finalizado",Base!$O:$O,"&lt;&gt;Congelado")</f>
        <v>18</v>
      </c>
      <c r="K95" s="93">
        <f>COUNTIFS(Base!$B:$B,F$11,Base!$K:$K,"&lt;"&amp;$B95,Base!$N:$N,"&gt;="&amp;$B95,Base!$O:$O,"&lt;&gt;Finalizado",Base!$O:$O,"&lt;&gt;Congelado") + COUNTIFS(Base!$B:$B,F$11,Base!$K:$K,"&lt;"&amp;$B95,Base!$N:$N,"",Base!$O:$O,"&lt;&gt;Finalizado",Base!$O:$O,"&lt;&gt;Congelado")</f>
        <v>18</v>
      </c>
      <c r="M95" s="133">
        <f t="shared" ref="M95:P95" si="126">C95/H95</f>
        <v>0.4</v>
      </c>
      <c r="N95" s="133">
        <f t="shared" si="126"/>
        <v>0.3076923077</v>
      </c>
      <c r="O95" s="133">
        <f t="shared" si="126"/>
        <v>0.3888888889</v>
      </c>
      <c r="P95" s="133">
        <f t="shared" si="126"/>
        <v>0.2777777778</v>
      </c>
      <c r="Q95" s="133">
        <f t="shared" si="9"/>
        <v>0.3333333333</v>
      </c>
      <c r="S95" s="93">
        <f t="shared" ref="S95:V95" si="127">S94+C95</f>
        <v>117</v>
      </c>
      <c r="T95" s="93">
        <f t="shared" si="127"/>
        <v>310</v>
      </c>
      <c r="U95" s="93">
        <f t="shared" si="127"/>
        <v>346</v>
      </c>
      <c r="V95" s="93">
        <f t="shared" si="127"/>
        <v>245</v>
      </c>
      <c r="W95" s="93">
        <f t="shared" si="11"/>
        <v>1018</v>
      </c>
      <c r="Y95" s="133">
        <f>(COUNTIFS(Base!$B:$B,C$11,Base!$S:$S,"&gt;8",Base!$N:$N,"&lt;="&amp;$B95) - COUNTIFS(Base!$B:$B,C$11,Base!$S:$S,"&lt;7",Base!$N:$N,"&lt;="&amp;$B95) - COUNTIFS(Base!$B:$B,C$11,Base!$S:$S,"&lt;7",Base!$K:$K,"&lt;="&amp;$B95,Base!$O:$O,"Finalizado"))/(COUNTIFS(Base!$B:$B,C$11,Base!$S:$S,"&lt;&gt;",Base!$N:$N,"&lt;="&amp;$B95)+COUNTIFS(Base!$B:$B,C$11,Base!$S:$S,"&lt;7",Base!$K:$K,"&lt;="&amp;$B95,Base!$O:$O,"Finalizado"))</f>
        <v>0.6</v>
      </c>
      <c r="Z95" s="133">
        <f>(COUNTIFS(Base!$B:$B,D$11,Base!$S:$S,"&gt;8",Base!$N:$N,"&lt;="&amp;$B95) - COUNTIFS(Base!$B:$B,D$11,Base!$S:$S,"&lt;7",Base!$N:$N,"&lt;="&amp;$B95) - COUNTIFS(Base!$B:$B,D$11,Base!$S:$S,"&lt;7",Base!$K:$K,"&lt;="&amp;$B95,Base!$O:$O,"Finalizado"))/(COUNTIFS(Base!$B:$B,D$11,Base!$S:$S,"&lt;&gt;",Base!$N:$N,"&lt;="&amp;$B95)+COUNTIFS(Base!$B:$B,D$11,Base!$S:$S,"&lt;7",Base!$K:$K,"&lt;="&amp;$B95,Base!$O:$O,"Finalizado"))</f>
        <v>0.8</v>
      </c>
      <c r="AA95" s="133">
        <f>(COUNTIFS(Base!$B:$B,E$11,Base!$S:$S,"&gt;8",Base!$N:$N,"&lt;="&amp;$B95) - COUNTIFS(Base!$B:$B,E$11,Base!$S:$S,"&lt;7",Base!$N:$N,"&lt;="&amp;$B95) - COUNTIFS(Base!$B:$B,E$11,Base!$S:$S,"&lt;7",Base!$K:$K,"&lt;="&amp;$B95,Base!$O:$O,"Finalizado"))/(COUNTIFS(Base!$B:$B,E$11,Base!$S:$S,"&lt;&gt;",Base!$N:$N,"&lt;="&amp;$B95)+COUNTIFS(Base!$B:$B,E$11,Base!$S:$S,"&lt;7",Base!$K:$K,"&lt;="&amp;$B95,Base!$O:$O,"Finalizado"))</f>
        <v>0.5</v>
      </c>
      <c r="AB95" s="133">
        <f t="shared" si="12"/>
        <v>0.6666666667</v>
      </c>
      <c r="AD95" s="93">
        <f>(COUNTIFS(Base!$B:$B,F$11,Base!$S:$S,"&gt;8",Base!$N:$N,"&lt;="&amp;$B95)+(COUNTIFS(Base!$B:$B,F$11,Base!$AG:$AG,"&gt;8",Base!$K:$K,"&lt;="&amp;$B95)))</f>
        <v>4</v>
      </c>
      <c r="AE95" s="93">
        <f>(COUNTIFS(Base!$B:$B,F$11,Base!$S:$S,"&lt;&gt;",Base!$N:$N,"&lt;="&amp;$B95)+(COUNTIFS(Base!$B:$B,F$11,Base!$AG:$AG,"&lt;&gt;",Base!$K:$K,"&lt;="&amp;$B95)+COUNTIFS(Base!$B:$B,F$11,Base!$S:$S,"&lt;7",Base!$K:$K,"&lt;="&amp;$B95,Base!$O:$O,"Finalizado")))</f>
        <v>6</v>
      </c>
      <c r="AF95" s="93">
        <f>COUNTIFS(Base!$B:$B,F$11,Base!$S:$S,"&lt;7",Base!$N:$N,"&lt;="&amp;$B95) +COUNTIFS(Base!$B:$B,F$11,Base!$AG:$AG,"&lt;7",Base!$K:$K,"&lt;="&amp;$B95) + COUNTIFS(Base!$B:$B,F$11,Base!$S:$S,"&lt;7",Base!$K:$K,"&lt;="&amp;$B95,Base!$O:$O,"Finalizado")</f>
        <v>0</v>
      </c>
    </row>
    <row r="96">
      <c r="B96" s="151">
        <f t="shared" si="13"/>
        <v>45351</v>
      </c>
      <c r="C96" s="93">
        <f>COUNTIFS(Base!$B:$B,C$11,Base!$M:$M,"&lt;"&amp;$B96,Base!$N:$N,"&gt;="&amp;$B96,Base!$O:$O,"&lt;&gt;Finalizado",Base!$O:$O,"&lt;&gt;Congelado",Base!$O:$O,"&lt;&gt;Concluindo pendências") + COUNTIFS(Base!$B:$B,C$11,Base!$M:$M,"&lt;"&amp;$B96,Base!$N:$N,"",Base!$O:$O,"&lt;&gt;Finalizado",Base!$O:$O,"&lt;&gt;Congelado",Base!$O:$O,"&lt;&gt;Concluindo pendências")</f>
        <v>4</v>
      </c>
      <c r="D96" s="93">
        <f>COUNTIFS(Base!$B:$B,D$11,Base!$M:$M,"&lt;"&amp;$B96,Base!$N:$N,"&gt;="&amp;$B96,Base!$O:$O,"&lt;&gt;Finalizado",Base!$O:$O,"&lt;&gt;Congelado",Base!$O:$O,"&lt;&gt;Concluindo pendências") + COUNTIFS(Base!$B:$B,D$11,Base!$M:$M,"&lt;"&amp;$B96,Base!$N:$N,"",Base!$O:$O,"&lt;&gt;Finalizado",Base!$O:$O,"&lt;&gt;Congelado",Base!$O:$O,"&lt;&gt;Concluindo pendências")</f>
        <v>9</v>
      </c>
      <c r="E96" s="93">
        <f>COUNTIFS(Base!$B:$B,E$11,Base!$M:$M,"&lt;"&amp;$B96,Base!$N:$N,"&gt;="&amp;$B96,Base!$O:$O,"&lt;&gt;Finalizado",Base!$O:$O,"&lt;&gt;Congelado",Base!$O:$O,"&lt;&gt;Concluindo pendências") + COUNTIFS(Base!$B:$B,E$11,Base!$M:$M,"&lt;"&amp;$B96,Base!$N:$N,"",Base!$O:$O,"&lt;&gt;Finalizado",Base!$O:$O,"&lt;&gt;Congelado",Base!$O:$O,"&lt;&gt;Concluindo pendências")</f>
        <v>7</v>
      </c>
      <c r="F96" s="93">
        <f>COUNTIFS(Base!$B:$B,F$11,Base!$M:$M,"&lt;"&amp;$B96,Base!$N:$N,"&gt;="&amp;$B96,Base!$O:$O,"&lt;&gt;Finalizado",Base!$O:$O,"&lt;&gt;Congelado",Base!$O:$O,"&lt;&gt;Concluindo pendências") + COUNTIFS(Base!$B:$B,F$11,Base!$M:$M,"&lt;"&amp;$B96,Base!$N:$N,"",Base!$O:$O,"&lt;&gt;Finalizado",Base!$O:$O,"&lt;&gt;Congelado",Base!$O:$O,"&lt;&gt;Concluindo pendências")</f>
        <v>5</v>
      </c>
      <c r="H96" s="93">
        <f>COUNTIFS(Base!$B:$B,C$11,Base!$K:$K,"&lt;"&amp;$B96,Base!$N:$N,"&gt;="&amp;$B96,Base!$O:$O,"&lt;&gt;Finalizado",Base!$O:$O,"&lt;&gt;Congelado") + COUNTIFS(Base!$B:$B,C$11,Base!$K:$K,"&lt;"&amp;$B96,Base!$N:$N,"",Base!$O:$O,"&lt;&gt;Finalizado",Base!$O:$O,"&lt;&gt;Congelado")</f>
        <v>10</v>
      </c>
      <c r="I96" s="93">
        <f>COUNTIFS(Base!$B:$B,D$11,Base!$K:$K,"&lt;"&amp;$B96,Base!$N:$N,"&gt;="&amp;$B96,Base!$O:$O,"&lt;&gt;Finalizado",Base!$O:$O,"&lt;&gt;Congelado") + COUNTIFS(Base!$B:$B,D$11,Base!$K:$K,"&lt;"&amp;$B96,Base!$N:$N,"",Base!$O:$O,"&lt;&gt;Finalizado",Base!$O:$O,"&lt;&gt;Congelado")</f>
        <v>26</v>
      </c>
      <c r="J96" s="93">
        <f>COUNTIFS(Base!$B:$B,E$11,Base!$K:$K,"&lt;"&amp;$B96,Base!$N:$N,"&gt;="&amp;$B96,Base!$O:$O,"&lt;&gt;Finalizado",Base!$O:$O,"&lt;&gt;Congelado") + COUNTIFS(Base!$B:$B,E$11,Base!$K:$K,"&lt;"&amp;$B96,Base!$N:$N,"",Base!$O:$O,"&lt;&gt;Finalizado",Base!$O:$O,"&lt;&gt;Congelado")</f>
        <v>18</v>
      </c>
      <c r="K96" s="93">
        <f>COUNTIFS(Base!$B:$B,F$11,Base!$K:$K,"&lt;"&amp;$B96,Base!$N:$N,"&gt;="&amp;$B96,Base!$O:$O,"&lt;&gt;Finalizado",Base!$O:$O,"&lt;&gt;Congelado") + COUNTIFS(Base!$B:$B,F$11,Base!$K:$K,"&lt;"&amp;$B96,Base!$N:$N,"",Base!$O:$O,"&lt;&gt;Finalizado",Base!$O:$O,"&lt;&gt;Congelado")</f>
        <v>19</v>
      </c>
      <c r="M96" s="133">
        <f t="shared" ref="M96:P96" si="128">C96/H96</f>
        <v>0.4</v>
      </c>
      <c r="N96" s="133">
        <f t="shared" si="128"/>
        <v>0.3461538462</v>
      </c>
      <c r="O96" s="133">
        <f t="shared" si="128"/>
        <v>0.3888888889</v>
      </c>
      <c r="P96" s="133">
        <f t="shared" si="128"/>
        <v>0.2631578947</v>
      </c>
      <c r="Q96" s="133">
        <f t="shared" si="9"/>
        <v>0.3424657534</v>
      </c>
      <c r="S96" s="93">
        <f t="shared" ref="S96:V96" si="129">S95+C96</f>
        <v>121</v>
      </c>
      <c r="T96" s="93">
        <f t="shared" si="129"/>
        <v>319</v>
      </c>
      <c r="U96" s="93">
        <f t="shared" si="129"/>
        <v>353</v>
      </c>
      <c r="V96" s="93">
        <f t="shared" si="129"/>
        <v>250</v>
      </c>
      <c r="W96" s="93">
        <f t="shared" si="11"/>
        <v>1043</v>
      </c>
      <c r="Y96" s="133">
        <f>(COUNTIFS(Base!$B:$B,C$11,Base!$S:$S,"&gt;8",Base!$N:$N,"&lt;="&amp;$B96) - COUNTIFS(Base!$B:$B,C$11,Base!$S:$S,"&lt;7",Base!$N:$N,"&lt;="&amp;$B96) - COUNTIFS(Base!$B:$B,C$11,Base!$S:$S,"&lt;7",Base!$K:$K,"&lt;="&amp;$B96,Base!$O:$O,"Finalizado"))/(COUNTIFS(Base!$B:$B,C$11,Base!$S:$S,"&lt;&gt;",Base!$N:$N,"&lt;="&amp;$B96)+COUNTIFS(Base!$B:$B,C$11,Base!$S:$S,"&lt;7",Base!$K:$K,"&lt;="&amp;$B96,Base!$O:$O,"Finalizado"))</f>
        <v>0.6</v>
      </c>
      <c r="Z96" s="133">
        <f>(COUNTIFS(Base!$B:$B,D$11,Base!$S:$S,"&gt;8",Base!$N:$N,"&lt;="&amp;$B96) - COUNTIFS(Base!$B:$B,D$11,Base!$S:$S,"&lt;7",Base!$N:$N,"&lt;="&amp;$B96) - COUNTIFS(Base!$B:$B,D$11,Base!$S:$S,"&lt;7",Base!$K:$K,"&lt;="&amp;$B96,Base!$O:$O,"Finalizado"))/(COUNTIFS(Base!$B:$B,D$11,Base!$S:$S,"&lt;&gt;",Base!$N:$N,"&lt;="&amp;$B96)+COUNTIFS(Base!$B:$B,D$11,Base!$S:$S,"&lt;7",Base!$K:$K,"&lt;="&amp;$B96,Base!$O:$O,"Finalizado"))</f>
        <v>0.8181818182</v>
      </c>
      <c r="AA96" s="133">
        <f>(COUNTIFS(Base!$B:$B,E$11,Base!$S:$S,"&gt;8",Base!$N:$N,"&lt;="&amp;$B96) - COUNTIFS(Base!$B:$B,E$11,Base!$S:$S,"&lt;7",Base!$N:$N,"&lt;="&amp;$B96) - COUNTIFS(Base!$B:$B,E$11,Base!$S:$S,"&lt;7",Base!$K:$K,"&lt;="&amp;$B96,Base!$O:$O,"Finalizado"))/(COUNTIFS(Base!$B:$B,E$11,Base!$S:$S,"&lt;&gt;",Base!$N:$N,"&lt;="&amp;$B96)+COUNTIFS(Base!$B:$B,E$11,Base!$S:$S,"&lt;7",Base!$K:$K,"&lt;="&amp;$B96,Base!$O:$O,"Finalizado"))</f>
        <v>0.5</v>
      </c>
      <c r="AB96" s="133">
        <f t="shared" si="12"/>
        <v>0.6666666667</v>
      </c>
      <c r="AD96" s="93">
        <f>(COUNTIFS(Base!$B:$B,F$11,Base!$S:$S,"&gt;8",Base!$N:$N,"&lt;="&amp;$B96)+(COUNTIFS(Base!$B:$B,F$11,Base!$AG:$AG,"&gt;8",Base!$K:$K,"&lt;="&amp;$B96)))</f>
        <v>4</v>
      </c>
      <c r="AE96" s="93">
        <f>(COUNTIFS(Base!$B:$B,F$11,Base!$S:$S,"&lt;&gt;",Base!$N:$N,"&lt;="&amp;$B96)+(COUNTIFS(Base!$B:$B,F$11,Base!$AG:$AG,"&lt;&gt;",Base!$K:$K,"&lt;="&amp;$B96)+COUNTIFS(Base!$B:$B,F$11,Base!$S:$S,"&lt;7",Base!$K:$K,"&lt;="&amp;$B96,Base!$O:$O,"Finalizado")))</f>
        <v>6</v>
      </c>
      <c r="AF96" s="93">
        <f>COUNTIFS(Base!$B:$B,F$11,Base!$S:$S,"&lt;7",Base!$N:$N,"&lt;="&amp;$B96) +COUNTIFS(Base!$B:$B,F$11,Base!$AG:$AG,"&lt;7",Base!$K:$K,"&lt;="&amp;$B96) + COUNTIFS(Base!$B:$B,F$11,Base!$S:$S,"&lt;7",Base!$K:$K,"&lt;="&amp;$B96,Base!$O:$O,"Finalizado")</f>
        <v>0</v>
      </c>
    </row>
    <row r="97">
      <c r="B97" s="151">
        <f t="shared" si="13"/>
        <v>45352</v>
      </c>
      <c r="C97" s="93">
        <f>COUNTIFS(Base!$B:$B,C$11,Base!$M:$M,"&lt;"&amp;$B97,Base!$N:$N,"&gt;="&amp;$B97,Base!$O:$O,"&lt;&gt;Finalizado",Base!$O:$O,"&lt;&gt;Congelado",Base!$O:$O,"&lt;&gt;Concluindo pendências") + COUNTIFS(Base!$B:$B,C$11,Base!$M:$M,"&lt;"&amp;$B97,Base!$N:$N,"",Base!$O:$O,"&lt;&gt;Finalizado",Base!$O:$O,"&lt;&gt;Congelado",Base!$O:$O,"&lt;&gt;Concluindo pendências")</f>
        <v>4</v>
      </c>
      <c r="D97" s="93">
        <f>COUNTIFS(Base!$B:$B,D$11,Base!$M:$M,"&lt;"&amp;$B97,Base!$N:$N,"&gt;="&amp;$B97,Base!$O:$O,"&lt;&gt;Finalizado",Base!$O:$O,"&lt;&gt;Congelado",Base!$O:$O,"&lt;&gt;Concluindo pendências") + COUNTIFS(Base!$B:$B,D$11,Base!$M:$M,"&lt;"&amp;$B97,Base!$N:$N,"",Base!$O:$O,"&lt;&gt;Finalizado",Base!$O:$O,"&lt;&gt;Congelado",Base!$O:$O,"&lt;&gt;Concluindo pendências")</f>
        <v>9</v>
      </c>
      <c r="E97" s="93">
        <f>COUNTIFS(Base!$B:$B,E$11,Base!$M:$M,"&lt;"&amp;$B97,Base!$N:$N,"&gt;="&amp;$B97,Base!$O:$O,"&lt;&gt;Finalizado",Base!$O:$O,"&lt;&gt;Congelado",Base!$O:$O,"&lt;&gt;Concluindo pendências") + COUNTIFS(Base!$B:$B,E$11,Base!$M:$M,"&lt;"&amp;$B97,Base!$N:$N,"",Base!$O:$O,"&lt;&gt;Finalizado",Base!$O:$O,"&lt;&gt;Congelado",Base!$O:$O,"&lt;&gt;Concluindo pendências")</f>
        <v>7</v>
      </c>
      <c r="F97" s="93">
        <f>COUNTIFS(Base!$B:$B,F$11,Base!$M:$M,"&lt;"&amp;$B97,Base!$N:$N,"&gt;="&amp;$B97,Base!$O:$O,"&lt;&gt;Finalizado",Base!$O:$O,"&lt;&gt;Congelado",Base!$O:$O,"&lt;&gt;Concluindo pendências") + COUNTIFS(Base!$B:$B,F$11,Base!$M:$M,"&lt;"&amp;$B97,Base!$N:$N,"",Base!$O:$O,"&lt;&gt;Finalizado",Base!$O:$O,"&lt;&gt;Congelado",Base!$O:$O,"&lt;&gt;Concluindo pendências")</f>
        <v>5</v>
      </c>
      <c r="H97" s="93">
        <f>COUNTIFS(Base!$B:$B,C$11,Base!$K:$K,"&lt;"&amp;$B97,Base!$N:$N,"&gt;="&amp;$B97,Base!$O:$O,"&lt;&gt;Finalizado",Base!$O:$O,"&lt;&gt;Congelado") + COUNTIFS(Base!$B:$B,C$11,Base!$K:$K,"&lt;"&amp;$B97,Base!$N:$N,"",Base!$O:$O,"&lt;&gt;Finalizado",Base!$O:$O,"&lt;&gt;Congelado")</f>
        <v>10</v>
      </c>
      <c r="I97" s="93">
        <f>COUNTIFS(Base!$B:$B,D$11,Base!$K:$K,"&lt;"&amp;$B97,Base!$N:$N,"&gt;="&amp;$B97,Base!$O:$O,"&lt;&gt;Finalizado",Base!$O:$O,"&lt;&gt;Congelado") + COUNTIFS(Base!$B:$B,D$11,Base!$K:$K,"&lt;"&amp;$B97,Base!$N:$N,"",Base!$O:$O,"&lt;&gt;Finalizado",Base!$O:$O,"&lt;&gt;Congelado")</f>
        <v>25</v>
      </c>
      <c r="J97" s="93">
        <f>COUNTIFS(Base!$B:$B,E$11,Base!$K:$K,"&lt;"&amp;$B97,Base!$N:$N,"&gt;="&amp;$B97,Base!$O:$O,"&lt;&gt;Finalizado",Base!$O:$O,"&lt;&gt;Congelado") + COUNTIFS(Base!$B:$B,E$11,Base!$K:$K,"&lt;"&amp;$B97,Base!$N:$N,"",Base!$O:$O,"&lt;&gt;Finalizado",Base!$O:$O,"&lt;&gt;Congelado")</f>
        <v>18</v>
      </c>
      <c r="K97" s="93">
        <f>COUNTIFS(Base!$B:$B,F$11,Base!$K:$K,"&lt;"&amp;$B97,Base!$N:$N,"&gt;="&amp;$B97,Base!$O:$O,"&lt;&gt;Finalizado",Base!$O:$O,"&lt;&gt;Congelado") + COUNTIFS(Base!$B:$B,F$11,Base!$K:$K,"&lt;"&amp;$B97,Base!$N:$N,"",Base!$O:$O,"&lt;&gt;Finalizado",Base!$O:$O,"&lt;&gt;Congelado")</f>
        <v>19</v>
      </c>
      <c r="M97" s="133">
        <f t="shared" ref="M97:P97" si="130">C97/H97</f>
        <v>0.4</v>
      </c>
      <c r="N97" s="133">
        <f t="shared" si="130"/>
        <v>0.36</v>
      </c>
      <c r="O97" s="133">
        <f t="shared" si="130"/>
        <v>0.3888888889</v>
      </c>
      <c r="P97" s="133">
        <f t="shared" si="130"/>
        <v>0.2631578947</v>
      </c>
      <c r="Q97" s="133">
        <f t="shared" si="9"/>
        <v>0.3472222222</v>
      </c>
      <c r="S97" s="93">
        <f t="shared" ref="S97:V97" si="131">S96+C97</f>
        <v>125</v>
      </c>
      <c r="T97" s="93">
        <f t="shared" si="131"/>
        <v>328</v>
      </c>
      <c r="U97" s="93">
        <f t="shared" si="131"/>
        <v>360</v>
      </c>
      <c r="V97" s="93">
        <f t="shared" si="131"/>
        <v>255</v>
      </c>
      <c r="W97" s="93">
        <f t="shared" si="11"/>
        <v>1068</v>
      </c>
      <c r="Y97" s="133">
        <f>(COUNTIFS(Base!$B:$B,C$11,Base!$S:$S,"&gt;8",Base!$N:$N,"&lt;="&amp;$B97) - COUNTIFS(Base!$B:$B,C$11,Base!$S:$S,"&lt;7",Base!$N:$N,"&lt;="&amp;$B97) - COUNTIFS(Base!$B:$B,C$11,Base!$S:$S,"&lt;7",Base!$K:$K,"&lt;="&amp;$B97,Base!$O:$O,"Finalizado"))/(COUNTIFS(Base!$B:$B,C$11,Base!$S:$S,"&lt;&gt;",Base!$N:$N,"&lt;="&amp;$B97)+COUNTIFS(Base!$B:$B,C$11,Base!$S:$S,"&lt;7",Base!$K:$K,"&lt;="&amp;$B97,Base!$O:$O,"Finalizado"))</f>
        <v>0.6</v>
      </c>
      <c r="Z97" s="133">
        <f>(COUNTIFS(Base!$B:$B,D$11,Base!$S:$S,"&gt;8",Base!$N:$N,"&lt;="&amp;$B97) - COUNTIFS(Base!$B:$B,D$11,Base!$S:$S,"&lt;7",Base!$N:$N,"&lt;="&amp;$B97) - COUNTIFS(Base!$B:$B,D$11,Base!$S:$S,"&lt;7",Base!$K:$K,"&lt;="&amp;$B97,Base!$O:$O,"Finalizado"))/(COUNTIFS(Base!$B:$B,D$11,Base!$S:$S,"&lt;&gt;",Base!$N:$N,"&lt;="&amp;$B97)+COUNTIFS(Base!$B:$B,D$11,Base!$S:$S,"&lt;7",Base!$K:$K,"&lt;="&amp;$B97,Base!$O:$O,"Finalizado"))</f>
        <v>0.8181818182</v>
      </c>
      <c r="AA97" s="133">
        <f>(COUNTIFS(Base!$B:$B,E$11,Base!$S:$S,"&gt;8",Base!$N:$N,"&lt;="&amp;$B97) - COUNTIFS(Base!$B:$B,E$11,Base!$S:$S,"&lt;7",Base!$N:$N,"&lt;="&amp;$B97) - COUNTIFS(Base!$B:$B,E$11,Base!$S:$S,"&lt;7",Base!$K:$K,"&lt;="&amp;$B97,Base!$O:$O,"Finalizado"))/(COUNTIFS(Base!$B:$B,E$11,Base!$S:$S,"&lt;&gt;",Base!$N:$N,"&lt;="&amp;$B97)+COUNTIFS(Base!$B:$B,E$11,Base!$S:$S,"&lt;7",Base!$K:$K,"&lt;="&amp;$B97,Base!$O:$O,"Finalizado"))</f>
        <v>0.5714285714</v>
      </c>
      <c r="AB97" s="133">
        <f t="shared" si="12"/>
        <v>0.6666666667</v>
      </c>
      <c r="AD97" s="93">
        <f>(COUNTIFS(Base!$B:$B,F$11,Base!$S:$S,"&gt;8",Base!$N:$N,"&lt;="&amp;$B97)+(COUNTIFS(Base!$B:$B,F$11,Base!$AG:$AG,"&gt;8",Base!$K:$K,"&lt;="&amp;$B97)))</f>
        <v>4</v>
      </c>
      <c r="AE97" s="93">
        <f>(COUNTIFS(Base!$B:$B,F$11,Base!$S:$S,"&lt;&gt;",Base!$N:$N,"&lt;="&amp;$B97)+(COUNTIFS(Base!$B:$B,F$11,Base!$AG:$AG,"&lt;&gt;",Base!$K:$K,"&lt;="&amp;$B97)+COUNTIFS(Base!$B:$B,F$11,Base!$S:$S,"&lt;7",Base!$K:$K,"&lt;="&amp;$B97,Base!$O:$O,"Finalizado")))</f>
        <v>6</v>
      </c>
      <c r="AF97" s="93">
        <f>COUNTIFS(Base!$B:$B,F$11,Base!$S:$S,"&lt;7",Base!$N:$N,"&lt;="&amp;$B97) +COUNTIFS(Base!$B:$B,F$11,Base!$AG:$AG,"&lt;7",Base!$K:$K,"&lt;="&amp;$B97) + COUNTIFS(Base!$B:$B,F$11,Base!$S:$S,"&lt;7",Base!$K:$K,"&lt;="&amp;$B97,Base!$O:$O,"Finalizado")</f>
        <v>0</v>
      </c>
    </row>
    <row r="98">
      <c r="B98" s="151">
        <f t="shared" si="13"/>
        <v>45353</v>
      </c>
      <c r="C98" s="93">
        <f>COUNTIFS(Base!$B:$B,C$11,Base!$M:$M,"&lt;"&amp;$B98,Base!$N:$N,"&gt;="&amp;$B98,Base!$O:$O,"&lt;&gt;Finalizado",Base!$O:$O,"&lt;&gt;Congelado",Base!$O:$O,"&lt;&gt;Concluindo pendências") + COUNTIFS(Base!$B:$B,C$11,Base!$M:$M,"&lt;"&amp;$B98,Base!$N:$N,"",Base!$O:$O,"&lt;&gt;Finalizado",Base!$O:$O,"&lt;&gt;Congelado",Base!$O:$O,"&lt;&gt;Concluindo pendências")</f>
        <v>4</v>
      </c>
      <c r="D98" s="93">
        <f>COUNTIFS(Base!$B:$B,D$11,Base!$M:$M,"&lt;"&amp;$B98,Base!$N:$N,"&gt;="&amp;$B98,Base!$O:$O,"&lt;&gt;Finalizado",Base!$O:$O,"&lt;&gt;Congelado",Base!$O:$O,"&lt;&gt;Concluindo pendências") + COUNTIFS(Base!$B:$B,D$11,Base!$M:$M,"&lt;"&amp;$B98,Base!$N:$N,"",Base!$O:$O,"&lt;&gt;Finalizado",Base!$O:$O,"&lt;&gt;Congelado",Base!$O:$O,"&lt;&gt;Concluindo pendências")</f>
        <v>9</v>
      </c>
      <c r="E98" s="93">
        <f>COUNTIFS(Base!$B:$B,E$11,Base!$M:$M,"&lt;"&amp;$B98,Base!$N:$N,"&gt;="&amp;$B98,Base!$O:$O,"&lt;&gt;Finalizado",Base!$O:$O,"&lt;&gt;Congelado",Base!$O:$O,"&lt;&gt;Concluindo pendências") + COUNTIFS(Base!$B:$B,E$11,Base!$M:$M,"&lt;"&amp;$B98,Base!$N:$N,"",Base!$O:$O,"&lt;&gt;Finalizado",Base!$O:$O,"&lt;&gt;Congelado",Base!$O:$O,"&lt;&gt;Concluindo pendências")</f>
        <v>6</v>
      </c>
      <c r="F98" s="93">
        <f>COUNTIFS(Base!$B:$B,F$11,Base!$M:$M,"&lt;"&amp;$B98,Base!$N:$N,"&gt;="&amp;$B98,Base!$O:$O,"&lt;&gt;Finalizado",Base!$O:$O,"&lt;&gt;Congelado",Base!$O:$O,"&lt;&gt;Concluindo pendências") + COUNTIFS(Base!$B:$B,F$11,Base!$M:$M,"&lt;"&amp;$B98,Base!$N:$N,"",Base!$O:$O,"&lt;&gt;Finalizado",Base!$O:$O,"&lt;&gt;Congelado",Base!$O:$O,"&lt;&gt;Concluindo pendências")</f>
        <v>5</v>
      </c>
      <c r="H98" s="93">
        <f>COUNTIFS(Base!$B:$B,C$11,Base!$K:$K,"&lt;"&amp;$B98,Base!$N:$N,"&gt;="&amp;$B98,Base!$O:$O,"&lt;&gt;Finalizado",Base!$O:$O,"&lt;&gt;Congelado") + COUNTIFS(Base!$B:$B,C$11,Base!$K:$K,"&lt;"&amp;$B98,Base!$N:$N,"",Base!$O:$O,"&lt;&gt;Finalizado",Base!$O:$O,"&lt;&gt;Congelado")</f>
        <v>10</v>
      </c>
      <c r="I98" s="93">
        <f>COUNTIFS(Base!$B:$B,D$11,Base!$K:$K,"&lt;"&amp;$B98,Base!$N:$N,"&gt;="&amp;$B98,Base!$O:$O,"&lt;&gt;Finalizado",Base!$O:$O,"&lt;&gt;Congelado") + COUNTIFS(Base!$B:$B,D$11,Base!$K:$K,"&lt;"&amp;$B98,Base!$N:$N,"",Base!$O:$O,"&lt;&gt;Finalizado",Base!$O:$O,"&lt;&gt;Congelado")</f>
        <v>25</v>
      </c>
      <c r="J98" s="93">
        <f>COUNTIFS(Base!$B:$B,E$11,Base!$K:$K,"&lt;"&amp;$B98,Base!$N:$N,"&gt;="&amp;$B98,Base!$O:$O,"&lt;&gt;Finalizado",Base!$O:$O,"&lt;&gt;Congelado") + COUNTIFS(Base!$B:$B,E$11,Base!$K:$K,"&lt;"&amp;$B98,Base!$N:$N,"",Base!$O:$O,"&lt;&gt;Finalizado",Base!$O:$O,"&lt;&gt;Congelado")</f>
        <v>18</v>
      </c>
      <c r="K98" s="93">
        <f>COUNTIFS(Base!$B:$B,F$11,Base!$K:$K,"&lt;"&amp;$B98,Base!$N:$N,"&gt;="&amp;$B98,Base!$O:$O,"&lt;&gt;Finalizado",Base!$O:$O,"&lt;&gt;Congelado") + COUNTIFS(Base!$B:$B,F$11,Base!$K:$K,"&lt;"&amp;$B98,Base!$N:$N,"",Base!$O:$O,"&lt;&gt;Finalizado",Base!$O:$O,"&lt;&gt;Congelado")</f>
        <v>19</v>
      </c>
      <c r="M98" s="133">
        <f t="shared" ref="M98:P98" si="132">C98/H98</f>
        <v>0.4</v>
      </c>
      <c r="N98" s="133">
        <f t="shared" si="132"/>
        <v>0.36</v>
      </c>
      <c r="O98" s="133">
        <f t="shared" si="132"/>
        <v>0.3333333333</v>
      </c>
      <c r="P98" s="133">
        <f t="shared" si="132"/>
        <v>0.2631578947</v>
      </c>
      <c r="Q98" s="133">
        <f t="shared" si="9"/>
        <v>0.3333333333</v>
      </c>
      <c r="S98" s="93">
        <f t="shared" ref="S98:V98" si="133">S97+C98</f>
        <v>129</v>
      </c>
      <c r="T98" s="93">
        <f t="shared" si="133"/>
        <v>337</v>
      </c>
      <c r="U98" s="93">
        <f t="shared" si="133"/>
        <v>366</v>
      </c>
      <c r="V98" s="93">
        <f t="shared" si="133"/>
        <v>260</v>
      </c>
      <c r="W98" s="93">
        <f t="shared" si="11"/>
        <v>1092</v>
      </c>
      <c r="Y98" s="133">
        <f>(COUNTIFS(Base!$B:$B,C$11,Base!$S:$S,"&gt;8",Base!$N:$N,"&lt;="&amp;$B98) - COUNTIFS(Base!$B:$B,C$11,Base!$S:$S,"&lt;7",Base!$N:$N,"&lt;="&amp;$B98) - COUNTIFS(Base!$B:$B,C$11,Base!$S:$S,"&lt;7",Base!$K:$K,"&lt;="&amp;$B98,Base!$O:$O,"Finalizado"))/(COUNTIFS(Base!$B:$B,C$11,Base!$S:$S,"&lt;&gt;",Base!$N:$N,"&lt;="&amp;$B98)+COUNTIFS(Base!$B:$B,C$11,Base!$S:$S,"&lt;7",Base!$K:$K,"&lt;="&amp;$B98,Base!$O:$O,"Finalizado"))</f>
        <v>0.6</v>
      </c>
      <c r="Z98" s="133">
        <f>(COUNTIFS(Base!$B:$B,D$11,Base!$S:$S,"&gt;8",Base!$N:$N,"&lt;="&amp;$B98) - COUNTIFS(Base!$B:$B,D$11,Base!$S:$S,"&lt;7",Base!$N:$N,"&lt;="&amp;$B98) - COUNTIFS(Base!$B:$B,D$11,Base!$S:$S,"&lt;7",Base!$K:$K,"&lt;="&amp;$B98,Base!$O:$O,"Finalizado"))/(COUNTIFS(Base!$B:$B,D$11,Base!$S:$S,"&lt;&gt;",Base!$N:$N,"&lt;="&amp;$B98)+COUNTIFS(Base!$B:$B,D$11,Base!$S:$S,"&lt;7",Base!$K:$K,"&lt;="&amp;$B98,Base!$O:$O,"Finalizado"))</f>
        <v>0.8181818182</v>
      </c>
      <c r="AA98" s="133">
        <f>(COUNTIFS(Base!$B:$B,E$11,Base!$S:$S,"&gt;8",Base!$N:$N,"&lt;="&amp;$B98) - COUNTIFS(Base!$B:$B,E$11,Base!$S:$S,"&lt;7",Base!$N:$N,"&lt;="&amp;$B98) - COUNTIFS(Base!$B:$B,E$11,Base!$S:$S,"&lt;7",Base!$K:$K,"&lt;="&amp;$B98,Base!$O:$O,"Finalizado"))/(COUNTIFS(Base!$B:$B,E$11,Base!$S:$S,"&lt;&gt;",Base!$N:$N,"&lt;="&amp;$B98)+COUNTIFS(Base!$B:$B,E$11,Base!$S:$S,"&lt;7",Base!$K:$K,"&lt;="&amp;$B98,Base!$O:$O,"Finalizado"))</f>
        <v>0.5714285714</v>
      </c>
      <c r="AB98" s="133">
        <f t="shared" si="12"/>
        <v>0.6666666667</v>
      </c>
      <c r="AD98" s="93">
        <f>(COUNTIFS(Base!$B:$B,F$11,Base!$S:$S,"&gt;8",Base!$N:$N,"&lt;="&amp;$B98)+(COUNTIFS(Base!$B:$B,F$11,Base!$AG:$AG,"&gt;8",Base!$K:$K,"&lt;="&amp;$B98)))</f>
        <v>4</v>
      </c>
      <c r="AE98" s="93">
        <f>(COUNTIFS(Base!$B:$B,F$11,Base!$S:$S,"&lt;&gt;",Base!$N:$N,"&lt;="&amp;$B98)+(COUNTIFS(Base!$B:$B,F$11,Base!$AG:$AG,"&lt;&gt;",Base!$K:$K,"&lt;="&amp;$B98)+COUNTIFS(Base!$B:$B,F$11,Base!$S:$S,"&lt;7",Base!$K:$K,"&lt;="&amp;$B98,Base!$O:$O,"Finalizado")))</f>
        <v>6</v>
      </c>
      <c r="AF98" s="93">
        <f>COUNTIFS(Base!$B:$B,F$11,Base!$S:$S,"&lt;7",Base!$N:$N,"&lt;="&amp;$B98) +COUNTIFS(Base!$B:$B,F$11,Base!$AG:$AG,"&lt;7",Base!$K:$K,"&lt;="&amp;$B98) + COUNTIFS(Base!$B:$B,F$11,Base!$S:$S,"&lt;7",Base!$K:$K,"&lt;="&amp;$B98,Base!$O:$O,"Finalizado")</f>
        <v>0</v>
      </c>
    </row>
    <row r="99">
      <c r="B99" s="151">
        <f t="shared" si="13"/>
        <v>45354</v>
      </c>
      <c r="C99" s="93">
        <f>COUNTIFS(Base!$B:$B,C$11,Base!$M:$M,"&lt;"&amp;$B99,Base!$N:$N,"&gt;="&amp;$B99,Base!$O:$O,"&lt;&gt;Finalizado",Base!$O:$O,"&lt;&gt;Congelado",Base!$O:$O,"&lt;&gt;Concluindo pendências") + COUNTIFS(Base!$B:$B,C$11,Base!$M:$M,"&lt;"&amp;$B99,Base!$N:$N,"",Base!$O:$O,"&lt;&gt;Finalizado",Base!$O:$O,"&lt;&gt;Congelado",Base!$O:$O,"&lt;&gt;Concluindo pendências")</f>
        <v>4</v>
      </c>
      <c r="D99" s="93">
        <f>COUNTIFS(Base!$B:$B,D$11,Base!$M:$M,"&lt;"&amp;$B99,Base!$N:$N,"&gt;="&amp;$B99,Base!$O:$O,"&lt;&gt;Finalizado",Base!$O:$O,"&lt;&gt;Congelado",Base!$O:$O,"&lt;&gt;Concluindo pendências") + COUNTIFS(Base!$B:$B,D$11,Base!$M:$M,"&lt;"&amp;$B99,Base!$N:$N,"",Base!$O:$O,"&lt;&gt;Finalizado",Base!$O:$O,"&lt;&gt;Congelado",Base!$O:$O,"&lt;&gt;Concluindo pendências")</f>
        <v>9</v>
      </c>
      <c r="E99" s="93">
        <f>COUNTIFS(Base!$B:$B,E$11,Base!$M:$M,"&lt;"&amp;$B99,Base!$N:$N,"&gt;="&amp;$B99,Base!$O:$O,"&lt;&gt;Finalizado",Base!$O:$O,"&lt;&gt;Congelado",Base!$O:$O,"&lt;&gt;Concluindo pendências") + COUNTIFS(Base!$B:$B,E$11,Base!$M:$M,"&lt;"&amp;$B99,Base!$N:$N,"",Base!$O:$O,"&lt;&gt;Finalizado",Base!$O:$O,"&lt;&gt;Congelado",Base!$O:$O,"&lt;&gt;Concluindo pendências")</f>
        <v>6</v>
      </c>
      <c r="F99" s="93">
        <f>COUNTIFS(Base!$B:$B,F$11,Base!$M:$M,"&lt;"&amp;$B99,Base!$N:$N,"&gt;="&amp;$B99,Base!$O:$O,"&lt;&gt;Finalizado",Base!$O:$O,"&lt;&gt;Congelado",Base!$O:$O,"&lt;&gt;Concluindo pendências") + COUNTIFS(Base!$B:$B,F$11,Base!$M:$M,"&lt;"&amp;$B99,Base!$N:$N,"",Base!$O:$O,"&lt;&gt;Finalizado",Base!$O:$O,"&lt;&gt;Congelado",Base!$O:$O,"&lt;&gt;Concluindo pendências")</f>
        <v>5</v>
      </c>
      <c r="H99" s="93">
        <f>COUNTIFS(Base!$B:$B,C$11,Base!$K:$K,"&lt;"&amp;$B99,Base!$N:$N,"&gt;="&amp;$B99,Base!$O:$O,"&lt;&gt;Finalizado",Base!$O:$O,"&lt;&gt;Congelado") + COUNTIFS(Base!$B:$B,C$11,Base!$K:$K,"&lt;"&amp;$B99,Base!$N:$N,"",Base!$O:$O,"&lt;&gt;Finalizado",Base!$O:$O,"&lt;&gt;Congelado")</f>
        <v>10</v>
      </c>
      <c r="I99" s="93">
        <f>COUNTIFS(Base!$B:$B,D$11,Base!$K:$K,"&lt;"&amp;$B99,Base!$N:$N,"&gt;="&amp;$B99,Base!$O:$O,"&lt;&gt;Finalizado",Base!$O:$O,"&lt;&gt;Congelado") + COUNTIFS(Base!$B:$B,D$11,Base!$K:$K,"&lt;"&amp;$B99,Base!$N:$N,"",Base!$O:$O,"&lt;&gt;Finalizado",Base!$O:$O,"&lt;&gt;Congelado")</f>
        <v>25</v>
      </c>
      <c r="J99" s="93">
        <f>COUNTIFS(Base!$B:$B,E$11,Base!$K:$K,"&lt;"&amp;$B99,Base!$N:$N,"&gt;="&amp;$B99,Base!$O:$O,"&lt;&gt;Finalizado",Base!$O:$O,"&lt;&gt;Congelado") + COUNTIFS(Base!$B:$B,E$11,Base!$K:$K,"&lt;"&amp;$B99,Base!$N:$N,"",Base!$O:$O,"&lt;&gt;Finalizado",Base!$O:$O,"&lt;&gt;Congelado")</f>
        <v>18</v>
      </c>
      <c r="K99" s="93">
        <f>COUNTIFS(Base!$B:$B,F$11,Base!$K:$K,"&lt;"&amp;$B99,Base!$N:$N,"&gt;="&amp;$B99,Base!$O:$O,"&lt;&gt;Finalizado",Base!$O:$O,"&lt;&gt;Congelado") + COUNTIFS(Base!$B:$B,F$11,Base!$K:$K,"&lt;"&amp;$B99,Base!$N:$N,"",Base!$O:$O,"&lt;&gt;Finalizado",Base!$O:$O,"&lt;&gt;Congelado")</f>
        <v>19</v>
      </c>
      <c r="M99" s="133">
        <f t="shared" ref="M99:P99" si="134">C99/H99</f>
        <v>0.4</v>
      </c>
      <c r="N99" s="133">
        <f t="shared" si="134"/>
        <v>0.36</v>
      </c>
      <c r="O99" s="133">
        <f t="shared" si="134"/>
        <v>0.3333333333</v>
      </c>
      <c r="P99" s="133">
        <f t="shared" si="134"/>
        <v>0.2631578947</v>
      </c>
      <c r="Q99" s="133">
        <f t="shared" si="9"/>
        <v>0.3333333333</v>
      </c>
      <c r="S99" s="93">
        <f t="shared" ref="S99:V99" si="135">S98+C99</f>
        <v>133</v>
      </c>
      <c r="T99" s="93">
        <f t="shared" si="135"/>
        <v>346</v>
      </c>
      <c r="U99" s="93">
        <f t="shared" si="135"/>
        <v>372</v>
      </c>
      <c r="V99" s="93">
        <f t="shared" si="135"/>
        <v>265</v>
      </c>
      <c r="W99" s="93">
        <f t="shared" si="11"/>
        <v>1116</v>
      </c>
      <c r="Y99" s="133">
        <f>(COUNTIFS(Base!$B:$B,C$11,Base!$S:$S,"&gt;8",Base!$N:$N,"&lt;="&amp;$B99) - COUNTIFS(Base!$B:$B,C$11,Base!$S:$S,"&lt;7",Base!$N:$N,"&lt;="&amp;$B99) - COUNTIFS(Base!$B:$B,C$11,Base!$S:$S,"&lt;7",Base!$K:$K,"&lt;="&amp;$B99,Base!$O:$O,"Finalizado"))/(COUNTIFS(Base!$B:$B,C$11,Base!$S:$S,"&lt;&gt;",Base!$N:$N,"&lt;="&amp;$B99)+COUNTIFS(Base!$B:$B,C$11,Base!$S:$S,"&lt;7",Base!$K:$K,"&lt;="&amp;$B99,Base!$O:$O,"Finalizado"))</f>
        <v>0.6</v>
      </c>
      <c r="Z99" s="133">
        <f>(COUNTIFS(Base!$B:$B,D$11,Base!$S:$S,"&gt;8",Base!$N:$N,"&lt;="&amp;$B99) - COUNTIFS(Base!$B:$B,D$11,Base!$S:$S,"&lt;7",Base!$N:$N,"&lt;="&amp;$B99) - COUNTIFS(Base!$B:$B,D$11,Base!$S:$S,"&lt;7",Base!$K:$K,"&lt;="&amp;$B99,Base!$O:$O,"Finalizado"))/(COUNTIFS(Base!$B:$B,D$11,Base!$S:$S,"&lt;&gt;",Base!$N:$N,"&lt;="&amp;$B99)+COUNTIFS(Base!$B:$B,D$11,Base!$S:$S,"&lt;7",Base!$K:$K,"&lt;="&amp;$B99,Base!$O:$O,"Finalizado"))</f>
        <v>0.8181818182</v>
      </c>
      <c r="AA99" s="133">
        <f>(COUNTIFS(Base!$B:$B,E$11,Base!$S:$S,"&gt;8",Base!$N:$N,"&lt;="&amp;$B99) - COUNTIFS(Base!$B:$B,E$11,Base!$S:$S,"&lt;7",Base!$N:$N,"&lt;="&amp;$B99) - COUNTIFS(Base!$B:$B,E$11,Base!$S:$S,"&lt;7",Base!$K:$K,"&lt;="&amp;$B99,Base!$O:$O,"Finalizado"))/(COUNTIFS(Base!$B:$B,E$11,Base!$S:$S,"&lt;&gt;",Base!$N:$N,"&lt;="&amp;$B99)+COUNTIFS(Base!$B:$B,E$11,Base!$S:$S,"&lt;7",Base!$K:$K,"&lt;="&amp;$B99,Base!$O:$O,"Finalizado"))</f>
        <v>0.5714285714</v>
      </c>
      <c r="AB99" s="133">
        <f t="shared" si="12"/>
        <v>0.6666666667</v>
      </c>
      <c r="AD99" s="93">
        <f>(COUNTIFS(Base!$B:$B,F$11,Base!$S:$S,"&gt;8",Base!$N:$N,"&lt;="&amp;$B99)+(COUNTIFS(Base!$B:$B,F$11,Base!$AG:$AG,"&gt;8",Base!$K:$K,"&lt;="&amp;$B99)))</f>
        <v>4</v>
      </c>
      <c r="AE99" s="93">
        <f>(COUNTIFS(Base!$B:$B,F$11,Base!$S:$S,"&lt;&gt;",Base!$N:$N,"&lt;="&amp;$B99)+(COUNTIFS(Base!$B:$B,F$11,Base!$AG:$AG,"&lt;&gt;",Base!$K:$K,"&lt;="&amp;$B99)+COUNTIFS(Base!$B:$B,F$11,Base!$S:$S,"&lt;7",Base!$K:$K,"&lt;="&amp;$B99,Base!$O:$O,"Finalizado")))</f>
        <v>6</v>
      </c>
      <c r="AF99" s="93">
        <f>COUNTIFS(Base!$B:$B,F$11,Base!$S:$S,"&lt;7",Base!$N:$N,"&lt;="&amp;$B99) +COUNTIFS(Base!$B:$B,F$11,Base!$AG:$AG,"&lt;7",Base!$K:$K,"&lt;="&amp;$B99) + COUNTIFS(Base!$B:$B,F$11,Base!$S:$S,"&lt;7",Base!$K:$K,"&lt;="&amp;$B99,Base!$O:$O,"Finalizado")</f>
        <v>0</v>
      </c>
    </row>
    <row r="100">
      <c r="B100" s="151">
        <f t="shared" si="13"/>
        <v>45355</v>
      </c>
      <c r="C100" s="93">
        <f>COUNTIFS(Base!$B:$B,C$11,Base!$M:$M,"&lt;"&amp;$B100,Base!$N:$N,"&gt;="&amp;$B100,Base!$O:$O,"&lt;&gt;Finalizado",Base!$O:$O,"&lt;&gt;Congelado",Base!$O:$O,"&lt;&gt;Concluindo pendências") + COUNTIFS(Base!$B:$B,C$11,Base!$M:$M,"&lt;"&amp;$B100,Base!$N:$N,"",Base!$O:$O,"&lt;&gt;Finalizado",Base!$O:$O,"&lt;&gt;Congelado",Base!$O:$O,"&lt;&gt;Concluindo pendências")</f>
        <v>4</v>
      </c>
      <c r="D100" s="93">
        <f>COUNTIFS(Base!$B:$B,D$11,Base!$M:$M,"&lt;"&amp;$B100,Base!$N:$N,"&gt;="&amp;$B100,Base!$O:$O,"&lt;&gt;Finalizado",Base!$O:$O,"&lt;&gt;Congelado",Base!$O:$O,"&lt;&gt;Concluindo pendências") + COUNTIFS(Base!$B:$B,D$11,Base!$M:$M,"&lt;"&amp;$B100,Base!$N:$N,"",Base!$O:$O,"&lt;&gt;Finalizado",Base!$O:$O,"&lt;&gt;Congelado",Base!$O:$O,"&lt;&gt;Concluindo pendências")</f>
        <v>9</v>
      </c>
      <c r="E100" s="93">
        <f>COUNTIFS(Base!$B:$B,E$11,Base!$M:$M,"&lt;"&amp;$B100,Base!$N:$N,"&gt;="&amp;$B100,Base!$O:$O,"&lt;&gt;Finalizado",Base!$O:$O,"&lt;&gt;Congelado",Base!$O:$O,"&lt;&gt;Concluindo pendências") + COUNTIFS(Base!$B:$B,E$11,Base!$M:$M,"&lt;"&amp;$B100,Base!$N:$N,"",Base!$O:$O,"&lt;&gt;Finalizado",Base!$O:$O,"&lt;&gt;Congelado",Base!$O:$O,"&lt;&gt;Concluindo pendências")</f>
        <v>6</v>
      </c>
      <c r="F100" s="93">
        <f>COUNTIFS(Base!$B:$B,F$11,Base!$M:$M,"&lt;"&amp;$B100,Base!$N:$N,"&gt;="&amp;$B100,Base!$O:$O,"&lt;&gt;Finalizado",Base!$O:$O,"&lt;&gt;Congelado",Base!$O:$O,"&lt;&gt;Concluindo pendências") + COUNTIFS(Base!$B:$B,F$11,Base!$M:$M,"&lt;"&amp;$B100,Base!$N:$N,"",Base!$O:$O,"&lt;&gt;Finalizado",Base!$O:$O,"&lt;&gt;Congelado",Base!$O:$O,"&lt;&gt;Concluindo pendências")</f>
        <v>5</v>
      </c>
      <c r="H100" s="93">
        <f>COUNTIFS(Base!$B:$B,C$11,Base!$K:$K,"&lt;"&amp;$B100,Base!$N:$N,"&gt;="&amp;$B100,Base!$O:$O,"&lt;&gt;Finalizado",Base!$O:$O,"&lt;&gt;Congelado") + COUNTIFS(Base!$B:$B,C$11,Base!$K:$K,"&lt;"&amp;$B100,Base!$N:$N,"",Base!$O:$O,"&lt;&gt;Finalizado",Base!$O:$O,"&lt;&gt;Congelado")</f>
        <v>10</v>
      </c>
      <c r="I100" s="93">
        <f>COUNTIFS(Base!$B:$B,D$11,Base!$K:$K,"&lt;"&amp;$B100,Base!$N:$N,"&gt;="&amp;$B100,Base!$O:$O,"&lt;&gt;Finalizado",Base!$O:$O,"&lt;&gt;Congelado") + COUNTIFS(Base!$B:$B,D$11,Base!$K:$K,"&lt;"&amp;$B100,Base!$N:$N,"",Base!$O:$O,"&lt;&gt;Finalizado",Base!$O:$O,"&lt;&gt;Congelado")</f>
        <v>25</v>
      </c>
      <c r="J100" s="93">
        <f>COUNTIFS(Base!$B:$B,E$11,Base!$K:$K,"&lt;"&amp;$B100,Base!$N:$N,"&gt;="&amp;$B100,Base!$O:$O,"&lt;&gt;Finalizado",Base!$O:$O,"&lt;&gt;Congelado") + COUNTIFS(Base!$B:$B,E$11,Base!$K:$K,"&lt;"&amp;$B100,Base!$N:$N,"",Base!$O:$O,"&lt;&gt;Finalizado",Base!$O:$O,"&lt;&gt;Congelado")</f>
        <v>18</v>
      </c>
      <c r="K100" s="93">
        <f>COUNTIFS(Base!$B:$B,F$11,Base!$K:$K,"&lt;"&amp;$B100,Base!$N:$N,"&gt;="&amp;$B100,Base!$O:$O,"&lt;&gt;Finalizado",Base!$O:$O,"&lt;&gt;Congelado") + COUNTIFS(Base!$B:$B,F$11,Base!$K:$K,"&lt;"&amp;$B100,Base!$N:$N,"",Base!$O:$O,"&lt;&gt;Finalizado",Base!$O:$O,"&lt;&gt;Congelado")</f>
        <v>19</v>
      </c>
      <c r="M100" s="133">
        <f t="shared" ref="M100:P100" si="136">C100/H100</f>
        <v>0.4</v>
      </c>
      <c r="N100" s="133">
        <f t="shared" si="136"/>
        <v>0.36</v>
      </c>
      <c r="O100" s="133">
        <f t="shared" si="136"/>
        <v>0.3333333333</v>
      </c>
      <c r="P100" s="133">
        <f t="shared" si="136"/>
        <v>0.2631578947</v>
      </c>
      <c r="Q100" s="133">
        <f t="shared" si="9"/>
        <v>0.3333333333</v>
      </c>
      <c r="S100" s="93">
        <f t="shared" ref="S100:V100" si="137">S99+C100</f>
        <v>137</v>
      </c>
      <c r="T100" s="93">
        <f t="shared" si="137"/>
        <v>355</v>
      </c>
      <c r="U100" s="93">
        <f t="shared" si="137"/>
        <v>378</v>
      </c>
      <c r="V100" s="93">
        <f t="shared" si="137"/>
        <v>270</v>
      </c>
      <c r="W100" s="93">
        <f t="shared" si="11"/>
        <v>1140</v>
      </c>
      <c r="Y100" s="133">
        <f>(COUNTIFS(Base!$B:$B,C$11,Base!$S:$S,"&gt;8",Base!$N:$N,"&lt;="&amp;$B100) - COUNTIFS(Base!$B:$B,C$11,Base!$S:$S,"&lt;7",Base!$N:$N,"&lt;="&amp;$B100) - COUNTIFS(Base!$B:$B,C$11,Base!$S:$S,"&lt;7",Base!$K:$K,"&lt;="&amp;$B100,Base!$O:$O,"Finalizado"))/(COUNTIFS(Base!$B:$B,C$11,Base!$S:$S,"&lt;&gt;",Base!$N:$N,"&lt;="&amp;$B100)+COUNTIFS(Base!$B:$B,C$11,Base!$S:$S,"&lt;7",Base!$K:$K,"&lt;="&amp;$B100,Base!$O:$O,"Finalizado"))</f>
        <v>0.6</v>
      </c>
      <c r="Z100" s="133">
        <f>(COUNTIFS(Base!$B:$B,D$11,Base!$S:$S,"&gt;8",Base!$N:$N,"&lt;="&amp;$B100) - COUNTIFS(Base!$B:$B,D$11,Base!$S:$S,"&lt;7",Base!$N:$N,"&lt;="&amp;$B100) - COUNTIFS(Base!$B:$B,D$11,Base!$S:$S,"&lt;7",Base!$K:$K,"&lt;="&amp;$B100,Base!$O:$O,"Finalizado"))/(COUNTIFS(Base!$B:$B,D$11,Base!$S:$S,"&lt;&gt;",Base!$N:$N,"&lt;="&amp;$B100)+COUNTIFS(Base!$B:$B,D$11,Base!$S:$S,"&lt;7",Base!$K:$K,"&lt;="&amp;$B100,Base!$O:$O,"Finalizado"))</f>
        <v>0.8333333333</v>
      </c>
      <c r="AA100" s="133">
        <f>(COUNTIFS(Base!$B:$B,E$11,Base!$S:$S,"&gt;8",Base!$N:$N,"&lt;="&amp;$B100) - COUNTIFS(Base!$B:$B,E$11,Base!$S:$S,"&lt;7",Base!$N:$N,"&lt;="&amp;$B100) - COUNTIFS(Base!$B:$B,E$11,Base!$S:$S,"&lt;7",Base!$K:$K,"&lt;="&amp;$B100,Base!$O:$O,"Finalizado"))/(COUNTIFS(Base!$B:$B,E$11,Base!$S:$S,"&lt;&gt;",Base!$N:$N,"&lt;="&amp;$B100)+COUNTIFS(Base!$B:$B,E$11,Base!$S:$S,"&lt;7",Base!$K:$K,"&lt;="&amp;$B100,Base!$O:$O,"Finalizado"))</f>
        <v>0.6363636364</v>
      </c>
      <c r="AB100" s="133">
        <f t="shared" si="12"/>
        <v>0.6666666667</v>
      </c>
      <c r="AD100" s="93">
        <f>(COUNTIFS(Base!$B:$B,F$11,Base!$S:$S,"&gt;8",Base!$N:$N,"&lt;="&amp;$B100)+(COUNTIFS(Base!$B:$B,F$11,Base!$AG:$AG,"&gt;8",Base!$K:$K,"&lt;="&amp;$B100)))</f>
        <v>4</v>
      </c>
      <c r="AE100" s="93">
        <f>(COUNTIFS(Base!$B:$B,F$11,Base!$S:$S,"&lt;&gt;",Base!$N:$N,"&lt;="&amp;$B100)+(COUNTIFS(Base!$B:$B,F$11,Base!$AG:$AG,"&lt;&gt;",Base!$K:$K,"&lt;="&amp;$B100)+COUNTIFS(Base!$B:$B,F$11,Base!$S:$S,"&lt;7",Base!$K:$K,"&lt;="&amp;$B100,Base!$O:$O,"Finalizado")))</f>
        <v>6</v>
      </c>
      <c r="AF100" s="93">
        <f>COUNTIFS(Base!$B:$B,F$11,Base!$S:$S,"&lt;7",Base!$N:$N,"&lt;="&amp;$B100) +COUNTIFS(Base!$B:$B,F$11,Base!$AG:$AG,"&lt;7",Base!$K:$K,"&lt;="&amp;$B100) + COUNTIFS(Base!$B:$B,F$11,Base!$S:$S,"&lt;7",Base!$K:$K,"&lt;="&amp;$B100,Base!$O:$O,"Finalizado")</f>
        <v>0</v>
      </c>
    </row>
    <row r="101">
      <c r="B101" s="151">
        <f t="shared" si="13"/>
        <v>45356</v>
      </c>
      <c r="C101" s="93">
        <f>COUNTIFS(Base!$B:$B,C$11,Base!$M:$M,"&lt;"&amp;$B101,Base!$N:$N,"&gt;="&amp;$B101,Base!$O:$O,"&lt;&gt;Finalizado",Base!$O:$O,"&lt;&gt;Congelado",Base!$O:$O,"&lt;&gt;Concluindo pendências") + COUNTIFS(Base!$B:$B,C$11,Base!$M:$M,"&lt;"&amp;$B101,Base!$N:$N,"",Base!$O:$O,"&lt;&gt;Finalizado",Base!$O:$O,"&lt;&gt;Congelado",Base!$O:$O,"&lt;&gt;Concluindo pendências")</f>
        <v>4</v>
      </c>
      <c r="D101" s="93">
        <f>COUNTIFS(Base!$B:$B,D$11,Base!$M:$M,"&lt;"&amp;$B101,Base!$N:$N,"&gt;="&amp;$B101,Base!$O:$O,"&lt;&gt;Finalizado",Base!$O:$O,"&lt;&gt;Congelado",Base!$O:$O,"&lt;&gt;Concluindo pendências") + COUNTIFS(Base!$B:$B,D$11,Base!$M:$M,"&lt;"&amp;$B101,Base!$N:$N,"",Base!$O:$O,"&lt;&gt;Finalizado",Base!$O:$O,"&lt;&gt;Congelado",Base!$O:$O,"&lt;&gt;Concluindo pendências")</f>
        <v>8</v>
      </c>
      <c r="E101" s="93">
        <f>COUNTIFS(Base!$B:$B,E$11,Base!$M:$M,"&lt;"&amp;$B101,Base!$N:$N,"&gt;="&amp;$B101,Base!$O:$O,"&lt;&gt;Finalizado",Base!$O:$O,"&lt;&gt;Congelado",Base!$O:$O,"&lt;&gt;Concluindo pendências") + COUNTIFS(Base!$B:$B,E$11,Base!$M:$M,"&lt;"&amp;$B101,Base!$N:$N,"",Base!$O:$O,"&lt;&gt;Finalizado",Base!$O:$O,"&lt;&gt;Congelado",Base!$O:$O,"&lt;&gt;Concluindo pendências")</f>
        <v>5</v>
      </c>
      <c r="F101" s="93">
        <f>COUNTIFS(Base!$B:$B,F$11,Base!$M:$M,"&lt;"&amp;$B101,Base!$N:$N,"&gt;="&amp;$B101,Base!$O:$O,"&lt;&gt;Finalizado",Base!$O:$O,"&lt;&gt;Congelado",Base!$O:$O,"&lt;&gt;Concluindo pendências") + COUNTIFS(Base!$B:$B,F$11,Base!$M:$M,"&lt;"&amp;$B101,Base!$N:$N,"",Base!$O:$O,"&lt;&gt;Finalizado",Base!$O:$O,"&lt;&gt;Congelado",Base!$O:$O,"&lt;&gt;Concluindo pendências")</f>
        <v>4</v>
      </c>
      <c r="H101" s="93">
        <f>COUNTIFS(Base!$B:$B,C$11,Base!$K:$K,"&lt;"&amp;$B101,Base!$N:$N,"&gt;="&amp;$B101,Base!$O:$O,"&lt;&gt;Finalizado",Base!$O:$O,"&lt;&gt;Congelado") + COUNTIFS(Base!$B:$B,C$11,Base!$K:$K,"&lt;"&amp;$B101,Base!$N:$N,"",Base!$O:$O,"&lt;&gt;Finalizado",Base!$O:$O,"&lt;&gt;Congelado")</f>
        <v>11</v>
      </c>
      <c r="I101" s="93">
        <f>COUNTIFS(Base!$B:$B,D$11,Base!$K:$K,"&lt;"&amp;$B101,Base!$N:$N,"&gt;="&amp;$B101,Base!$O:$O,"&lt;&gt;Finalizado",Base!$O:$O,"&lt;&gt;Congelado") + COUNTIFS(Base!$B:$B,D$11,Base!$K:$K,"&lt;"&amp;$B101,Base!$N:$N,"",Base!$O:$O,"&lt;&gt;Finalizado",Base!$O:$O,"&lt;&gt;Congelado")</f>
        <v>25</v>
      </c>
      <c r="J101" s="93">
        <f>COUNTIFS(Base!$B:$B,E$11,Base!$K:$K,"&lt;"&amp;$B101,Base!$N:$N,"&gt;="&amp;$B101,Base!$O:$O,"&lt;&gt;Finalizado",Base!$O:$O,"&lt;&gt;Congelado") + COUNTIFS(Base!$B:$B,E$11,Base!$K:$K,"&lt;"&amp;$B101,Base!$N:$N,"",Base!$O:$O,"&lt;&gt;Finalizado",Base!$O:$O,"&lt;&gt;Congelado")</f>
        <v>15</v>
      </c>
      <c r="K101" s="93">
        <f>COUNTIFS(Base!$B:$B,F$11,Base!$K:$K,"&lt;"&amp;$B101,Base!$N:$N,"&gt;="&amp;$B101,Base!$O:$O,"&lt;&gt;Finalizado",Base!$O:$O,"&lt;&gt;Congelado") + COUNTIFS(Base!$B:$B,F$11,Base!$K:$K,"&lt;"&amp;$B101,Base!$N:$N,"",Base!$O:$O,"&lt;&gt;Finalizado",Base!$O:$O,"&lt;&gt;Congelado")</f>
        <v>18</v>
      </c>
      <c r="M101" s="133">
        <f t="shared" ref="M101:P101" si="138">C101/H101</f>
        <v>0.3636363636</v>
      </c>
      <c r="N101" s="133">
        <f t="shared" si="138"/>
        <v>0.32</v>
      </c>
      <c r="O101" s="133">
        <f t="shared" si="138"/>
        <v>0.3333333333</v>
      </c>
      <c r="P101" s="133">
        <f t="shared" si="138"/>
        <v>0.2222222222</v>
      </c>
      <c r="Q101" s="133">
        <f t="shared" si="9"/>
        <v>0.3043478261</v>
      </c>
      <c r="S101" s="93">
        <f t="shared" ref="S101:V101" si="139">S100+C101</f>
        <v>141</v>
      </c>
      <c r="T101" s="93">
        <f t="shared" si="139"/>
        <v>363</v>
      </c>
      <c r="U101" s="93">
        <f t="shared" si="139"/>
        <v>383</v>
      </c>
      <c r="V101" s="93">
        <f t="shared" si="139"/>
        <v>274</v>
      </c>
      <c r="W101" s="93">
        <f t="shared" si="11"/>
        <v>1161</v>
      </c>
      <c r="Y101" s="133">
        <f>(COUNTIFS(Base!$B:$B,C$11,Base!$S:$S,"&gt;8",Base!$N:$N,"&lt;="&amp;$B101) - COUNTIFS(Base!$B:$B,C$11,Base!$S:$S,"&lt;7",Base!$N:$N,"&lt;="&amp;$B101) - COUNTIFS(Base!$B:$B,C$11,Base!$S:$S,"&lt;7",Base!$K:$K,"&lt;="&amp;$B101,Base!$O:$O,"Finalizado"))/(COUNTIFS(Base!$B:$B,C$11,Base!$S:$S,"&lt;&gt;",Base!$N:$N,"&lt;="&amp;$B101)+COUNTIFS(Base!$B:$B,C$11,Base!$S:$S,"&lt;7",Base!$K:$K,"&lt;="&amp;$B101,Base!$O:$O,"Finalizado"))</f>
        <v>0.6</v>
      </c>
      <c r="Z101" s="133">
        <f>(COUNTIFS(Base!$B:$B,D$11,Base!$S:$S,"&gt;8",Base!$N:$N,"&lt;="&amp;$B101) - COUNTIFS(Base!$B:$B,D$11,Base!$S:$S,"&lt;7",Base!$N:$N,"&lt;="&amp;$B101) - COUNTIFS(Base!$B:$B,D$11,Base!$S:$S,"&lt;7",Base!$K:$K,"&lt;="&amp;$B101,Base!$O:$O,"Finalizado"))/(COUNTIFS(Base!$B:$B,D$11,Base!$S:$S,"&lt;&gt;",Base!$N:$N,"&lt;="&amp;$B101)+COUNTIFS(Base!$B:$B,D$11,Base!$S:$S,"&lt;7",Base!$K:$K,"&lt;="&amp;$B101,Base!$O:$O,"Finalizado"))</f>
        <v>0.7692307692</v>
      </c>
      <c r="AA101" s="133">
        <f>(COUNTIFS(Base!$B:$B,E$11,Base!$S:$S,"&gt;8",Base!$N:$N,"&lt;="&amp;$B101) - COUNTIFS(Base!$B:$B,E$11,Base!$S:$S,"&lt;7",Base!$N:$N,"&lt;="&amp;$B101) - COUNTIFS(Base!$B:$B,E$11,Base!$S:$S,"&lt;7",Base!$K:$K,"&lt;="&amp;$B101,Base!$O:$O,"Finalizado"))/(COUNTIFS(Base!$B:$B,E$11,Base!$S:$S,"&lt;&gt;",Base!$N:$N,"&lt;="&amp;$B101)+COUNTIFS(Base!$B:$B,E$11,Base!$S:$S,"&lt;7",Base!$K:$K,"&lt;="&amp;$B101,Base!$O:$O,"Finalizado"))</f>
        <v>0.6363636364</v>
      </c>
      <c r="AB101" s="133">
        <f t="shared" si="12"/>
        <v>0.6666666667</v>
      </c>
      <c r="AD101" s="93">
        <f>(COUNTIFS(Base!$B:$B,F$11,Base!$S:$S,"&gt;8",Base!$N:$N,"&lt;="&amp;$B101)+(COUNTIFS(Base!$B:$B,F$11,Base!$AG:$AG,"&gt;8",Base!$K:$K,"&lt;="&amp;$B101)))</f>
        <v>4</v>
      </c>
      <c r="AE101" s="93">
        <f>(COUNTIFS(Base!$B:$B,F$11,Base!$S:$S,"&lt;&gt;",Base!$N:$N,"&lt;="&amp;$B101)+(COUNTIFS(Base!$B:$B,F$11,Base!$AG:$AG,"&lt;&gt;",Base!$K:$K,"&lt;="&amp;$B101)+COUNTIFS(Base!$B:$B,F$11,Base!$S:$S,"&lt;7",Base!$K:$K,"&lt;="&amp;$B101,Base!$O:$O,"Finalizado")))</f>
        <v>6</v>
      </c>
      <c r="AF101" s="93">
        <f>COUNTIFS(Base!$B:$B,F$11,Base!$S:$S,"&lt;7",Base!$N:$N,"&lt;="&amp;$B101) +COUNTIFS(Base!$B:$B,F$11,Base!$AG:$AG,"&lt;7",Base!$K:$K,"&lt;="&amp;$B101) + COUNTIFS(Base!$B:$B,F$11,Base!$S:$S,"&lt;7",Base!$K:$K,"&lt;="&amp;$B101,Base!$O:$O,"Finalizado")</f>
        <v>0</v>
      </c>
    </row>
    <row r="102">
      <c r="B102" s="151">
        <f t="shared" si="13"/>
        <v>45357</v>
      </c>
      <c r="C102" s="93">
        <f>COUNTIFS(Base!$B:$B,C$11,Base!$M:$M,"&lt;"&amp;$B102,Base!$N:$N,"&gt;="&amp;$B102,Base!$O:$O,"&lt;&gt;Finalizado",Base!$O:$O,"&lt;&gt;Congelado",Base!$O:$O,"&lt;&gt;Concluindo pendências") + COUNTIFS(Base!$B:$B,C$11,Base!$M:$M,"&lt;"&amp;$B102,Base!$N:$N,"",Base!$O:$O,"&lt;&gt;Finalizado",Base!$O:$O,"&lt;&gt;Congelado",Base!$O:$O,"&lt;&gt;Concluindo pendências")</f>
        <v>4</v>
      </c>
      <c r="D102" s="93">
        <f>COUNTIFS(Base!$B:$B,D$11,Base!$M:$M,"&lt;"&amp;$B102,Base!$N:$N,"&gt;="&amp;$B102,Base!$O:$O,"&lt;&gt;Finalizado",Base!$O:$O,"&lt;&gt;Congelado",Base!$O:$O,"&lt;&gt;Concluindo pendências") + COUNTIFS(Base!$B:$B,D$11,Base!$M:$M,"&lt;"&amp;$B102,Base!$N:$N,"",Base!$O:$O,"&lt;&gt;Finalizado",Base!$O:$O,"&lt;&gt;Congelado",Base!$O:$O,"&lt;&gt;Concluindo pendências")</f>
        <v>7</v>
      </c>
      <c r="E102" s="93">
        <f>COUNTIFS(Base!$B:$B,E$11,Base!$M:$M,"&lt;"&amp;$B102,Base!$N:$N,"&gt;="&amp;$B102,Base!$O:$O,"&lt;&gt;Finalizado",Base!$O:$O,"&lt;&gt;Congelado",Base!$O:$O,"&lt;&gt;Concluindo pendências") + COUNTIFS(Base!$B:$B,E$11,Base!$M:$M,"&lt;"&amp;$B102,Base!$N:$N,"",Base!$O:$O,"&lt;&gt;Finalizado",Base!$O:$O,"&lt;&gt;Congelado",Base!$O:$O,"&lt;&gt;Concluindo pendências")</f>
        <v>5</v>
      </c>
      <c r="F102" s="93">
        <f>COUNTIFS(Base!$B:$B,F$11,Base!$M:$M,"&lt;"&amp;$B102,Base!$N:$N,"&gt;="&amp;$B102,Base!$O:$O,"&lt;&gt;Finalizado",Base!$O:$O,"&lt;&gt;Congelado",Base!$O:$O,"&lt;&gt;Concluindo pendências") + COUNTIFS(Base!$B:$B,F$11,Base!$M:$M,"&lt;"&amp;$B102,Base!$N:$N,"",Base!$O:$O,"&lt;&gt;Finalizado",Base!$O:$O,"&lt;&gt;Congelado",Base!$O:$O,"&lt;&gt;Concluindo pendências")</f>
        <v>5</v>
      </c>
      <c r="H102" s="93">
        <f>COUNTIFS(Base!$B:$B,C$11,Base!$K:$K,"&lt;"&amp;$B102,Base!$N:$N,"&gt;="&amp;$B102,Base!$O:$O,"&lt;&gt;Finalizado",Base!$O:$O,"&lt;&gt;Congelado") + COUNTIFS(Base!$B:$B,C$11,Base!$K:$K,"&lt;"&amp;$B102,Base!$N:$N,"",Base!$O:$O,"&lt;&gt;Finalizado",Base!$O:$O,"&lt;&gt;Congelado")</f>
        <v>11</v>
      </c>
      <c r="I102" s="93">
        <f>COUNTIFS(Base!$B:$B,D$11,Base!$K:$K,"&lt;"&amp;$B102,Base!$N:$N,"&gt;="&amp;$B102,Base!$O:$O,"&lt;&gt;Finalizado",Base!$O:$O,"&lt;&gt;Congelado") + COUNTIFS(Base!$B:$B,D$11,Base!$K:$K,"&lt;"&amp;$B102,Base!$N:$N,"",Base!$O:$O,"&lt;&gt;Finalizado",Base!$O:$O,"&lt;&gt;Congelado")</f>
        <v>25</v>
      </c>
      <c r="J102" s="93">
        <f>COUNTIFS(Base!$B:$B,E$11,Base!$K:$K,"&lt;"&amp;$B102,Base!$N:$N,"&gt;="&amp;$B102,Base!$O:$O,"&lt;&gt;Finalizado",Base!$O:$O,"&lt;&gt;Congelado") + COUNTIFS(Base!$B:$B,E$11,Base!$K:$K,"&lt;"&amp;$B102,Base!$N:$N,"",Base!$O:$O,"&lt;&gt;Finalizado",Base!$O:$O,"&lt;&gt;Congelado")</f>
        <v>15</v>
      </c>
      <c r="K102" s="93">
        <f>COUNTIFS(Base!$B:$B,F$11,Base!$K:$K,"&lt;"&amp;$B102,Base!$N:$N,"&gt;="&amp;$B102,Base!$O:$O,"&lt;&gt;Finalizado",Base!$O:$O,"&lt;&gt;Congelado") + COUNTIFS(Base!$B:$B,F$11,Base!$K:$K,"&lt;"&amp;$B102,Base!$N:$N,"",Base!$O:$O,"&lt;&gt;Finalizado",Base!$O:$O,"&lt;&gt;Congelado")</f>
        <v>19</v>
      </c>
      <c r="M102" s="133">
        <f t="shared" ref="M102:P102" si="140">C102/H102</f>
        <v>0.3636363636</v>
      </c>
      <c r="N102" s="133">
        <f t="shared" si="140"/>
        <v>0.28</v>
      </c>
      <c r="O102" s="133">
        <f t="shared" si="140"/>
        <v>0.3333333333</v>
      </c>
      <c r="P102" s="133">
        <f t="shared" si="140"/>
        <v>0.2631578947</v>
      </c>
      <c r="Q102" s="133">
        <f t="shared" si="9"/>
        <v>0.3</v>
      </c>
      <c r="S102" s="93">
        <f t="shared" ref="S102:V102" si="141">S101+C102</f>
        <v>145</v>
      </c>
      <c r="T102" s="93">
        <f t="shared" si="141"/>
        <v>370</v>
      </c>
      <c r="U102" s="93">
        <f t="shared" si="141"/>
        <v>388</v>
      </c>
      <c r="V102" s="93">
        <f t="shared" si="141"/>
        <v>279</v>
      </c>
      <c r="W102" s="93">
        <f t="shared" si="11"/>
        <v>1182</v>
      </c>
      <c r="Y102" s="133">
        <f>(COUNTIFS(Base!$B:$B,C$11,Base!$S:$S,"&gt;8",Base!$N:$N,"&lt;="&amp;$B102) - COUNTIFS(Base!$B:$B,C$11,Base!$S:$S,"&lt;7",Base!$N:$N,"&lt;="&amp;$B102) - COUNTIFS(Base!$B:$B,C$11,Base!$S:$S,"&lt;7",Base!$K:$K,"&lt;="&amp;$B102,Base!$O:$O,"Finalizado"))/(COUNTIFS(Base!$B:$B,C$11,Base!$S:$S,"&lt;&gt;",Base!$N:$N,"&lt;="&amp;$B102)+COUNTIFS(Base!$B:$B,C$11,Base!$S:$S,"&lt;7",Base!$K:$K,"&lt;="&amp;$B102,Base!$O:$O,"Finalizado"))</f>
        <v>0.6</v>
      </c>
      <c r="Z102" s="133">
        <f>(COUNTIFS(Base!$B:$B,D$11,Base!$S:$S,"&gt;8",Base!$N:$N,"&lt;="&amp;$B102) - COUNTIFS(Base!$B:$B,D$11,Base!$S:$S,"&lt;7",Base!$N:$N,"&lt;="&amp;$B102) - COUNTIFS(Base!$B:$B,D$11,Base!$S:$S,"&lt;7",Base!$K:$K,"&lt;="&amp;$B102,Base!$O:$O,"Finalizado"))/(COUNTIFS(Base!$B:$B,D$11,Base!$S:$S,"&lt;&gt;",Base!$N:$N,"&lt;="&amp;$B102)+COUNTIFS(Base!$B:$B,D$11,Base!$S:$S,"&lt;7",Base!$K:$K,"&lt;="&amp;$B102,Base!$O:$O,"Finalizado"))</f>
        <v>0.7692307692</v>
      </c>
      <c r="AA102" s="133">
        <f>(COUNTIFS(Base!$B:$B,E$11,Base!$S:$S,"&gt;8",Base!$N:$N,"&lt;="&amp;$B102) - COUNTIFS(Base!$B:$B,E$11,Base!$S:$S,"&lt;7",Base!$N:$N,"&lt;="&amp;$B102) - COUNTIFS(Base!$B:$B,E$11,Base!$S:$S,"&lt;7",Base!$K:$K,"&lt;="&amp;$B102,Base!$O:$O,"Finalizado"))/(COUNTIFS(Base!$B:$B,E$11,Base!$S:$S,"&lt;&gt;",Base!$N:$N,"&lt;="&amp;$B102)+COUNTIFS(Base!$B:$B,E$11,Base!$S:$S,"&lt;7",Base!$K:$K,"&lt;="&amp;$B102,Base!$O:$O,"Finalizado"))</f>
        <v>0.6363636364</v>
      </c>
      <c r="AB102" s="133">
        <f t="shared" si="12"/>
        <v>0.6666666667</v>
      </c>
      <c r="AD102" s="93">
        <f>(COUNTIFS(Base!$B:$B,F$11,Base!$S:$S,"&gt;8",Base!$N:$N,"&lt;="&amp;$B102)+(COUNTIFS(Base!$B:$B,F$11,Base!$AG:$AG,"&gt;8",Base!$K:$K,"&lt;="&amp;$B102)))</f>
        <v>4</v>
      </c>
      <c r="AE102" s="93">
        <f>(COUNTIFS(Base!$B:$B,F$11,Base!$S:$S,"&lt;&gt;",Base!$N:$N,"&lt;="&amp;$B102)+(COUNTIFS(Base!$B:$B,F$11,Base!$AG:$AG,"&lt;&gt;",Base!$K:$K,"&lt;="&amp;$B102)+COUNTIFS(Base!$B:$B,F$11,Base!$S:$S,"&lt;7",Base!$K:$K,"&lt;="&amp;$B102,Base!$O:$O,"Finalizado")))</f>
        <v>6</v>
      </c>
      <c r="AF102" s="93">
        <f>COUNTIFS(Base!$B:$B,F$11,Base!$S:$S,"&lt;7",Base!$N:$N,"&lt;="&amp;$B102) +COUNTIFS(Base!$B:$B,F$11,Base!$AG:$AG,"&lt;7",Base!$K:$K,"&lt;="&amp;$B102) + COUNTIFS(Base!$B:$B,F$11,Base!$S:$S,"&lt;7",Base!$K:$K,"&lt;="&amp;$B102,Base!$O:$O,"Finalizado")</f>
        <v>0</v>
      </c>
    </row>
    <row r="103">
      <c r="B103" s="151">
        <f t="shared" si="13"/>
        <v>45358</v>
      </c>
      <c r="C103" s="93">
        <f>COUNTIFS(Base!$B:$B,C$11,Base!$M:$M,"&lt;"&amp;$B103,Base!$N:$N,"&gt;="&amp;$B103,Base!$O:$O,"&lt;&gt;Finalizado",Base!$O:$O,"&lt;&gt;Congelado",Base!$O:$O,"&lt;&gt;Concluindo pendências") + COUNTIFS(Base!$B:$B,C$11,Base!$M:$M,"&lt;"&amp;$B103,Base!$N:$N,"",Base!$O:$O,"&lt;&gt;Finalizado",Base!$O:$O,"&lt;&gt;Congelado",Base!$O:$O,"&lt;&gt;Concluindo pendências")</f>
        <v>4</v>
      </c>
      <c r="D103" s="93">
        <f>COUNTIFS(Base!$B:$B,D$11,Base!$M:$M,"&lt;"&amp;$B103,Base!$N:$N,"&gt;="&amp;$B103,Base!$O:$O,"&lt;&gt;Finalizado",Base!$O:$O,"&lt;&gt;Congelado",Base!$O:$O,"&lt;&gt;Concluindo pendências") + COUNTIFS(Base!$B:$B,D$11,Base!$M:$M,"&lt;"&amp;$B103,Base!$N:$N,"",Base!$O:$O,"&lt;&gt;Finalizado",Base!$O:$O,"&lt;&gt;Congelado",Base!$O:$O,"&lt;&gt;Concluindo pendências")</f>
        <v>8</v>
      </c>
      <c r="E103" s="93">
        <f>COUNTIFS(Base!$B:$B,E$11,Base!$M:$M,"&lt;"&amp;$B103,Base!$N:$N,"&gt;="&amp;$B103,Base!$O:$O,"&lt;&gt;Finalizado",Base!$O:$O,"&lt;&gt;Congelado",Base!$O:$O,"&lt;&gt;Concluindo pendências") + COUNTIFS(Base!$B:$B,E$11,Base!$M:$M,"&lt;"&amp;$B103,Base!$N:$N,"",Base!$O:$O,"&lt;&gt;Finalizado",Base!$O:$O,"&lt;&gt;Congelado",Base!$O:$O,"&lt;&gt;Concluindo pendências")</f>
        <v>5</v>
      </c>
      <c r="F103" s="93">
        <f>COUNTIFS(Base!$B:$B,F$11,Base!$M:$M,"&lt;"&amp;$B103,Base!$N:$N,"&gt;="&amp;$B103,Base!$O:$O,"&lt;&gt;Finalizado",Base!$O:$O,"&lt;&gt;Congelado",Base!$O:$O,"&lt;&gt;Concluindo pendências") + COUNTIFS(Base!$B:$B,F$11,Base!$M:$M,"&lt;"&amp;$B103,Base!$N:$N,"",Base!$O:$O,"&lt;&gt;Finalizado",Base!$O:$O,"&lt;&gt;Congelado",Base!$O:$O,"&lt;&gt;Concluindo pendências")</f>
        <v>5</v>
      </c>
      <c r="H103" s="93">
        <f>COUNTIFS(Base!$B:$B,C$11,Base!$K:$K,"&lt;"&amp;$B103,Base!$N:$N,"&gt;="&amp;$B103,Base!$O:$O,"&lt;&gt;Finalizado",Base!$O:$O,"&lt;&gt;Congelado") + COUNTIFS(Base!$B:$B,C$11,Base!$K:$K,"&lt;"&amp;$B103,Base!$N:$N,"",Base!$O:$O,"&lt;&gt;Finalizado",Base!$O:$O,"&lt;&gt;Congelado")</f>
        <v>11</v>
      </c>
      <c r="I103" s="93">
        <f>COUNTIFS(Base!$B:$B,D$11,Base!$K:$K,"&lt;"&amp;$B103,Base!$N:$N,"&gt;="&amp;$B103,Base!$O:$O,"&lt;&gt;Finalizado",Base!$O:$O,"&lt;&gt;Congelado") + COUNTIFS(Base!$B:$B,D$11,Base!$K:$K,"&lt;"&amp;$B103,Base!$N:$N,"",Base!$O:$O,"&lt;&gt;Finalizado",Base!$O:$O,"&lt;&gt;Congelado")</f>
        <v>25</v>
      </c>
      <c r="J103" s="93">
        <f>COUNTIFS(Base!$B:$B,E$11,Base!$K:$K,"&lt;"&amp;$B103,Base!$N:$N,"&gt;="&amp;$B103,Base!$O:$O,"&lt;&gt;Finalizado",Base!$O:$O,"&lt;&gt;Congelado") + COUNTIFS(Base!$B:$B,E$11,Base!$K:$K,"&lt;"&amp;$B103,Base!$N:$N,"",Base!$O:$O,"&lt;&gt;Finalizado",Base!$O:$O,"&lt;&gt;Congelado")</f>
        <v>15</v>
      </c>
      <c r="K103" s="93">
        <f>COUNTIFS(Base!$B:$B,F$11,Base!$K:$K,"&lt;"&amp;$B103,Base!$N:$N,"&gt;="&amp;$B103,Base!$O:$O,"&lt;&gt;Finalizado",Base!$O:$O,"&lt;&gt;Congelado") + COUNTIFS(Base!$B:$B,F$11,Base!$K:$K,"&lt;"&amp;$B103,Base!$N:$N,"",Base!$O:$O,"&lt;&gt;Finalizado",Base!$O:$O,"&lt;&gt;Congelado")</f>
        <v>19</v>
      </c>
      <c r="M103" s="133">
        <f t="shared" ref="M103:P103" si="142">C103/H103</f>
        <v>0.3636363636</v>
      </c>
      <c r="N103" s="133">
        <f t="shared" si="142"/>
        <v>0.32</v>
      </c>
      <c r="O103" s="133">
        <f t="shared" si="142"/>
        <v>0.3333333333</v>
      </c>
      <c r="P103" s="133">
        <f t="shared" si="142"/>
        <v>0.2631578947</v>
      </c>
      <c r="Q103" s="133">
        <f t="shared" si="9"/>
        <v>0.3142857143</v>
      </c>
      <c r="S103" s="93">
        <f t="shared" ref="S103:V103" si="143">S102+C103</f>
        <v>149</v>
      </c>
      <c r="T103" s="93">
        <f t="shared" si="143"/>
        <v>378</v>
      </c>
      <c r="U103" s="93">
        <f t="shared" si="143"/>
        <v>393</v>
      </c>
      <c r="V103" s="93">
        <f t="shared" si="143"/>
        <v>284</v>
      </c>
      <c r="W103" s="93">
        <f t="shared" si="11"/>
        <v>1204</v>
      </c>
      <c r="Y103" s="133">
        <f>(COUNTIFS(Base!$B:$B,C$11,Base!$S:$S,"&gt;8",Base!$N:$N,"&lt;="&amp;$B103) - COUNTIFS(Base!$B:$B,C$11,Base!$S:$S,"&lt;7",Base!$N:$N,"&lt;="&amp;$B103) - COUNTIFS(Base!$B:$B,C$11,Base!$S:$S,"&lt;7",Base!$K:$K,"&lt;="&amp;$B103,Base!$O:$O,"Finalizado"))/(COUNTIFS(Base!$B:$B,C$11,Base!$S:$S,"&lt;&gt;",Base!$N:$N,"&lt;="&amp;$B103)+COUNTIFS(Base!$B:$B,C$11,Base!$S:$S,"&lt;7",Base!$K:$K,"&lt;="&amp;$B103,Base!$O:$O,"Finalizado"))</f>
        <v>0.6</v>
      </c>
      <c r="Z103" s="133">
        <f>(COUNTIFS(Base!$B:$B,D$11,Base!$S:$S,"&gt;8",Base!$N:$N,"&lt;="&amp;$B103) - COUNTIFS(Base!$B:$B,D$11,Base!$S:$S,"&lt;7",Base!$N:$N,"&lt;="&amp;$B103) - COUNTIFS(Base!$B:$B,D$11,Base!$S:$S,"&lt;7",Base!$K:$K,"&lt;="&amp;$B103,Base!$O:$O,"Finalizado"))/(COUNTIFS(Base!$B:$B,D$11,Base!$S:$S,"&lt;&gt;",Base!$N:$N,"&lt;="&amp;$B103)+COUNTIFS(Base!$B:$B,D$11,Base!$S:$S,"&lt;7",Base!$K:$K,"&lt;="&amp;$B103,Base!$O:$O,"Finalizado"))</f>
        <v>0.7857142857</v>
      </c>
      <c r="AA103" s="133">
        <f>(COUNTIFS(Base!$B:$B,E$11,Base!$S:$S,"&gt;8",Base!$N:$N,"&lt;="&amp;$B103) - COUNTIFS(Base!$B:$B,E$11,Base!$S:$S,"&lt;7",Base!$N:$N,"&lt;="&amp;$B103) - COUNTIFS(Base!$B:$B,E$11,Base!$S:$S,"&lt;7",Base!$K:$K,"&lt;="&amp;$B103,Base!$O:$O,"Finalizado"))/(COUNTIFS(Base!$B:$B,E$11,Base!$S:$S,"&lt;&gt;",Base!$N:$N,"&lt;="&amp;$B103)+COUNTIFS(Base!$B:$B,E$11,Base!$S:$S,"&lt;7",Base!$K:$K,"&lt;="&amp;$B103,Base!$O:$O,"Finalizado"))</f>
        <v>0.6666666667</v>
      </c>
      <c r="AB103" s="133">
        <f t="shared" si="12"/>
        <v>0.6666666667</v>
      </c>
      <c r="AD103" s="93">
        <f>(COUNTIFS(Base!$B:$B,F$11,Base!$S:$S,"&gt;8",Base!$N:$N,"&lt;="&amp;$B103)+(COUNTIFS(Base!$B:$B,F$11,Base!$AG:$AG,"&gt;8",Base!$K:$K,"&lt;="&amp;$B103)))</f>
        <v>4</v>
      </c>
      <c r="AE103" s="93">
        <f>(COUNTIFS(Base!$B:$B,F$11,Base!$S:$S,"&lt;&gt;",Base!$N:$N,"&lt;="&amp;$B103)+(COUNTIFS(Base!$B:$B,F$11,Base!$AG:$AG,"&lt;&gt;",Base!$K:$K,"&lt;="&amp;$B103)+COUNTIFS(Base!$B:$B,F$11,Base!$S:$S,"&lt;7",Base!$K:$K,"&lt;="&amp;$B103,Base!$O:$O,"Finalizado")))</f>
        <v>6</v>
      </c>
      <c r="AF103" s="93">
        <f>COUNTIFS(Base!$B:$B,F$11,Base!$S:$S,"&lt;7",Base!$N:$N,"&lt;="&amp;$B103) +COUNTIFS(Base!$B:$B,F$11,Base!$AG:$AG,"&lt;7",Base!$K:$K,"&lt;="&amp;$B103) + COUNTIFS(Base!$B:$B,F$11,Base!$S:$S,"&lt;7",Base!$K:$K,"&lt;="&amp;$B103,Base!$O:$O,"Finalizado")</f>
        <v>0</v>
      </c>
    </row>
    <row r="104">
      <c r="B104" s="151">
        <f t="shared" si="13"/>
        <v>45359</v>
      </c>
      <c r="C104" s="93">
        <f>COUNTIFS(Base!$B:$B,C$11,Base!$M:$M,"&lt;"&amp;$B104,Base!$N:$N,"&gt;="&amp;$B104,Base!$O:$O,"&lt;&gt;Finalizado",Base!$O:$O,"&lt;&gt;Congelado",Base!$O:$O,"&lt;&gt;Concluindo pendências") + COUNTIFS(Base!$B:$B,C$11,Base!$M:$M,"&lt;"&amp;$B104,Base!$N:$N,"",Base!$O:$O,"&lt;&gt;Finalizado",Base!$O:$O,"&lt;&gt;Congelado",Base!$O:$O,"&lt;&gt;Concluindo pendências")</f>
        <v>4</v>
      </c>
      <c r="D104" s="93">
        <f>COUNTIFS(Base!$B:$B,D$11,Base!$M:$M,"&lt;"&amp;$B104,Base!$N:$N,"&gt;="&amp;$B104,Base!$O:$O,"&lt;&gt;Finalizado",Base!$O:$O,"&lt;&gt;Congelado",Base!$O:$O,"&lt;&gt;Concluindo pendências") + COUNTIFS(Base!$B:$B,D$11,Base!$M:$M,"&lt;"&amp;$B104,Base!$N:$N,"",Base!$O:$O,"&lt;&gt;Finalizado",Base!$O:$O,"&lt;&gt;Congelado",Base!$O:$O,"&lt;&gt;Concluindo pendências")</f>
        <v>9</v>
      </c>
      <c r="E104" s="93">
        <f>COUNTIFS(Base!$B:$B,E$11,Base!$M:$M,"&lt;"&amp;$B104,Base!$N:$N,"&gt;="&amp;$B104,Base!$O:$O,"&lt;&gt;Finalizado",Base!$O:$O,"&lt;&gt;Congelado",Base!$O:$O,"&lt;&gt;Concluindo pendências") + COUNTIFS(Base!$B:$B,E$11,Base!$M:$M,"&lt;"&amp;$B104,Base!$N:$N,"",Base!$O:$O,"&lt;&gt;Finalizado",Base!$O:$O,"&lt;&gt;Congelado",Base!$O:$O,"&lt;&gt;Concluindo pendências")</f>
        <v>5</v>
      </c>
      <c r="F104" s="93">
        <f>COUNTIFS(Base!$B:$B,F$11,Base!$M:$M,"&lt;"&amp;$B104,Base!$N:$N,"&gt;="&amp;$B104,Base!$O:$O,"&lt;&gt;Finalizado",Base!$O:$O,"&lt;&gt;Congelado",Base!$O:$O,"&lt;&gt;Concluindo pendências") + COUNTIFS(Base!$B:$B,F$11,Base!$M:$M,"&lt;"&amp;$B104,Base!$N:$N,"",Base!$O:$O,"&lt;&gt;Finalizado",Base!$O:$O,"&lt;&gt;Congelado",Base!$O:$O,"&lt;&gt;Concluindo pendências")</f>
        <v>6</v>
      </c>
      <c r="H104" s="93">
        <f>COUNTIFS(Base!$B:$B,C$11,Base!$K:$K,"&lt;"&amp;$B104,Base!$N:$N,"&gt;="&amp;$B104,Base!$O:$O,"&lt;&gt;Finalizado",Base!$O:$O,"&lt;&gt;Congelado") + COUNTIFS(Base!$B:$B,C$11,Base!$K:$K,"&lt;"&amp;$B104,Base!$N:$N,"",Base!$O:$O,"&lt;&gt;Finalizado",Base!$O:$O,"&lt;&gt;Congelado")</f>
        <v>11</v>
      </c>
      <c r="I104" s="93">
        <f>COUNTIFS(Base!$B:$B,D$11,Base!$K:$K,"&lt;"&amp;$B104,Base!$N:$N,"&gt;="&amp;$B104,Base!$O:$O,"&lt;&gt;Finalizado",Base!$O:$O,"&lt;&gt;Congelado") + COUNTIFS(Base!$B:$B,D$11,Base!$K:$K,"&lt;"&amp;$B104,Base!$N:$N,"",Base!$O:$O,"&lt;&gt;Finalizado",Base!$O:$O,"&lt;&gt;Congelado")</f>
        <v>24</v>
      </c>
      <c r="J104" s="93">
        <f>COUNTIFS(Base!$B:$B,E$11,Base!$K:$K,"&lt;"&amp;$B104,Base!$N:$N,"&gt;="&amp;$B104,Base!$O:$O,"&lt;&gt;Finalizado",Base!$O:$O,"&lt;&gt;Congelado") + COUNTIFS(Base!$B:$B,E$11,Base!$K:$K,"&lt;"&amp;$B104,Base!$N:$N,"",Base!$O:$O,"&lt;&gt;Finalizado",Base!$O:$O,"&lt;&gt;Congelado")</f>
        <v>14</v>
      </c>
      <c r="K104" s="93">
        <f>COUNTIFS(Base!$B:$B,F$11,Base!$K:$K,"&lt;"&amp;$B104,Base!$N:$N,"&gt;="&amp;$B104,Base!$O:$O,"&lt;&gt;Finalizado",Base!$O:$O,"&lt;&gt;Congelado") + COUNTIFS(Base!$B:$B,F$11,Base!$K:$K,"&lt;"&amp;$B104,Base!$N:$N,"",Base!$O:$O,"&lt;&gt;Finalizado",Base!$O:$O,"&lt;&gt;Congelado")</f>
        <v>19</v>
      </c>
      <c r="M104" s="133">
        <f t="shared" ref="M104:P104" si="144">C104/H104</f>
        <v>0.3636363636</v>
      </c>
      <c r="N104" s="133">
        <f t="shared" si="144"/>
        <v>0.375</v>
      </c>
      <c r="O104" s="133">
        <f t="shared" si="144"/>
        <v>0.3571428571</v>
      </c>
      <c r="P104" s="133">
        <f t="shared" si="144"/>
        <v>0.3157894737</v>
      </c>
      <c r="Q104" s="133">
        <f t="shared" si="9"/>
        <v>0.3529411765</v>
      </c>
      <c r="S104" s="93">
        <f t="shared" ref="S104:V104" si="145">S103+C104</f>
        <v>153</v>
      </c>
      <c r="T104" s="93">
        <f t="shared" si="145"/>
        <v>387</v>
      </c>
      <c r="U104" s="93">
        <f t="shared" si="145"/>
        <v>398</v>
      </c>
      <c r="V104" s="93">
        <f t="shared" si="145"/>
        <v>290</v>
      </c>
      <c r="W104" s="93">
        <f t="shared" si="11"/>
        <v>1228</v>
      </c>
      <c r="Y104" s="133">
        <f>(COUNTIFS(Base!$B:$B,C$11,Base!$S:$S,"&gt;8",Base!$N:$N,"&lt;="&amp;$B104) - COUNTIFS(Base!$B:$B,C$11,Base!$S:$S,"&lt;7",Base!$N:$N,"&lt;="&amp;$B104) - COUNTIFS(Base!$B:$B,C$11,Base!$S:$S,"&lt;7",Base!$K:$K,"&lt;="&amp;$B104,Base!$O:$O,"Finalizado"))/(COUNTIFS(Base!$B:$B,C$11,Base!$S:$S,"&lt;&gt;",Base!$N:$N,"&lt;="&amp;$B104)+COUNTIFS(Base!$B:$B,C$11,Base!$S:$S,"&lt;7",Base!$K:$K,"&lt;="&amp;$B104,Base!$O:$O,"Finalizado"))</f>
        <v>0.6</v>
      </c>
      <c r="Z104" s="133">
        <f>(COUNTIFS(Base!$B:$B,D$11,Base!$S:$S,"&gt;8",Base!$N:$N,"&lt;="&amp;$B104) - COUNTIFS(Base!$B:$B,D$11,Base!$S:$S,"&lt;7",Base!$N:$N,"&lt;="&amp;$B104) - COUNTIFS(Base!$B:$B,D$11,Base!$S:$S,"&lt;7",Base!$K:$K,"&lt;="&amp;$B104,Base!$O:$O,"Finalizado"))/(COUNTIFS(Base!$B:$B,D$11,Base!$S:$S,"&lt;&gt;",Base!$N:$N,"&lt;="&amp;$B104)+COUNTIFS(Base!$B:$B,D$11,Base!$S:$S,"&lt;7",Base!$K:$K,"&lt;="&amp;$B104,Base!$O:$O,"Finalizado"))</f>
        <v>0.8</v>
      </c>
      <c r="AA104" s="133">
        <f>(COUNTIFS(Base!$B:$B,E$11,Base!$S:$S,"&gt;8",Base!$N:$N,"&lt;="&amp;$B104) - COUNTIFS(Base!$B:$B,E$11,Base!$S:$S,"&lt;7",Base!$N:$N,"&lt;="&amp;$B104) - COUNTIFS(Base!$B:$B,E$11,Base!$S:$S,"&lt;7",Base!$K:$K,"&lt;="&amp;$B104,Base!$O:$O,"Finalizado"))/(COUNTIFS(Base!$B:$B,E$11,Base!$S:$S,"&lt;&gt;",Base!$N:$N,"&lt;="&amp;$B104)+COUNTIFS(Base!$B:$B,E$11,Base!$S:$S,"&lt;7",Base!$K:$K,"&lt;="&amp;$B104,Base!$O:$O,"Finalizado"))</f>
        <v>0.6666666667</v>
      </c>
      <c r="AB104" s="133">
        <f t="shared" si="12"/>
        <v>0.6666666667</v>
      </c>
      <c r="AD104" s="93">
        <f>(COUNTIFS(Base!$B:$B,F$11,Base!$S:$S,"&gt;8",Base!$N:$N,"&lt;="&amp;$B104)+(COUNTIFS(Base!$B:$B,F$11,Base!$AG:$AG,"&gt;8",Base!$K:$K,"&lt;="&amp;$B104)))</f>
        <v>4</v>
      </c>
      <c r="AE104" s="93">
        <f>(COUNTIFS(Base!$B:$B,F$11,Base!$S:$S,"&lt;&gt;",Base!$N:$N,"&lt;="&amp;$B104)+(COUNTIFS(Base!$B:$B,F$11,Base!$AG:$AG,"&lt;&gt;",Base!$K:$K,"&lt;="&amp;$B104)+COUNTIFS(Base!$B:$B,F$11,Base!$S:$S,"&lt;7",Base!$K:$K,"&lt;="&amp;$B104,Base!$O:$O,"Finalizado")))</f>
        <v>6</v>
      </c>
      <c r="AF104" s="93">
        <f>COUNTIFS(Base!$B:$B,F$11,Base!$S:$S,"&lt;7",Base!$N:$N,"&lt;="&amp;$B104) +COUNTIFS(Base!$B:$B,F$11,Base!$AG:$AG,"&lt;7",Base!$K:$K,"&lt;="&amp;$B104) + COUNTIFS(Base!$B:$B,F$11,Base!$S:$S,"&lt;7",Base!$K:$K,"&lt;="&amp;$B104,Base!$O:$O,"Finalizado")</f>
        <v>0</v>
      </c>
    </row>
    <row r="105">
      <c r="B105" s="151">
        <f t="shared" si="13"/>
        <v>45360</v>
      </c>
      <c r="C105" s="93">
        <f>COUNTIFS(Base!$B:$B,C$11,Base!$M:$M,"&lt;"&amp;$B105,Base!$N:$N,"&gt;="&amp;$B105,Base!$O:$O,"&lt;&gt;Finalizado",Base!$O:$O,"&lt;&gt;Congelado",Base!$O:$O,"&lt;&gt;Concluindo pendências") + COUNTIFS(Base!$B:$B,C$11,Base!$M:$M,"&lt;"&amp;$B105,Base!$N:$N,"",Base!$O:$O,"&lt;&gt;Finalizado",Base!$O:$O,"&lt;&gt;Congelado",Base!$O:$O,"&lt;&gt;Concluindo pendências")</f>
        <v>4</v>
      </c>
      <c r="D105" s="93">
        <f>COUNTIFS(Base!$B:$B,D$11,Base!$M:$M,"&lt;"&amp;$B105,Base!$N:$N,"&gt;="&amp;$B105,Base!$O:$O,"&lt;&gt;Finalizado",Base!$O:$O,"&lt;&gt;Congelado",Base!$O:$O,"&lt;&gt;Concluindo pendências") + COUNTIFS(Base!$B:$B,D$11,Base!$M:$M,"&lt;"&amp;$B105,Base!$N:$N,"",Base!$O:$O,"&lt;&gt;Finalizado",Base!$O:$O,"&lt;&gt;Congelado",Base!$O:$O,"&lt;&gt;Concluindo pendências")</f>
        <v>9</v>
      </c>
      <c r="E105" s="93">
        <f>COUNTIFS(Base!$B:$B,E$11,Base!$M:$M,"&lt;"&amp;$B105,Base!$N:$N,"&gt;="&amp;$B105,Base!$O:$O,"&lt;&gt;Finalizado",Base!$O:$O,"&lt;&gt;Congelado",Base!$O:$O,"&lt;&gt;Concluindo pendências") + COUNTIFS(Base!$B:$B,E$11,Base!$M:$M,"&lt;"&amp;$B105,Base!$N:$N,"",Base!$O:$O,"&lt;&gt;Finalizado",Base!$O:$O,"&lt;&gt;Congelado",Base!$O:$O,"&lt;&gt;Concluindo pendências")</f>
        <v>5</v>
      </c>
      <c r="F105" s="93">
        <f>COUNTIFS(Base!$B:$B,F$11,Base!$M:$M,"&lt;"&amp;$B105,Base!$N:$N,"&gt;="&amp;$B105,Base!$O:$O,"&lt;&gt;Finalizado",Base!$O:$O,"&lt;&gt;Congelado",Base!$O:$O,"&lt;&gt;Concluindo pendências") + COUNTIFS(Base!$B:$B,F$11,Base!$M:$M,"&lt;"&amp;$B105,Base!$N:$N,"",Base!$O:$O,"&lt;&gt;Finalizado",Base!$O:$O,"&lt;&gt;Congelado",Base!$O:$O,"&lt;&gt;Concluindo pendências")</f>
        <v>6</v>
      </c>
      <c r="H105" s="93">
        <f>COUNTIFS(Base!$B:$B,C$11,Base!$K:$K,"&lt;"&amp;$B105,Base!$N:$N,"&gt;="&amp;$B105,Base!$O:$O,"&lt;&gt;Finalizado",Base!$O:$O,"&lt;&gt;Congelado") + COUNTIFS(Base!$B:$B,C$11,Base!$K:$K,"&lt;"&amp;$B105,Base!$N:$N,"",Base!$O:$O,"&lt;&gt;Finalizado",Base!$O:$O,"&lt;&gt;Congelado")</f>
        <v>11</v>
      </c>
      <c r="I105" s="93">
        <f>COUNTIFS(Base!$B:$B,D$11,Base!$K:$K,"&lt;"&amp;$B105,Base!$N:$N,"&gt;="&amp;$B105,Base!$O:$O,"&lt;&gt;Finalizado",Base!$O:$O,"&lt;&gt;Congelado") + COUNTIFS(Base!$B:$B,D$11,Base!$K:$K,"&lt;"&amp;$B105,Base!$N:$N,"",Base!$O:$O,"&lt;&gt;Finalizado",Base!$O:$O,"&lt;&gt;Congelado")</f>
        <v>23</v>
      </c>
      <c r="J105" s="93">
        <f>COUNTIFS(Base!$B:$B,E$11,Base!$K:$K,"&lt;"&amp;$B105,Base!$N:$N,"&gt;="&amp;$B105,Base!$O:$O,"&lt;&gt;Finalizado",Base!$O:$O,"&lt;&gt;Congelado") + COUNTIFS(Base!$B:$B,E$11,Base!$K:$K,"&lt;"&amp;$B105,Base!$N:$N,"",Base!$O:$O,"&lt;&gt;Finalizado",Base!$O:$O,"&lt;&gt;Congelado")</f>
        <v>14</v>
      </c>
      <c r="K105" s="93">
        <f>COUNTIFS(Base!$B:$B,F$11,Base!$K:$K,"&lt;"&amp;$B105,Base!$N:$N,"&gt;="&amp;$B105,Base!$O:$O,"&lt;&gt;Finalizado",Base!$O:$O,"&lt;&gt;Congelado") + COUNTIFS(Base!$B:$B,F$11,Base!$K:$K,"&lt;"&amp;$B105,Base!$N:$N,"",Base!$O:$O,"&lt;&gt;Finalizado",Base!$O:$O,"&lt;&gt;Congelado")</f>
        <v>19</v>
      </c>
      <c r="M105" s="133">
        <f t="shared" ref="M105:P105" si="146">C105/H105</f>
        <v>0.3636363636</v>
      </c>
      <c r="N105" s="133">
        <f t="shared" si="146"/>
        <v>0.3913043478</v>
      </c>
      <c r="O105" s="133">
        <f t="shared" si="146"/>
        <v>0.3571428571</v>
      </c>
      <c r="P105" s="133">
        <f t="shared" si="146"/>
        <v>0.3157894737</v>
      </c>
      <c r="Q105" s="133">
        <f t="shared" si="9"/>
        <v>0.3582089552</v>
      </c>
      <c r="S105" s="93">
        <f t="shared" ref="S105:V105" si="147">S104+C105</f>
        <v>157</v>
      </c>
      <c r="T105" s="93">
        <f t="shared" si="147"/>
        <v>396</v>
      </c>
      <c r="U105" s="93">
        <f t="shared" si="147"/>
        <v>403</v>
      </c>
      <c r="V105" s="93">
        <f t="shared" si="147"/>
        <v>296</v>
      </c>
      <c r="W105" s="93">
        <f t="shared" si="11"/>
        <v>1252</v>
      </c>
      <c r="Y105" s="133">
        <f>(COUNTIFS(Base!$B:$B,C$11,Base!$S:$S,"&gt;8",Base!$N:$N,"&lt;="&amp;$B105) - COUNTIFS(Base!$B:$B,C$11,Base!$S:$S,"&lt;7",Base!$N:$N,"&lt;="&amp;$B105) - COUNTIFS(Base!$B:$B,C$11,Base!$S:$S,"&lt;7",Base!$K:$K,"&lt;="&amp;$B105,Base!$O:$O,"Finalizado"))/(COUNTIFS(Base!$B:$B,C$11,Base!$S:$S,"&lt;&gt;",Base!$N:$N,"&lt;="&amp;$B105)+COUNTIFS(Base!$B:$B,C$11,Base!$S:$S,"&lt;7",Base!$K:$K,"&lt;="&amp;$B105,Base!$O:$O,"Finalizado"))</f>
        <v>0.6</v>
      </c>
      <c r="Z105" s="133">
        <f>(COUNTIFS(Base!$B:$B,D$11,Base!$S:$S,"&gt;8",Base!$N:$N,"&lt;="&amp;$B105) - COUNTIFS(Base!$B:$B,D$11,Base!$S:$S,"&lt;7",Base!$N:$N,"&lt;="&amp;$B105) - COUNTIFS(Base!$B:$B,D$11,Base!$S:$S,"&lt;7",Base!$K:$K,"&lt;="&amp;$B105,Base!$O:$O,"Finalizado"))/(COUNTIFS(Base!$B:$B,D$11,Base!$S:$S,"&lt;&gt;",Base!$N:$N,"&lt;="&amp;$B105)+COUNTIFS(Base!$B:$B,D$11,Base!$S:$S,"&lt;7",Base!$K:$K,"&lt;="&amp;$B105,Base!$O:$O,"Finalizado"))</f>
        <v>0.8</v>
      </c>
      <c r="AA105" s="133">
        <f>(COUNTIFS(Base!$B:$B,E$11,Base!$S:$S,"&gt;8",Base!$N:$N,"&lt;="&amp;$B105) - COUNTIFS(Base!$B:$B,E$11,Base!$S:$S,"&lt;7",Base!$N:$N,"&lt;="&amp;$B105) - COUNTIFS(Base!$B:$B,E$11,Base!$S:$S,"&lt;7",Base!$K:$K,"&lt;="&amp;$B105,Base!$O:$O,"Finalizado"))/(COUNTIFS(Base!$B:$B,E$11,Base!$S:$S,"&lt;&gt;",Base!$N:$N,"&lt;="&amp;$B105)+COUNTIFS(Base!$B:$B,E$11,Base!$S:$S,"&lt;7",Base!$K:$K,"&lt;="&amp;$B105,Base!$O:$O,"Finalizado"))</f>
        <v>0.6666666667</v>
      </c>
      <c r="AB105" s="133">
        <f t="shared" si="12"/>
        <v>0.6666666667</v>
      </c>
      <c r="AD105" s="93">
        <f>(COUNTIFS(Base!$B:$B,F$11,Base!$S:$S,"&gt;8",Base!$N:$N,"&lt;="&amp;$B105)+(COUNTIFS(Base!$B:$B,F$11,Base!$AG:$AG,"&gt;8",Base!$K:$K,"&lt;="&amp;$B105)))</f>
        <v>4</v>
      </c>
      <c r="AE105" s="93">
        <f>(COUNTIFS(Base!$B:$B,F$11,Base!$S:$S,"&lt;&gt;",Base!$N:$N,"&lt;="&amp;$B105)+(COUNTIFS(Base!$B:$B,F$11,Base!$AG:$AG,"&lt;&gt;",Base!$K:$K,"&lt;="&amp;$B105)+COUNTIFS(Base!$B:$B,F$11,Base!$S:$S,"&lt;7",Base!$K:$K,"&lt;="&amp;$B105,Base!$O:$O,"Finalizado")))</f>
        <v>6</v>
      </c>
      <c r="AF105" s="93">
        <f>COUNTIFS(Base!$B:$B,F$11,Base!$S:$S,"&lt;7",Base!$N:$N,"&lt;="&amp;$B105) +COUNTIFS(Base!$B:$B,F$11,Base!$AG:$AG,"&lt;7",Base!$K:$K,"&lt;="&amp;$B105) + COUNTIFS(Base!$B:$B,F$11,Base!$S:$S,"&lt;7",Base!$K:$K,"&lt;="&amp;$B105,Base!$O:$O,"Finalizado")</f>
        <v>0</v>
      </c>
    </row>
    <row r="106">
      <c r="B106" s="151">
        <f t="shared" si="13"/>
        <v>45361</v>
      </c>
      <c r="C106" s="93">
        <f>COUNTIFS(Base!$B:$B,C$11,Base!$M:$M,"&lt;"&amp;$B106,Base!$N:$N,"&gt;="&amp;$B106,Base!$O:$O,"&lt;&gt;Finalizado",Base!$O:$O,"&lt;&gt;Congelado",Base!$O:$O,"&lt;&gt;Concluindo pendências") + COUNTIFS(Base!$B:$B,C$11,Base!$M:$M,"&lt;"&amp;$B106,Base!$N:$N,"",Base!$O:$O,"&lt;&gt;Finalizado",Base!$O:$O,"&lt;&gt;Congelado",Base!$O:$O,"&lt;&gt;Concluindo pendências")</f>
        <v>4</v>
      </c>
      <c r="D106" s="93">
        <f>COUNTIFS(Base!$B:$B,D$11,Base!$M:$M,"&lt;"&amp;$B106,Base!$N:$N,"&gt;="&amp;$B106,Base!$O:$O,"&lt;&gt;Finalizado",Base!$O:$O,"&lt;&gt;Congelado",Base!$O:$O,"&lt;&gt;Concluindo pendências") + COUNTIFS(Base!$B:$B,D$11,Base!$M:$M,"&lt;"&amp;$B106,Base!$N:$N,"",Base!$O:$O,"&lt;&gt;Finalizado",Base!$O:$O,"&lt;&gt;Congelado",Base!$O:$O,"&lt;&gt;Concluindo pendências")</f>
        <v>9</v>
      </c>
      <c r="E106" s="93">
        <f>COUNTIFS(Base!$B:$B,E$11,Base!$M:$M,"&lt;"&amp;$B106,Base!$N:$N,"&gt;="&amp;$B106,Base!$O:$O,"&lt;&gt;Finalizado",Base!$O:$O,"&lt;&gt;Congelado",Base!$O:$O,"&lt;&gt;Concluindo pendências") + COUNTIFS(Base!$B:$B,E$11,Base!$M:$M,"&lt;"&amp;$B106,Base!$N:$N,"",Base!$O:$O,"&lt;&gt;Finalizado",Base!$O:$O,"&lt;&gt;Congelado",Base!$O:$O,"&lt;&gt;Concluindo pendências")</f>
        <v>5</v>
      </c>
      <c r="F106" s="93">
        <f>COUNTIFS(Base!$B:$B,F$11,Base!$M:$M,"&lt;"&amp;$B106,Base!$N:$N,"&gt;="&amp;$B106,Base!$O:$O,"&lt;&gt;Finalizado",Base!$O:$O,"&lt;&gt;Congelado",Base!$O:$O,"&lt;&gt;Concluindo pendências") + COUNTIFS(Base!$B:$B,F$11,Base!$M:$M,"&lt;"&amp;$B106,Base!$N:$N,"",Base!$O:$O,"&lt;&gt;Finalizado",Base!$O:$O,"&lt;&gt;Congelado",Base!$O:$O,"&lt;&gt;Concluindo pendências")</f>
        <v>6</v>
      </c>
      <c r="H106" s="93">
        <f>COUNTIFS(Base!$B:$B,C$11,Base!$K:$K,"&lt;"&amp;$B106,Base!$N:$N,"&gt;="&amp;$B106,Base!$O:$O,"&lt;&gt;Finalizado",Base!$O:$O,"&lt;&gt;Congelado") + COUNTIFS(Base!$B:$B,C$11,Base!$K:$K,"&lt;"&amp;$B106,Base!$N:$N,"",Base!$O:$O,"&lt;&gt;Finalizado",Base!$O:$O,"&lt;&gt;Congelado")</f>
        <v>11</v>
      </c>
      <c r="I106" s="93">
        <f>COUNTIFS(Base!$B:$B,D$11,Base!$K:$K,"&lt;"&amp;$B106,Base!$N:$N,"&gt;="&amp;$B106,Base!$O:$O,"&lt;&gt;Finalizado",Base!$O:$O,"&lt;&gt;Congelado") + COUNTIFS(Base!$B:$B,D$11,Base!$K:$K,"&lt;"&amp;$B106,Base!$N:$N,"",Base!$O:$O,"&lt;&gt;Finalizado",Base!$O:$O,"&lt;&gt;Congelado")</f>
        <v>23</v>
      </c>
      <c r="J106" s="93">
        <f>COUNTIFS(Base!$B:$B,E$11,Base!$K:$K,"&lt;"&amp;$B106,Base!$N:$N,"&gt;="&amp;$B106,Base!$O:$O,"&lt;&gt;Finalizado",Base!$O:$O,"&lt;&gt;Congelado") + COUNTIFS(Base!$B:$B,E$11,Base!$K:$K,"&lt;"&amp;$B106,Base!$N:$N,"",Base!$O:$O,"&lt;&gt;Finalizado",Base!$O:$O,"&lt;&gt;Congelado")</f>
        <v>14</v>
      </c>
      <c r="K106" s="93">
        <f>COUNTIFS(Base!$B:$B,F$11,Base!$K:$K,"&lt;"&amp;$B106,Base!$N:$N,"&gt;="&amp;$B106,Base!$O:$O,"&lt;&gt;Finalizado",Base!$O:$O,"&lt;&gt;Congelado") + COUNTIFS(Base!$B:$B,F$11,Base!$K:$K,"&lt;"&amp;$B106,Base!$N:$N,"",Base!$O:$O,"&lt;&gt;Finalizado",Base!$O:$O,"&lt;&gt;Congelado")</f>
        <v>19</v>
      </c>
      <c r="M106" s="133">
        <f t="shared" ref="M106:P106" si="148">C106/H106</f>
        <v>0.3636363636</v>
      </c>
      <c r="N106" s="133">
        <f t="shared" si="148"/>
        <v>0.3913043478</v>
      </c>
      <c r="O106" s="133">
        <f t="shared" si="148"/>
        <v>0.3571428571</v>
      </c>
      <c r="P106" s="133">
        <f t="shared" si="148"/>
        <v>0.3157894737</v>
      </c>
      <c r="Q106" s="133">
        <f t="shared" si="9"/>
        <v>0.3582089552</v>
      </c>
      <c r="S106" s="93">
        <f t="shared" ref="S106:V106" si="149">S105+C106</f>
        <v>161</v>
      </c>
      <c r="T106" s="93">
        <f t="shared" si="149"/>
        <v>405</v>
      </c>
      <c r="U106" s="93">
        <f t="shared" si="149"/>
        <v>408</v>
      </c>
      <c r="V106" s="93">
        <f t="shared" si="149"/>
        <v>302</v>
      </c>
      <c r="W106" s="93">
        <f t="shared" si="11"/>
        <v>1276</v>
      </c>
      <c r="Y106" s="133">
        <f>(COUNTIFS(Base!$B:$B,C$11,Base!$S:$S,"&gt;8",Base!$N:$N,"&lt;="&amp;$B106) - COUNTIFS(Base!$B:$B,C$11,Base!$S:$S,"&lt;7",Base!$N:$N,"&lt;="&amp;$B106) - COUNTIFS(Base!$B:$B,C$11,Base!$S:$S,"&lt;7",Base!$K:$K,"&lt;="&amp;$B106,Base!$O:$O,"Finalizado"))/(COUNTIFS(Base!$B:$B,C$11,Base!$S:$S,"&lt;&gt;",Base!$N:$N,"&lt;="&amp;$B106)+COUNTIFS(Base!$B:$B,C$11,Base!$S:$S,"&lt;7",Base!$K:$K,"&lt;="&amp;$B106,Base!$O:$O,"Finalizado"))</f>
        <v>0.6</v>
      </c>
      <c r="Z106" s="133">
        <f>(COUNTIFS(Base!$B:$B,D$11,Base!$S:$S,"&gt;8",Base!$N:$N,"&lt;="&amp;$B106) - COUNTIFS(Base!$B:$B,D$11,Base!$S:$S,"&lt;7",Base!$N:$N,"&lt;="&amp;$B106) - COUNTIFS(Base!$B:$B,D$11,Base!$S:$S,"&lt;7",Base!$K:$K,"&lt;="&amp;$B106,Base!$O:$O,"Finalizado"))/(COUNTIFS(Base!$B:$B,D$11,Base!$S:$S,"&lt;&gt;",Base!$N:$N,"&lt;="&amp;$B106)+COUNTIFS(Base!$B:$B,D$11,Base!$S:$S,"&lt;7",Base!$K:$K,"&lt;="&amp;$B106,Base!$O:$O,"Finalizado"))</f>
        <v>0.8</v>
      </c>
      <c r="AA106" s="133">
        <f>(COUNTIFS(Base!$B:$B,E$11,Base!$S:$S,"&gt;8",Base!$N:$N,"&lt;="&amp;$B106) - COUNTIFS(Base!$B:$B,E$11,Base!$S:$S,"&lt;7",Base!$N:$N,"&lt;="&amp;$B106) - COUNTIFS(Base!$B:$B,E$11,Base!$S:$S,"&lt;7",Base!$K:$K,"&lt;="&amp;$B106,Base!$O:$O,"Finalizado"))/(COUNTIFS(Base!$B:$B,E$11,Base!$S:$S,"&lt;&gt;",Base!$N:$N,"&lt;="&amp;$B106)+COUNTIFS(Base!$B:$B,E$11,Base!$S:$S,"&lt;7",Base!$K:$K,"&lt;="&amp;$B106,Base!$O:$O,"Finalizado"))</f>
        <v>0.6666666667</v>
      </c>
      <c r="AB106" s="133">
        <f t="shared" si="12"/>
        <v>0.6666666667</v>
      </c>
      <c r="AD106" s="93">
        <f>(COUNTIFS(Base!$B:$B,F$11,Base!$S:$S,"&gt;8",Base!$N:$N,"&lt;="&amp;$B106)+(COUNTIFS(Base!$B:$B,F$11,Base!$AG:$AG,"&gt;8",Base!$K:$K,"&lt;="&amp;$B106)))</f>
        <v>4</v>
      </c>
      <c r="AE106" s="93">
        <f>(COUNTIFS(Base!$B:$B,F$11,Base!$S:$S,"&lt;&gt;",Base!$N:$N,"&lt;="&amp;$B106)+(COUNTIFS(Base!$B:$B,F$11,Base!$AG:$AG,"&lt;&gt;",Base!$K:$K,"&lt;="&amp;$B106)+COUNTIFS(Base!$B:$B,F$11,Base!$S:$S,"&lt;7",Base!$K:$K,"&lt;="&amp;$B106,Base!$O:$O,"Finalizado")))</f>
        <v>6</v>
      </c>
      <c r="AF106" s="93">
        <f>COUNTIFS(Base!$B:$B,F$11,Base!$S:$S,"&lt;7",Base!$N:$N,"&lt;="&amp;$B106) +COUNTIFS(Base!$B:$B,F$11,Base!$AG:$AG,"&lt;7",Base!$K:$K,"&lt;="&amp;$B106) + COUNTIFS(Base!$B:$B,F$11,Base!$S:$S,"&lt;7",Base!$K:$K,"&lt;="&amp;$B106,Base!$O:$O,"Finalizado")</f>
        <v>0</v>
      </c>
    </row>
    <row r="107">
      <c r="B107" s="151">
        <f t="shared" si="13"/>
        <v>45362</v>
      </c>
      <c r="C107" s="93">
        <f>COUNTIFS(Base!$B:$B,C$11,Base!$M:$M,"&lt;"&amp;$B107,Base!$N:$N,"&gt;="&amp;$B107,Base!$O:$O,"&lt;&gt;Finalizado",Base!$O:$O,"&lt;&gt;Congelado",Base!$O:$O,"&lt;&gt;Concluindo pendências") + COUNTIFS(Base!$B:$B,C$11,Base!$M:$M,"&lt;"&amp;$B107,Base!$N:$N,"",Base!$O:$O,"&lt;&gt;Finalizado",Base!$O:$O,"&lt;&gt;Congelado",Base!$O:$O,"&lt;&gt;Concluindo pendências")</f>
        <v>4</v>
      </c>
      <c r="D107" s="93">
        <f>COUNTIFS(Base!$B:$B,D$11,Base!$M:$M,"&lt;"&amp;$B107,Base!$N:$N,"&gt;="&amp;$B107,Base!$O:$O,"&lt;&gt;Finalizado",Base!$O:$O,"&lt;&gt;Congelado",Base!$O:$O,"&lt;&gt;Concluindo pendências") + COUNTIFS(Base!$B:$B,D$11,Base!$M:$M,"&lt;"&amp;$B107,Base!$N:$N,"",Base!$O:$O,"&lt;&gt;Finalizado",Base!$O:$O,"&lt;&gt;Congelado",Base!$O:$O,"&lt;&gt;Concluindo pendências")</f>
        <v>8</v>
      </c>
      <c r="E107" s="93">
        <f>COUNTIFS(Base!$B:$B,E$11,Base!$M:$M,"&lt;"&amp;$B107,Base!$N:$N,"&gt;="&amp;$B107,Base!$O:$O,"&lt;&gt;Finalizado",Base!$O:$O,"&lt;&gt;Congelado",Base!$O:$O,"&lt;&gt;Concluindo pendências") + COUNTIFS(Base!$B:$B,E$11,Base!$M:$M,"&lt;"&amp;$B107,Base!$N:$N,"",Base!$O:$O,"&lt;&gt;Finalizado",Base!$O:$O,"&lt;&gt;Congelado",Base!$O:$O,"&lt;&gt;Concluindo pendências")</f>
        <v>5</v>
      </c>
      <c r="F107" s="93">
        <f>COUNTIFS(Base!$B:$B,F$11,Base!$M:$M,"&lt;"&amp;$B107,Base!$N:$N,"&gt;="&amp;$B107,Base!$O:$O,"&lt;&gt;Finalizado",Base!$O:$O,"&lt;&gt;Congelado",Base!$O:$O,"&lt;&gt;Concluindo pendências") + COUNTIFS(Base!$B:$B,F$11,Base!$M:$M,"&lt;"&amp;$B107,Base!$N:$N,"",Base!$O:$O,"&lt;&gt;Finalizado",Base!$O:$O,"&lt;&gt;Congelado",Base!$O:$O,"&lt;&gt;Concluindo pendências")</f>
        <v>6</v>
      </c>
      <c r="H107" s="93">
        <f>COUNTIFS(Base!$B:$B,C$11,Base!$K:$K,"&lt;"&amp;$B107,Base!$N:$N,"&gt;="&amp;$B107,Base!$O:$O,"&lt;&gt;Finalizado",Base!$O:$O,"&lt;&gt;Congelado") + COUNTIFS(Base!$B:$B,C$11,Base!$K:$K,"&lt;"&amp;$B107,Base!$N:$N,"",Base!$O:$O,"&lt;&gt;Finalizado",Base!$O:$O,"&lt;&gt;Congelado")</f>
        <v>11</v>
      </c>
      <c r="I107" s="93">
        <f>COUNTIFS(Base!$B:$B,D$11,Base!$K:$K,"&lt;"&amp;$B107,Base!$N:$N,"&gt;="&amp;$B107,Base!$O:$O,"&lt;&gt;Finalizado",Base!$O:$O,"&lt;&gt;Congelado") + COUNTIFS(Base!$B:$B,D$11,Base!$K:$K,"&lt;"&amp;$B107,Base!$N:$N,"",Base!$O:$O,"&lt;&gt;Finalizado",Base!$O:$O,"&lt;&gt;Congelado")</f>
        <v>22</v>
      </c>
      <c r="J107" s="93">
        <f>COUNTIFS(Base!$B:$B,E$11,Base!$K:$K,"&lt;"&amp;$B107,Base!$N:$N,"&gt;="&amp;$B107,Base!$O:$O,"&lt;&gt;Finalizado",Base!$O:$O,"&lt;&gt;Congelado") + COUNTIFS(Base!$B:$B,E$11,Base!$K:$K,"&lt;"&amp;$B107,Base!$N:$N,"",Base!$O:$O,"&lt;&gt;Finalizado",Base!$O:$O,"&lt;&gt;Congelado")</f>
        <v>14</v>
      </c>
      <c r="K107" s="93">
        <f>COUNTIFS(Base!$B:$B,F$11,Base!$K:$K,"&lt;"&amp;$B107,Base!$N:$N,"&gt;="&amp;$B107,Base!$O:$O,"&lt;&gt;Finalizado",Base!$O:$O,"&lt;&gt;Congelado") + COUNTIFS(Base!$B:$B,F$11,Base!$K:$K,"&lt;"&amp;$B107,Base!$N:$N,"",Base!$O:$O,"&lt;&gt;Finalizado",Base!$O:$O,"&lt;&gt;Congelado")</f>
        <v>19</v>
      </c>
      <c r="M107" s="133">
        <f t="shared" ref="M107:P107" si="150">C107/H107</f>
        <v>0.3636363636</v>
      </c>
      <c r="N107" s="133">
        <f t="shared" si="150"/>
        <v>0.3636363636</v>
      </c>
      <c r="O107" s="133">
        <f t="shared" si="150"/>
        <v>0.3571428571</v>
      </c>
      <c r="P107" s="133">
        <f t="shared" si="150"/>
        <v>0.3157894737</v>
      </c>
      <c r="Q107" s="133">
        <f t="shared" si="9"/>
        <v>0.3484848485</v>
      </c>
      <c r="S107" s="93">
        <f t="shared" ref="S107:V107" si="151">S106+C107</f>
        <v>165</v>
      </c>
      <c r="T107" s="93">
        <f t="shared" si="151"/>
        <v>413</v>
      </c>
      <c r="U107" s="93">
        <f t="shared" si="151"/>
        <v>413</v>
      </c>
      <c r="V107" s="93">
        <f t="shared" si="151"/>
        <v>308</v>
      </c>
      <c r="W107" s="93">
        <f t="shared" si="11"/>
        <v>1299</v>
      </c>
      <c r="Y107" s="133">
        <f>(COUNTIFS(Base!$B:$B,C$11,Base!$S:$S,"&gt;8",Base!$N:$N,"&lt;="&amp;$B107) - COUNTIFS(Base!$B:$B,C$11,Base!$S:$S,"&lt;7",Base!$N:$N,"&lt;="&amp;$B107) - COUNTIFS(Base!$B:$B,C$11,Base!$S:$S,"&lt;7",Base!$K:$K,"&lt;="&amp;$B107,Base!$O:$O,"Finalizado"))/(COUNTIFS(Base!$B:$B,C$11,Base!$S:$S,"&lt;&gt;",Base!$N:$N,"&lt;="&amp;$B107)+COUNTIFS(Base!$B:$B,C$11,Base!$S:$S,"&lt;7",Base!$K:$K,"&lt;="&amp;$B107,Base!$O:$O,"Finalizado"))</f>
        <v>0.6</v>
      </c>
      <c r="Z107" s="133">
        <f>(COUNTIFS(Base!$B:$B,D$11,Base!$S:$S,"&gt;8",Base!$N:$N,"&lt;="&amp;$B107) - COUNTIFS(Base!$B:$B,D$11,Base!$S:$S,"&lt;7",Base!$N:$N,"&lt;="&amp;$B107) - COUNTIFS(Base!$B:$B,D$11,Base!$S:$S,"&lt;7",Base!$K:$K,"&lt;="&amp;$B107,Base!$O:$O,"Finalizado"))/(COUNTIFS(Base!$B:$B,D$11,Base!$S:$S,"&lt;&gt;",Base!$N:$N,"&lt;="&amp;$B107)+COUNTIFS(Base!$B:$B,D$11,Base!$S:$S,"&lt;7",Base!$K:$K,"&lt;="&amp;$B107,Base!$O:$O,"Finalizado"))</f>
        <v>0.75</v>
      </c>
      <c r="AA107" s="133">
        <f>(COUNTIFS(Base!$B:$B,E$11,Base!$S:$S,"&gt;8",Base!$N:$N,"&lt;="&amp;$B107) - COUNTIFS(Base!$B:$B,E$11,Base!$S:$S,"&lt;7",Base!$N:$N,"&lt;="&amp;$B107) - COUNTIFS(Base!$B:$B,E$11,Base!$S:$S,"&lt;7",Base!$K:$K,"&lt;="&amp;$B107,Base!$O:$O,"Finalizado"))/(COUNTIFS(Base!$B:$B,E$11,Base!$S:$S,"&lt;&gt;",Base!$N:$N,"&lt;="&amp;$B107)+COUNTIFS(Base!$B:$B,E$11,Base!$S:$S,"&lt;7",Base!$K:$K,"&lt;="&amp;$B107,Base!$O:$O,"Finalizado"))</f>
        <v>0.6666666667</v>
      </c>
      <c r="AB107" s="133">
        <f t="shared" si="12"/>
        <v>0.6666666667</v>
      </c>
      <c r="AD107" s="93">
        <f>(COUNTIFS(Base!$B:$B,F$11,Base!$S:$S,"&gt;8",Base!$N:$N,"&lt;="&amp;$B107)+(COUNTIFS(Base!$B:$B,F$11,Base!$AG:$AG,"&gt;8",Base!$K:$K,"&lt;="&amp;$B107)))</f>
        <v>4</v>
      </c>
      <c r="AE107" s="93">
        <f>(COUNTIFS(Base!$B:$B,F$11,Base!$S:$S,"&lt;&gt;",Base!$N:$N,"&lt;="&amp;$B107)+(COUNTIFS(Base!$B:$B,F$11,Base!$AG:$AG,"&lt;&gt;",Base!$K:$K,"&lt;="&amp;$B107)+COUNTIFS(Base!$B:$B,F$11,Base!$S:$S,"&lt;7",Base!$K:$K,"&lt;="&amp;$B107,Base!$O:$O,"Finalizado")))</f>
        <v>6</v>
      </c>
      <c r="AF107" s="93">
        <f>COUNTIFS(Base!$B:$B,F$11,Base!$S:$S,"&lt;7",Base!$N:$N,"&lt;="&amp;$B107) +COUNTIFS(Base!$B:$B,F$11,Base!$AG:$AG,"&lt;7",Base!$K:$K,"&lt;="&amp;$B107) + COUNTIFS(Base!$B:$B,F$11,Base!$S:$S,"&lt;7",Base!$K:$K,"&lt;="&amp;$B107,Base!$O:$O,"Finalizado")</f>
        <v>0</v>
      </c>
    </row>
    <row r="108">
      <c r="B108" s="151">
        <f t="shared" si="13"/>
        <v>45363</v>
      </c>
      <c r="C108" s="93">
        <f>COUNTIFS(Base!$B:$B,C$11,Base!$M:$M,"&lt;"&amp;$B108,Base!$N:$N,"&gt;="&amp;$B108,Base!$O:$O,"&lt;&gt;Finalizado",Base!$O:$O,"&lt;&gt;Congelado",Base!$O:$O,"&lt;&gt;Concluindo pendências") + COUNTIFS(Base!$B:$B,C$11,Base!$M:$M,"&lt;"&amp;$B108,Base!$N:$N,"",Base!$O:$O,"&lt;&gt;Finalizado",Base!$O:$O,"&lt;&gt;Congelado",Base!$O:$O,"&lt;&gt;Concluindo pendências")</f>
        <v>4</v>
      </c>
      <c r="D108" s="93">
        <f>COUNTIFS(Base!$B:$B,D$11,Base!$M:$M,"&lt;"&amp;$B108,Base!$N:$N,"&gt;="&amp;$B108,Base!$O:$O,"&lt;&gt;Finalizado",Base!$O:$O,"&lt;&gt;Congelado",Base!$O:$O,"&lt;&gt;Concluindo pendências") + COUNTIFS(Base!$B:$B,D$11,Base!$M:$M,"&lt;"&amp;$B108,Base!$N:$N,"",Base!$O:$O,"&lt;&gt;Finalizado",Base!$O:$O,"&lt;&gt;Congelado",Base!$O:$O,"&lt;&gt;Concluindo pendências")</f>
        <v>6</v>
      </c>
      <c r="E108" s="93">
        <f>COUNTIFS(Base!$B:$B,E$11,Base!$M:$M,"&lt;"&amp;$B108,Base!$N:$N,"&gt;="&amp;$B108,Base!$O:$O,"&lt;&gt;Finalizado",Base!$O:$O,"&lt;&gt;Congelado",Base!$O:$O,"&lt;&gt;Concluindo pendências") + COUNTIFS(Base!$B:$B,E$11,Base!$M:$M,"&lt;"&amp;$B108,Base!$N:$N,"",Base!$O:$O,"&lt;&gt;Finalizado",Base!$O:$O,"&lt;&gt;Congelado",Base!$O:$O,"&lt;&gt;Concluindo pendências")</f>
        <v>5</v>
      </c>
      <c r="F108" s="93">
        <f>COUNTIFS(Base!$B:$B,F$11,Base!$M:$M,"&lt;"&amp;$B108,Base!$N:$N,"&gt;="&amp;$B108,Base!$O:$O,"&lt;&gt;Finalizado",Base!$O:$O,"&lt;&gt;Congelado",Base!$O:$O,"&lt;&gt;Concluindo pendências") + COUNTIFS(Base!$B:$B,F$11,Base!$M:$M,"&lt;"&amp;$B108,Base!$N:$N,"",Base!$O:$O,"&lt;&gt;Finalizado",Base!$O:$O,"&lt;&gt;Congelado",Base!$O:$O,"&lt;&gt;Concluindo pendências")</f>
        <v>6</v>
      </c>
      <c r="H108" s="93">
        <f>COUNTIFS(Base!$B:$B,C$11,Base!$K:$K,"&lt;"&amp;$B108,Base!$N:$N,"&gt;="&amp;$B108,Base!$O:$O,"&lt;&gt;Finalizado",Base!$O:$O,"&lt;&gt;Congelado") + COUNTIFS(Base!$B:$B,C$11,Base!$K:$K,"&lt;"&amp;$B108,Base!$N:$N,"",Base!$O:$O,"&lt;&gt;Finalizado",Base!$O:$O,"&lt;&gt;Congelado")</f>
        <v>11</v>
      </c>
      <c r="I108" s="93">
        <f>COUNTIFS(Base!$B:$B,D$11,Base!$K:$K,"&lt;"&amp;$B108,Base!$N:$N,"&gt;="&amp;$B108,Base!$O:$O,"&lt;&gt;Finalizado",Base!$O:$O,"&lt;&gt;Congelado") + COUNTIFS(Base!$B:$B,D$11,Base!$K:$K,"&lt;"&amp;$B108,Base!$N:$N,"",Base!$O:$O,"&lt;&gt;Finalizado",Base!$O:$O,"&lt;&gt;Congelado")</f>
        <v>20</v>
      </c>
      <c r="J108" s="93">
        <f>COUNTIFS(Base!$B:$B,E$11,Base!$K:$K,"&lt;"&amp;$B108,Base!$N:$N,"&gt;="&amp;$B108,Base!$O:$O,"&lt;&gt;Finalizado",Base!$O:$O,"&lt;&gt;Congelado") + COUNTIFS(Base!$B:$B,E$11,Base!$K:$K,"&lt;"&amp;$B108,Base!$N:$N,"",Base!$O:$O,"&lt;&gt;Finalizado",Base!$O:$O,"&lt;&gt;Congelado")</f>
        <v>16</v>
      </c>
      <c r="K108" s="93">
        <f>COUNTIFS(Base!$B:$B,F$11,Base!$K:$K,"&lt;"&amp;$B108,Base!$N:$N,"&gt;="&amp;$B108,Base!$O:$O,"&lt;&gt;Finalizado",Base!$O:$O,"&lt;&gt;Congelado") + COUNTIFS(Base!$B:$B,F$11,Base!$K:$K,"&lt;"&amp;$B108,Base!$N:$N,"",Base!$O:$O,"&lt;&gt;Finalizado",Base!$O:$O,"&lt;&gt;Congelado")</f>
        <v>19</v>
      </c>
      <c r="M108" s="133">
        <f t="shared" ref="M108:P108" si="152">C108/H108</f>
        <v>0.3636363636</v>
      </c>
      <c r="N108" s="133">
        <f t="shared" si="152"/>
        <v>0.3</v>
      </c>
      <c r="O108" s="133">
        <f t="shared" si="152"/>
        <v>0.3125</v>
      </c>
      <c r="P108" s="133">
        <f t="shared" si="152"/>
        <v>0.3157894737</v>
      </c>
      <c r="Q108" s="133">
        <f t="shared" si="9"/>
        <v>0.3181818182</v>
      </c>
      <c r="S108" s="93">
        <f t="shared" ref="S108:V108" si="153">S107+C108</f>
        <v>169</v>
      </c>
      <c r="T108" s="93">
        <f t="shared" si="153"/>
        <v>419</v>
      </c>
      <c r="U108" s="93">
        <f t="shared" si="153"/>
        <v>418</v>
      </c>
      <c r="V108" s="93">
        <f t="shared" si="153"/>
        <v>314</v>
      </c>
      <c r="W108" s="93">
        <f t="shared" si="11"/>
        <v>1320</v>
      </c>
      <c r="Y108" s="133">
        <f>(COUNTIFS(Base!$B:$B,C$11,Base!$S:$S,"&gt;8",Base!$N:$N,"&lt;="&amp;$B108) - COUNTIFS(Base!$B:$B,C$11,Base!$S:$S,"&lt;7",Base!$N:$N,"&lt;="&amp;$B108) - COUNTIFS(Base!$B:$B,C$11,Base!$S:$S,"&lt;7",Base!$K:$K,"&lt;="&amp;$B108,Base!$O:$O,"Finalizado"))/(COUNTIFS(Base!$B:$B,C$11,Base!$S:$S,"&lt;&gt;",Base!$N:$N,"&lt;="&amp;$B108)+COUNTIFS(Base!$B:$B,C$11,Base!$S:$S,"&lt;7",Base!$K:$K,"&lt;="&amp;$B108,Base!$O:$O,"Finalizado"))</f>
        <v>0.6</v>
      </c>
      <c r="Z108" s="133">
        <f>(COUNTIFS(Base!$B:$B,D$11,Base!$S:$S,"&gt;8",Base!$N:$N,"&lt;="&amp;$B108) - COUNTIFS(Base!$B:$B,D$11,Base!$S:$S,"&lt;7",Base!$N:$N,"&lt;="&amp;$B108) - COUNTIFS(Base!$B:$B,D$11,Base!$S:$S,"&lt;7",Base!$K:$K,"&lt;="&amp;$B108,Base!$O:$O,"Finalizado"))/(COUNTIFS(Base!$B:$B,D$11,Base!$S:$S,"&lt;&gt;",Base!$N:$N,"&lt;="&amp;$B108)+COUNTIFS(Base!$B:$B,D$11,Base!$S:$S,"&lt;7",Base!$K:$K,"&lt;="&amp;$B108,Base!$O:$O,"Finalizado"))</f>
        <v>0.75</v>
      </c>
      <c r="AA108" s="133">
        <f>(COUNTIFS(Base!$B:$B,E$11,Base!$S:$S,"&gt;8",Base!$N:$N,"&lt;="&amp;$B108) - COUNTIFS(Base!$B:$B,E$11,Base!$S:$S,"&lt;7",Base!$N:$N,"&lt;="&amp;$B108) - COUNTIFS(Base!$B:$B,E$11,Base!$S:$S,"&lt;7",Base!$K:$K,"&lt;="&amp;$B108,Base!$O:$O,"Finalizado"))/(COUNTIFS(Base!$B:$B,E$11,Base!$S:$S,"&lt;&gt;",Base!$N:$N,"&lt;="&amp;$B108)+COUNTIFS(Base!$B:$B,E$11,Base!$S:$S,"&lt;7",Base!$K:$K,"&lt;="&amp;$B108,Base!$O:$O,"Finalizado"))</f>
        <v>0.6666666667</v>
      </c>
      <c r="AB108" s="133">
        <f t="shared" si="12"/>
        <v>0.6666666667</v>
      </c>
      <c r="AD108" s="93">
        <f>(COUNTIFS(Base!$B:$B,F$11,Base!$S:$S,"&gt;8",Base!$N:$N,"&lt;="&amp;$B108)+(COUNTIFS(Base!$B:$B,F$11,Base!$AG:$AG,"&gt;8",Base!$K:$K,"&lt;="&amp;$B108)))</f>
        <v>4</v>
      </c>
      <c r="AE108" s="93">
        <f>(COUNTIFS(Base!$B:$B,F$11,Base!$S:$S,"&lt;&gt;",Base!$N:$N,"&lt;="&amp;$B108)+(COUNTIFS(Base!$B:$B,F$11,Base!$AG:$AG,"&lt;&gt;",Base!$K:$K,"&lt;="&amp;$B108)+COUNTIFS(Base!$B:$B,F$11,Base!$S:$S,"&lt;7",Base!$K:$K,"&lt;="&amp;$B108,Base!$O:$O,"Finalizado")))</f>
        <v>6</v>
      </c>
      <c r="AF108" s="93">
        <f>COUNTIFS(Base!$B:$B,F$11,Base!$S:$S,"&lt;7",Base!$N:$N,"&lt;="&amp;$B108) +COUNTIFS(Base!$B:$B,F$11,Base!$AG:$AG,"&lt;7",Base!$K:$K,"&lt;="&amp;$B108) + COUNTIFS(Base!$B:$B,F$11,Base!$S:$S,"&lt;7",Base!$K:$K,"&lt;="&amp;$B108,Base!$O:$O,"Finalizado")</f>
        <v>0</v>
      </c>
    </row>
    <row r="109">
      <c r="B109" s="151">
        <f t="shared" si="13"/>
        <v>45364</v>
      </c>
      <c r="C109" s="93">
        <f>COUNTIFS(Base!$B:$B,C$11,Base!$M:$M,"&lt;"&amp;$B109,Base!$N:$N,"&gt;="&amp;$B109,Base!$O:$O,"&lt;&gt;Finalizado",Base!$O:$O,"&lt;&gt;Congelado",Base!$O:$O,"&lt;&gt;Concluindo pendências") + COUNTIFS(Base!$B:$B,C$11,Base!$M:$M,"&lt;"&amp;$B109,Base!$N:$N,"",Base!$O:$O,"&lt;&gt;Finalizado",Base!$O:$O,"&lt;&gt;Congelado",Base!$O:$O,"&lt;&gt;Concluindo pendências")</f>
        <v>4</v>
      </c>
      <c r="D109" s="93">
        <f>COUNTIFS(Base!$B:$B,D$11,Base!$M:$M,"&lt;"&amp;$B109,Base!$N:$N,"&gt;="&amp;$B109,Base!$O:$O,"&lt;&gt;Finalizado",Base!$O:$O,"&lt;&gt;Congelado",Base!$O:$O,"&lt;&gt;Concluindo pendências") + COUNTIFS(Base!$B:$B,D$11,Base!$M:$M,"&lt;"&amp;$B109,Base!$N:$N,"",Base!$O:$O,"&lt;&gt;Finalizado",Base!$O:$O,"&lt;&gt;Congelado",Base!$O:$O,"&lt;&gt;Concluindo pendências")</f>
        <v>7</v>
      </c>
      <c r="E109" s="93">
        <f>COUNTIFS(Base!$B:$B,E$11,Base!$M:$M,"&lt;"&amp;$B109,Base!$N:$N,"&gt;="&amp;$B109,Base!$O:$O,"&lt;&gt;Finalizado",Base!$O:$O,"&lt;&gt;Congelado",Base!$O:$O,"&lt;&gt;Concluindo pendências") + COUNTIFS(Base!$B:$B,E$11,Base!$M:$M,"&lt;"&amp;$B109,Base!$N:$N,"",Base!$O:$O,"&lt;&gt;Finalizado",Base!$O:$O,"&lt;&gt;Congelado",Base!$O:$O,"&lt;&gt;Concluindo pendências")</f>
        <v>5</v>
      </c>
      <c r="F109" s="93">
        <f>COUNTIFS(Base!$B:$B,F$11,Base!$M:$M,"&lt;"&amp;$B109,Base!$N:$N,"&gt;="&amp;$B109,Base!$O:$O,"&lt;&gt;Finalizado",Base!$O:$O,"&lt;&gt;Congelado",Base!$O:$O,"&lt;&gt;Concluindo pendências") + COUNTIFS(Base!$B:$B,F$11,Base!$M:$M,"&lt;"&amp;$B109,Base!$N:$N,"",Base!$O:$O,"&lt;&gt;Finalizado",Base!$O:$O,"&lt;&gt;Congelado",Base!$O:$O,"&lt;&gt;Concluindo pendências")</f>
        <v>5</v>
      </c>
      <c r="H109" s="93">
        <f>COUNTIFS(Base!$B:$B,C$11,Base!$K:$K,"&lt;"&amp;$B109,Base!$N:$N,"&gt;="&amp;$B109,Base!$O:$O,"&lt;&gt;Finalizado",Base!$O:$O,"&lt;&gt;Congelado") + COUNTIFS(Base!$B:$B,C$11,Base!$K:$K,"&lt;"&amp;$B109,Base!$N:$N,"",Base!$O:$O,"&lt;&gt;Finalizado",Base!$O:$O,"&lt;&gt;Congelado")</f>
        <v>11</v>
      </c>
      <c r="I109" s="93">
        <f>COUNTIFS(Base!$B:$B,D$11,Base!$K:$K,"&lt;"&amp;$B109,Base!$N:$N,"&gt;="&amp;$B109,Base!$O:$O,"&lt;&gt;Finalizado",Base!$O:$O,"&lt;&gt;Congelado") + COUNTIFS(Base!$B:$B,D$11,Base!$K:$K,"&lt;"&amp;$B109,Base!$N:$N,"",Base!$O:$O,"&lt;&gt;Finalizado",Base!$O:$O,"&lt;&gt;Congelado")</f>
        <v>20</v>
      </c>
      <c r="J109" s="93">
        <f>COUNTIFS(Base!$B:$B,E$11,Base!$K:$K,"&lt;"&amp;$B109,Base!$N:$N,"&gt;="&amp;$B109,Base!$O:$O,"&lt;&gt;Finalizado",Base!$O:$O,"&lt;&gt;Congelado") + COUNTIFS(Base!$B:$B,E$11,Base!$K:$K,"&lt;"&amp;$B109,Base!$N:$N,"",Base!$O:$O,"&lt;&gt;Finalizado",Base!$O:$O,"&lt;&gt;Congelado")</f>
        <v>16</v>
      </c>
      <c r="K109" s="93">
        <f>COUNTIFS(Base!$B:$B,F$11,Base!$K:$K,"&lt;"&amp;$B109,Base!$N:$N,"&gt;="&amp;$B109,Base!$O:$O,"&lt;&gt;Finalizado",Base!$O:$O,"&lt;&gt;Congelado") + COUNTIFS(Base!$B:$B,F$11,Base!$K:$K,"&lt;"&amp;$B109,Base!$N:$N,"",Base!$O:$O,"&lt;&gt;Finalizado",Base!$O:$O,"&lt;&gt;Congelado")</f>
        <v>18</v>
      </c>
      <c r="M109" s="133">
        <f t="shared" ref="M109:P109" si="154">C109/H109</f>
        <v>0.3636363636</v>
      </c>
      <c r="N109" s="133">
        <f t="shared" si="154"/>
        <v>0.35</v>
      </c>
      <c r="O109" s="133">
        <f t="shared" si="154"/>
        <v>0.3125</v>
      </c>
      <c r="P109" s="133">
        <f t="shared" si="154"/>
        <v>0.2777777778</v>
      </c>
      <c r="Q109" s="133">
        <f t="shared" si="9"/>
        <v>0.3230769231</v>
      </c>
      <c r="S109" s="93">
        <f t="shared" ref="S109:V109" si="155">S108+C109</f>
        <v>173</v>
      </c>
      <c r="T109" s="93">
        <f t="shared" si="155"/>
        <v>426</v>
      </c>
      <c r="U109" s="93">
        <f t="shared" si="155"/>
        <v>423</v>
      </c>
      <c r="V109" s="93">
        <f t="shared" si="155"/>
        <v>319</v>
      </c>
      <c r="W109" s="93">
        <f t="shared" si="11"/>
        <v>1341</v>
      </c>
      <c r="Y109" s="133">
        <f>(COUNTIFS(Base!$B:$B,C$11,Base!$S:$S,"&gt;8",Base!$N:$N,"&lt;="&amp;$B109) - COUNTIFS(Base!$B:$B,C$11,Base!$S:$S,"&lt;7",Base!$N:$N,"&lt;="&amp;$B109) - COUNTIFS(Base!$B:$B,C$11,Base!$S:$S,"&lt;7",Base!$K:$K,"&lt;="&amp;$B109,Base!$O:$O,"Finalizado"))/(COUNTIFS(Base!$B:$B,C$11,Base!$S:$S,"&lt;&gt;",Base!$N:$N,"&lt;="&amp;$B109)+COUNTIFS(Base!$B:$B,C$11,Base!$S:$S,"&lt;7",Base!$K:$K,"&lt;="&amp;$B109,Base!$O:$O,"Finalizado"))</f>
        <v>0.6</v>
      </c>
      <c r="Z109" s="133">
        <f>(COUNTIFS(Base!$B:$B,D$11,Base!$S:$S,"&gt;8",Base!$N:$N,"&lt;="&amp;$B109) - COUNTIFS(Base!$B:$B,D$11,Base!$S:$S,"&lt;7",Base!$N:$N,"&lt;="&amp;$B109) - COUNTIFS(Base!$B:$B,D$11,Base!$S:$S,"&lt;7",Base!$K:$K,"&lt;="&amp;$B109,Base!$O:$O,"Finalizado"))/(COUNTIFS(Base!$B:$B,D$11,Base!$S:$S,"&lt;&gt;",Base!$N:$N,"&lt;="&amp;$B109)+COUNTIFS(Base!$B:$B,D$11,Base!$S:$S,"&lt;7",Base!$K:$K,"&lt;="&amp;$B109,Base!$O:$O,"Finalizado"))</f>
        <v>0.75</v>
      </c>
      <c r="AA109" s="133">
        <f>(COUNTIFS(Base!$B:$B,E$11,Base!$S:$S,"&gt;8",Base!$N:$N,"&lt;="&amp;$B109) - COUNTIFS(Base!$B:$B,E$11,Base!$S:$S,"&lt;7",Base!$N:$N,"&lt;="&amp;$B109) - COUNTIFS(Base!$B:$B,E$11,Base!$S:$S,"&lt;7",Base!$K:$K,"&lt;="&amp;$B109,Base!$O:$O,"Finalizado"))/(COUNTIFS(Base!$B:$B,E$11,Base!$S:$S,"&lt;&gt;",Base!$N:$N,"&lt;="&amp;$B109)+COUNTIFS(Base!$B:$B,E$11,Base!$S:$S,"&lt;7",Base!$K:$K,"&lt;="&amp;$B109,Base!$O:$O,"Finalizado"))</f>
        <v>0.6666666667</v>
      </c>
      <c r="AB109" s="133">
        <f t="shared" si="12"/>
        <v>0.6666666667</v>
      </c>
      <c r="AD109" s="93">
        <f>(COUNTIFS(Base!$B:$B,F$11,Base!$S:$S,"&gt;8",Base!$N:$N,"&lt;="&amp;$B109)+(COUNTIFS(Base!$B:$B,F$11,Base!$AG:$AG,"&gt;8",Base!$K:$K,"&lt;="&amp;$B109)))</f>
        <v>4</v>
      </c>
      <c r="AE109" s="93">
        <f>(COUNTIFS(Base!$B:$B,F$11,Base!$S:$S,"&lt;&gt;",Base!$N:$N,"&lt;="&amp;$B109)+(COUNTIFS(Base!$B:$B,F$11,Base!$AG:$AG,"&lt;&gt;",Base!$K:$K,"&lt;="&amp;$B109)+COUNTIFS(Base!$B:$B,F$11,Base!$S:$S,"&lt;7",Base!$K:$K,"&lt;="&amp;$B109,Base!$O:$O,"Finalizado")))</f>
        <v>6</v>
      </c>
      <c r="AF109" s="93">
        <f>COUNTIFS(Base!$B:$B,F$11,Base!$S:$S,"&lt;7",Base!$N:$N,"&lt;="&amp;$B109) +COUNTIFS(Base!$B:$B,F$11,Base!$AG:$AG,"&lt;7",Base!$K:$K,"&lt;="&amp;$B109) + COUNTIFS(Base!$B:$B,F$11,Base!$S:$S,"&lt;7",Base!$K:$K,"&lt;="&amp;$B109,Base!$O:$O,"Finalizado")</f>
        <v>0</v>
      </c>
    </row>
    <row r="110">
      <c r="B110" s="151">
        <f t="shared" si="13"/>
        <v>45365</v>
      </c>
      <c r="C110" s="93">
        <f>COUNTIFS(Base!$B:$B,C$11,Base!$M:$M,"&lt;"&amp;$B110,Base!$N:$N,"&gt;="&amp;$B110,Base!$O:$O,"&lt;&gt;Finalizado",Base!$O:$O,"&lt;&gt;Congelado",Base!$O:$O,"&lt;&gt;Concluindo pendências") + COUNTIFS(Base!$B:$B,C$11,Base!$M:$M,"&lt;"&amp;$B110,Base!$N:$N,"",Base!$O:$O,"&lt;&gt;Finalizado",Base!$O:$O,"&lt;&gt;Congelado",Base!$O:$O,"&lt;&gt;Concluindo pendências")</f>
        <v>5</v>
      </c>
      <c r="D110" s="93">
        <f>COUNTIFS(Base!$B:$B,D$11,Base!$M:$M,"&lt;"&amp;$B110,Base!$N:$N,"&gt;="&amp;$B110,Base!$O:$O,"&lt;&gt;Finalizado",Base!$O:$O,"&lt;&gt;Congelado",Base!$O:$O,"&lt;&gt;Concluindo pendências") + COUNTIFS(Base!$B:$B,D$11,Base!$M:$M,"&lt;"&amp;$B110,Base!$N:$N,"",Base!$O:$O,"&lt;&gt;Finalizado",Base!$O:$O,"&lt;&gt;Congelado",Base!$O:$O,"&lt;&gt;Concluindo pendências")</f>
        <v>7</v>
      </c>
      <c r="E110" s="93">
        <f>COUNTIFS(Base!$B:$B,E$11,Base!$M:$M,"&lt;"&amp;$B110,Base!$N:$N,"&gt;="&amp;$B110,Base!$O:$O,"&lt;&gt;Finalizado",Base!$O:$O,"&lt;&gt;Congelado",Base!$O:$O,"&lt;&gt;Concluindo pendências") + COUNTIFS(Base!$B:$B,E$11,Base!$M:$M,"&lt;"&amp;$B110,Base!$N:$N,"",Base!$O:$O,"&lt;&gt;Finalizado",Base!$O:$O,"&lt;&gt;Congelado",Base!$O:$O,"&lt;&gt;Concluindo pendências")</f>
        <v>5</v>
      </c>
      <c r="F110" s="93">
        <f>COUNTIFS(Base!$B:$B,F$11,Base!$M:$M,"&lt;"&amp;$B110,Base!$N:$N,"&gt;="&amp;$B110,Base!$O:$O,"&lt;&gt;Finalizado",Base!$O:$O,"&lt;&gt;Congelado",Base!$O:$O,"&lt;&gt;Concluindo pendências") + COUNTIFS(Base!$B:$B,F$11,Base!$M:$M,"&lt;"&amp;$B110,Base!$N:$N,"",Base!$O:$O,"&lt;&gt;Finalizado",Base!$O:$O,"&lt;&gt;Congelado",Base!$O:$O,"&lt;&gt;Concluindo pendências")</f>
        <v>5</v>
      </c>
      <c r="H110" s="93">
        <f>COUNTIFS(Base!$B:$B,C$11,Base!$K:$K,"&lt;"&amp;$B110,Base!$N:$N,"&gt;="&amp;$B110,Base!$O:$O,"&lt;&gt;Finalizado",Base!$O:$O,"&lt;&gt;Congelado") + COUNTIFS(Base!$B:$B,C$11,Base!$K:$K,"&lt;"&amp;$B110,Base!$N:$N,"",Base!$O:$O,"&lt;&gt;Finalizado",Base!$O:$O,"&lt;&gt;Congelado")</f>
        <v>11</v>
      </c>
      <c r="I110" s="93">
        <f>COUNTIFS(Base!$B:$B,D$11,Base!$K:$K,"&lt;"&amp;$B110,Base!$N:$N,"&gt;="&amp;$B110,Base!$O:$O,"&lt;&gt;Finalizado",Base!$O:$O,"&lt;&gt;Congelado") + COUNTIFS(Base!$B:$B,D$11,Base!$K:$K,"&lt;"&amp;$B110,Base!$N:$N,"",Base!$O:$O,"&lt;&gt;Finalizado",Base!$O:$O,"&lt;&gt;Congelado")</f>
        <v>21</v>
      </c>
      <c r="J110" s="93">
        <f>COUNTIFS(Base!$B:$B,E$11,Base!$K:$K,"&lt;"&amp;$B110,Base!$N:$N,"&gt;="&amp;$B110,Base!$O:$O,"&lt;&gt;Finalizado",Base!$O:$O,"&lt;&gt;Congelado") + COUNTIFS(Base!$B:$B,E$11,Base!$K:$K,"&lt;"&amp;$B110,Base!$N:$N,"",Base!$O:$O,"&lt;&gt;Finalizado",Base!$O:$O,"&lt;&gt;Congelado")</f>
        <v>16</v>
      </c>
      <c r="K110" s="93">
        <f>COUNTIFS(Base!$B:$B,F$11,Base!$K:$K,"&lt;"&amp;$B110,Base!$N:$N,"&gt;="&amp;$B110,Base!$O:$O,"&lt;&gt;Finalizado",Base!$O:$O,"&lt;&gt;Congelado") + COUNTIFS(Base!$B:$B,F$11,Base!$K:$K,"&lt;"&amp;$B110,Base!$N:$N,"",Base!$O:$O,"&lt;&gt;Finalizado",Base!$O:$O,"&lt;&gt;Congelado")</f>
        <v>18</v>
      </c>
      <c r="M110" s="133">
        <f t="shared" ref="M110:P110" si="156">C110/H110</f>
        <v>0.4545454545</v>
      </c>
      <c r="N110" s="133">
        <f t="shared" si="156"/>
        <v>0.3333333333</v>
      </c>
      <c r="O110" s="133">
        <f t="shared" si="156"/>
        <v>0.3125</v>
      </c>
      <c r="P110" s="133">
        <f t="shared" si="156"/>
        <v>0.2777777778</v>
      </c>
      <c r="Q110" s="133">
        <f t="shared" si="9"/>
        <v>0.3333333333</v>
      </c>
      <c r="S110" s="93">
        <f t="shared" ref="S110:V110" si="157">S109+C110</f>
        <v>178</v>
      </c>
      <c r="T110" s="93">
        <f t="shared" si="157"/>
        <v>433</v>
      </c>
      <c r="U110" s="93">
        <f t="shared" si="157"/>
        <v>428</v>
      </c>
      <c r="V110" s="93">
        <f t="shared" si="157"/>
        <v>324</v>
      </c>
      <c r="W110" s="93">
        <f t="shared" si="11"/>
        <v>1363</v>
      </c>
      <c r="Y110" s="133">
        <f>(COUNTIFS(Base!$B:$B,C$11,Base!$S:$S,"&gt;8",Base!$N:$N,"&lt;="&amp;$B110) - COUNTIFS(Base!$B:$B,C$11,Base!$S:$S,"&lt;7",Base!$N:$N,"&lt;="&amp;$B110) - COUNTIFS(Base!$B:$B,C$11,Base!$S:$S,"&lt;7",Base!$K:$K,"&lt;="&amp;$B110,Base!$O:$O,"Finalizado"))/(COUNTIFS(Base!$B:$B,C$11,Base!$S:$S,"&lt;&gt;",Base!$N:$N,"&lt;="&amp;$B110)+COUNTIFS(Base!$B:$B,C$11,Base!$S:$S,"&lt;7",Base!$K:$K,"&lt;="&amp;$B110,Base!$O:$O,"Finalizado"))</f>
        <v>0.6</v>
      </c>
      <c r="Z110" s="133">
        <f>(COUNTIFS(Base!$B:$B,D$11,Base!$S:$S,"&gt;8",Base!$N:$N,"&lt;="&amp;$B110) - COUNTIFS(Base!$B:$B,D$11,Base!$S:$S,"&lt;7",Base!$N:$N,"&lt;="&amp;$B110) - COUNTIFS(Base!$B:$B,D$11,Base!$S:$S,"&lt;7",Base!$K:$K,"&lt;="&amp;$B110,Base!$O:$O,"Finalizado"))/(COUNTIFS(Base!$B:$B,D$11,Base!$S:$S,"&lt;&gt;",Base!$N:$N,"&lt;="&amp;$B110)+COUNTIFS(Base!$B:$B,D$11,Base!$S:$S,"&lt;7",Base!$K:$K,"&lt;="&amp;$B110,Base!$O:$O,"Finalizado"))</f>
        <v>0.75</v>
      </c>
      <c r="AA110" s="133">
        <f>(COUNTIFS(Base!$B:$B,E$11,Base!$S:$S,"&gt;8",Base!$N:$N,"&lt;="&amp;$B110) - COUNTIFS(Base!$B:$B,E$11,Base!$S:$S,"&lt;7",Base!$N:$N,"&lt;="&amp;$B110) - COUNTIFS(Base!$B:$B,E$11,Base!$S:$S,"&lt;7",Base!$K:$K,"&lt;="&amp;$B110,Base!$O:$O,"Finalizado"))/(COUNTIFS(Base!$B:$B,E$11,Base!$S:$S,"&lt;&gt;",Base!$N:$N,"&lt;="&amp;$B110)+COUNTIFS(Base!$B:$B,E$11,Base!$S:$S,"&lt;7",Base!$K:$K,"&lt;="&amp;$B110,Base!$O:$O,"Finalizado"))</f>
        <v>0.6923076923</v>
      </c>
      <c r="AB110" s="133">
        <f t="shared" si="12"/>
        <v>0.7142857143</v>
      </c>
      <c r="AD110" s="93">
        <f>(COUNTIFS(Base!$B:$B,F$11,Base!$S:$S,"&gt;8",Base!$N:$N,"&lt;="&amp;$B110)+(COUNTIFS(Base!$B:$B,F$11,Base!$AG:$AG,"&gt;8",Base!$K:$K,"&lt;="&amp;$B110)))</f>
        <v>5</v>
      </c>
      <c r="AE110" s="93">
        <f>(COUNTIFS(Base!$B:$B,F$11,Base!$S:$S,"&lt;&gt;",Base!$N:$N,"&lt;="&amp;$B110)+(COUNTIFS(Base!$B:$B,F$11,Base!$AG:$AG,"&lt;&gt;",Base!$K:$K,"&lt;="&amp;$B110)+COUNTIFS(Base!$B:$B,F$11,Base!$S:$S,"&lt;7",Base!$K:$K,"&lt;="&amp;$B110,Base!$O:$O,"Finalizado")))</f>
        <v>7</v>
      </c>
      <c r="AF110" s="93">
        <f>COUNTIFS(Base!$B:$B,F$11,Base!$S:$S,"&lt;7",Base!$N:$N,"&lt;="&amp;$B110) +COUNTIFS(Base!$B:$B,F$11,Base!$AG:$AG,"&lt;7",Base!$K:$K,"&lt;="&amp;$B110) + COUNTIFS(Base!$B:$B,F$11,Base!$S:$S,"&lt;7",Base!$K:$K,"&lt;="&amp;$B110,Base!$O:$O,"Finalizado")</f>
        <v>0</v>
      </c>
    </row>
    <row r="111">
      <c r="B111" s="151">
        <f t="shared" si="13"/>
        <v>45366</v>
      </c>
      <c r="C111" s="93">
        <f>COUNTIFS(Base!$B:$B,C$11,Base!$M:$M,"&lt;"&amp;$B111,Base!$N:$N,"&gt;="&amp;$B111,Base!$O:$O,"&lt;&gt;Finalizado",Base!$O:$O,"&lt;&gt;Congelado",Base!$O:$O,"&lt;&gt;Concluindo pendências") + COUNTIFS(Base!$B:$B,C$11,Base!$M:$M,"&lt;"&amp;$B111,Base!$N:$N,"",Base!$O:$O,"&lt;&gt;Finalizado",Base!$O:$O,"&lt;&gt;Congelado",Base!$O:$O,"&lt;&gt;Concluindo pendências")</f>
        <v>6</v>
      </c>
      <c r="D111" s="93">
        <f>COUNTIFS(Base!$B:$B,D$11,Base!$M:$M,"&lt;"&amp;$B111,Base!$N:$N,"&gt;="&amp;$B111,Base!$O:$O,"&lt;&gt;Finalizado",Base!$O:$O,"&lt;&gt;Congelado",Base!$O:$O,"&lt;&gt;Concluindo pendências") + COUNTIFS(Base!$B:$B,D$11,Base!$M:$M,"&lt;"&amp;$B111,Base!$N:$N,"",Base!$O:$O,"&lt;&gt;Finalizado",Base!$O:$O,"&lt;&gt;Congelado",Base!$O:$O,"&lt;&gt;Concluindo pendências")</f>
        <v>8</v>
      </c>
      <c r="E111" s="93">
        <f>COUNTIFS(Base!$B:$B,E$11,Base!$M:$M,"&lt;"&amp;$B111,Base!$N:$N,"&gt;="&amp;$B111,Base!$O:$O,"&lt;&gt;Finalizado",Base!$O:$O,"&lt;&gt;Congelado",Base!$O:$O,"&lt;&gt;Concluindo pendências") + COUNTIFS(Base!$B:$B,E$11,Base!$M:$M,"&lt;"&amp;$B111,Base!$N:$N,"",Base!$O:$O,"&lt;&gt;Finalizado",Base!$O:$O,"&lt;&gt;Congelado",Base!$O:$O,"&lt;&gt;Concluindo pendências")</f>
        <v>5</v>
      </c>
      <c r="F111" s="93">
        <f>COUNTIFS(Base!$B:$B,F$11,Base!$M:$M,"&lt;"&amp;$B111,Base!$N:$N,"&gt;="&amp;$B111,Base!$O:$O,"&lt;&gt;Finalizado",Base!$O:$O,"&lt;&gt;Congelado",Base!$O:$O,"&lt;&gt;Concluindo pendências") + COUNTIFS(Base!$B:$B,F$11,Base!$M:$M,"&lt;"&amp;$B111,Base!$N:$N,"",Base!$O:$O,"&lt;&gt;Finalizado",Base!$O:$O,"&lt;&gt;Congelado",Base!$O:$O,"&lt;&gt;Concluindo pendências")</f>
        <v>5</v>
      </c>
      <c r="H111" s="93">
        <f>COUNTIFS(Base!$B:$B,C$11,Base!$K:$K,"&lt;"&amp;$B111,Base!$N:$N,"&gt;="&amp;$B111,Base!$O:$O,"&lt;&gt;Finalizado",Base!$O:$O,"&lt;&gt;Congelado") + COUNTIFS(Base!$B:$B,C$11,Base!$K:$K,"&lt;"&amp;$B111,Base!$N:$N,"",Base!$O:$O,"&lt;&gt;Finalizado",Base!$O:$O,"&lt;&gt;Congelado")</f>
        <v>11</v>
      </c>
      <c r="I111" s="93">
        <f>COUNTIFS(Base!$B:$B,D$11,Base!$K:$K,"&lt;"&amp;$B111,Base!$N:$N,"&gt;="&amp;$B111,Base!$O:$O,"&lt;&gt;Finalizado",Base!$O:$O,"&lt;&gt;Congelado") + COUNTIFS(Base!$B:$B,D$11,Base!$K:$K,"&lt;"&amp;$B111,Base!$N:$N,"",Base!$O:$O,"&lt;&gt;Finalizado",Base!$O:$O,"&lt;&gt;Congelado")</f>
        <v>21</v>
      </c>
      <c r="J111" s="93">
        <f>COUNTIFS(Base!$B:$B,E$11,Base!$K:$K,"&lt;"&amp;$B111,Base!$N:$N,"&gt;="&amp;$B111,Base!$O:$O,"&lt;&gt;Finalizado",Base!$O:$O,"&lt;&gt;Congelado") + COUNTIFS(Base!$B:$B,E$11,Base!$K:$K,"&lt;"&amp;$B111,Base!$N:$N,"",Base!$O:$O,"&lt;&gt;Finalizado",Base!$O:$O,"&lt;&gt;Congelado")</f>
        <v>14</v>
      </c>
      <c r="K111" s="93">
        <f>COUNTIFS(Base!$B:$B,F$11,Base!$K:$K,"&lt;"&amp;$B111,Base!$N:$N,"&gt;="&amp;$B111,Base!$O:$O,"&lt;&gt;Finalizado",Base!$O:$O,"&lt;&gt;Congelado") + COUNTIFS(Base!$B:$B,F$11,Base!$K:$K,"&lt;"&amp;$B111,Base!$N:$N,"",Base!$O:$O,"&lt;&gt;Finalizado",Base!$O:$O,"&lt;&gt;Congelado")</f>
        <v>19</v>
      </c>
      <c r="M111" s="133">
        <f t="shared" ref="M111:P111" si="158">C111/H111</f>
        <v>0.5454545455</v>
      </c>
      <c r="N111" s="133">
        <f t="shared" si="158"/>
        <v>0.380952381</v>
      </c>
      <c r="O111" s="133">
        <f t="shared" si="158"/>
        <v>0.3571428571</v>
      </c>
      <c r="P111" s="133">
        <f t="shared" si="158"/>
        <v>0.2631578947</v>
      </c>
      <c r="Q111" s="133">
        <f t="shared" si="9"/>
        <v>0.3692307692</v>
      </c>
      <c r="S111" s="93">
        <f t="shared" ref="S111:V111" si="159">S110+C111</f>
        <v>184</v>
      </c>
      <c r="T111" s="93">
        <f t="shared" si="159"/>
        <v>441</v>
      </c>
      <c r="U111" s="93">
        <f t="shared" si="159"/>
        <v>433</v>
      </c>
      <c r="V111" s="93">
        <f t="shared" si="159"/>
        <v>329</v>
      </c>
      <c r="W111" s="93">
        <f t="shared" si="11"/>
        <v>1387</v>
      </c>
      <c r="Y111" s="133">
        <f>(COUNTIFS(Base!$B:$B,C$11,Base!$S:$S,"&gt;8",Base!$N:$N,"&lt;="&amp;$B111) - COUNTIFS(Base!$B:$B,C$11,Base!$S:$S,"&lt;7",Base!$N:$N,"&lt;="&amp;$B111) - COUNTIFS(Base!$B:$B,C$11,Base!$S:$S,"&lt;7",Base!$K:$K,"&lt;="&amp;$B111,Base!$O:$O,"Finalizado"))/(COUNTIFS(Base!$B:$B,C$11,Base!$S:$S,"&lt;&gt;",Base!$N:$N,"&lt;="&amp;$B111)+COUNTIFS(Base!$B:$B,C$11,Base!$S:$S,"&lt;7",Base!$K:$K,"&lt;="&amp;$B111,Base!$O:$O,"Finalizado"))</f>
        <v>0.6</v>
      </c>
      <c r="Z111" s="133">
        <f>(COUNTIFS(Base!$B:$B,D$11,Base!$S:$S,"&gt;8",Base!$N:$N,"&lt;="&amp;$B111) - COUNTIFS(Base!$B:$B,D$11,Base!$S:$S,"&lt;7",Base!$N:$N,"&lt;="&amp;$B111) - COUNTIFS(Base!$B:$B,D$11,Base!$S:$S,"&lt;7",Base!$K:$K,"&lt;="&amp;$B111,Base!$O:$O,"Finalizado"))/(COUNTIFS(Base!$B:$B,D$11,Base!$S:$S,"&lt;&gt;",Base!$N:$N,"&lt;="&amp;$B111)+COUNTIFS(Base!$B:$B,D$11,Base!$S:$S,"&lt;7",Base!$K:$K,"&lt;="&amp;$B111,Base!$O:$O,"Finalizado"))</f>
        <v>0.75</v>
      </c>
      <c r="AA111" s="133">
        <f>(COUNTIFS(Base!$B:$B,E$11,Base!$S:$S,"&gt;8",Base!$N:$N,"&lt;="&amp;$B111) - COUNTIFS(Base!$B:$B,E$11,Base!$S:$S,"&lt;7",Base!$N:$N,"&lt;="&amp;$B111) - COUNTIFS(Base!$B:$B,E$11,Base!$S:$S,"&lt;7",Base!$K:$K,"&lt;="&amp;$B111,Base!$O:$O,"Finalizado"))/(COUNTIFS(Base!$B:$B,E$11,Base!$S:$S,"&lt;&gt;",Base!$N:$N,"&lt;="&amp;$B111)+COUNTIFS(Base!$B:$B,E$11,Base!$S:$S,"&lt;7",Base!$K:$K,"&lt;="&amp;$B111,Base!$O:$O,"Finalizado"))</f>
        <v>0.6923076923</v>
      </c>
      <c r="AB111" s="133">
        <f t="shared" si="12"/>
        <v>0.7142857143</v>
      </c>
      <c r="AD111" s="93">
        <f>(COUNTIFS(Base!$B:$B,F$11,Base!$S:$S,"&gt;8",Base!$N:$N,"&lt;="&amp;$B111)+(COUNTIFS(Base!$B:$B,F$11,Base!$AG:$AG,"&gt;8",Base!$K:$K,"&lt;="&amp;$B111)))</f>
        <v>5</v>
      </c>
      <c r="AE111" s="93">
        <f>(COUNTIFS(Base!$B:$B,F$11,Base!$S:$S,"&lt;&gt;",Base!$N:$N,"&lt;="&amp;$B111)+(COUNTIFS(Base!$B:$B,F$11,Base!$AG:$AG,"&lt;&gt;",Base!$K:$K,"&lt;="&amp;$B111)+COUNTIFS(Base!$B:$B,F$11,Base!$S:$S,"&lt;7",Base!$K:$K,"&lt;="&amp;$B111,Base!$O:$O,"Finalizado")))</f>
        <v>7</v>
      </c>
      <c r="AF111" s="93">
        <f>COUNTIFS(Base!$B:$B,F$11,Base!$S:$S,"&lt;7",Base!$N:$N,"&lt;="&amp;$B111) +COUNTIFS(Base!$B:$B,F$11,Base!$AG:$AG,"&lt;7",Base!$K:$K,"&lt;="&amp;$B111) + COUNTIFS(Base!$B:$B,F$11,Base!$S:$S,"&lt;7",Base!$K:$K,"&lt;="&amp;$B111,Base!$O:$O,"Finalizado")</f>
        <v>0</v>
      </c>
    </row>
    <row r="112">
      <c r="B112" s="151">
        <f t="shared" si="13"/>
        <v>45367</v>
      </c>
      <c r="C112" s="93">
        <f>COUNTIFS(Base!$B:$B,C$11,Base!$M:$M,"&lt;"&amp;$B112,Base!$N:$N,"&gt;="&amp;$B112,Base!$O:$O,"&lt;&gt;Finalizado",Base!$O:$O,"&lt;&gt;Congelado",Base!$O:$O,"&lt;&gt;Concluindo pendências") + COUNTIFS(Base!$B:$B,C$11,Base!$M:$M,"&lt;"&amp;$B112,Base!$N:$N,"",Base!$O:$O,"&lt;&gt;Finalizado",Base!$O:$O,"&lt;&gt;Congelado",Base!$O:$O,"&lt;&gt;Concluindo pendências")</f>
        <v>6</v>
      </c>
      <c r="D112" s="93">
        <f>COUNTIFS(Base!$B:$B,D$11,Base!$M:$M,"&lt;"&amp;$B112,Base!$N:$N,"&gt;="&amp;$B112,Base!$O:$O,"&lt;&gt;Finalizado",Base!$O:$O,"&lt;&gt;Congelado",Base!$O:$O,"&lt;&gt;Concluindo pendências") + COUNTIFS(Base!$B:$B,D$11,Base!$M:$M,"&lt;"&amp;$B112,Base!$N:$N,"",Base!$O:$O,"&lt;&gt;Finalizado",Base!$O:$O,"&lt;&gt;Congelado",Base!$O:$O,"&lt;&gt;Concluindo pendências")</f>
        <v>8</v>
      </c>
      <c r="E112" s="93">
        <f>COUNTIFS(Base!$B:$B,E$11,Base!$M:$M,"&lt;"&amp;$B112,Base!$N:$N,"&gt;="&amp;$B112,Base!$O:$O,"&lt;&gt;Finalizado",Base!$O:$O,"&lt;&gt;Congelado",Base!$O:$O,"&lt;&gt;Concluindo pendências") + COUNTIFS(Base!$B:$B,E$11,Base!$M:$M,"&lt;"&amp;$B112,Base!$N:$N,"",Base!$O:$O,"&lt;&gt;Finalizado",Base!$O:$O,"&lt;&gt;Congelado",Base!$O:$O,"&lt;&gt;Concluindo pendências")</f>
        <v>5</v>
      </c>
      <c r="F112" s="93">
        <f>COUNTIFS(Base!$B:$B,F$11,Base!$M:$M,"&lt;"&amp;$B112,Base!$N:$N,"&gt;="&amp;$B112,Base!$O:$O,"&lt;&gt;Finalizado",Base!$O:$O,"&lt;&gt;Congelado",Base!$O:$O,"&lt;&gt;Concluindo pendências") + COUNTIFS(Base!$B:$B,F$11,Base!$M:$M,"&lt;"&amp;$B112,Base!$N:$N,"",Base!$O:$O,"&lt;&gt;Finalizado",Base!$O:$O,"&lt;&gt;Congelado",Base!$O:$O,"&lt;&gt;Concluindo pendências")</f>
        <v>6</v>
      </c>
      <c r="H112" s="93">
        <f>COUNTIFS(Base!$B:$B,C$11,Base!$K:$K,"&lt;"&amp;$B112,Base!$N:$N,"&gt;="&amp;$B112,Base!$O:$O,"&lt;&gt;Finalizado",Base!$O:$O,"&lt;&gt;Congelado") + COUNTIFS(Base!$B:$B,C$11,Base!$K:$K,"&lt;"&amp;$B112,Base!$N:$N,"",Base!$O:$O,"&lt;&gt;Finalizado",Base!$O:$O,"&lt;&gt;Congelado")</f>
        <v>11</v>
      </c>
      <c r="I112" s="93">
        <f>COUNTIFS(Base!$B:$B,D$11,Base!$K:$K,"&lt;"&amp;$B112,Base!$N:$N,"&gt;="&amp;$B112,Base!$O:$O,"&lt;&gt;Finalizado",Base!$O:$O,"&lt;&gt;Congelado") + COUNTIFS(Base!$B:$B,D$11,Base!$K:$K,"&lt;"&amp;$B112,Base!$N:$N,"",Base!$O:$O,"&lt;&gt;Finalizado",Base!$O:$O,"&lt;&gt;Congelado")</f>
        <v>21</v>
      </c>
      <c r="J112" s="93">
        <f>COUNTIFS(Base!$B:$B,E$11,Base!$K:$K,"&lt;"&amp;$B112,Base!$N:$N,"&gt;="&amp;$B112,Base!$O:$O,"&lt;&gt;Finalizado",Base!$O:$O,"&lt;&gt;Congelado") + COUNTIFS(Base!$B:$B,E$11,Base!$K:$K,"&lt;"&amp;$B112,Base!$N:$N,"",Base!$O:$O,"&lt;&gt;Finalizado",Base!$O:$O,"&lt;&gt;Congelado")</f>
        <v>14</v>
      </c>
      <c r="K112" s="93">
        <f>COUNTIFS(Base!$B:$B,F$11,Base!$K:$K,"&lt;"&amp;$B112,Base!$N:$N,"&gt;="&amp;$B112,Base!$O:$O,"&lt;&gt;Finalizado",Base!$O:$O,"&lt;&gt;Congelado") + COUNTIFS(Base!$B:$B,F$11,Base!$K:$K,"&lt;"&amp;$B112,Base!$N:$N,"",Base!$O:$O,"&lt;&gt;Finalizado",Base!$O:$O,"&lt;&gt;Congelado")</f>
        <v>19</v>
      </c>
      <c r="M112" s="133">
        <f t="shared" ref="M112:P112" si="160">C112/H112</f>
        <v>0.5454545455</v>
      </c>
      <c r="N112" s="133">
        <f t="shared" si="160"/>
        <v>0.380952381</v>
      </c>
      <c r="O112" s="133">
        <f t="shared" si="160"/>
        <v>0.3571428571</v>
      </c>
      <c r="P112" s="133">
        <f t="shared" si="160"/>
        <v>0.3157894737</v>
      </c>
      <c r="Q112" s="133">
        <f t="shared" si="9"/>
        <v>0.3846153846</v>
      </c>
      <c r="S112" s="93">
        <f t="shared" ref="S112:V112" si="161">S111+C112</f>
        <v>190</v>
      </c>
      <c r="T112" s="93">
        <f t="shared" si="161"/>
        <v>449</v>
      </c>
      <c r="U112" s="93">
        <f t="shared" si="161"/>
        <v>438</v>
      </c>
      <c r="V112" s="93">
        <f t="shared" si="161"/>
        <v>335</v>
      </c>
      <c r="W112" s="93">
        <f t="shared" si="11"/>
        <v>1412</v>
      </c>
      <c r="Y112" s="133">
        <f>(COUNTIFS(Base!$B:$B,C$11,Base!$S:$S,"&gt;8",Base!$N:$N,"&lt;="&amp;$B112) - COUNTIFS(Base!$B:$B,C$11,Base!$S:$S,"&lt;7",Base!$N:$N,"&lt;="&amp;$B112) - COUNTIFS(Base!$B:$B,C$11,Base!$S:$S,"&lt;7",Base!$K:$K,"&lt;="&amp;$B112,Base!$O:$O,"Finalizado"))/(COUNTIFS(Base!$B:$B,C$11,Base!$S:$S,"&lt;&gt;",Base!$N:$N,"&lt;="&amp;$B112)+COUNTIFS(Base!$B:$B,C$11,Base!$S:$S,"&lt;7",Base!$K:$K,"&lt;="&amp;$B112,Base!$O:$O,"Finalizado"))</f>
        <v>0.6</v>
      </c>
      <c r="Z112" s="133">
        <f>(COUNTIFS(Base!$B:$B,D$11,Base!$S:$S,"&gt;8",Base!$N:$N,"&lt;="&amp;$B112) - COUNTIFS(Base!$B:$B,D$11,Base!$S:$S,"&lt;7",Base!$N:$N,"&lt;="&amp;$B112) - COUNTIFS(Base!$B:$B,D$11,Base!$S:$S,"&lt;7",Base!$K:$K,"&lt;="&amp;$B112,Base!$O:$O,"Finalizado"))/(COUNTIFS(Base!$B:$B,D$11,Base!$S:$S,"&lt;&gt;",Base!$N:$N,"&lt;="&amp;$B112)+COUNTIFS(Base!$B:$B,D$11,Base!$S:$S,"&lt;7",Base!$K:$K,"&lt;="&amp;$B112,Base!$O:$O,"Finalizado"))</f>
        <v>0.75</v>
      </c>
      <c r="AA112" s="133">
        <f>(COUNTIFS(Base!$B:$B,E$11,Base!$S:$S,"&gt;8",Base!$N:$N,"&lt;="&amp;$B112) - COUNTIFS(Base!$B:$B,E$11,Base!$S:$S,"&lt;7",Base!$N:$N,"&lt;="&amp;$B112) - COUNTIFS(Base!$B:$B,E$11,Base!$S:$S,"&lt;7",Base!$K:$K,"&lt;="&amp;$B112,Base!$O:$O,"Finalizado"))/(COUNTIFS(Base!$B:$B,E$11,Base!$S:$S,"&lt;&gt;",Base!$N:$N,"&lt;="&amp;$B112)+COUNTIFS(Base!$B:$B,E$11,Base!$S:$S,"&lt;7",Base!$K:$K,"&lt;="&amp;$B112,Base!$O:$O,"Finalizado"))</f>
        <v>0.6923076923</v>
      </c>
      <c r="AB112" s="133">
        <f t="shared" si="12"/>
        <v>0.7142857143</v>
      </c>
      <c r="AD112" s="93">
        <f>(COUNTIFS(Base!$B:$B,F$11,Base!$S:$S,"&gt;8",Base!$N:$N,"&lt;="&amp;$B112)+(COUNTIFS(Base!$B:$B,F$11,Base!$AG:$AG,"&gt;8",Base!$K:$K,"&lt;="&amp;$B112)))</f>
        <v>5</v>
      </c>
      <c r="AE112" s="93">
        <f>(COUNTIFS(Base!$B:$B,F$11,Base!$S:$S,"&lt;&gt;",Base!$N:$N,"&lt;="&amp;$B112)+(COUNTIFS(Base!$B:$B,F$11,Base!$AG:$AG,"&lt;&gt;",Base!$K:$K,"&lt;="&amp;$B112)+COUNTIFS(Base!$B:$B,F$11,Base!$S:$S,"&lt;7",Base!$K:$K,"&lt;="&amp;$B112,Base!$O:$O,"Finalizado")))</f>
        <v>7</v>
      </c>
      <c r="AF112" s="93">
        <f>COUNTIFS(Base!$B:$B,F$11,Base!$S:$S,"&lt;7",Base!$N:$N,"&lt;="&amp;$B112) +COUNTIFS(Base!$B:$B,F$11,Base!$AG:$AG,"&lt;7",Base!$K:$K,"&lt;="&amp;$B112) + COUNTIFS(Base!$B:$B,F$11,Base!$S:$S,"&lt;7",Base!$K:$K,"&lt;="&amp;$B112,Base!$O:$O,"Finalizado")</f>
        <v>0</v>
      </c>
    </row>
    <row r="113">
      <c r="B113" s="151">
        <f t="shared" si="13"/>
        <v>45368</v>
      </c>
      <c r="C113" s="93">
        <f>COUNTIFS(Base!$B:$B,C$11,Base!$M:$M,"&lt;"&amp;$B113,Base!$N:$N,"&gt;="&amp;$B113,Base!$O:$O,"&lt;&gt;Finalizado",Base!$O:$O,"&lt;&gt;Congelado",Base!$O:$O,"&lt;&gt;Concluindo pendências") + COUNTIFS(Base!$B:$B,C$11,Base!$M:$M,"&lt;"&amp;$B113,Base!$N:$N,"",Base!$O:$O,"&lt;&gt;Finalizado",Base!$O:$O,"&lt;&gt;Congelado",Base!$O:$O,"&lt;&gt;Concluindo pendências")</f>
        <v>6</v>
      </c>
      <c r="D113" s="93">
        <f>COUNTIFS(Base!$B:$B,D$11,Base!$M:$M,"&lt;"&amp;$B113,Base!$N:$N,"&gt;="&amp;$B113,Base!$O:$O,"&lt;&gt;Finalizado",Base!$O:$O,"&lt;&gt;Congelado",Base!$O:$O,"&lt;&gt;Concluindo pendências") + COUNTIFS(Base!$B:$B,D$11,Base!$M:$M,"&lt;"&amp;$B113,Base!$N:$N,"",Base!$O:$O,"&lt;&gt;Finalizado",Base!$O:$O,"&lt;&gt;Congelado",Base!$O:$O,"&lt;&gt;Concluindo pendências")</f>
        <v>8</v>
      </c>
      <c r="E113" s="93">
        <f>COUNTIFS(Base!$B:$B,E$11,Base!$M:$M,"&lt;"&amp;$B113,Base!$N:$N,"&gt;="&amp;$B113,Base!$O:$O,"&lt;&gt;Finalizado",Base!$O:$O,"&lt;&gt;Congelado",Base!$O:$O,"&lt;&gt;Concluindo pendências") + COUNTIFS(Base!$B:$B,E$11,Base!$M:$M,"&lt;"&amp;$B113,Base!$N:$N,"",Base!$O:$O,"&lt;&gt;Finalizado",Base!$O:$O,"&lt;&gt;Congelado",Base!$O:$O,"&lt;&gt;Concluindo pendências")</f>
        <v>5</v>
      </c>
      <c r="F113" s="93">
        <f>COUNTIFS(Base!$B:$B,F$11,Base!$M:$M,"&lt;"&amp;$B113,Base!$N:$N,"&gt;="&amp;$B113,Base!$O:$O,"&lt;&gt;Finalizado",Base!$O:$O,"&lt;&gt;Congelado",Base!$O:$O,"&lt;&gt;Concluindo pendências") + COUNTIFS(Base!$B:$B,F$11,Base!$M:$M,"&lt;"&amp;$B113,Base!$N:$N,"",Base!$O:$O,"&lt;&gt;Finalizado",Base!$O:$O,"&lt;&gt;Congelado",Base!$O:$O,"&lt;&gt;Concluindo pendências")</f>
        <v>6</v>
      </c>
      <c r="H113" s="93">
        <f>COUNTIFS(Base!$B:$B,C$11,Base!$K:$K,"&lt;"&amp;$B113,Base!$N:$N,"&gt;="&amp;$B113,Base!$O:$O,"&lt;&gt;Finalizado",Base!$O:$O,"&lt;&gt;Congelado") + COUNTIFS(Base!$B:$B,C$11,Base!$K:$K,"&lt;"&amp;$B113,Base!$N:$N,"",Base!$O:$O,"&lt;&gt;Finalizado",Base!$O:$O,"&lt;&gt;Congelado")</f>
        <v>11</v>
      </c>
      <c r="I113" s="93">
        <f>COUNTIFS(Base!$B:$B,D$11,Base!$K:$K,"&lt;"&amp;$B113,Base!$N:$N,"&gt;="&amp;$B113,Base!$O:$O,"&lt;&gt;Finalizado",Base!$O:$O,"&lt;&gt;Congelado") + COUNTIFS(Base!$B:$B,D$11,Base!$K:$K,"&lt;"&amp;$B113,Base!$N:$N,"",Base!$O:$O,"&lt;&gt;Finalizado",Base!$O:$O,"&lt;&gt;Congelado")</f>
        <v>21</v>
      </c>
      <c r="J113" s="93">
        <f>COUNTIFS(Base!$B:$B,E$11,Base!$K:$K,"&lt;"&amp;$B113,Base!$N:$N,"&gt;="&amp;$B113,Base!$O:$O,"&lt;&gt;Finalizado",Base!$O:$O,"&lt;&gt;Congelado") + COUNTIFS(Base!$B:$B,E$11,Base!$K:$K,"&lt;"&amp;$B113,Base!$N:$N,"",Base!$O:$O,"&lt;&gt;Finalizado",Base!$O:$O,"&lt;&gt;Congelado")</f>
        <v>14</v>
      </c>
      <c r="K113" s="93">
        <f>COUNTIFS(Base!$B:$B,F$11,Base!$K:$K,"&lt;"&amp;$B113,Base!$N:$N,"&gt;="&amp;$B113,Base!$O:$O,"&lt;&gt;Finalizado",Base!$O:$O,"&lt;&gt;Congelado") + COUNTIFS(Base!$B:$B,F$11,Base!$K:$K,"&lt;"&amp;$B113,Base!$N:$N,"",Base!$O:$O,"&lt;&gt;Finalizado",Base!$O:$O,"&lt;&gt;Congelado")</f>
        <v>19</v>
      </c>
      <c r="M113" s="133">
        <f t="shared" ref="M113:P113" si="162">C113/H113</f>
        <v>0.5454545455</v>
      </c>
      <c r="N113" s="133">
        <f t="shared" si="162"/>
        <v>0.380952381</v>
      </c>
      <c r="O113" s="133">
        <f t="shared" si="162"/>
        <v>0.3571428571</v>
      </c>
      <c r="P113" s="133">
        <f t="shared" si="162"/>
        <v>0.3157894737</v>
      </c>
      <c r="Q113" s="133">
        <f t="shared" si="9"/>
        <v>0.3846153846</v>
      </c>
      <c r="S113" s="93">
        <f t="shared" ref="S113:V113" si="163">S112+C113</f>
        <v>196</v>
      </c>
      <c r="T113" s="93">
        <f t="shared" si="163"/>
        <v>457</v>
      </c>
      <c r="U113" s="93">
        <f t="shared" si="163"/>
        <v>443</v>
      </c>
      <c r="V113" s="93">
        <f t="shared" si="163"/>
        <v>341</v>
      </c>
      <c r="W113" s="93">
        <f t="shared" si="11"/>
        <v>1437</v>
      </c>
      <c r="Y113" s="133">
        <f>(COUNTIFS(Base!$B:$B,C$11,Base!$S:$S,"&gt;8",Base!$N:$N,"&lt;="&amp;$B113) - COUNTIFS(Base!$B:$B,C$11,Base!$S:$S,"&lt;7",Base!$N:$N,"&lt;="&amp;$B113) - COUNTIFS(Base!$B:$B,C$11,Base!$S:$S,"&lt;7",Base!$K:$K,"&lt;="&amp;$B113,Base!$O:$O,"Finalizado"))/(COUNTIFS(Base!$B:$B,C$11,Base!$S:$S,"&lt;&gt;",Base!$N:$N,"&lt;="&amp;$B113)+COUNTIFS(Base!$B:$B,C$11,Base!$S:$S,"&lt;7",Base!$K:$K,"&lt;="&amp;$B113,Base!$O:$O,"Finalizado"))</f>
        <v>0.6</v>
      </c>
      <c r="Z113" s="133">
        <f>(COUNTIFS(Base!$B:$B,D$11,Base!$S:$S,"&gt;8",Base!$N:$N,"&lt;="&amp;$B113) - COUNTIFS(Base!$B:$B,D$11,Base!$S:$S,"&lt;7",Base!$N:$N,"&lt;="&amp;$B113) - COUNTIFS(Base!$B:$B,D$11,Base!$S:$S,"&lt;7",Base!$K:$K,"&lt;="&amp;$B113,Base!$O:$O,"Finalizado"))/(COUNTIFS(Base!$B:$B,D$11,Base!$S:$S,"&lt;&gt;",Base!$N:$N,"&lt;="&amp;$B113)+COUNTIFS(Base!$B:$B,D$11,Base!$S:$S,"&lt;7",Base!$K:$K,"&lt;="&amp;$B113,Base!$O:$O,"Finalizado"))</f>
        <v>0.75</v>
      </c>
      <c r="AA113" s="133">
        <f>(COUNTIFS(Base!$B:$B,E$11,Base!$S:$S,"&gt;8",Base!$N:$N,"&lt;="&amp;$B113) - COUNTIFS(Base!$B:$B,E$11,Base!$S:$S,"&lt;7",Base!$N:$N,"&lt;="&amp;$B113) - COUNTIFS(Base!$B:$B,E$11,Base!$S:$S,"&lt;7",Base!$K:$K,"&lt;="&amp;$B113,Base!$O:$O,"Finalizado"))/(COUNTIFS(Base!$B:$B,E$11,Base!$S:$S,"&lt;&gt;",Base!$N:$N,"&lt;="&amp;$B113)+COUNTIFS(Base!$B:$B,E$11,Base!$S:$S,"&lt;7",Base!$K:$K,"&lt;="&amp;$B113,Base!$O:$O,"Finalizado"))</f>
        <v>0.6923076923</v>
      </c>
      <c r="AB113" s="133">
        <f t="shared" si="12"/>
        <v>0.7142857143</v>
      </c>
      <c r="AD113" s="93">
        <f>(COUNTIFS(Base!$B:$B,F$11,Base!$S:$S,"&gt;8",Base!$N:$N,"&lt;="&amp;$B113)+(COUNTIFS(Base!$B:$B,F$11,Base!$AG:$AG,"&gt;8",Base!$K:$K,"&lt;="&amp;$B113)))</f>
        <v>5</v>
      </c>
      <c r="AE113" s="93">
        <f>(COUNTIFS(Base!$B:$B,F$11,Base!$S:$S,"&lt;&gt;",Base!$N:$N,"&lt;="&amp;$B113)+(COUNTIFS(Base!$B:$B,F$11,Base!$AG:$AG,"&lt;&gt;",Base!$K:$K,"&lt;="&amp;$B113)+COUNTIFS(Base!$B:$B,F$11,Base!$S:$S,"&lt;7",Base!$K:$K,"&lt;="&amp;$B113,Base!$O:$O,"Finalizado")))</f>
        <v>7</v>
      </c>
      <c r="AF113" s="93">
        <f>COUNTIFS(Base!$B:$B,F$11,Base!$S:$S,"&lt;7",Base!$N:$N,"&lt;="&amp;$B113) +COUNTIFS(Base!$B:$B,F$11,Base!$AG:$AG,"&lt;7",Base!$K:$K,"&lt;="&amp;$B113) + COUNTIFS(Base!$B:$B,F$11,Base!$S:$S,"&lt;7",Base!$K:$K,"&lt;="&amp;$B113,Base!$O:$O,"Finalizado")</f>
        <v>0</v>
      </c>
    </row>
    <row r="114">
      <c r="B114" s="151">
        <f t="shared" si="13"/>
        <v>45369</v>
      </c>
      <c r="C114" s="93">
        <f>COUNTIFS(Base!$B:$B,C$11,Base!$M:$M,"&lt;"&amp;$B114,Base!$N:$N,"&gt;="&amp;$B114,Base!$O:$O,"&lt;&gt;Finalizado",Base!$O:$O,"&lt;&gt;Congelado",Base!$O:$O,"&lt;&gt;Concluindo pendências") + COUNTIFS(Base!$B:$B,C$11,Base!$M:$M,"&lt;"&amp;$B114,Base!$N:$N,"",Base!$O:$O,"&lt;&gt;Finalizado",Base!$O:$O,"&lt;&gt;Congelado",Base!$O:$O,"&lt;&gt;Concluindo pendências")</f>
        <v>6</v>
      </c>
      <c r="D114" s="93">
        <f>COUNTIFS(Base!$B:$B,D$11,Base!$M:$M,"&lt;"&amp;$B114,Base!$N:$N,"&gt;="&amp;$B114,Base!$O:$O,"&lt;&gt;Finalizado",Base!$O:$O,"&lt;&gt;Congelado",Base!$O:$O,"&lt;&gt;Concluindo pendências") + COUNTIFS(Base!$B:$B,D$11,Base!$M:$M,"&lt;"&amp;$B114,Base!$N:$N,"",Base!$O:$O,"&lt;&gt;Finalizado",Base!$O:$O,"&lt;&gt;Congelado",Base!$O:$O,"&lt;&gt;Concluindo pendências")</f>
        <v>8</v>
      </c>
      <c r="E114" s="93">
        <f>COUNTIFS(Base!$B:$B,E$11,Base!$M:$M,"&lt;"&amp;$B114,Base!$N:$N,"&gt;="&amp;$B114,Base!$O:$O,"&lt;&gt;Finalizado",Base!$O:$O,"&lt;&gt;Congelado",Base!$O:$O,"&lt;&gt;Concluindo pendências") + COUNTIFS(Base!$B:$B,E$11,Base!$M:$M,"&lt;"&amp;$B114,Base!$N:$N,"",Base!$O:$O,"&lt;&gt;Finalizado",Base!$O:$O,"&lt;&gt;Congelado",Base!$O:$O,"&lt;&gt;Concluindo pendências")</f>
        <v>5</v>
      </c>
      <c r="F114" s="93">
        <f>COUNTIFS(Base!$B:$B,F$11,Base!$M:$M,"&lt;"&amp;$B114,Base!$N:$N,"&gt;="&amp;$B114,Base!$O:$O,"&lt;&gt;Finalizado",Base!$O:$O,"&lt;&gt;Congelado",Base!$O:$O,"&lt;&gt;Concluindo pendências") + COUNTIFS(Base!$B:$B,F$11,Base!$M:$M,"&lt;"&amp;$B114,Base!$N:$N,"",Base!$O:$O,"&lt;&gt;Finalizado",Base!$O:$O,"&lt;&gt;Congelado",Base!$O:$O,"&lt;&gt;Concluindo pendências")</f>
        <v>6</v>
      </c>
      <c r="H114" s="93">
        <f>COUNTIFS(Base!$B:$B,C$11,Base!$K:$K,"&lt;"&amp;$B114,Base!$N:$N,"&gt;="&amp;$B114,Base!$O:$O,"&lt;&gt;Finalizado",Base!$O:$O,"&lt;&gt;Congelado") + COUNTIFS(Base!$B:$B,C$11,Base!$K:$K,"&lt;"&amp;$B114,Base!$N:$N,"",Base!$O:$O,"&lt;&gt;Finalizado",Base!$O:$O,"&lt;&gt;Congelado")</f>
        <v>11</v>
      </c>
      <c r="I114" s="93">
        <f>COUNTIFS(Base!$B:$B,D$11,Base!$K:$K,"&lt;"&amp;$B114,Base!$N:$N,"&gt;="&amp;$B114,Base!$O:$O,"&lt;&gt;Finalizado",Base!$O:$O,"&lt;&gt;Congelado") + COUNTIFS(Base!$B:$B,D$11,Base!$K:$K,"&lt;"&amp;$B114,Base!$N:$N,"",Base!$O:$O,"&lt;&gt;Finalizado",Base!$O:$O,"&lt;&gt;Congelado")</f>
        <v>21</v>
      </c>
      <c r="J114" s="93">
        <f>COUNTIFS(Base!$B:$B,E$11,Base!$K:$K,"&lt;"&amp;$B114,Base!$N:$N,"&gt;="&amp;$B114,Base!$O:$O,"&lt;&gt;Finalizado",Base!$O:$O,"&lt;&gt;Congelado") + COUNTIFS(Base!$B:$B,E$11,Base!$K:$K,"&lt;"&amp;$B114,Base!$N:$N,"",Base!$O:$O,"&lt;&gt;Finalizado",Base!$O:$O,"&lt;&gt;Congelado")</f>
        <v>14</v>
      </c>
      <c r="K114" s="93">
        <f>COUNTIFS(Base!$B:$B,F$11,Base!$K:$K,"&lt;"&amp;$B114,Base!$N:$N,"&gt;="&amp;$B114,Base!$O:$O,"&lt;&gt;Finalizado",Base!$O:$O,"&lt;&gt;Congelado") + COUNTIFS(Base!$B:$B,F$11,Base!$K:$K,"&lt;"&amp;$B114,Base!$N:$N,"",Base!$O:$O,"&lt;&gt;Finalizado",Base!$O:$O,"&lt;&gt;Congelado")</f>
        <v>19</v>
      </c>
      <c r="M114" s="133">
        <f t="shared" ref="M114:P114" si="164">C114/H114</f>
        <v>0.5454545455</v>
      </c>
      <c r="N114" s="133">
        <f t="shared" si="164"/>
        <v>0.380952381</v>
      </c>
      <c r="O114" s="133">
        <f t="shared" si="164"/>
        <v>0.3571428571</v>
      </c>
      <c r="P114" s="133">
        <f t="shared" si="164"/>
        <v>0.3157894737</v>
      </c>
      <c r="Q114" s="133">
        <f t="shared" si="9"/>
        <v>0.3846153846</v>
      </c>
      <c r="S114" s="93">
        <f t="shared" ref="S114:V114" si="165">S113+C114</f>
        <v>202</v>
      </c>
      <c r="T114" s="93">
        <f t="shared" si="165"/>
        <v>465</v>
      </c>
      <c r="U114" s="93">
        <f t="shared" si="165"/>
        <v>448</v>
      </c>
      <c r="V114" s="93">
        <f t="shared" si="165"/>
        <v>347</v>
      </c>
      <c r="W114" s="93">
        <f t="shared" si="11"/>
        <v>1462</v>
      </c>
      <c r="Y114" s="133">
        <f>(COUNTIFS(Base!$B:$B,C$11,Base!$S:$S,"&gt;8",Base!$N:$N,"&lt;="&amp;$B114) - COUNTIFS(Base!$B:$B,C$11,Base!$S:$S,"&lt;7",Base!$N:$N,"&lt;="&amp;$B114) - COUNTIFS(Base!$B:$B,C$11,Base!$S:$S,"&lt;7",Base!$K:$K,"&lt;="&amp;$B114,Base!$O:$O,"Finalizado"))/(COUNTIFS(Base!$B:$B,C$11,Base!$S:$S,"&lt;&gt;",Base!$N:$N,"&lt;="&amp;$B114)+COUNTIFS(Base!$B:$B,C$11,Base!$S:$S,"&lt;7",Base!$K:$K,"&lt;="&amp;$B114,Base!$O:$O,"Finalizado"))</f>
        <v>0.6</v>
      </c>
      <c r="Z114" s="133">
        <f>(COUNTIFS(Base!$B:$B,D$11,Base!$S:$S,"&gt;8",Base!$N:$N,"&lt;="&amp;$B114) - COUNTIFS(Base!$B:$B,D$11,Base!$S:$S,"&lt;7",Base!$N:$N,"&lt;="&amp;$B114) - COUNTIFS(Base!$B:$B,D$11,Base!$S:$S,"&lt;7",Base!$K:$K,"&lt;="&amp;$B114,Base!$O:$O,"Finalizado"))/(COUNTIFS(Base!$B:$B,D$11,Base!$S:$S,"&lt;&gt;",Base!$N:$N,"&lt;="&amp;$B114)+COUNTIFS(Base!$B:$B,D$11,Base!$S:$S,"&lt;7",Base!$K:$K,"&lt;="&amp;$B114,Base!$O:$O,"Finalizado"))</f>
        <v>0.7058823529</v>
      </c>
      <c r="AA114" s="133">
        <f>(COUNTIFS(Base!$B:$B,E$11,Base!$S:$S,"&gt;8",Base!$N:$N,"&lt;="&amp;$B114) - COUNTIFS(Base!$B:$B,E$11,Base!$S:$S,"&lt;7",Base!$N:$N,"&lt;="&amp;$B114) - COUNTIFS(Base!$B:$B,E$11,Base!$S:$S,"&lt;7",Base!$K:$K,"&lt;="&amp;$B114,Base!$O:$O,"Finalizado"))/(COUNTIFS(Base!$B:$B,E$11,Base!$S:$S,"&lt;&gt;",Base!$N:$N,"&lt;="&amp;$B114)+COUNTIFS(Base!$B:$B,E$11,Base!$S:$S,"&lt;7",Base!$K:$K,"&lt;="&amp;$B114,Base!$O:$O,"Finalizado"))</f>
        <v>0.6923076923</v>
      </c>
      <c r="AB114" s="133">
        <f t="shared" si="12"/>
        <v>0.7142857143</v>
      </c>
      <c r="AD114" s="93">
        <f>(COUNTIFS(Base!$B:$B,F$11,Base!$S:$S,"&gt;8",Base!$N:$N,"&lt;="&amp;$B114)+(COUNTIFS(Base!$B:$B,F$11,Base!$AG:$AG,"&gt;8",Base!$K:$K,"&lt;="&amp;$B114)))</f>
        <v>5</v>
      </c>
      <c r="AE114" s="93">
        <f>(COUNTIFS(Base!$B:$B,F$11,Base!$S:$S,"&lt;&gt;",Base!$N:$N,"&lt;="&amp;$B114)+(COUNTIFS(Base!$B:$B,F$11,Base!$AG:$AG,"&lt;&gt;",Base!$K:$K,"&lt;="&amp;$B114)+COUNTIFS(Base!$B:$B,F$11,Base!$S:$S,"&lt;7",Base!$K:$K,"&lt;="&amp;$B114,Base!$O:$O,"Finalizado")))</f>
        <v>7</v>
      </c>
      <c r="AF114" s="93">
        <f>COUNTIFS(Base!$B:$B,F$11,Base!$S:$S,"&lt;7",Base!$N:$N,"&lt;="&amp;$B114) +COUNTIFS(Base!$B:$B,F$11,Base!$AG:$AG,"&lt;7",Base!$K:$K,"&lt;="&amp;$B114) + COUNTIFS(Base!$B:$B,F$11,Base!$S:$S,"&lt;7",Base!$K:$K,"&lt;="&amp;$B114,Base!$O:$O,"Finalizado")</f>
        <v>0</v>
      </c>
    </row>
    <row r="115">
      <c r="B115" s="151">
        <f t="shared" si="13"/>
        <v>45370</v>
      </c>
      <c r="C115" s="93">
        <f>COUNTIFS(Base!$B:$B,C$11,Base!$M:$M,"&lt;"&amp;$B115,Base!$N:$N,"&gt;="&amp;$B115,Base!$O:$O,"&lt;&gt;Finalizado",Base!$O:$O,"&lt;&gt;Congelado",Base!$O:$O,"&lt;&gt;Concluindo pendências") + COUNTIFS(Base!$B:$B,C$11,Base!$M:$M,"&lt;"&amp;$B115,Base!$N:$N,"",Base!$O:$O,"&lt;&gt;Finalizado",Base!$O:$O,"&lt;&gt;Congelado",Base!$O:$O,"&lt;&gt;Concluindo pendências")</f>
        <v>6</v>
      </c>
      <c r="D115" s="93">
        <f>COUNTIFS(Base!$B:$B,D$11,Base!$M:$M,"&lt;"&amp;$B115,Base!$N:$N,"&gt;="&amp;$B115,Base!$O:$O,"&lt;&gt;Finalizado",Base!$O:$O,"&lt;&gt;Congelado",Base!$O:$O,"&lt;&gt;Concluindo pendências") + COUNTIFS(Base!$B:$B,D$11,Base!$M:$M,"&lt;"&amp;$B115,Base!$N:$N,"",Base!$O:$O,"&lt;&gt;Finalizado",Base!$O:$O,"&lt;&gt;Congelado",Base!$O:$O,"&lt;&gt;Concluindo pendências")</f>
        <v>7</v>
      </c>
      <c r="E115" s="93">
        <f>COUNTIFS(Base!$B:$B,E$11,Base!$M:$M,"&lt;"&amp;$B115,Base!$N:$N,"&gt;="&amp;$B115,Base!$O:$O,"&lt;&gt;Finalizado",Base!$O:$O,"&lt;&gt;Congelado",Base!$O:$O,"&lt;&gt;Concluindo pendências") + COUNTIFS(Base!$B:$B,E$11,Base!$M:$M,"&lt;"&amp;$B115,Base!$N:$N,"",Base!$O:$O,"&lt;&gt;Finalizado",Base!$O:$O,"&lt;&gt;Congelado",Base!$O:$O,"&lt;&gt;Concluindo pendências")</f>
        <v>5</v>
      </c>
      <c r="F115" s="93">
        <f>COUNTIFS(Base!$B:$B,F$11,Base!$M:$M,"&lt;"&amp;$B115,Base!$N:$N,"&gt;="&amp;$B115,Base!$O:$O,"&lt;&gt;Finalizado",Base!$O:$O,"&lt;&gt;Congelado",Base!$O:$O,"&lt;&gt;Concluindo pendências") + COUNTIFS(Base!$B:$B,F$11,Base!$M:$M,"&lt;"&amp;$B115,Base!$N:$N,"",Base!$O:$O,"&lt;&gt;Finalizado",Base!$O:$O,"&lt;&gt;Congelado",Base!$O:$O,"&lt;&gt;Concluindo pendências")</f>
        <v>6</v>
      </c>
      <c r="H115" s="93">
        <f>COUNTIFS(Base!$B:$B,C$11,Base!$K:$K,"&lt;"&amp;$B115,Base!$N:$N,"&gt;="&amp;$B115,Base!$O:$O,"&lt;&gt;Finalizado",Base!$O:$O,"&lt;&gt;Congelado") + COUNTIFS(Base!$B:$B,C$11,Base!$K:$K,"&lt;"&amp;$B115,Base!$N:$N,"",Base!$O:$O,"&lt;&gt;Finalizado",Base!$O:$O,"&lt;&gt;Congelado")</f>
        <v>11</v>
      </c>
      <c r="I115" s="93">
        <f>COUNTIFS(Base!$B:$B,D$11,Base!$K:$K,"&lt;"&amp;$B115,Base!$N:$N,"&gt;="&amp;$B115,Base!$O:$O,"&lt;&gt;Finalizado",Base!$O:$O,"&lt;&gt;Congelado") + COUNTIFS(Base!$B:$B,D$11,Base!$K:$K,"&lt;"&amp;$B115,Base!$N:$N,"",Base!$O:$O,"&lt;&gt;Finalizado",Base!$O:$O,"&lt;&gt;Congelado")</f>
        <v>21</v>
      </c>
      <c r="J115" s="93">
        <f>COUNTIFS(Base!$B:$B,E$11,Base!$K:$K,"&lt;"&amp;$B115,Base!$N:$N,"&gt;="&amp;$B115,Base!$O:$O,"&lt;&gt;Finalizado",Base!$O:$O,"&lt;&gt;Congelado") + COUNTIFS(Base!$B:$B,E$11,Base!$K:$K,"&lt;"&amp;$B115,Base!$N:$N,"",Base!$O:$O,"&lt;&gt;Finalizado",Base!$O:$O,"&lt;&gt;Congelado")</f>
        <v>14</v>
      </c>
      <c r="K115" s="93">
        <f>COUNTIFS(Base!$B:$B,F$11,Base!$K:$K,"&lt;"&amp;$B115,Base!$N:$N,"&gt;="&amp;$B115,Base!$O:$O,"&lt;&gt;Finalizado",Base!$O:$O,"&lt;&gt;Congelado") + COUNTIFS(Base!$B:$B,F$11,Base!$K:$K,"&lt;"&amp;$B115,Base!$N:$N,"",Base!$O:$O,"&lt;&gt;Finalizado",Base!$O:$O,"&lt;&gt;Congelado")</f>
        <v>20</v>
      </c>
      <c r="M115" s="133">
        <f t="shared" ref="M115:P115" si="166">C115/H115</f>
        <v>0.5454545455</v>
      </c>
      <c r="N115" s="133">
        <f t="shared" si="166"/>
        <v>0.3333333333</v>
      </c>
      <c r="O115" s="133">
        <f t="shared" si="166"/>
        <v>0.3571428571</v>
      </c>
      <c r="P115" s="133">
        <f t="shared" si="166"/>
        <v>0.3</v>
      </c>
      <c r="Q115" s="133">
        <f t="shared" si="9"/>
        <v>0.3636363636</v>
      </c>
      <c r="S115" s="93">
        <f t="shared" ref="S115:V115" si="167">S114+C115</f>
        <v>208</v>
      </c>
      <c r="T115" s="93">
        <f t="shared" si="167"/>
        <v>472</v>
      </c>
      <c r="U115" s="93">
        <f t="shared" si="167"/>
        <v>453</v>
      </c>
      <c r="V115" s="93">
        <f t="shared" si="167"/>
        <v>353</v>
      </c>
      <c r="W115" s="93">
        <f t="shared" si="11"/>
        <v>1486</v>
      </c>
      <c r="Y115" s="133">
        <f>(COUNTIFS(Base!$B:$B,C$11,Base!$S:$S,"&gt;8",Base!$N:$N,"&lt;="&amp;$B115) - COUNTIFS(Base!$B:$B,C$11,Base!$S:$S,"&lt;7",Base!$N:$N,"&lt;="&amp;$B115) - COUNTIFS(Base!$B:$B,C$11,Base!$S:$S,"&lt;7",Base!$K:$K,"&lt;="&amp;$B115,Base!$O:$O,"Finalizado"))/(COUNTIFS(Base!$B:$B,C$11,Base!$S:$S,"&lt;&gt;",Base!$N:$N,"&lt;="&amp;$B115)+COUNTIFS(Base!$B:$B,C$11,Base!$S:$S,"&lt;7",Base!$K:$K,"&lt;="&amp;$B115,Base!$O:$O,"Finalizado"))</f>
        <v>0.6</v>
      </c>
      <c r="Z115" s="133">
        <f>(COUNTIFS(Base!$B:$B,D$11,Base!$S:$S,"&gt;8",Base!$N:$N,"&lt;="&amp;$B115) - COUNTIFS(Base!$B:$B,D$11,Base!$S:$S,"&lt;7",Base!$N:$N,"&lt;="&amp;$B115) - COUNTIFS(Base!$B:$B,D$11,Base!$S:$S,"&lt;7",Base!$K:$K,"&lt;="&amp;$B115,Base!$O:$O,"Finalizado"))/(COUNTIFS(Base!$B:$B,D$11,Base!$S:$S,"&lt;&gt;",Base!$N:$N,"&lt;="&amp;$B115)+COUNTIFS(Base!$B:$B,D$11,Base!$S:$S,"&lt;7",Base!$K:$K,"&lt;="&amp;$B115,Base!$O:$O,"Finalizado"))</f>
        <v>0.7058823529</v>
      </c>
      <c r="AA115" s="133">
        <f>(COUNTIFS(Base!$B:$B,E$11,Base!$S:$S,"&gt;8",Base!$N:$N,"&lt;="&amp;$B115) - COUNTIFS(Base!$B:$B,E$11,Base!$S:$S,"&lt;7",Base!$N:$N,"&lt;="&amp;$B115) - COUNTIFS(Base!$B:$B,E$11,Base!$S:$S,"&lt;7",Base!$K:$K,"&lt;="&amp;$B115,Base!$O:$O,"Finalizado"))/(COUNTIFS(Base!$B:$B,E$11,Base!$S:$S,"&lt;&gt;",Base!$N:$N,"&lt;="&amp;$B115)+COUNTIFS(Base!$B:$B,E$11,Base!$S:$S,"&lt;7",Base!$K:$K,"&lt;="&amp;$B115,Base!$O:$O,"Finalizado"))</f>
        <v>0.6923076923</v>
      </c>
      <c r="AB115" s="133">
        <f t="shared" si="12"/>
        <v>0.7142857143</v>
      </c>
      <c r="AD115" s="93">
        <f>(COUNTIFS(Base!$B:$B,F$11,Base!$S:$S,"&gt;8",Base!$N:$N,"&lt;="&amp;$B115)+(COUNTIFS(Base!$B:$B,F$11,Base!$AG:$AG,"&gt;8",Base!$K:$K,"&lt;="&amp;$B115)))</f>
        <v>5</v>
      </c>
      <c r="AE115" s="93">
        <f>(COUNTIFS(Base!$B:$B,F$11,Base!$S:$S,"&lt;&gt;",Base!$N:$N,"&lt;="&amp;$B115)+(COUNTIFS(Base!$B:$B,F$11,Base!$AG:$AG,"&lt;&gt;",Base!$K:$K,"&lt;="&amp;$B115)+COUNTIFS(Base!$B:$B,F$11,Base!$S:$S,"&lt;7",Base!$K:$K,"&lt;="&amp;$B115,Base!$O:$O,"Finalizado")))</f>
        <v>7</v>
      </c>
      <c r="AF115" s="93">
        <f>COUNTIFS(Base!$B:$B,F$11,Base!$S:$S,"&lt;7",Base!$N:$N,"&lt;="&amp;$B115) +COUNTIFS(Base!$B:$B,F$11,Base!$AG:$AG,"&lt;7",Base!$K:$K,"&lt;="&amp;$B115) + COUNTIFS(Base!$B:$B,F$11,Base!$S:$S,"&lt;7",Base!$K:$K,"&lt;="&amp;$B115,Base!$O:$O,"Finalizado")</f>
        <v>0</v>
      </c>
    </row>
    <row r="116">
      <c r="B116" s="151">
        <f t="shared" si="13"/>
        <v>45371</v>
      </c>
      <c r="C116" s="93">
        <f>COUNTIFS(Base!$B:$B,C$11,Base!$M:$M,"&lt;"&amp;$B116,Base!$N:$N,"&gt;="&amp;$B116,Base!$O:$O,"&lt;&gt;Finalizado",Base!$O:$O,"&lt;&gt;Congelado",Base!$O:$O,"&lt;&gt;Concluindo pendências") + COUNTIFS(Base!$B:$B,C$11,Base!$M:$M,"&lt;"&amp;$B116,Base!$N:$N,"",Base!$O:$O,"&lt;&gt;Finalizado",Base!$O:$O,"&lt;&gt;Congelado",Base!$O:$O,"&lt;&gt;Concluindo pendências")</f>
        <v>6</v>
      </c>
      <c r="D116" s="93">
        <f>COUNTIFS(Base!$B:$B,D$11,Base!$M:$M,"&lt;"&amp;$B116,Base!$N:$N,"&gt;="&amp;$B116,Base!$O:$O,"&lt;&gt;Finalizado",Base!$O:$O,"&lt;&gt;Congelado",Base!$O:$O,"&lt;&gt;Concluindo pendências") + COUNTIFS(Base!$B:$B,D$11,Base!$M:$M,"&lt;"&amp;$B116,Base!$N:$N,"",Base!$O:$O,"&lt;&gt;Finalizado",Base!$O:$O,"&lt;&gt;Congelado",Base!$O:$O,"&lt;&gt;Concluindo pendências")</f>
        <v>7</v>
      </c>
      <c r="E116" s="93">
        <f>COUNTIFS(Base!$B:$B,E$11,Base!$M:$M,"&lt;"&amp;$B116,Base!$N:$N,"&gt;="&amp;$B116,Base!$O:$O,"&lt;&gt;Finalizado",Base!$O:$O,"&lt;&gt;Congelado",Base!$O:$O,"&lt;&gt;Concluindo pendências") + COUNTIFS(Base!$B:$B,E$11,Base!$M:$M,"&lt;"&amp;$B116,Base!$N:$N,"",Base!$O:$O,"&lt;&gt;Finalizado",Base!$O:$O,"&lt;&gt;Congelado",Base!$O:$O,"&lt;&gt;Concluindo pendências")</f>
        <v>5</v>
      </c>
      <c r="F116" s="93">
        <f>COUNTIFS(Base!$B:$B,F$11,Base!$M:$M,"&lt;"&amp;$B116,Base!$N:$N,"&gt;="&amp;$B116,Base!$O:$O,"&lt;&gt;Finalizado",Base!$O:$O,"&lt;&gt;Congelado",Base!$O:$O,"&lt;&gt;Concluindo pendências") + COUNTIFS(Base!$B:$B,F$11,Base!$M:$M,"&lt;"&amp;$B116,Base!$N:$N,"",Base!$O:$O,"&lt;&gt;Finalizado",Base!$O:$O,"&lt;&gt;Congelado",Base!$O:$O,"&lt;&gt;Concluindo pendências")</f>
        <v>6</v>
      </c>
      <c r="H116" s="93">
        <f>COUNTIFS(Base!$B:$B,C$11,Base!$K:$K,"&lt;"&amp;$B116,Base!$N:$N,"&gt;="&amp;$B116,Base!$O:$O,"&lt;&gt;Finalizado",Base!$O:$O,"&lt;&gt;Congelado") + COUNTIFS(Base!$B:$B,C$11,Base!$K:$K,"&lt;"&amp;$B116,Base!$N:$N,"",Base!$O:$O,"&lt;&gt;Finalizado",Base!$O:$O,"&lt;&gt;Congelado")</f>
        <v>12</v>
      </c>
      <c r="I116" s="93">
        <f>COUNTIFS(Base!$B:$B,D$11,Base!$K:$K,"&lt;"&amp;$B116,Base!$N:$N,"&gt;="&amp;$B116,Base!$O:$O,"&lt;&gt;Finalizado",Base!$O:$O,"&lt;&gt;Congelado") + COUNTIFS(Base!$B:$B,D$11,Base!$K:$K,"&lt;"&amp;$B116,Base!$N:$N,"",Base!$O:$O,"&lt;&gt;Finalizado",Base!$O:$O,"&lt;&gt;Congelado")</f>
        <v>22</v>
      </c>
      <c r="J116" s="93">
        <f>COUNTIFS(Base!$B:$B,E$11,Base!$K:$K,"&lt;"&amp;$B116,Base!$N:$N,"&gt;="&amp;$B116,Base!$O:$O,"&lt;&gt;Finalizado",Base!$O:$O,"&lt;&gt;Congelado") + COUNTIFS(Base!$B:$B,E$11,Base!$K:$K,"&lt;"&amp;$B116,Base!$N:$N,"",Base!$O:$O,"&lt;&gt;Finalizado",Base!$O:$O,"&lt;&gt;Congelado")</f>
        <v>15</v>
      </c>
      <c r="K116" s="93">
        <f>COUNTIFS(Base!$B:$B,F$11,Base!$K:$K,"&lt;"&amp;$B116,Base!$N:$N,"&gt;="&amp;$B116,Base!$O:$O,"&lt;&gt;Finalizado",Base!$O:$O,"&lt;&gt;Congelado") + COUNTIFS(Base!$B:$B,F$11,Base!$K:$K,"&lt;"&amp;$B116,Base!$N:$N,"",Base!$O:$O,"&lt;&gt;Finalizado",Base!$O:$O,"&lt;&gt;Congelado")</f>
        <v>21</v>
      </c>
      <c r="M116" s="133">
        <f t="shared" ref="M116:P116" si="168">C116/H116</f>
        <v>0.5</v>
      </c>
      <c r="N116" s="133">
        <f t="shared" si="168"/>
        <v>0.3181818182</v>
      </c>
      <c r="O116" s="133">
        <f t="shared" si="168"/>
        <v>0.3333333333</v>
      </c>
      <c r="P116" s="133">
        <f t="shared" si="168"/>
        <v>0.2857142857</v>
      </c>
      <c r="Q116" s="133">
        <f t="shared" si="9"/>
        <v>0.3428571429</v>
      </c>
      <c r="S116" s="93">
        <f t="shared" ref="S116:V116" si="169">S115+C116</f>
        <v>214</v>
      </c>
      <c r="T116" s="93">
        <f t="shared" si="169"/>
        <v>479</v>
      </c>
      <c r="U116" s="93">
        <f t="shared" si="169"/>
        <v>458</v>
      </c>
      <c r="V116" s="93">
        <f t="shared" si="169"/>
        <v>359</v>
      </c>
      <c r="W116" s="93">
        <f t="shared" si="11"/>
        <v>1510</v>
      </c>
      <c r="Y116" s="133">
        <f>(COUNTIFS(Base!$B:$B,C$11,Base!$S:$S,"&gt;8",Base!$N:$N,"&lt;="&amp;$B116) - COUNTIFS(Base!$B:$B,C$11,Base!$S:$S,"&lt;7",Base!$N:$N,"&lt;="&amp;$B116) - COUNTIFS(Base!$B:$B,C$11,Base!$S:$S,"&lt;7",Base!$K:$K,"&lt;="&amp;$B116,Base!$O:$O,"Finalizado"))/(COUNTIFS(Base!$B:$B,C$11,Base!$S:$S,"&lt;&gt;",Base!$N:$N,"&lt;="&amp;$B116)+COUNTIFS(Base!$B:$B,C$11,Base!$S:$S,"&lt;7",Base!$K:$K,"&lt;="&amp;$B116,Base!$O:$O,"Finalizado"))</f>
        <v>0.6</v>
      </c>
      <c r="Z116" s="133">
        <f>(COUNTIFS(Base!$B:$B,D$11,Base!$S:$S,"&gt;8",Base!$N:$N,"&lt;="&amp;$B116) - COUNTIFS(Base!$B:$B,D$11,Base!$S:$S,"&lt;7",Base!$N:$N,"&lt;="&amp;$B116) - COUNTIFS(Base!$B:$B,D$11,Base!$S:$S,"&lt;7",Base!$K:$K,"&lt;="&amp;$B116,Base!$O:$O,"Finalizado"))/(COUNTIFS(Base!$B:$B,D$11,Base!$S:$S,"&lt;&gt;",Base!$N:$N,"&lt;="&amp;$B116)+COUNTIFS(Base!$B:$B,D$11,Base!$S:$S,"&lt;7",Base!$K:$K,"&lt;="&amp;$B116,Base!$O:$O,"Finalizado"))</f>
        <v>0.7058823529</v>
      </c>
      <c r="AA116" s="133">
        <f>(COUNTIFS(Base!$B:$B,E$11,Base!$S:$S,"&gt;8",Base!$N:$N,"&lt;="&amp;$B116) - COUNTIFS(Base!$B:$B,E$11,Base!$S:$S,"&lt;7",Base!$N:$N,"&lt;="&amp;$B116) - COUNTIFS(Base!$B:$B,E$11,Base!$S:$S,"&lt;7",Base!$K:$K,"&lt;="&amp;$B116,Base!$O:$O,"Finalizado"))/(COUNTIFS(Base!$B:$B,E$11,Base!$S:$S,"&lt;&gt;",Base!$N:$N,"&lt;="&amp;$B116)+COUNTIFS(Base!$B:$B,E$11,Base!$S:$S,"&lt;7",Base!$K:$K,"&lt;="&amp;$B116,Base!$O:$O,"Finalizado"))</f>
        <v>0.6428571429</v>
      </c>
      <c r="AB116" s="133">
        <f t="shared" si="12"/>
        <v>0.7142857143</v>
      </c>
      <c r="AD116" s="93">
        <f>(COUNTIFS(Base!$B:$B,F$11,Base!$S:$S,"&gt;8",Base!$N:$N,"&lt;="&amp;$B116)+(COUNTIFS(Base!$B:$B,F$11,Base!$AG:$AG,"&gt;8",Base!$K:$K,"&lt;="&amp;$B116)))</f>
        <v>5</v>
      </c>
      <c r="AE116" s="93">
        <f>(COUNTIFS(Base!$B:$B,F$11,Base!$S:$S,"&lt;&gt;",Base!$N:$N,"&lt;="&amp;$B116)+(COUNTIFS(Base!$B:$B,F$11,Base!$AG:$AG,"&lt;&gt;",Base!$K:$K,"&lt;="&amp;$B116)+COUNTIFS(Base!$B:$B,F$11,Base!$S:$S,"&lt;7",Base!$K:$K,"&lt;="&amp;$B116,Base!$O:$O,"Finalizado")))</f>
        <v>7</v>
      </c>
      <c r="AF116" s="93">
        <f>COUNTIFS(Base!$B:$B,F$11,Base!$S:$S,"&lt;7",Base!$N:$N,"&lt;="&amp;$B116) +COUNTIFS(Base!$B:$B,F$11,Base!$AG:$AG,"&lt;7",Base!$K:$K,"&lt;="&amp;$B116) + COUNTIFS(Base!$B:$B,F$11,Base!$S:$S,"&lt;7",Base!$K:$K,"&lt;="&amp;$B116,Base!$O:$O,"Finalizado")</f>
        <v>0</v>
      </c>
    </row>
    <row r="117">
      <c r="B117" s="151">
        <f t="shared" si="13"/>
        <v>45372</v>
      </c>
      <c r="C117" s="93">
        <f>COUNTIFS(Base!$B:$B,C$11,Base!$M:$M,"&lt;"&amp;$B117,Base!$N:$N,"&gt;="&amp;$B117,Base!$O:$O,"&lt;&gt;Finalizado",Base!$O:$O,"&lt;&gt;Congelado",Base!$O:$O,"&lt;&gt;Concluindo pendências") + COUNTIFS(Base!$B:$B,C$11,Base!$M:$M,"&lt;"&amp;$B117,Base!$N:$N,"",Base!$O:$O,"&lt;&gt;Finalizado",Base!$O:$O,"&lt;&gt;Congelado",Base!$O:$O,"&lt;&gt;Concluindo pendências")</f>
        <v>6</v>
      </c>
      <c r="D117" s="93">
        <f>COUNTIFS(Base!$B:$B,D$11,Base!$M:$M,"&lt;"&amp;$B117,Base!$N:$N,"&gt;="&amp;$B117,Base!$O:$O,"&lt;&gt;Finalizado",Base!$O:$O,"&lt;&gt;Congelado",Base!$O:$O,"&lt;&gt;Concluindo pendências") + COUNTIFS(Base!$B:$B,D$11,Base!$M:$M,"&lt;"&amp;$B117,Base!$N:$N,"",Base!$O:$O,"&lt;&gt;Finalizado",Base!$O:$O,"&lt;&gt;Congelado",Base!$O:$O,"&lt;&gt;Concluindo pendências")</f>
        <v>7</v>
      </c>
      <c r="E117" s="93">
        <f>COUNTIFS(Base!$B:$B,E$11,Base!$M:$M,"&lt;"&amp;$B117,Base!$N:$N,"&gt;="&amp;$B117,Base!$O:$O,"&lt;&gt;Finalizado",Base!$O:$O,"&lt;&gt;Congelado",Base!$O:$O,"&lt;&gt;Concluindo pendências") + COUNTIFS(Base!$B:$B,E$11,Base!$M:$M,"&lt;"&amp;$B117,Base!$N:$N,"",Base!$O:$O,"&lt;&gt;Finalizado",Base!$O:$O,"&lt;&gt;Congelado",Base!$O:$O,"&lt;&gt;Concluindo pendências")</f>
        <v>4</v>
      </c>
      <c r="F117" s="93">
        <f>COUNTIFS(Base!$B:$B,F$11,Base!$M:$M,"&lt;"&amp;$B117,Base!$N:$N,"&gt;="&amp;$B117,Base!$O:$O,"&lt;&gt;Finalizado",Base!$O:$O,"&lt;&gt;Congelado",Base!$O:$O,"&lt;&gt;Concluindo pendências") + COUNTIFS(Base!$B:$B,F$11,Base!$M:$M,"&lt;"&amp;$B117,Base!$N:$N,"",Base!$O:$O,"&lt;&gt;Finalizado",Base!$O:$O,"&lt;&gt;Congelado",Base!$O:$O,"&lt;&gt;Concluindo pendências")</f>
        <v>6</v>
      </c>
      <c r="H117" s="93">
        <f>COUNTIFS(Base!$B:$B,C$11,Base!$K:$K,"&lt;"&amp;$B117,Base!$N:$N,"&gt;="&amp;$B117,Base!$O:$O,"&lt;&gt;Finalizado",Base!$O:$O,"&lt;&gt;Congelado") + COUNTIFS(Base!$B:$B,C$11,Base!$K:$K,"&lt;"&amp;$B117,Base!$N:$N,"",Base!$O:$O,"&lt;&gt;Finalizado",Base!$O:$O,"&lt;&gt;Congelado")</f>
        <v>13</v>
      </c>
      <c r="I117" s="93">
        <f>COUNTIFS(Base!$B:$B,D$11,Base!$K:$K,"&lt;"&amp;$B117,Base!$N:$N,"&gt;="&amp;$B117,Base!$O:$O,"&lt;&gt;Finalizado",Base!$O:$O,"&lt;&gt;Congelado") + COUNTIFS(Base!$B:$B,D$11,Base!$K:$K,"&lt;"&amp;$B117,Base!$N:$N,"",Base!$O:$O,"&lt;&gt;Finalizado",Base!$O:$O,"&lt;&gt;Congelado")</f>
        <v>23</v>
      </c>
      <c r="J117" s="93">
        <f>COUNTIFS(Base!$B:$B,E$11,Base!$K:$K,"&lt;"&amp;$B117,Base!$N:$N,"&gt;="&amp;$B117,Base!$O:$O,"&lt;&gt;Finalizado",Base!$O:$O,"&lt;&gt;Congelado") + COUNTIFS(Base!$B:$B,E$11,Base!$K:$K,"&lt;"&amp;$B117,Base!$N:$N,"",Base!$O:$O,"&lt;&gt;Finalizado",Base!$O:$O,"&lt;&gt;Congelado")</f>
        <v>14</v>
      </c>
      <c r="K117" s="93">
        <f>COUNTIFS(Base!$B:$B,F$11,Base!$K:$K,"&lt;"&amp;$B117,Base!$N:$N,"&gt;="&amp;$B117,Base!$O:$O,"&lt;&gt;Finalizado",Base!$O:$O,"&lt;&gt;Congelado") + COUNTIFS(Base!$B:$B,F$11,Base!$K:$K,"&lt;"&amp;$B117,Base!$N:$N,"",Base!$O:$O,"&lt;&gt;Finalizado",Base!$O:$O,"&lt;&gt;Congelado")</f>
        <v>21</v>
      </c>
      <c r="M117" s="133">
        <f t="shared" ref="M117:P117" si="170">C117/H117</f>
        <v>0.4615384615</v>
      </c>
      <c r="N117" s="133">
        <f t="shared" si="170"/>
        <v>0.3043478261</v>
      </c>
      <c r="O117" s="133">
        <f t="shared" si="170"/>
        <v>0.2857142857</v>
      </c>
      <c r="P117" s="133">
        <f t="shared" si="170"/>
        <v>0.2857142857</v>
      </c>
      <c r="Q117" s="133">
        <f t="shared" si="9"/>
        <v>0.323943662</v>
      </c>
      <c r="S117" s="93">
        <f t="shared" ref="S117:V117" si="171">S116+C117</f>
        <v>220</v>
      </c>
      <c r="T117" s="93">
        <f t="shared" si="171"/>
        <v>486</v>
      </c>
      <c r="U117" s="93">
        <f t="shared" si="171"/>
        <v>462</v>
      </c>
      <c r="V117" s="93">
        <f t="shared" si="171"/>
        <v>365</v>
      </c>
      <c r="W117" s="93">
        <f t="shared" si="11"/>
        <v>1533</v>
      </c>
      <c r="Y117" s="133">
        <f>(COUNTIFS(Base!$B:$B,C$11,Base!$S:$S,"&gt;8",Base!$N:$N,"&lt;="&amp;$B117) - COUNTIFS(Base!$B:$B,C$11,Base!$S:$S,"&lt;7",Base!$N:$N,"&lt;="&amp;$B117) - COUNTIFS(Base!$B:$B,C$11,Base!$S:$S,"&lt;7",Base!$K:$K,"&lt;="&amp;$B117,Base!$O:$O,"Finalizado"))/(COUNTIFS(Base!$B:$B,C$11,Base!$S:$S,"&lt;&gt;",Base!$N:$N,"&lt;="&amp;$B117)+COUNTIFS(Base!$B:$B,C$11,Base!$S:$S,"&lt;7",Base!$K:$K,"&lt;="&amp;$B117,Base!$O:$O,"Finalizado"))</f>
        <v>0.6666666667</v>
      </c>
      <c r="Z117" s="133">
        <f>(COUNTIFS(Base!$B:$B,D$11,Base!$S:$S,"&gt;8",Base!$N:$N,"&lt;="&amp;$B117) - COUNTIFS(Base!$B:$B,D$11,Base!$S:$S,"&lt;7",Base!$N:$N,"&lt;="&amp;$B117) - COUNTIFS(Base!$B:$B,D$11,Base!$S:$S,"&lt;7",Base!$K:$K,"&lt;="&amp;$B117,Base!$O:$O,"Finalizado"))/(COUNTIFS(Base!$B:$B,D$11,Base!$S:$S,"&lt;&gt;",Base!$N:$N,"&lt;="&amp;$B117)+COUNTIFS(Base!$B:$B,D$11,Base!$S:$S,"&lt;7",Base!$K:$K,"&lt;="&amp;$B117,Base!$O:$O,"Finalizado"))</f>
        <v>0.6666666667</v>
      </c>
      <c r="AA117" s="133">
        <f>(COUNTIFS(Base!$B:$B,E$11,Base!$S:$S,"&gt;8",Base!$N:$N,"&lt;="&amp;$B117) - COUNTIFS(Base!$B:$B,E$11,Base!$S:$S,"&lt;7",Base!$N:$N,"&lt;="&amp;$B117) - COUNTIFS(Base!$B:$B,E$11,Base!$S:$S,"&lt;7",Base!$K:$K,"&lt;="&amp;$B117,Base!$O:$O,"Finalizado"))/(COUNTIFS(Base!$B:$B,E$11,Base!$S:$S,"&lt;&gt;",Base!$N:$N,"&lt;="&amp;$B117)+COUNTIFS(Base!$B:$B,E$11,Base!$S:$S,"&lt;7",Base!$K:$K,"&lt;="&amp;$B117,Base!$O:$O,"Finalizado"))</f>
        <v>0.6</v>
      </c>
      <c r="AB117" s="133">
        <f t="shared" si="12"/>
        <v>0.7142857143</v>
      </c>
      <c r="AD117" s="93">
        <f>(COUNTIFS(Base!$B:$B,F$11,Base!$S:$S,"&gt;8",Base!$N:$N,"&lt;="&amp;$B117)+(COUNTIFS(Base!$B:$B,F$11,Base!$AG:$AG,"&gt;8",Base!$K:$K,"&lt;="&amp;$B117)))</f>
        <v>5</v>
      </c>
      <c r="AE117" s="93">
        <f>(COUNTIFS(Base!$B:$B,F$11,Base!$S:$S,"&lt;&gt;",Base!$N:$N,"&lt;="&amp;$B117)+(COUNTIFS(Base!$B:$B,F$11,Base!$AG:$AG,"&lt;&gt;",Base!$K:$K,"&lt;="&amp;$B117)+COUNTIFS(Base!$B:$B,F$11,Base!$S:$S,"&lt;7",Base!$K:$K,"&lt;="&amp;$B117,Base!$O:$O,"Finalizado")))</f>
        <v>7</v>
      </c>
      <c r="AF117" s="93">
        <f>COUNTIFS(Base!$B:$B,F$11,Base!$S:$S,"&lt;7",Base!$N:$N,"&lt;="&amp;$B117) +COUNTIFS(Base!$B:$B,F$11,Base!$AG:$AG,"&lt;7",Base!$K:$K,"&lt;="&amp;$B117) + COUNTIFS(Base!$B:$B,F$11,Base!$S:$S,"&lt;7",Base!$K:$K,"&lt;="&amp;$B117,Base!$O:$O,"Finalizado")</f>
        <v>0</v>
      </c>
    </row>
    <row r="118">
      <c r="B118" s="151">
        <f t="shared" si="13"/>
        <v>45373</v>
      </c>
      <c r="C118" s="93">
        <f>COUNTIFS(Base!$B:$B,C$11,Base!$M:$M,"&lt;"&amp;$B118,Base!$N:$N,"&gt;="&amp;$B118,Base!$O:$O,"&lt;&gt;Finalizado",Base!$O:$O,"&lt;&gt;Congelado",Base!$O:$O,"&lt;&gt;Concluindo pendências") + COUNTIFS(Base!$B:$B,C$11,Base!$M:$M,"&lt;"&amp;$B118,Base!$N:$N,"",Base!$O:$O,"&lt;&gt;Finalizado",Base!$O:$O,"&lt;&gt;Congelado",Base!$O:$O,"&lt;&gt;Concluindo pendências")</f>
        <v>5</v>
      </c>
      <c r="D118" s="93">
        <f>COUNTIFS(Base!$B:$B,D$11,Base!$M:$M,"&lt;"&amp;$B118,Base!$N:$N,"&gt;="&amp;$B118,Base!$O:$O,"&lt;&gt;Finalizado",Base!$O:$O,"&lt;&gt;Congelado",Base!$O:$O,"&lt;&gt;Concluindo pendências") + COUNTIFS(Base!$B:$B,D$11,Base!$M:$M,"&lt;"&amp;$B118,Base!$N:$N,"",Base!$O:$O,"&lt;&gt;Finalizado",Base!$O:$O,"&lt;&gt;Congelado",Base!$O:$O,"&lt;&gt;Concluindo pendências")</f>
        <v>6</v>
      </c>
      <c r="E118" s="93">
        <f>COUNTIFS(Base!$B:$B,E$11,Base!$M:$M,"&lt;"&amp;$B118,Base!$N:$N,"&gt;="&amp;$B118,Base!$O:$O,"&lt;&gt;Finalizado",Base!$O:$O,"&lt;&gt;Congelado",Base!$O:$O,"&lt;&gt;Concluindo pendências") + COUNTIFS(Base!$B:$B,E$11,Base!$M:$M,"&lt;"&amp;$B118,Base!$N:$N,"",Base!$O:$O,"&lt;&gt;Finalizado",Base!$O:$O,"&lt;&gt;Congelado",Base!$O:$O,"&lt;&gt;Concluindo pendências")</f>
        <v>2</v>
      </c>
      <c r="F118" s="93">
        <f>COUNTIFS(Base!$B:$B,F$11,Base!$M:$M,"&lt;"&amp;$B118,Base!$N:$N,"&gt;="&amp;$B118,Base!$O:$O,"&lt;&gt;Finalizado",Base!$O:$O,"&lt;&gt;Congelado",Base!$O:$O,"&lt;&gt;Concluindo pendências") + COUNTIFS(Base!$B:$B,F$11,Base!$M:$M,"&lt;"&amp;$B118,Base!$N:$N,"",Base!$O:$O,"&lt;&gt;Finalizado",Base!$O:$O,"&lt;&gt;Congelado",Base!$O:$O,"&lt;&gt;Concluindo pendências")</f>
        <v>6</v>
      </c>
      <c r="H118" s="93">
        <f>COUNTIFS(Base!$B:$B,C$11,Base!$K:$K,"&lt;"&amp;$B118,Base!$N:$N,"&gt;="&amp;$B118,Base!$O:$O,"&lt;&gt;Finalizado",Base!$O:$O,"&lt;&gt;Congelado") + COUNTIFS(Base!$B:$B,C$11,Base!$K:$K,"&lt;"&amp;$B118,Base!$N:$N,"",Base!$O:$O,"&lt;&gt;Finalizado",Base!$O:$O,"&lt;&gt;Congelado")</f>
        <v>12</v>
      </c>
      <c r="I118" s="93">
        <f>COUNTIFS(Base!$B:$B,D$11,Base!$K:$K,"&lt;"&amp;$B118,Base!$N:$N,"&gt;="&amp;$B118,Base!$O:$O,"&lt;&gt;Finalizado",Base!$O:$O,"&lt;&gt;Congelado") + COUNTIFS(Base!$B:$B,D$11,Base!$K:$K,"&lt;"&amp;$B118,Base!$N:$N,"",Base!$O:$O,"&lt;&gt;Finalizado",Base!$O:$O,"&lt;&gt;Congelado")</f>
        <v>22</v>
      </c>
      <c r="J118" s="93">
        <f>COUNTIFS(Base!$B:$B,E$11,Base!$K:$K,"&lt;"&amp;$B118,Base!$N:$N,"&gt;="&amp;$B118,Base!$O:$O,"&lt;&gt;Finalizado",Base!$O:$O,"&lt;&gt;Congelado") + COUNTIFS(Base!$B:$B,E$11,Base!$K:$K,"&lt;"&amp;$B118,Base!$N:$N,"",Base!$O:$O,"&lt;&gt;Finalizado",Base!$O:$O,"&lt;&gt;Congelado")</f>
        <v>12</v>
      </c>
      <c r="K118" s="93">
        <f>COUNTIFS(Base!$B:$B,F$11,Base!$K:$K,"&lt;"&amp;$B118,Base!$N:$N,"&gt;="&amp;$B118,Base!$O:$O,"&lt;&gt;Finalizado",Base!$O:$O,"&lt;&gt;Congelado") + COUNTIFS(Base!$B:$B,F$11,Base!$K:$K,"&lt;"&amp;$B118,Base!$N:$N,"",Base!$O:$O,"&lt;&gt;Finalizado",Base!$O:$O,"&lt;&gt;Congelado")</f>
        <v>21</v>
      </c>
      <c r="M118" s="133">
        <f t="shared" ref="M118:P118" si="172">C118/H118</f>
        <v>0.4166666667</v>
      </c>
      <c r="N118" s="133">
        <f t="shared" si="172"/>
        <v>0.2727272727</v>
      </c>
      <c r="O118" s="133">
        <f t="shared" si="172"/>
        <v>0.1666666667</v>
      </c>
      <c r="P118" s="133">
        <f t="shared" si="172"/>
        <v>0.2857142857</v>
      </c>
      <c r="Q118" s="133">
        <f t="shared" si="9"/>
        <v>0.2835820896</v>
      </c>
      <c r="S118" s="93">
        <f t="shared" ref="S118:V118" si="173">S117+C118</f>
        <v>225</v>
      </c>
      <c r="T118" s="93">
        <f t="shared" si="173"/>
        <v>492</v>
      </c>
      <c r="U118" s="93">
        <f t="shared" si="173"/>
        <v>464</v>
      </c>
      <c r="V118" s="93">
        <f t="shared" si="173"/>
        <v>371</v>
      </c>
      <c r="W118" s="93">
        <f t="shared" si="11"/>
        <v>1552</v>
      </c>
      <c r="Y118" s="133">
        <f>(COUNTIFS(Base!$B:$B,C$11,Base!$S:$S,"&gt;8",Base!$N:$N,"&lt;="&amp;$B118) - COUNTIFS(Base!$B:$B,C$11,Base!$S:$S,"&lt;7",Base!$N:$N,"&lt;="&amp;$B118) - COUNTIFS(Base!$B:$B,C$11,Base!$S:$S,"&lt;7",Base!$K:$K,"&lt;="&amp;$B118,Base!$O:$O,"Finalizado"))/(COUNTIFS(Base!$B:$B,C$11,Base!$S:$S,"&lt;&gt;",Base!$N:$N,"&lt;="&amp;$B118)+COUNTIFS(Base!$B:$B,C$11,Base!$S:$S,"&lt;7",Base!$K:$K,"&lt;="&amp;$B118,Base!$O:$O,"Finalizado"))</f>
        <v>0.6666666667</v>
      </c>
      <c r="Z118" s="133">
        <f>(COUNTIFS(Base!$B:$B,D$11,Base!$S:$S,"&gt;8",Base!$N:$N,"&lt;="&amp;$B118) - COUNTIFS(Base!$B:$B,D$11,Base!$S:$S,"&lt;7",Base!$N:$N,"&lt;="&amp;$B118) - COUNTIFS(Base!$B:$B,D$11,Base!$S:$S,"&lt;7",Base!$K:$K,"&lt;="&amp;$B118,Base!$O:$O,"Finalizado"))/(COUNTIFS(Base!$B:$B,D$11,Base!$S:$S,"&lt;&gt;",Base!$N:$N,"&lt;="&amp;$B118)+COUNTIFS(Base!$B:$B,D$11,Base!$S:$S,"&lt;7",Base!$K:$K,"&lt;="&amp;$B118,Base!$O:$O,"Finalizado"))</f>
        <v>0.6842105263</v>
      </c>
      <c r="AA118" s="133">
        <f>(COUNTIFS(Base!$B:$B,E$11,Base!$S:$S,"&gt;8",Base!$N:$N,"&lt;="&amp;$B118) - COUNTIFS(Base!$B:$B,E$11,Base!$S:$S,"&lt;7",Base!$N:$N,"&lt;="&amp;$B118) - COUNTIFS(Base!$B:$B,E$11,Base!$S:$S,"&lt;7",Base!$K:$K,"&lt;="&amp;$B118,Base!$O:$O,"Finalizado"))/(COUNTIFS(Base!$B:$B,E$11,Base!$S:$S,"&lt;&gt;",Base!$N:$N,"&lt;="&amp;$B118)+COUNTIFS(Base!$B:$B,E$11,Base!$S:$S,"&lt;7",Base!$K:$K,"&lt;="&amp;$B118,Base!$O:$O,"Finalizado"))</f>
        <v>0.6</v>
      </c>
      <c r="AB118" s="133">
        <f t="shared" si="12"/>
        <v>0.7142857143</v>
      </c>
      <c r="AD118" s="93">
        <f>(COUNTIFS(Base!$B:$B,F$11,Base!$S:$S,"&gt;8",Base!$N:$N,"&lt;="&amp;$B118)+(COUNTIFS(Base!$B:$B,F$11,Base!$AG:$AG,"&gt;8",Base!$K:$K,"&lt;="&amp;$B118)))</f>
        <v>5</v>
      </c>
      <c r="AE118" s="93">
        <f>(COUNTIFS(Base!$B:$B,F$11,Base!$S:$S,"&lt;&gt;",Base!$N:$N,"&lt;="&amp;$B118)+(COUNTIFS(Base!$B:$B,F$11,Base!$AG:$AG,"&lt;&gt;",Base!$K:$K,"&lt;="&amp;$B118)+COUNTIFS(Base!$B:$B,F$11,Base!$S:$S,"&lt;7",Base!$K:$K,"&lt;="&amp;$B118,Base!$O:$O,"Finalizado")))</f>
        <v>7</v>
      </c>
      <c r="AF118" s="93">
        <f>COUNTIFS(Base!$B:$B,F$11,Base!$S:$S,"&lt;7",Base!$N:$N,"&lt;="&amp;$B118) +COUNTIFS(Base!$B:$B,F$11,Base!$AG:$AG,"&lt;7",Base!$K:$K,"&lt;="&amp;$B118) + COUNTIFS(Base!$B:$B,F$11,Base!$S:$S,"&lt;7",Base!$K:$K,"&lt;="&amp;$B118,Base!$O:$O,"Finalizado")</f>
        <v>0</v>
      </c>
    </row>
    <row r="119">
      <c r="B119" s="151">
        <f t="shared" si="13"/>
        <v>45374</v>
      </c>
      <c r="C119" s="93">
        <f>COUNTIFS(Base!$B:$B,C$11,Base!$M:$M,"&lt;"&amp;$B119,Base!$N:$N,"&gt;="&amp;$B119,Base!$O:$O,"&lt;&gt;Finalizado",Base!$O:$O,"&lt;&gt;Congelado",Base!$O:$O,"&lt;&gt;Concluindo pendências") + COUNTIFS(Base!$B:$B,C$11,Base!$M:$M,"&lt;"&amp;$B119,Base!$N:$N,"",Base!$O:$O,"&lt;&gt;Finalizado",Base!$O:$O,"&lt;&gt;Congelado",Base!$O:$O,"&lt;&gt;Concluindo pendências")</f>
        <v>5</v>
      </c>
      <c r="D119" s="93">
        <f>COUNTIFS(Base!$B:$B,D$11,Base!$M:$M,"&lt;"&amp;$B119,Base!$N:$N,"&gt;="&amp;$B119,Base!$O:$O,"&lt;&gt;Finalizado",Base!$O:$O,"&lt;&gt;Congelado",Base!$O:$O,"&lt;&gt;Concluindo pendências") + COUNTIFS(Base!$B:$B,D$11,Base!$M:$M,"&lt;"&amp;$B119,Base!$N:$N,"",Base!$O:$O,"&lt;&gt;Finalizado",Base!$O:$O,"&lt;&gt;Congelado",Base!$O:$O,"&lt;&gt;Concluindo pendências")</f>
        <v>6</v>
      </c>
      <c r="E119" s="93">
        <f>COUNTIFS(Base!$B:$B,E$11,Base!$M:$M,"&lt;"&amp;$B119,Base!$N:$N,"&gt;="&amp;$B119,Base!$O:$O,"&lt;&gt;Finalizado",Base!$O:$O,"&lt;&gt;Congelado",Base!$O:$O,"&lt;&gt;Concluindo pendências") + COUNTIFS(Base!$B:$B,E$11,Base!$M:$M,"&lt;"&amp;$B119,Base!$N:$N,"",Base!$O:$O,"&lt;&gt;Finalizado",Base!$O:$O,"&lt;&gt;Congelado",Base!$O:$O,"&lt;&gt;Concluindo pendências")</f>
        <v>2</v>
      </c>
      <c r="F119" s="93">
        <f>COUNTIFS(Base!$B:$B,F$11,Base!$M:$M,"&lt;"&amp;$B119,Base!$N:$N,"&gt;="&amp;$B119,Base!$O:$O,"&lt;&gt;Finalizado",Base!$O:$O,"&lt;&gt;Congelado",Base!$O:$O,"&lt;&gt;Concluindo pendências") + COUNTIFS(Base!$B:$B,F$11,Base!$M:$M,"&lt;"&amp;$B119,Base!$N:$N,"",Base!$O:$O,"&lt;&gt;Finalizado",Base!$O:$O,"&lt;&gt;Congelado",Base!$O:$O,"&lt;&gt;Concluindo pendências")</f>
        <v>6</v>
      </c>
      <c r="H119" s="93">
        <f>COUNTIFS(Base!$B:$B,C$11,Base!$K:$K,"&lt;"&amp;$B119,Base!$N:$N,"&gt;="&amp;$B119,Base!$O:$O,"&lt;&gt;Finalizado",Base!$O:$O,"&lt;&gt;Congelado") + COUNTIFS(Base!$B:$B,C$11,Base!$K:$K,"&lt;"&amp;$B119,Base!$N:$N,"",Base!$O:$O,"&lt;&gt;Finalizado",Base!$O:$O,"&lt;&gt;Congelado")</f>
        <v>13</v>
      </c>
      <c r="I119" s="93">
        <f>COUNTIFS(Base!$B:$B,D$11,Base!$K:$K,"&lt;"&amp;$B119,Base!$N:$N,"&gt;="&amp;$B119,Base!$O:$O,"&lt;&gt;Finalizado",Base!$O:$O,"&lt;&gt;Congelado") + COUNTIFS(Base!$B:$B,D$11,Base!$K:$K,"&lt;"&amp;$B119,Base!$N:$N,"",Base!$O:$O,"&lt;&gt;Finalizado",Base!$O:$O,"&lt;&gt;Congelado")</f>
        <v>21</v>
      </c>
      <c r="J119" s="93">
        <f>COUNTIFS(Base!$B:$B,E$11,Base!$K:$K,"&lt;"&amp;$B119,Base!$N:$N,"&gt;="&amp;$B119,Base!$O:$O,"&lt;&gt;Finalizado",Base!$O:$O,"&lt;&gt;Congelado") + COUNTIFS(Base!$B:$B,E$11,Base!$K:$K,"&lt;"&amp;$B119,Base!$N:$N,"",Base!$O:$O,"&lt;&gt;Finalizado",Base!$O:$O,"&lt;&gt;Congelado")</f>
        <v>12</v>
      </c>
      <c r="K119" s="93">
        <f>COUNTIFS(Base!$B:$B,F$11,Base!$K:$K,"&lt;"&amp;$B119,Base!$N:$N,"&gt;="&amp;$B119,Base!$O:$O,"&lt;&gt;Finalizado",Base!$O:$O,"&lt;&gt;Congelado") + COUNTIFS(Base!$B:$B,F$11,Base!$K:$K,"&lt;"&amp;$B119,Base!$N:$N,"",Base!$O:$O,"&lt;&gt;Finalizado",Base!$O:$O,"&lt;&gt;Congelado")</f>
        <v>21</v>
      </c>
      <c r="M119" s="133">
        <f t="shared" ref="M119:P119" si="174">C119/H119</f>
        <v>0.3846153846</v>
      </c>
      <c r="N119" s="133">
        <f t="shared" si="174"/>
        <v>0.2857142857</v>
      </c>
      <c r="O119" s="133">
        <f t="shared" si="174"/>
        <v>0.1666666667</v>
      </c>
      <c r="P119" s="133">
        <f t="shared" si="174"/>
        <v>0.2857142857</v>
      </c>
      <c r="Q119" s="133">
        <f t="shared" si="9"/>
        <v>0.2835820896</v>
      </c>
      <c r="S119" s="93">
        <f t="shared" ref="S119:V119" si="175">S118+C119</f>
        <v>230</v>
      </c>
      <c r="T119" s="93">
        <f t="shared" si="175"/>
        <v>498</v>
      </c>
      <c r="U119" s="93">
        <f t="shared" si="175"/>
        <v>466</v>
      </c>
      <c r="V119" s="93">
        <f t="shared" si="175"/>
        <v>377</v>
      </c>
      <c r="W119" s="93">
        <f t="shared" si="11"/>
        <v>1571</v>
      </c>
      <c r="Y119" s="133">
        <f>(COUNTIFS(Base!$B:$B,C$11,Base!$S:$S,"&gt;8",Base!$N:$N,"&lt;="&amp;$B119) - COUNTIFS(Base!$B:$B,C$11,Base!$S:$S,"&lt;7",Base!$N:$N,"&lt;="&amp;$B119) - COUNTIFS(Base!$B:$B,C$11,Base!$S:$S,"&lt;7",Base!$K:$K,"&lt;="&amp;$B119,Base!$O:$O,"Finalizado"))/(COUNTIFS(Base!$B:$B,C$11,Base!$S:$S,"&lt;&gt;",Base!$N:$N,"&lt;="&amp;$B119)+COUNTIFS(Base!$B:$B,C$11,Base!$S:$S,"&lt;7",Base!$K:$K,"&lt;="&amp;$B119,Base!$O:$O,"Finalizado"))</f>
        <v>0.6666666667</v>
      </c>
      <c r="Z119" s="133">
        <f>(COUNTIFS(Base!$B:$B,D$11,Base!$S:$S,"&gt;8",Base!$N:$N,"&lt;="&amp;$B119) - COUNTIFS(Base!$B:$B,D$11,Base!$S:$S,"&lt;7",Base!$N:$N,"&lt;="&amp;$B119) - COUNTIFS(Base!$B:$B,D$11,Base!$S:$S,"&lt;7",Base!$K:$K,"&lt;="&amp;$B119,Base!$O:$O,"Finalizado"))/(COUNTIFS(Base!$B:$B,D$11,Base!$S:$S,"&lt;&gt;",Base!$N:$N,"&lt;="&amp;$B119)+COUNTIFS(Base!$B:$B,D$11,Base!$S:$S,"&lt;7",Base!$K:$K,"&lt;="&amp;$B119,Base!$O:$O,"Finalizado"))</f>
        <v>0.6842105263</v>
      </c>
      <c r="AA119" s="133">
        <f>(COUNTIFS(Base!$B:$B,E$11,Base!$S:$S,"&gt;8",Base!$N:$N,"&lt;="&amp;$B119) - COUNTIFS(Base!$B:$B,E$11,Base!$S:$S,"&lt;7",Base!$N:$N,"&lt;="&amp;$B119) - COUNTIFS(Base!$B:$B,E$11,Base!$S:$S,"&lt;7",Base!$K:$K,"&lt;="&amp;$B119,Base!$O:$O,"Finalizado"))/(COUNTIFS(Base!$B:$B,E$11,Base!$S:$S,"&lt;&gt;",Base!$N:$N,"&lt;="&amp;$B119)+COUNTIFS(Base!$B:$B,E$11,Base!$S:$S,"&lt;7",Base!$K:$K,"&lt;="&amp;$B119,Base!$O:$O,"Finalizado"))</f>
        <v>0.6</v>
      </c>
      <c r="AB119" s="133">
        <f t="shared" si="12"/>
        <v>0.7142857143</v>
      </c>
      <c r="AD119" s="93">
        <f>(COUNTIFS(Base!$B:$B,F$11,Base!$S:$S,"&gt;8",Base!$N:$N,"&lt;="&amp;$B119)+(COUNTIFS(Base!$B:$B,F$11,Base!$AG:$AG,"&gt;8",Base!$K:$K,"&lt;="&amp;$B119)))</f>
        <v>5</v>
      </c>
      <c r="AE119" s="93">
        <f>(COUNTIFS(Base!$B:$B,F$11,Base!$S:$S,"&lt;&gt;",Base!$N:$N,"&lt;="&amp;$B119)+(COUNTIFS(Base!$B:$B,F$11,Base!$AG:$AG,"&lt;&gt;",Base!$K:$K,"&lt;="&amp;$B119)+COUNTIFS(Base!$B:$B,F$11,Base!$S:$S,"&lt;7",Base!$K:$K,"&lt;="&amp;$B119,Base!$O:$O,"Finalizado")))</f>
        <v>7</v>
      </c>
      <c r="AF119" s="93">
        <f>COUNTIFS(Base!$B:$B,F$11,Base!$S:$S,"&lt;7",Base!$N:$N,"&lt;="&amp;$B119) +COUNTIFS(Base!$B:$B,F$11,Base!$AG:$AG,"&lt;7",Base!$K:$K,"&lt;="&amp;$B119) + COUNTIFS(Base!$B:$B,F$11,Base!$S:$S,"&lt;7",Base!$K:$K,"&lt;="&amp;$B119,Base!$O:$O,"Finalizado")</f>
        <v>0</v>
      </c>
    </row>
    <row r="120">
      <c r="B120" s="151">
        <f t="shared" si="13"/>
        <v>45375</v>
      </c>
      <c r="C120" s="93">
        <f>COUNTIFS(Base!$B:$B,C$11,Base!$M:$M,"&lt;"&amp;$B120,Base!$N:$N,"&gt;="&amp;$B120,Base!$O:$O,"&lt;&gt;Finalizado",Base!$O:$O,"&lt;&gt;Congelado",Base!$O:$O,"&lt;&gt;Concluindo pendências") + COUNTIFS(Base!$B:$B,C$11,Base!$M:$M,"&lt;"&amp;$B120,Base!$N:$N,"",Base!$O:$O,"&lt;&gt;Finalizado",Base!$O:$O,"&lt;&gt;Congelado",Base!$O:$O,"&lt;&gt;Concluindo pendências")</f>
        <v>5</v>
      </c>
      <c r="D120" s="93">
        <f>COUNTIFS(Base!$B:$B,D$11,Base!$M:$M,"&lt;"&amp;$B120,Base!$N:$N,"&gt;="&amp;$B120,Base!$O:$O,"&lt;&gt;Finalizado",Base!$O:$O,"&lt;&gt;Congelado",Base!$O:$O,"&lt;&gt;Concluindo pendências") + COUNTIFS(Base!$B:$B,D$11,Base!$M:$M,"&lt;"&amp;$B120,Base!$N:$N,"",Base!$O:$O,"&lt;&gt;Finalizado",Base!$O:$O,"&lt;&gt;Congelado",Base!$O:$O,"&lt;&gt;Concluindo pendências")</f>
        <v>6</v>
      </c>
      <c r="E120" s="93">
        <f>COUNTIFS(Base!$B:$B,E$11,Base!$M:$M,"&lt;"&amp;$B120,Base!$N:$N,"&gt;="&amp;$B120,Base!$O:$O,"&lt;&gt;Finalizado",Base!$O:$O,"&lt;&gt;Congelado",Base!$O:$O,"&lt;&gt;Concluindo pendências") + COUNTIFS(Base!$B:$B,E$11,Base!$M:$M,"&lt;"&amp;$B120,Base!$N:$N,"",Base!$O:$O,"&lt;&gt;Finalizado",Base!$O:$O,"&lt;&gt;Congelado",Base!$O:$O,"&lt;&gt;Concluindo pendências")</f>
        <v>2</v>
      </c>
      <c r="F120" s="93">
        <f>COUNTIFS(Base!$B:$B,F$11,Base!$M:$M,"&lt;"&amp;$B120,Base!$N:$N,"&gt;="&amp;$B120,Base!$O:$O,"&lt;&gt;Finalizado",Base!$O:$O,"&lt;&gt;Congelado",Base!$O:$O,"&lt;&gt;Concluindo pendências") + COUNTIFS(Base!$B:$B,F$11,Base!$M:$M,"&lt;"&amp;$B120,Base!$N:$N,"",Base!$O:$O,"&lt;&gt;Finalizado",Base!$O:$O,"&lt;&gt;Congelado",Base!$O:$O,"&lt;&gt;Concluindo pendências")</f>
        <v>6</v>
      </c>
      <c r="H120" s="93">
        <f>COUNTIFS(Base!$B:$B,C$11,Base!$K:$K,"&lt;"&amp;$B120,Base!$N:$N,"&gt;="&amp;$B120,Base!$O:$O,"&lt;&gt;Finalizado",Base!$O:$O,"&lt;&gt;Congelado") + COUNTIFS(Base!$B:$B,C$11,Base!$K:$K,"&lt;"&amp;$B120,Base!$N:$N,"",Base!$O:$O,"&lt;&gt;Finalizado",Base!$O:$O,"&lt;&gt;Congelado")</f>
        <v>14</v>
      </c>
      <c r="I120" s="93">
        <f>COUNTIFS(Base!$B:$B,D$11,Base!$K:$K,"&lt;"&amp;$B120,Base!$N:$N,"&gt;="&amp;$B120,Base!$O:$O,"&lt;&gt;Finalizado",Base!$O:$O,"&lt;&gt;Congelado") + COUNTIFS(Base!$B:$B,D$11,Base!$K:$K,"&lt;"&amp;$B120,Base!$N:$N,"",Base!$O:$O,"&lt;&gt;Finalizado",Base!$O:$O,"&lt;&gt;Congelado")</f>
        <v>21</v>
      </c>
      <c r="J120" s="93">
        <f>COUNTIFS(Base!$B:$B,E$11,Base!$K:$K,"&lt;"&amp;$B120,Base!$N:$N,"&gt;="&amp;$B120,Base!$O:$O,"&lt;&gt;Finalizado",Base!$O:$O,"&lt;&gt;Congelado") + COUNTIFS(Base!$B:$B,E$11,Base!$K:$K,"&lt;"&amp;$B120,Base!$N:$N,"",Base!$O:$O,"&lt;&gt;Finalizado",Base!$O:$O,"&lt;&gt;Congelado")</f>
        <v>12</v>
      </c>
      <c r="K120" s="93">
        <f>COUNTIFS(Base!$B:$B,F$11,Base!$K:$K,"&lt;"&amp;$B120,Base!$N:$N,"&gt;="&amp;$B120,Base!$O:$O,"&lt;&gt;Finalizado",Base!$O:$O,"&lt;&gt;Congelado") + COUNTIFS(Base!$B:$B,F$11,Base!$K:$K,"&lt;"&amp;$B120,Base!$N:$N,"",Base!$O:$O,"&lt;&gt;Finalizado",Base!$O:$O,"&lt;&gt;Congelado")</f>
        <v>21</v>
      </c>
      <c r="M120" s="133">
        <f t="shared" ref="M120:P120" si="176">C120/H120</f>
        <v>0.3571428571</v>
      </c>
      <c r="N120" s="133">
        <f t="shared" si="176"/>
        <v>0.2857142857</v>
      </c>
      <c r="O120" s="133">
        <f t="shared" si="176"/>
        <v>0.1666666667</v>
      </c>
      <c r="P120" s="133">
        <f t="shared" si="176"/>
        <v>0.2857142857</v>
      </c>
      <c r="Q120" s="133">
        <f t="shared" si="9"/>
        <v>0.2794117647</v>
      </c>
      <c r="S120" s="93">
        <f t="shared" ref="S120:V120" si="177">S119+C120</f>
        <v>235</v>
      </c>
      <c r="T120" s="93">
        <f t="shared" si="177"/>
        <v>504</v>
      </c>
      <c r="U120" s="93">
        <f t="shared" si="177"/>
        <v>468</v>
      </c>
      <c r="V120" s="93">
        <f t="shared" si="177"/>
        <v>383</v>
      </c>
      <c r="W120" s="93">
        <f t="shared" si="11"/>
        <v>1590</v>
      </c>
      <c r="Y120" s="133">
        <f>(COUNTIFS(Base!$B:$B,C$11,Base!$S:$S,"&gt;8",Base!$N:$N,"&lt;="&amp;$B120) - COUNTIFS(Base!$B:$B,C$11,Base!$S:$S,"&lt;7",Base!$N:$N,"&lt;="&amp;$B120) - COUNTIFS(Base!$B:$B,C$11,Base!$S:$S,"&lt;7",Base!$K:$K,"&lt;="&amp;$B120,Base!$O:$O,"Finalizado"))/(COUNTIFS(Base!$B:$B,C$11,Base!$S:$S,"&lt;&gt;",Base!$N:$N,"&lt;="&amp;$B120)+COUNTIFS(Base!$B:$B,C$11,Base!$S:$S,"&lt;7",Base!$K:$K,"&lt;="&amp;$B120,Base!$O:$O,"Finalizado"))</f>
        <v>0.6666666667</v>
      </c>
      <c r="Z120" s="133">
        <f>(COUNTIFS(Base!$B:$B,D$11,Base!$S:$S,"&gt;8",Base!$N:$N,"&lt;="&amp;$B120) - COUNTIFS(Base!$B:$B,D$11,Base!$S:$S,"&lt;7",Base!$N:$N,"&lt;="&amp;$B120) - COUNTIFS(Base!$B:$B,D$11,Base!$S:$S,"&lt;7",Base!$K:$K,"&lt;="&amp;$B120,Base!$O:$O,"Finalizado"))/(COUNTIFS(Base!$B:$B,D$11,Base!$S:$S,"&lt;&gt;",Base!$N:$N,"&lt;="&amp;$B120)+COUNTIFS(Base!$B:$B,D$11,Base!$S:$S,"&lt;7",Base!$K:$K,"&lt;="&amp;$B120,Base!$O:$O,"Finalizado"))</f>
        <v>0.6842105263</v>
      </c>
      <c r="AA120" s="133">
        <f>(COUNTIFS(Base!$B:$B,E$11,Base!$S:$S,"&gt;8",Base!$N:$N,"&lt;="&amp;$B120) - COUNTIFS(Base!$B:$B,E$11,Base!$S:$S,"&lt;7",Base!$N:$N,"&lt;="&amp;$B120) - COUNTIFS(Base!$B:$B,E$11,Base!$S:$S,"&lt;7",Base!$K:$K,"&lt;="&amp;$B120,Base!$O:$O,"Finalizado"))/(COUNTIFS(Base!$B:$B,E$11,Base!$S:$S,"&lt;&gt;",Base!$N:$N,"&lt;="&amp;$B120)+COUNTIFS(Base!$B:$B,E$11,Base!$S:$S,"&lt;7",Base!$K:$K,"&lt;="&amp;$B120,Base!$O:$O,"Finalizado"))</f>
        <v>0.6</v>
      </c>
      <c r="AB120" s="133">
        <f t="shared" si="12"/>
        <v>0.7142857143</v>
      </c>
      <c r="AD120" s="93">
        <f>(COUNTIFS(Base!$B:$B,F$11,Base!$S:$S,"&gt;8",Base!$N:$N,"&lt;="&amp;$B120)+(COUNTIFS(Base!$B:$B,F$11,Base!$AG:$AG,"&gt;8",Base!$K:$K,"&lt;="&amp;$B120)))</f>
        <v>5</v>
      </c>
      <c r="AE120" s="93">
        <f>(COUNTIFS(Base!$B:$B,F$11,Base!$S:$S,"&lt;&gt;",Base!$N:$N,"&lt;="&amp;$B120)+(COUNTIFS(Base!$B:$B,F$11,Base!$AG:$AG,"&lt;&gt;",Base!$K:$K,"&lt;="&amp;$B120)+COUNTIFS(Base!$B:$B,F$11,Base!$S:$S,"&lt;7",Base!$K:$K,"&lt;="&amp;$B120,Base!$O:$O,"Finalizado")))</f>
        <v>7</v>
      </c>
      <c r="AF120" s="93">
        <f>COUNTIFS(Base!$B:$B,F$11,Base!$S:$S,"&lt;7",Base!$N:$N,"&lt;="&amp;$B120) +COUNTIFS(Base!$B:$B,F$11,Base!$AG:$AG,"&lt;7",Base!$K:$K,"&lt;="&amp;$B120) + COUNTIFS(Base!$B:$B,F$11,Base!$S:$S,"&lt;7",Base!$K:$K,"&lt;="&amp;$B120,Base!$O:$O,"Finalizado")</f>
        <v>0</v>
      </c>
    </row>
    <row r="121">
      <c r="B121" s="151">
        <f t="shared" ref="B121:B241" si="180">IF(B120+1&lt;=TODAY(),B120+1,0)</f>
        <v>45376</v>
      </c>
      <c r="C121" s="93">
        <f>COUNTIFS(Base!$B:$B,C$11,Base!$M:$M,"&lt;"&amp;$B121,Base!$N:$N,"&gt;="&amp;$B121,Base!$O:$O,"&lt;&gt;Finalizado",Base!$O:$O,"&lt;&gt;Congelado",Base!$O:$O,"&lt;&gt;Concluindo pendências") + COUNTIFS(Base!$B:$B,C$11,Base!$M:$M,"&lt;"&amp;$B121,Base!$N:$N,"",Base!$O:$O,"&lt;&gt;Finalizado",Base!$O:$O,"&lt;&gt;Congelado",Base!$O:$O,"&lt;&gt;Concluindo pendências")</f>
        <v>5</v>
      </c>
      <c r="D121" s="93">
        <f>COUNTIFS(Base!$B:$B,D$11,Base!$M:$M,"&lt;"&amp;$B121,Base!$N:$N,"&gt;="&amp;$B121,Base!$O:$O,"&lt;&gt;Finalizado",Base!$O:$O,"&lt;&gt;Congelado",Base!$O:$O,"&lt;&gt;Concluindo pendências") + COUNTIFS(Base!$B:$B,D$11,Base!$M:$M,"&lt;"&amp;$B121,Base!$N:$N,"",Base!$O:$O,"&lt;&gt;Finalizado",Base!$O:$O,"&lt;&gt;Congelado",Base!$O:$O,"&lt;&gt;Concluindo pendências")</f>
        <v>6</v>
      </c>
      <c r="E121" s="93">
        <f>COUNTIFS(Base!$B:$B,E$11,Base!$M:$M,"&lt;"&amp;$B121,Base!$N:$N,"&gt;="&amp;$B121,Base!$O:$O,"&lt;&gt;Finalizado",Base!$O:$O,"&lt;&gt;Congelado",Base!$O:$O,"&lt;&gt;Concluindo pendências") + COUNTIFS(Base!$B:$B,E$11,Base!$M:$M,"&lt;"&amp;$B121,Base!$N:$N,"",Base!$O:$O,"&lt;&gt;Finalizado",Base!$O:$O,"&lt;&gt;Congelado",Base!$O:$O,"&lt;&gt;Concluindo pendências")</f>
        <v>2</v>
      </c>
      <c r="F121" s="93">
        <f>COUNTIFS(Base!$B:$B,F$11,Base!$M:$M,"&lt;"&amp;$B121,Base!$N:$N,"&gt;="&amp;$B121,Base!$O:$O,"&lt;&gt;Finalizado",Base!$O:$O,"&lt;&gt;Congelado",Base!$O:$O,"&lt;&gt;Concluindo pendências") + COUNTIFS(Base!$B:$B,F$11,Base!$M:$M,"&lt;"&amp;$B121,Base!$N:$N,"",Base!$O:$O,"&lt;&gt;Finalizado",Base!$O:$O,"&lt;&gt;Congelado",Base!$O:$O,"&lt;&gt;Concluindo pendências")</f>
        <v>6</v>
      </c>
      <c r="H121" s="93">
        <f>COUNTIFS(Base!$B:$B,C$11,Base!$K:$K,"&lt;"&amp;$B121,Base!$N:$N,"&gt;="&amp;$B121,Base!$O:$O,"&lt;&gt;Finalizado",Base!$O:$O,"&lt;&gt;Congelado") + COUNTIFS(Base!$B:$B,C$11,Base!$K:$K,"&lt;"&amp;$B121,Base!$N:$N,"",Base!$O:$O,"&lt;&gt;Finalizado",Base!$O:$O,"&lt;&gt;Congelado")</f>
        <v>14</v>
      </c>
      <c r="I121" s="93">
        <f>COUNTIFS(Base!$B:$B,D$11,Base!$K:$K,"&lt;"&amp;$B121,Base!$N:$N,"&gt;="&amp;$B121,Base!$O:$O,"&lt;&gt;Finalizado",Base!$O:$O,"&lt;&gt;Congelado") + COUNTIFS(Base!$B:$B,D$11,Base!$K:$K,"&lt;"&amp;$B121,Base!$N:$N,"",Base!$O:$O,"&lt;&gt;Finalizado",Base!$O:$O,"&lt;&gt;Congelado")</f>
        <v>21</v>
      </c>
      <c r="J121" s="93">
        <f>COUNTIFS(Base!$B:$B,E$11,Base!$K:$K,"&lt;"&amp;$B121,Base!$N:$N,"&gt;="&amp;$B121,Base!$O:$O,"&lt;&gt;Finalizado",Base!$O:$O,"&lt;&gt;Congelado") + COUNTIFS(Base!$B:$B,E$11,Base!$K:$K,"&lt;"&amp;$B121,Base!$N:$N,"",Base!$O:$O,"&lt;&gt;Finalizado",Base!$O:$O,"&lt;&gt;Congelado")</f>
        <v>12</v>
      </c>
      <c r="K121" s="93">
        <f>COUNTIFS(Base!$B:$B,F$11,Base!$K:$K,"&lt;"&amp;$B121,Base!$N:$N,"&gt;="&amp;$B121,Base!$O:$O,"&lt;&gt;Finalizado",Base!$O:$O,"&lt;&gt;Congelado") + COUNTIFS(Base!$B:$B,F$11,Base!$K:$K,"&lt;"&amp;$B121,Base!$N:$N,"",Base!$O:$O,"&lt;&gt;Finalizado",Base!$O:$O,"&lt;&gt;Congelado")</f>
        <v>21</v>
      </c>
      <c r="M121" s="133">
        <f t="shared" ref="M121:P121" si="178">C121/H121</f>
        <v>0.3571428571</v>
      </c>
      <c r="N121" s="133">
        <f t="shared" si="178"/>
        <v>0.2857142857</v>
      </c>
      <c r="O121" s="133">
        <f t="shared" si="178"/>
        <v>0.1666666667</v>
      </c>
      <c r="P121" s="133">
        <f t="shared" si="178"/>
        <v>0.2857142857</v>
      </c>
      <c r="Q121" s="133">
        <f t="shared" si="9"/>
        <v>0.2794117647</v>
      </c>
      <c r="S121" s="93">
        <f t="shared" ref="S121:V121" si="179">S120+C121</f>
        <v>240</v>
      </c>
      <c r="T121" s="93">
        <f t="shared" si="179"/>
        <v>510</v>
      </c>
      <c r="U121" s="93">
        <f t="shared" si="179"/>
        <v>470</v>
      </c>
      <c r="V121" s="93">
        <f t="shared" si="179"/>
        <v>389</v>
      </c>
      <c r="W121" s="93">
        <f t="shared" si="11"/>
        <v>1609</v>
      </c>
      <c r="Y121" s="133">
        <f>(COUNTIFS(Base!$B:$B,C$11,Base!$S:$S,"&gt;8",Base!$N:$N,"&lt;="&amp;$B121) - COUNTIFS(Base!$B:$B,C$11,Base!$S:$S,"&lt;7",Base!$N:$N,"&lt;="&amp;$B121) - COUNTIFS(Base!$B:$B,C$11,Base!$S:$S,"&lt;7",Base!$K:$K,"&lt;="&amp;$B121,Base!$O:$O,"Finalizado"))/(COUNTIFS(Base!$B:$B,C$11,Base!$S:$S,"&lt;&gt;",Base!$N:$N,"&lt;="&amp;$B121)+COUNTIFS(Base!$B:$B,C$11,Base!$S:$S,"&lt;7",Base!$K:$K,"&lt;="&amp;$B121,Base!$O:$O,"Finalizado"))</f>
        <v>0.6666666667</v>
      </c>
      <c r="Z121" s="133">
        <f>(COUNTIFS(Base!$B:$B,D$11,Base!$S:$S,"&gt;8",Base!$N:$N,"&lt;="&amp;$B121) - COUNTIFS(Base!$B:$B,D$11,Base!$S:$S,"&lt;7",Base!$N:$N,"&lt;="&amp;$B121) - COUNTIFS(Base!$B:$B,D$11,Base!$S:$S,"&lt;7",Base!$K:$K,"&lt;="&amp;$B121,Base!$O:$O,"Finalizado"))/(COUNTIFS(Base!$B:$B,D$11,Base!$S:$S,"&lt;&gt;",Base!$N:$N,"&lt;="&amp;$B121)+COUNTIFS(Base!$B:$B,D$11,Base!$S:$S,"&lt;7",Base!$K:$K,"&lt;="&amp;$B121,Base!$O:$O,"Finalizado"))</f>
        <v>0.6842105263</v>
      </c>
      <c r="AA121" s="133">
        <f>(COUNTIFS(Base!$B:$B,E$11,Base!$S:$S,"&gt;8",Base!$N:$N,"&lt;="&amp;$B121) - COUNTIFS(Base!$B:$B,E$11,Base!$S:$S,"&lt;7",Base!$N:$N,"&lt;="&amp;$B121) - COUNTIFS(Base!$B:$B,E$11,Base!$S:$S,"&lt;7",Base!$K:$K,"&lt;="&amp;$B121,Base!$O:$O,"Finalizado"))/(COUNTIFS(Base!$B:$B,E$11,Base!$S:$S,"&lt;&gt;",Base!$N:$N,"&lt;="&amp;$B121)+COUNTIFS(Base!$B:$B,E$11,Base!$S:$S,"&lt;7",Base!$K:$K,"&lt;="&amp;$B121,Base!$O:$O,"Finalizado"))</f>
        <v>0.6</v>
      </c>
      <c r="AB121" s="133">
        <f t="shared" si="12"/>
        <v>0.75</v>
      </c>
      <c r="AD121" s="93">
        <f>(COUNTIFS(Base!$B:$B,F$11,Base!$S:$S,"&gt;8",Base!$N:$N,"&lt;="&amp;$B121)+(COUNTIFS(Base!$B:$B,F$11,Base!$AG:$AG,"&gt;8",Base!$K:$K,"&lt;="&amp;$B121)))</f>
        <v>6</v>
      </c>
      <c r="AE121" s="93">
        <f>(COUNTIFS(Base!$B:$B,F$11,Base!$S:$S,"&lt;&gt;",Base!$N:$N,"&lt;="&amp;$B121)+(COUNTIFS(Base!$B:$B,F$11,Base!$AG:$AG,"&lt;&gt;",Base!$K:$K,"&lt;="&amp;$B121)+COUNTIFS(Base!$B:$B,F$11,Base!$S:$S,"&lt;7",Base!$K:$K,"&lt;="&amp;$B121,Base!$O:$O,"Finalizado")))</f>
        <v>8</v>
      </c>
      <c r="AF121" s="93">
        <f>COUNTIFS(Base!$B:$B,F$11,Base!$S:$S,"&lt;7",Base!$N:$N,"&lt;="&amp;$B121) +COUNTIFS(Base!$B:$B,F$11,Base!$AG:$AG,"&lt;7",Base!$K:$K,"&lt;="&amp;$B121) + COUNTIFS(Base!$B:$B,F$11,Base!$S:$S,"&lt;7",Base!$K:$K,"&lt;="&amp;$B121,Base!$O:$O,"Finalizado")</f>
        <v>0</v>
      </c>
    </row>
    <row r="122">
      <c r="B122" s="151">
        <f t="shared" si="180"/>
        <v>45377</v>
      </c>
      <c r="C122" s="93">
        <f>COUNTIFS(Base!$B:$B,C$11,Base!$M:$M,"&lt;"&amp;$B122,Base!$N:$N,"&gt;="&amp;$B122,Base!$O:$O,"&lt;&gt;Finalizado",Base!$O:$O,"&lt;&gt;Congelado",Base!$O:$O,"&lt;&gt;Concluindo pendências") + COUNTIFS(Base!$B:$B,C$11,Base!$M:$M,"&lt;"&amp;$B122,Base!$N:$N,"",Base!$O:$O,"&lt;&gt;Finalizado",Base!$O:$O,"&lt;&gt;Congelado",Base!$O:$O,"&lt;&gt;Concluindo pendências")</f>
        <v>5</v>
      </c>
      <c r="D122" s="93">
        <f>COUNTIFS(Base!$B:$B,D$11,Base!$M:$M,"&lt;"&amp;$B122,Base!$N:$N,"&gt;="&amp;$B122,Base!$O:$O,"&lt;&gt;Finalizado",Base!$O:$O,"&lt;&gt;Congelado",Base!$O:$O,"&lt;&gt;Concluindo pendências") + COUNTIFS(Base!$B:$B,D$11,Base!$M:$M,"&lt;"&amp;$B122,Base!$N:$N,"",Base!$O:$O,"&lt;&gt;Finalizado",Base!$O:$O,"&lt;&gt;Congelado",Base!$O:$O,"&lt;&gt;Concluindo pendências")</f>
        <v>6</v>
      </c>
      <c r="E122" s="93">
        <f>COUNTIFS(Base!$B:$B,E$11,Base!$M:$M,"&lt;"&amp;$B122,Base!$N:$N,"&gt;="&amp;$B122,Base!$O:$O,"&lt;&gt;Finalizado",Base!$O:$O,"&lt;&gt;Congelado",Base!$O:$O,"&lt;&gt;Concluindo pendências") + COUNTIFS(Base!$B:$B,E$11,Base!$M:$M,"&lt;"&amp;$B122,Base!$N:$N,"",Base!$O:$O,"&lt;&gt;Finalizado",Base!$O:$O,"&lt;&gt;Congelado",Base!$O:$O,"&lt;&gt;Concluindo pendências")</f>
        <v>2</v>
      </c>
      <c r="F122" s="93">
        <f>COUNTIFS(Base!$B:$B,F$11,Base!$M:$M,"&lt;"&amp;$B122,Base!$N:$N,"&gt;="&amp;$B122,Base!$O:$O,"&lt;&gt;Finalizado",Base!$O:$O,"&lt;&gt;Congelado",Base!$O:$O,"&lt;&gt;Concluindo pendências") + COUNTIFS(Base!$B:$B,F$11,Base!$M:$M,"&lt;"&amp;$B122,Base!$N:$N,"",Base!$O:$O,"&lt;&gt;Finalizado",Base!$O:$O,"&lt;&gt;Congelado",Base!$O:$O,"&lt;&gt;Concluindo pendências")</f>
        <v>6</v>
      </c>
      <c r="H122" s="93">
        <f>COUNTIFS(Base!$B:$B,C$11,Base!$K:$K,"&lt;"&amp;$B122,Base!$N:$N,"&gt;="&amp;$B122,Base!$O:$O,"&lt;&gt;Finalizado",Base!$O:$O,"&lt;&gt;Congelado") + COUNTIFS(Base!$B:$B,C$11,Base!$K:$K,"&lt;"&amp;$B122,Base!$N:$N,"",Base!$O:$O,"&lt;&gt;Finalizado",Base!$O:$O,"&lt;&gt;Congelado")</f>
        <v>15</v>
      </c>
      <c r="I122" s="93">
        <f>COUNTIFS(Base!$B:$B,D$11,Base!$K:$K,"&lt;"&amp;$B122,Base!$N:$N,"&gt;="&amp;$B122,Base!$O:$O,"&lt;&gt;Finalizado",Base!$O:$O,"&lt;&gt;Congelado") + COUNTIFS(Base!$B:$B,D$11,Base!$K:$K,"&lt;"&amp;$B122,Base!$N:$N,"",Base!$O:$O,"&lt;&gt;Finalizado",Base!$O:$O,"&lt;&gt;Congelado")</f>
        <v>22</v>
      </c>
      <c r="J122" s="93">
        <f>COUNTIFS(Base!$B:$B,E$11,Base!$K:$K,"&lt;"&amp;$B122,Base!$N:$N,"&gt;="&amp;$B122,Base!$O:$O,"&lt;&gt;Finalizado",Base!$O:$O,"&lt;&gt;Congelado") + COUNTIFS(Base!$B:$B,E$11,Base!$K:$K,"&lt;"&amp;$B122,Base!$N:$N,"",Base!$O:$O,"&lt;&gt;Finalizado",Base!$O:$O,"&lt;&gt;Congelado")</f>
        <v>16</v>
      </c>
      <c r="K122" s="93">
        <f>COUNTIFS(Base!$B:$B,F$11,Base!$K:$K,"&lt;"&amp;$B122,Base!$N:$N,"&gt;="&amp;$B122,Base!$O:$O,"&lt;&gt;Finalizado",Base!$O:$O,"&lt;&gt;Congelado") + COUNTIFS(Base!$B:$B,F$11,Base!$K:$K,"&lt;"&amp;$B122,Base!$N:$N,"",Base!$O:$O,"&lt;&gt;Finalizado",Base!$O:$O,"&lt;&gt;Congelado")</f>
        <v>20</v>
      </c>
      <c r="M122" s="133">
        <f t="shared" ref="M122:P122" si="181">C122/H122</f>
        <v>0.3333333333</v>
      </c>
      <c r="N122" s="133">
        <f t="shared" si="181"/>
        <v>0.2727272727</v>
      </c>
      <c r="O122" s="133">
        <f t="shared" si="181"/>
        <v>0.125</v>
      </c>
      <c r="P122" s="133">
        <f t="shared" si="181"/>
        <v>0.3</v>
      </c>
      <c r="Q122" s="133">
        <f t="shared" si="9"/>
        <v>0.2602739726</v>
      </c>
      <c r="S122" s="93">
        <f t="shared" ref="S122:V122" si="182">S121+C122</f>
        <v>245</v>
      </c>
      <c r="T122" s="93">
        <f t="shared" si="182"/>
        <v>516</v>
      </c>
      <c r="U122" s="93">
        <f t="shared" si="182"/>
        <v>472</v>
      </c>
      <c r="V122" s="93">
        <f t="shared" si="182"/>
        <v>395</v>
      </c>
      <c r="W122" s="93">
        <f t="shared" si="11"/>
        <v>1628</v>
      </c>
      <c r="Y122" s="133">
        <f>(COUNTIFS(Base!$B:$B,C$11,Base!$S:$S,"&gt;8",Base!$N:$N,"&lt;="&amp;$B122) - COUNTIFS(Base!$B:$B,C$11,Base!$S:$S,"&lt;7",Base!$N:$N,"&lt;="&amp;$B122) - COUNTIFS(Base!$B:$B,C$11,Base!$S:$S,"&lt;7",Base!$K:$K,"&lt;="&amp;$B122,Base!$O:$O,"Finalizado"))/(COUNTIFS(Base!$B:$B,C$11,Base!$S:$S,"&lt;&gt;",Base!$N:$N,"&lt;="&amp;$B122)+COUNTIFS(Base!$B:$B,C$11,Base!$S:$S,"&lt;7",Base!$K:$K,"&lt;="&amp;$B122,Base!$O:$O,"Finalizado"))</f>
        <v>0.6666666667</v>
      </c>
      <c r="Z122" s="133">
        <f>(COUNTIFS(Base!$B:$B,D$11,Base!$S:$S,"&gt;8",Base!$N:$N,"&lt;="&amp;$B122) - COUNTIFS(Base!$B:$B,D$11,Base!$S:$S,"&lt;7",Base!$N:$N,"&lt;="&amp;$B122) - COUNTIFS(Base!$B:$B,D$11,Base!$S:$S,"&lt;7",Base!$K:$K,"&lt;="&amp;$B122,Base!$O:$O,"Finalizado"))/(COUNTIFS(Base!$B:$B,D$11,Base!$S:$S,"&lt;&gt;",Base!$N:$N,"&lt;="&amp;$B122)+COUNTIFS(Base!$B:$B,D$11,Base!$S:$S,"&lt;7",Base!$K:$K,"&lt;="&amp;$B122,Base!$O:$O,"Finalizado"))</f>
        <v>0.6842105263</v>
      </c>
      <c r="AA122" s="133">
        <f>(COUNTIFS(Base!$B:$B,E$11,Base!$S:$S,"&gt;8",Base!$N:$N,"&lt;="&amp;$B122) - COUNTIFS(Base!$B:$B,E$11,Base!$S:$S,"&lt;7",Base!$N:$N,"&lt;="&amp;$B122) - COUNTIFS(Base!$B:$B,E$11,Base!$S:$S,"&lt;7",Base!$K:$K,"&lt;="&amp;$B122,Base!$O:$O,"Finalizado"))/(COUNTIFS(Base!$B:$B,E$11,Base!$S:$S,"&lt;&gt;",Base!$N:$N,"&lt;="&amp;$B122)+COUNTIFS(Base!$B:$B,E$11,Base!$S:$S,"&lt;7",Base!$K:$K,"&lt;="&amp;$B122,Base!$O:$O,"Finalizado"))</f>
        <v>0.6</v>
      </c>
      <c r="AB122" s="133">
        <f t="shared" si="12"/>
        <v>0.75</v>
      </c>
      <c r="AD122" s="93">
        <f>(COUNTIFS(Base!$B:$B,F$11,Base!$S:$S,"&gt;8",Base!$N:$N,"&lt;="&amp;$B122)+(COUNTIFS(Base!$B:$B,F$11,Base!$AG:$AG,"&gt;8",Base!$K:$K,"&lt;="&amp;$B122)))</f>
        <v>6</v>
      </c>
      <c r="AE122" s="93">
        <f>(COUNTIFS(Base!$B:$B,F$11,Base!$S:$S,"&lt;&gt;",Base!$N:$N,"&lt;="&amp;$B122)+(COUNTIFS(Base!$B:$B,F$11,Base!$AG:$AG,"&lt;&gt;",Base!$K:$K,"&lt;="&amp;$B122)+COUNTIFS(Base!$B:$B,F$11,Base!$S:$S,"&lt;7",Base!$K:$K,"&lt;="&amp;$B122,Base!$O:$O,"Finalizado")))</f>
        <v>8</v>
      </c>
      <c r="AF122" s="93">
        <f>COUNTIFS(Base!$B:$B,F$11,Base!$S:$S,"&lt;7",Base!$N:$N,"&lt;="&amp;$B122) +COUNTIFS(Base!$B:$B,F$11,Base!$AG:$AG,"&lt;7",Base!$K:$K,"&lt;="&amp;$B122) + COUNTIFS(Base!$B:$B,F$11,Base!$S:$S,"&lt;7",Base!$K:$K,"&lt;="&amp;$B122,Base!$O:$O,"Finalizado")</f>
        <v>0</v>
      </c>
    </row>
    <row r="123">
      <c r="B123" s="151">
        <f t="shared" si="180"/>
        <v>45378</v>
      </c>
      <c r="C123" s="93">
        <f>COUNTIFS(Base!$B:$B,C$11,Base!$M:$M,"&lt;"&amp;$B123,Base!$N:$N,"&gt;="&amp;$B123,Base!$O:$O,"&lt;&gt;Finalizado",Base!$O:$O,"&lt;&gt;Congelado",Base!$O:$O,"&lt;&gt;Concluindo pendências") + COUNTIFS(Base!$B:$B,C$11,Base!$M:$M,"&lt;"&amp;$B123,Base!$N:$N,"",Base!$O:$O,"&lt;&gt;Finalizado",Base!$O:$O,"&lt;&gt;Congelado",Base!$O:$O,"&lt;&gt;Concluindo pendências")</f>
        <v>5</v>
      </c>
      <c r="D123" s="93">
        <f>COUNTIFS(Base!$B:$B,D$11,Base!$M:$M,"&lt;"&amp;$B123,Base!$N:$N,"&gt;="&amp;$B123,Base!$O:$O,"&lt;&gt;Finalizado",Base!$O:$O,"&lt;&gt;Congelado",Base!$O:$O,"&lt;&gt;Concluindo pendências") + COUNTIFS(Base!$B:$B,D$11,Base!$M:$M,"&lt;"&amp;$B123,Base!$N:$N,"",Base!$O:$O,"&lt;&gt;Finalizado",Base!$O:$O,"&lt;&gt;Congelado",Base!$O:$O,"&lt;&gt;Concluindo pendências")</f>
        <v>7</v>
      </c>
      <c r="E123" s="93">
        <f>COUNTIFS(Base!$B:$B,E$11,Base!$M:$M,"&lt;"&amp;$B123,Base!$N:$N,"&gt;="&amp;$B123,Base!$O:$O,"&lt;&gt;Finalizado",Base!$O:$O,"&lt;&gt;Congelado",Base!$O:$O,"&lt;&gt;Concluindo pendências") + COUNTIFS(Base!$B:$B,E$11,Base!$M:$M,"&lt;"&amp;$B123,Base!$N:$N,"",Base!$O:$O,"&lt;&gt;Finalizado",Base!$O:$O,"&lt;&gt;Congelado",Base!$O:$O,"&lt;&gt;Concluindo pendências")</f>
        <v>2</v>
      </c>
      <c r="F123" s="93">
        <f>COUNTIFS(Base!$B:$B,F$11,Base!$M:$M,"&lt;"&amp;$B123,Base!$N:$N,"&gt;="&amp;$B123,Base!$O:$O,"&lt;&gt;Finalizado",Base!$O:$O,"&lt;&gt;Congelado",Base!$O:$O,"&lt;&gt;Concluindo pendências") + COUNTIFS(Base!$B:$B,F$11,Base!$M:$M,"&lt;"&amp;$B123,Base!$N:$N,"",Base!$O:$O,"&lt;&gt;Finalizado",Base!$O:$O,"&lt;&gt;Congelado",Base!$O:$O,"&lt;&gt;Concluindo pendências")</f>
        <v>6</v>
      </c>
      <c r="H123" s="93">
        <f>COUNTIFS(Base!$B:$B,C$11,Base!$K:$K,"&lt;"&amp;$B123,Base!$N:$N,"&gt;="&amp;$B123,Base!$O:$O,"&lt;&gt;Finalizado",Base!$O:$O,"&lt;&gt;Congelado") + COUNTIFS(Base!$B:$B,C$11,Base!$K:$K,"&lt;"&amp;$B123,Base!$N:$N,"",Base!$O:$O,"&lt;&gt;Finalizado",Base!$O:$O,"&lt;&gt;Congelado")</f>
        <v>15</v>
      </c>
      <c r="I123" s="93">
        <f>COUNTIFS(Base!$B:$B,D$11,Base!$K:$K,"&lt;"&amp;$B123,Base!$N:$N,"&gt;="&amp;$B123,Base!$O:$O,"&lt;&gt;Finalizado",Base!$O:$O,"&lt;&gt;Congelado") + COUNTIFS(Base!$B:$B,D$11,Base!$K:$K,"&lt;"&amp;$B123,Base!$N:$N,"",Base!$O:$O,"&lt;&gt;Finalizado",Base!$O:$O,"&lt;&gt;Congelado")</f>
        <v>22</v>
      </c>
      <c r="J123" s="93">
        <f>COUNTIFS(Base!$B:$B,E$11,Base!$K:$K,"&lt;"&amp;$B123,Base!$N:$N,"&gt;="&amp;$B123,Base!$O:$O,"&lt;&gt;Finalizado",Base!$O:$O,"&lt;&gt;Congelado") + COUNTIFS(Base!$B:$B,E$11,Base!$K:$K,"&lt;"&amp;$B123,Base!$N:$N,"",Base!$O:$O,"&lt;&gt;Finalizado",Base!$O:$O,"&lt;&gt;Congelado")</f>
        <v>16</v>
      </c>
      <c r="K123" s="93">
        <f>COUNTIFS(Base!$B:$B,F$11,Base!$K:$K,"&lt;"&amp;$B123,Base!$N:$N,"&gt;="&amp;$B123,Base!$O:$O,"&lt;&gt;Finalizado",Base!$O:$O,"&lt;&gt;Congelado") + COUNTIFS(Base!$B:$B,F$11,Base!$K:$K,"&lt;"&amp;$B123,Base!$N:$N,"",Base!$O:$O,"&lt;&gt;Finalizado",Base!$O:$O,"&lt;&gt;Congelado")</f>
        <v>20</v>
      </c>
      <c r="M123" s="133">
        <f t="shared" ref="M123:P123" si="183">C123/H123</f>
        <v>0.3333333333</v>
      </c>
      <c r="N123" s="133">
        <f t="shared" si="183"/>
        <v>0.3181818182</v>
      </c>
      <c r="O123" s="133">
        <f t="shared" si="183"/>
        <v>0.125</v>
      </c>
      <c r="P123" s="133">
        <f t="shared" si="183"/>
        <v>0.3</v>
      </c>
      <c r="Q123" s="133">
        <f t="shared" si="9"/>
        <v>0.2739726027</v>
      </c>
      <c r="S123" s="93">
        <f t="shared" ref="S123:V123" si="184">S122+C123</f>
        <v>250</v>
      </c>
      <c r="T123" s="93">
        <f t="shared" si="184"/>
        <v>523</v>
      </c>
      <c r="U123" s="93">
        <f t="shared" si="184"/>
        <v>474</v>
      </c>
      <c r="V123" s="93">
        <f t="shared" si="184"/>
        <v>401</v>
      </c>
      <c r="W123" s="93">
        <f t="shared" si="11"/>
        <v>1648</v>
      </c>
      <c r="Y123" s="133">
        <f>(COUNTIFS(Base!$B:$B,C$11,Base!$S:$S,"&gt;8",Base!$N:$N,"&lt;="&amp;$B123) - COUNTIFS(Base!$B:$B,C$11,Base!$S:$S,"&lt;7",Base!$N:$N,"&lt;="&amp;$B123) - COUNTIFS(Base!$B:$B,C$11,Base!$S:$S,"&lt;7",Base!$K:$K,"&lt;="&amp;$B123,Base!$O:$O,"Finalizado"))/(COUNTIFS(Base!$B:$B,C$11,Base!$S:$S,"&lt;&gt;",Base!$N:$N,"&lt;="&amp;$B123)+COUNTIFS(Base!$B:$B,C$11,Base!$S:$S,"&lt;7",Base!$K:$K,"&lt;="&amp;$B123,Base!$O:$O,"Finalizado"))</f>
        <v>0.6666666667</v>
      </c>
      <c r="Z123" s="133">
        <f>(COUNTIFS(Base!$B:$B,D$11,Base!$S:$S,"&gt;8",Base!$N:$N,"&lt;="&amp;$B123) - COUNTIFS(Base!$B:$B,D$11,Base!$S:$S,"&lt;7",Base!$N:$N,"&lt;="&amp;$B123) - COUNTIFS(Base!$B:$B,D$11,Base!$S:$S,"&lt;7",Base!$K:$K,"&lt;="&amp;$B123,Base!$O:$O,"Finalizado"))/(COUNTIFS(Base!$B:$B,D$11,Base!$S:$S,"&lt;&gt;",Base!$N:$N,"&lt;="&amp;$B123)+COUNTIFS(Base!$B:$B,D$11,Base!$S:$S,"&lt;7",Base!$K:$K,"&lt;="&amp;$B123,Base!$O:$O,"Finalizado"))</f>
        <v>0.7</v>
      </c>
      <c r="AA123" s="133">
        <f>(COUNTIFS(Base!$B:$B,E$11,Base!$S:$S,"&gt;8",Base!$N:$N,"&lt;="&amp;$B123) - COUNTIFS(Base!$B:$B,E$11,Base!$S:$S,"&lt;7",Base!$N:$N,"&lt;="&amp;$B123) - COUNTIFS(Base!$B:$B,E$11,Base!$S:$S,"&lt;7",Base!$K:$K,"&lt;="&amp;$B123,Base!$O:$O,"Finalizado"))/(COUNTIFS(Base!$B:$B,E$11,Base!$S:$S,"&lt;&gt;",Base!$N:$N,"&lt;="&amp;$B123)+COUNTIFS(Base!$B:$B,E$11,Base!$S:$S,"&lt;7",Base!$K:$K,"&lt;="&amp;$B123,Base!$O:$O,"Finalizado"))</f>
        <v>0.6</v>
      </c>
      <c r="AB123" s="133">
        <f t="shared" si="12"/>
        <v>0.75</v>
      </c>
      <c r="AD123" s="93">
        <f>(COUNTIFS(Base!$B:$B,F$11,Base!$S:$S,"&gt;8",Base!$N:$N,"&lt;="&amp;$B123)+(COUNTIFS(Base!$B:$B,F$11,Base!$AG:$AG,"&gt;8",Base!$K:$K,"&lt;="&amp;$B123)))</f>
        <v>6</v>
      </c>
      <c r="AE123" s="93">
        <f>(COUNTIFS(Base!$B:$B,F$11,Base!$S:$S,"&lt;&gt;",Base!$N:$N,"&lt;="&amp;$B123)+(COUNTIFS(Base!$B:$B,F$11,Base!$AG:$AG,"&lt;&gt;",Base!$K:$K,"&lt;="&amp;$B123)+COUNTIFS(Base!$B:$B,F$11,Base!$S:$S,"&lt;7",Base!$K:$K,"&lt;="&amp;$B123,Base!$O:$O,"Finalizado")))</f>
        <v>8</v>
      </c>
      <c r="AF123" s="93">
        <f>COUNTIFS(Base!$B:$B,F$11,Base!$S:$S,"&lt;7",Base!$N:$N,"&lt;="&amp;$B123) +COUNTIFS(Base!$B:$B,F$11,Base!$AG:$AG,"&lt;7",Base!$K:$K,"&lt;="&amp;$B123) + COUNTIFS(Base!$B:$B,F$11,Base!$S:$S,"&lt;7",Base!$K:$K,"&lt;="&amp;$B123,Base!$O:$O,"Finalizado")</f>
        <v>0</v>
      </c>
    </row>
    <row r="124">
      <c r="B124" s="151">
        <f t="shared" si="180"/>
        <v>45379</v>
      </c>
      <c r="C124" s="93">
        <f>COUNTIFS(Base!$B:$B,C$11,Base!$M:$M,"&lt;"&amp;$B124,Base!$N:$N,"&gt;="&amp;$B124,Base!$O:$O,"&lt;&gt;Finalizado",Base!$O:$O,"&lt;&gt;Congelado",Base!$O:$O,"&lt;&gt;Concluindo pendências") + COUNTIFS(Base!$B:$B,C$11,Base!$M:$M,"&lt;"&amp;$B124,Base!$N:$N,"",Base!$O:$O,"&lt;&gt;Finalizado",Base!$O:$O,"&lt;&gt;Congelado",Base!$O:$O,"&lt;&gt;Concluindo pendências")</f>
        <v>5</v>
      </c>
      <c r="D124" s="93">
        <f>COUNTIFS(Base!$B:$B,D$11,Base!$M:$M,"&lt;"&amp;$B124,Base!$N:$N,"&gt;="&amp;$B124,Base!$O:$O,"&lt;&gt;Finalizado",Base!$O:$O,"&lt;&gt;Congelado",Base!$O:$O,"&lt;&gt;Concluindo pendências") + COUNTIFS(Base!$B:$B,D$11,Base!$M:$M,"&lt;"&amp;$B124,Base!$N:$N,"",Base!$O:$O,"&lt;&gt;Finalizado",Base!$O:$O,"&lt;&gt;Congelado",Base!$O:$O,"&lt;&gt;Concluindo pendências")</f>
        <v>7</v>
      </c>
      <c r="E124" s="93">
        <f>COUNTIFS(Base!$B:$B,E$11,Base!$M:$M,"&lt;"&amp;$B124,Base!$N:$N,"&gt;="&amp;$B124,Base!$O:$O,"&lt;&gt;Finalizado",Base!$O:$O,"&lt;&gt;Congelado",Base!$O:$O,"&lt;&gt;Concluindo pendências") + COUNTIFS(Base!$B:$B,E$11,Base!$M:$M,"&lt;"&amp;$B124,Base!$N:$N,"",Base!$O:$O,"&lt;&gt;Finalizado",Base!$O:$O,"&lt;&gt;Congelado",Base!$O:$O,"&lt;&gt;Concluindo pendências")</f>
        <v>2</v>
      </c>
      <c r="F124" s="93">
        <f>COUNTIFS(Base!$B:$B,F$11,Base!$M:$M,"&lt;"&amp;$B124,Base!$N:$N,"&gt;="&amp;$B124,Base!$O:$O,"&lt;&gt;Finalizado",Base!$O:$O,"&lt;&gt;Congelado",Base!$O:$O,"&lt;&gt;Concluindo pendências") + COUNTIFS(Base!$B:$B,F$11,Base!$M:$M,"&lt;"&amp;$B124,Base!$N:$N,"",Base!$O:$O,"&lt;&gt;Finalizado",Base!$O:$O,"&lt;&gt;Congelado",Base!$O:$O,"&lt;&gt;Concluindo pendências")</f>
        <v>6</v>
      </c>
      <c r="H124" s="93">
        <f>COUNTIFS(Base!$B:$B,C$11,Base!$K:$K,"&lt;"&amp;$B124,Base!$N:$N,"&gt;="&amp;$B124,Base!$O:$O,"&lt;&gt;Finalizado",Base!$O:$O,"&lt;&gt;Congelado") + COUNTIFS(Base!$B:$B,C$11,Base!$K:$K,"&lt;"&amp;$B124,Base!$N:$N,"",Base!$O:$O,"&lt;&gt;Finalizado",Base!$O:$O,"&lt;&gt;Congelado")</f>
        <v>15</v>
      </c>
      <c r="I124" s="93">
        <f>COUNTIFS(Base!$B:$B,D$11,Base!$K:$K,"&lt;"&amp;$B124,Base!$N:$N,"&gt;="&amp;$B124,Base!$O:$O,"&lt;&gt;Finalizado",Base!$O:$O,"&lt;&gt;Congelado") + COUNTIFS(Base!$B:$B,D$11,Base!$K:$K,"&lt;"&amp;$B124,Base!$N:$N,"",Base!$O:$O,"&lt;&gt;Finalizado",Base!$O:$O,"&lt;&gt;Congelado")</f>
        <v>21</v>
      </c>
      <c r="J124" s="93">
        <f>COUNTIFS(Base!$B:$B,E$11,Base!$K:$K,"&lt;"&amp;$B124,Base!$N:$N,"&gt;="&amp;$B124,Base!$O:$O,"&lt;&gt;Finalizado",Base!$O:$O,"&lt;&gt;Congelado") + COUNTIFS(Base!$B:$B,E$11,Base!$K:$K,"&lt;"&amp;$B124,Base!$N:$N,"",Base!$O:$O,"&lt;&gt;Finalizado",Base!$O:$O,"&lt;&gt;Congelado")</f>
        <v>17</v>
      </c>
      <c r="K124" s="93">
        <f>COUNTIFS(Base!$B:$B,F$11,Base!$K:$K,"&lt;"&amp;$B124,Base!$N:$N,"&gt;="&amp;$B124,Base!$O:$O,"&lt;&gt;Finalizado",Base!$O:$O,"&lt;&gt;Congelado") + COUNTIFS(Base!$B:$B,F$11,Base!$K:$K,"&lt;"&amp;$B124,Base!$N:$N,"",Base!$O:$O,"&lt;&gt;Finalizado",Base!$O:$O,"&lt;&gt;Congelado")</f>
        <v>20</v>
      </c>
      <c r="M124" s="133">
        <f t="shared" ref="M124:P124" si="185">C124/H124</f>
        <v>0.3333333333</v>
      </c>
      <c r="N124" s="133">
        <f t="shared" si="185"/>
        <v>0.3333333333</v>
      </c>
      <c r="O124" s="133">
        <f t="shared" si="185"/>
        <v>0.1176470588</v>
      </c>
      <c r="P124" s="133">
        <f t="shared" si="185"/>
        <v>0.3</v>
      </c>
      <c r="Q124" s="133">
        <f t="shared" si="9"/>
        <v>0.2739726027</v>
      </c>
      <c r="S124" s="93">
        <f t="shared" ref="S124:V124" si="186">S123+C124</f>
        <v>255</v>
      </c>
      <c r="T124" s="93">
        <f t="shared" si="186"/>
        <v>530</v>
      </c>
      <c r="U124" s="93">
        <f t="shared" si="186"/>
        <v>476</v>
      </c>
      <c r="V124" s="93">
        <f t="shared" si="186"/>
        <v>407</v>
      </c>
      <c r="W124" s="93">
        <f t="shared" si="11"/>
        <v>1668</v>
      </c>
      <c r="Y124" s="133">
        <f>(COUNTIFS(Base!$B:$B,C$11,Base!$S:$S,"&gt;8",Base!$N:$N,"&lt;="&amp;$B124) - COUNTIFS(Base!$B:$B,C$11,Base!$S:$S,"&lt;7",Base!$N:$N,"&lt;="&amp;$B124) - COUNTIFS(Base!$B:$B,C$11,Base!$S:$S,"&lt;7",Base!$K:$K,"&lt;="&amp;$B124,Base!$O:$O,"Finalizado"))/(COUNTIFS(Base!$B:$B,C$11,Base!$S:$S,"&lt;&gt;",Base!$N:$N,"&lt;="&amp;$B124)+COUNTIFS(Base!$B:$B,C$11,Base!$S:$S,"&lt;7",Base!$K:$K,"&lt;="&amp;$B124,Base!$O:$O,"Finalizado"))</f>
        <v>0.6666666667</v>
      </c>
      <c r="Z124" s="133">
        <f>(COUNTIFS(Base!$B:$B,D$11,Base!$S:$S,"&gt;8",Base!$N:$N,"&lt;="&amp;$B124) - COUNTIFS(Base!$B:$B,D$11,Base!$S:$S,"&lt;7",Base!$N:$N,"&lt;="&amp;$B124) - COUNTIFS(Base!$B:$B,D$11,Base!$S:$S,"&lt;7",Base!$K:$K,"&lt;="&amp;$B124,Base!$O:$O,"Finalizado"))/(COUNTIFS(Base!$B:$B,D$11,Base!$S:$S,"&lt;&gt;",Base!$N:$N,"&lt;="&amp;$B124)+COUNTIFS(Base!$B:$B,D$11,Base!$S:$S,"&lt;7",Base!$K:$K,"&lt;="&amp;$B124,Base!$O:$O,"Finalizado"))</f>
        <v>0.7</v>
      </c>
      <c r="AA124" s="133">
        <f>(COUNTIFS(Base!$B:$B,E$11,Base!$S:$S,"&gt;8",Base!$N:$N,"&lt;="&amp;$B124) - COUNTIFS(Base!$B:$B,E$11,Base!$S:$S,"&lt;7",Base!$N:$N,"&lt;="&amp;$B124) - COUNTIFS(Base!$B:$B,E$11,Base!$S:$S,"&lt;7",Base!$K:$K,"&lt;="&amp;$B124,Base!$O:$O,"Finalizado"))/(COUNTIFS(Base!$B:$B,E$11,Base!$S:$S,"&lt;&gt;",Base!$N:$N,"&lt;="&amp;$B124)+COUNTIFS(Base!$B:$B,E$11,Base!$S:$S,"&lt;7",Base!$K:$K,"&lt;="&amp;$B124,Base!$O:$O,"Finalizado"))</f>
        <v>0.6</v>
      </c>
      <c r="AB124" s="133">
        <f t="shared" si="12"/>
        <v>0.75</v>
      </c>
      <c r="AD124" s="93">
        <f>(COUNTIFS(Base!$B:$B,F$11,Base!$S:$S,"&gt;8",Base!$N:$N,"&lt;="&amp;$B124)+(COUNTIFS(Base!$B:$B,F$11,Base!$AG:$AG,"&gt;8",Base!$K:$K,"&lt;="&amp;$B124)))</f>
        <v>6</v>
      </c>
      <c r="AE124" s="93">
        <f>(COUNTIFS(Base!$B:$B,F$11,Base!$S:$S,"&lt;&gt;",Base!$N:$N,"&lt;="&amp;$B124)+(COUNTIFS(Base!$B:$B,F$11,Base!$AG:$AG,"&lt;&gt;",Base!$K:$K,"&lt;="&amp;$B124)+COUNTIFS(Base!$B:$B,F$11,Base!$S:$S,"&lt;7",Base!$K:$K,"&lt;="&amp;$B124,Base!$O:$O,"Finalizado")))</f>
        <v>8</v>
      </c>
      <c r="AF124" s="93">
        <f>COUNTIFS(Base!$B:$B,F$11,Base!$S:$S,"&lt;7",Base!$N:$N,"&lt;="&amp;$B124) +COUNTIFS(Base!$B:$B,F$11,Base!$AG:$AG,"&lt;7",Base!$K:$K,"&lt;="&amp;$B124) + COUNTIFS(Base!$B:$B,F$11,Base!$S:$S,"&lt;7",Base!$K:$K,"&lt;="&amp;$B124,Base!$O:$O,"Finalizado")</f>
        <v>0</v>
      </c>
    </row>
    <row r="125">
      <c r="B125" s="151">
        <f t="shared" si="180"/>
        <v>45380</v>
      </c>
      <c r="C125" s="93">
        <f>COUNTIFS(Base!$B:$B,C$11,Base!$M:$M,"&lt;"&amp;$B125,Base!$N:$N,"&gt;="&amp;$B125,Base!$O:$O,"&lt;&gt;Finalizado",Base!$O:$O,"&lt;&gt;Congelado",Base!$O:$O,"&lt;&gt;Concluindo pendências") + COUNTIFS(Base!$B:$B,C$11,Base!$M:$M,"&lt;"&amp;$B125,Base!$N:$N,"",Base!$O:$O,"&lt;&gt;Finalizado",Base!$O:$O,"&lt;&gt;Congelado",Base!$O:$O,"&lt;&gt;Concluindo pendências")</f>
        <v>5</v>
      </c>
      <c r="D125" s="93">
        <f>COUNTIFS(Base!$B:$B,D$11,Base!$M:$M,"&lt;"&amp;$B125,Base!$N:$N,"&gt;="&amp;$B125,Base!$O:$O,"&lt;&gt;Finalizado",Base!$O:$O,"&lt;&gt;Congelado",Base!$O:$O,"&lt;&gt;Concluindo pendências") + COUNTIFS(Base!$B:$B,D$11,Base!$M:$M,"&lt;"&amp;$B125,Base!$N:$N,"",Base!$O:$O,"&lt;&gt;Finalizado",Base!$O:$O,"&lt;&gt;Congelado",Base!$O:$O,"&lt;&gt;Concluindo pendências")</f>
        <v>7</v>
      </c>
      <c r="E125" s="93">
        <f>COUNTIFS(Base!$B:$B,E$11,Base!$M:$M,"&lt;"&amp;$B125,Base!$N:$N,"&gt;="&amp;$B125,Base!$O:$O,"&lt;&gt;Finalizado",Base!$O:$O,"&lt;&gt;Congelado",Base!$O:$O,"&lt;&gt;Concluindo pendências") + COUNTIFS(Base!$B:$B,E$11,Base!$M:$M,"&lt;"&amp;$B125,Base!$N:$N,"",Base!$O:$O,"&lt;&gt;Finalizado",Base!$O:$O,"&lt;&gt;Congelado",Base!$O:$O,"&lt;&gt;Concluindo pendências")</f>
        <v>2</v>
      </c>
      <c r="F125" s="93">
        <f>COUNTIFS(Base!$B:$B,F$11,Base!$M:$M,"&lt;"&amp;$B125,Base!$N:$N,"&gt;="&amp;$B125,Base!$O:$O,"&lt;&gt;Finalizado",Base!$O:$O,"&lt;&gt;Congelado",Base!$O:$O,"&lt;&gt;Concluindo pendências") + COUNTIFS(Base!$B:$B,F$11,Base!$M:$M,"&lt;"&amp;$B125,Base!$N:$N,"",Base!$O:$O,"&lt;&gt;Finalizado",Base!$O:$O,"&lt;&gt;Congelado",Base!$O:$O,"&lt;&gt;Concluindo pendências")</f>
        <v>6</v>
      </c>
      <c r="H125" s="93">
        <f>COUNTIFS(Base!$B:$B,C$11,Base!$K:$K,"&lt;"&amp;$B125,Base!$N:$N,"&gt;="&amp;$B125,Base!$O:$O,"&lt;&gt;Finalizado",Base!$O:$O,"&lt;&gt;Congelado") + COUNTIFS(Base!$B:$B,C$11,Base!$K:$K,"&lt;"&amp;$B125,Base!$N:$N,"",Base!$O:$O,"&lt;&gt;Finalizado",Base!$O:$O,"&lt;&gt;Congelado")</f>
        <v>15</v>
      </c>
      <c r="I125" s="93">
        <f>COUNTIFS(Base!$B:$B,D$11,Base!$K:$K,"&lt;"&amp;$B125,Base!$N:$N,"&gt;="&amp;$B125,Base!$O:$O,"&lt;&gt;Finalizado",Base!$O:$O,"&lt;&gt;Congelado") + COUNTIFS(Base!$B:$B,D$11,Base!$K:$K,"&lt;"&amp;$B125,Base!$N:$N,"",Base!$O:$O,"&lt;&gt;Finalizado",Base!$O:$O,"&lt;&gt;Congelado")</f>
        <v>21</v>
      </c>
      <c r="J125" s="93">
        <f>COUNTIFS(Base!$B:$B,E$11,Base!$K:$K,"&lt;"&amp;$B125,Base!$N:$N,"&gt;="&amp;$B125,Base!$O:$O,"&lt;&gt;Finalizado",Base!$O:$O,"&lt;&gt;Congelado") + COUNTIFS(Base!$B:$B,E$11,Base!$K:$K,"&lt;"&amp;$B125,Base!$N:$N,"",Base!$O:$O,"&lt;&gt;Finalizado",Base!$O:$O,"&lt;&gt;Congelado")</f>
        <v>17</v>
      </c>
      <c r="K125" s="93">
        <f>COUNTIFS(Base!$B:$B,F$11,Base!$K:$K,"&lt;"&amp;$B125,Base!$N:$N,"&gt;="&amp;$B125,Base!$O:$O,"&lt;&gt;Finalizado",Base!$O:$O,"&lt;&gt;Congelado") + COUNTIFS(Base!$B:$B,F$11,Base!$K:$K,"&lt;"&amp;$B125,Base!$N:$N,"",Base!$O:$O,"&lt;&gt;Finalizado",Base!$O:$O,"&lt;&gt;Congelado")</f>
        <v>20</v>
      </c>
      <c r="M125" s="133">
        <f t="shared" ref="M125:P125" si="187">C125/H125</f>
        <v>0.3333333333</v>
      </c>
      <c r="N125" s="133">
        <f t="shared" si="187"/>
        <v>0.3333333333</v>
      </c>
      <c r="O125" s="133">
        <f t="shared" si="187"/>
        <v>0.1176470588</v>
      </c>
      <c r="P125" s="133">
        <f t="shared" si="187"/>
        <v>0.3</v>
      </c>
      <c r="Q125" s="133">
        <f t="shared" si="9"/>
        <v>0.2739726027</v>
      </c>
      <c r="S125" s="93">
        <f t="shared" ref="S125:V125" si="188">S124+C125</f>
        <v>260</v>
      </c>
      <c r="T125" s="93">
        <f t="shared" si="188"/>
        <v>537</v>
      </c>
      <c r="U125" s="93">
        <f t="shared" si="188"/>
        <v>478</v>
      </c>
      <c r="V125" s="93">
        <f t="shared" si="188"/>
        <v>413</v>
      </c>
      <c r="W125" s="93">
        <f t="shared" si="11"/>
        <v>1688</v>
      </c>
      <c r="Y125" s="133">
        <f>(COUNTIFS(Base!$B:$B,C$11,Base!$S:$S,"&gt;8",Base!$N:$N,"&lt;="&amp;$B125) - COUNTIFS(Base!$B:$B,C$11,Base!$S:$S,"&lt;7",Base!$N:$N,"&lt;="&amp;$B125) - COUNTIFS(Base!$B:$B,C$11,Base!$S:$S,"&lt;7",Base!$K:$K,"&lt;="&amp;$B125,Base!$O:$O,"Finalizado"))/(COUNTIFS(Base!$B:$B,C$11,Base!$S:$S,"&lt;&gt;",Base!$N:$N,"&lt;="&amp;$B125)+COUNTIFS(Base!$B:$B,C$11,Base!$S:$S,"&lt;7",Base!$K:$K,"&lt;="&amp;$B125,Base!$O:$O,"Finalizado"))</f>
        <v>0.6666666667</v>
      </c>
      <c r="Z125" s="133">
        <f>(COUNTIFS(Base!$B:$B,D$11,Base!$S:$S,"&gt;8",Base!$N:$N,"&lt;="&amp;$B125) - COUNTIFS(Base!$B:$B,D$11,Base!$S:$S,"&lt;7",Base!$N:$N,"&lt;="&amp;$B125) - COUNTIFS(Base!$B:$B,D$11,Base!$S:$S,"&lt;7",Base!$K:$K,"&lt;="&amp;$B125,Base!$O:$O,"Finalizado"))/(COUNTIFS(Base!$B:$B,D$11,Base!$S:$S,"&lt;&gt;",Base!$N:$N,"&lt;="&amp;$B125)+COUNTIFS(Base!$B:$B,D$11,Base!$S:$S,"&lt;7",Base!$K:$K,"&lt;="&amp;$B125,Base!$O:$O,"Finalizado"))</f>
        <v>0.7</v>
      </c>
      <c r="AA125" s="133">
        <f>(COUNTIFS(Base!$B:$B,E$11,Base!$S:$S,"&gt;8",Base!$N:$N,"&lt;="&amp;$B125) - COUNTIFS(Base!$B:$B,E$11,Base!$S:$S,"&lt;7",Base!$N:$N,"&lt;="&amp;$B125) - COUNTIFS(Base!$B:$B,E$11,Base!$S:$S,"&lt;7",Base!$K:$K,"&lt;="&amp;$B125,Base!$O:$O,"Finalizado"))/(COUNTIFS(Base!$B:$B,E$11,Base!$S:$S,"&lt;&gt;",Base!$N:$N,"&lt;="&amp;$B125)+COUNTIFS(Base!$B:$B,E$11,Base!$S:$S,"&lt;7",Base!$K:$K,"&lt;="&amp;$B125,Base!$O:$O,"Finalizado"))</f>
        <v>0.6</v>
      </c>
      <c r="AB125" s="133">
        <f t="shared" si="12"/>
        <v>0.75</v>
      </c>
      <c r="AD125" s="93">
        <f>(COUNTIFS(Base!$B:$B,F$11,Base!$S:$S,"&gt;8",Base!$N:$N,"&lt;="&amp;$B125)+(COUNTIFS(Base!$B:$B,F$11,Base!$AG:$AG,"&gt;8",Base!$K:$K,"&lt;="&amp;$B125)))</f>
        <v>6</v>
      </c>
      <c r="AE125" s="93">
        <f>(COUNTIFS(Base!$B:$B,F$11,Base!$S:$S,"&lt;&gt;",Base!$N:$N,"&lt;="&amp;$B125)+(COUNTIFS(Base!$B:$B,F$11,Base!$AG:$AG,"&lt;&gt;",Base!$K:$K,"&lt;="&amp;$B125)+COUNTIFS(Base!$B:$B,F$11,Base!$S:$S,"&lt;7",Base!$K:$K,"&lt;="&amp;$B125,Base!$O:$O,"Finalizado")))</f>
        <v>8</v>
      </c>
      <c r="AF125" s="93">
        <f>COUNTIFS(Base!$B:$B,F$11,Base!$S:$S,"&lt;7",Base!$N:$N,"&lt;="&amp;$B125) +COUNTIFS(Base!$B:$B,F$11,Base!$AG:$AG,"&lt;7",Base!$K:$K,"&lt;="&amp;$B125) + COUNTIFS(Base!$B:$B,F$11,Base!$S:$S,"&lt;7",Base!$K:$K,"&lt;="&amp;$B125,Base!$O:$O,"Finalizado")</f>
        <v>0</v>
      </c>
    </row>
    <row r="126">
      <c r="B126" s="151">
        <f t="shared" si="180"/>
        <v>45381</v>
      </c>
      <c r="C126" s="93">
        <f>COUNTIFS(Base!$B:$B,C$11,Base!$M:$M,"&lt;"&amp;$B126,Base!$N:$N,"&gt;="&amp;$B126,Base!$O:$O,"&lt;&gt;Finalizado",Base!$O:$O,"&lt;&gt;Congelado",Base!$O:$O,"&lt;&gt;Concluindo pendências") + COUNTIFS(Base!$B:$B,C$11,Base!$M:$M,"&lt;"&amp;$B126,Base!$N:$N,"",Base!$O:$O,"&lt;&gt;Finalizado",Base!$O:$O,"&lt;&gt;Congelado",Base!$O:$O,"&lt;&gt;Concluindo pendências")</f>
        <v>5</v>
      </c>
      <c r="D126" s="93">
        <f>COUNTIFS(Base!$B:$B,D$11,Base!$M:$M,"&lt;"&amp;$B126,Base!$N:$N,"&gt;="&amp;$B126,Base!$O:$O,"&lt;&gt;Finalizado",Base!$O:$O,"&lt;&gt;Congelado",Base!$O:$O,"&lt;&gt;Concluindo pendências") + COUNTIFS(Base!$B:$B,D$11,Base!$M:$M,"&lt;"&amp;$B126,Base!$N:$N,"",Base!$O:$O,"&lt;&gt;Finalizado",Base!$O:$O,"&lt;&gt;Congelado",Base!$O:$O,"&lt;&gt;Concluindo pendências")</f>
        <v>7</v>
      </c>
      <c r="E126" s="93">
        <f>COUNTIFS(Base!$B:$B,E$11,Base!$M:$M,"&lt;"&amp;$B126,Base!$N:$N,"&gt;="&amp;$B126,Base!$O:$O,"&lt;&gt;Finalizado",Base!$O:$O,"&lt;&gt;Congelado",Base!$O:$O,"&lt;&gt;Concluindo pendências") + COUNTIFS(Base!$B:$B,E$11,Base!$M:$M,"&lt;"&amp;$B126,Base!$N:$N,"",Base!$O:$O,"&lt;&gt;Finalizado",Base!$O:$O,"&lt;&gt;Congelado",Base!$O:$O,"&lt;&gt;Concluindo pendências")</f>
        <v>2</v>
      </c>
      <c r="F126" s="93">
        <f>COUNTIFS(Base!$B:$B,F$11,Base!$M:$M,"&lt;"&amp;$B126,Base!$N:$N,"&gt;="&amp;$B126,Base!$O:$O,"&lt;&gt;Finalizado",Base!$O:$O,"&lt;&gt;Congelado",Base!$O:$O,"&lt;&gt;Concluindo pendências") + COUNTIFS(Base!$B:$B,F$11,Base!$M:$M,"&lt;"&amp;$B126,Base!$N:$N,"",Base!$O:$O,"&lt;&gt;Finalizado",Base!$O:$O,"&lt;&gt;Congelado",Base!$O:$O,"&lt;&gt;Concluindo pendências")</f>
        <v>6</v>
      </c>
      <c r="H126" s="93">
        <f>COUNTIFS(Base!$B:$B,C$11,Base!$K:$K,"&lt;"&amp;$B126,Base!$N:$N,"&gt;="&amp;$B126,Base!$O:$O,"&lt;&gt;Finalizado",Base!$O:$O,"&lt;&gt;Congelado") + COUNTIFS(Base!$B:$B,C$11,Base!$K:$K,"&lt;"&amp;$B126,Base!$N:$N,"",Base!$O:$O,"&lt;&gt;Finalizado",Base!$O:$O,"&lt;&gt;Congelado")</f>
        <v>15</v>
      </c>
      <c r="I126" s="93">
        <f>COUNTIFS(Base!$B:$B,D$11,Base!$K:$K,"&lt;"&amp;$B126,Base!$N:$N,"&gt;="&amp;$B126,Base!$O:$O,"&lt;&gt;Finalizado",Base!$O:$O,"&lt;&gt;Congelado") + COUNTIFS(Base!$B:$B,D$11,Base!$K:$K,"&lt;"&amp;$B126,Base!$N:$N,"",Base!$O:$O,"&lt;&gt;Finalizado",Base!$O:$O,"&lt;&gt;Congelado")</f>
        <v>21</v>
      </c>
      <c r="J126" s="93">
        <f>COUNTIFS(Base!$B:$B,E$11,Base!$K:$K,"&lt;"&amp;$B126,Base!$N:$N,"&gt;="&amp;$B126,Base!$O:$O,"&lt;&gt;Finalizado",Base!$O:$O,"&lt;&gt;Congelado") + COUNTIFS(Base!$B:$B,E$11,Base!$K:$K,"&lt;"&amp;$B126,Base!$N:$N,"",Base!$O:$O,"&lt;&gt;Finalizado",Base!$O:$O,"&lt;&gt;Congelado")</f>
        <v>17</v>
      </c>
      <c r="K126" s="93">
        <f>COUNTIFS(Base!$B:$B,F$11,Base!$K:$K,"&lt;"&amp;$B126,Base!$N:$N,"&gt;="&amp;$B126,Base!$O:$O,"&lt;&gt;Finalizado",Base!$O:$O,"&lt;&gt;Congelado") + COUNTIFS(Base!$B:$B,F$11,Base!$K:$K,"&lt;"&amp;$B126,Base!$N:$N,"",Base!$O:$O,"&lt;&gt;Finalizado",Base!$O:$O,"&lt;&gt;Congelado")</f>
        <v>20</v>
      </c>
      <c r="M126" s="133">
        <f t="shared" ref="M126:P126" si="189">C126/H126</f>
        <v>0.3333333333</v>
      </c>
      <c r="N126" s="133">
        <f t="shared" si="189"/>
        <v>0.3333333333</v>
      </c>
      <c r="O126" s="133">
        <f t="shared" si="189"/>
        <v>0.1176470588</v>
      </c>
      <c r="P126" s="133">
        <f t="shared" si="189"/>
        <v>0.3</v>
      </c>
      <c r="Q126" s="133">
        <f t="shared" si="9"/>
        <v>0.2739726027</v>
      </c>
      <c r="S126" s="93">
        <f t="shared" ref="S126:V126" si="190">S125+C126</f>
        <v>265</v>
      </c>
      <c r="T126" s="93">
        <f t="shared" si="190"/>
        <v>544</v>
      </c>
      <c r="U126" s="93">
        <f t="shared" si="190"/>
        <v>480</v>
      </c>
      <c r="V126" s="93">
        <f t="shared" si="190"/>
        <v>419</v>
      </c>
      <c r="W126" s="93">
        <f t="shared" si="11"/>
        <v>1708</v>
      </c>
      <c r="Y126" s="133">
        <f>(COUNTIFS(Base!$B:$B,C$11,Base!$S:$S,"&gt;8",Base!$N:$N,"&lt;="&amp;$B126) - COUNTIFS(Base!$B:$B,C$11,Base!$S:$S,"&lt;7",Base!$N:$N,"&lt;="&amp;$B126) - COUNTIFS(Base!$B:$B,C$11,Base!$S:$S,"&lt;7",Base!$K:$K,"&lt;="&amp;$B126,Base!$O:$O,"Finalizado"))/(COUNTIFS(Base!$B:$B,C$11,Base!$S:$S,"&lt;&gt;",Base!$N:$N,"&lt;="&amp;$B126)+COUNTIFS(Base!$B:$B,C$11,Base!$S:$S,"&lt;7",Base!$K:$K,"&lt;="&amp;$B126,Base!$O:$O,"Finalizado"))</f>
        <v>0.6666666667</v>
      </c>
      <c r="Z126" s="133">
        <f>(COUNTIFS(Base!$B:$B,D$11,Base!$S:$S,"&gt;8",Base!$N:$N,"&lt;="&amp;$B126) - COUNTIFS(Base!$B:$B,D$11,Base!$S:$S,"&lt;7",Base!$N:$N,"&lt;="&amp;$B126) - COUNTIFS(Base!$B:$B,D$11,Base!$S:$S,"&lt;7",Base!$K:$K,"&lt;="&amp;$B126,Base!$O:$O,"Finalizado"))/(COUNTIFS(Base!$B:$B,D$11,Base!$S:$S,"&lt;&gt;",Base!$N:$N,"&lt;="&amp;$B126)+COUNTIFS(Base!$B:$B,D$11,Base!$S:$S,"&lt;7",Base!$K:$K,"&lt;="&amp;$B126,Base!$O:$O,"Finalizado"))</f>
        <v>0.7</v>
      </c>
      <c r="AA126" s="133">
        <f>(COUNTIFS(Base!$B:$B,E$11,Base!$S:$S,"&gt;8",Base!$N:$N,"&lt;="&amp;$B126) - COUNTIFS(Base!$B:$B,E$11,Base!$S:$S,"&lt;7",Base!$N:$N,"&lt;="&amp;$B126) - COUNTIFS(Base!$B:$B,E$11,Base!$S:$S,"&lt;7",Base!$K:$K,"&lt;="&amp;$B126,Base!$O:$O,"Finalizado"))/(COUNTIFS(Base!$B:$B,E$11,Base!$S:$S,"&lt;&gt;",Base!$N:$N,"&lt;="&amp;$B126)+COUNTIFS(Base!$B:$B,E$11,Base!$S:$S,"&lt;7",Base!$K:$K,"&lt;="&amp;$B126,Base!$O:$O,"Finalizado"))</f>
        <v>0.6</v>
      </c>
      <c r="AB126" s="133">
        <f t="shared" si="12"/>
        <v>0.75</v>
      </c>
      <c r="AD126" s="93">
        <f>(COUNTIFS(Base!$B:$B,F$11,Base!$S:$S,"&gt;8",Base!$N:$N,"&lt;="&amp;$B126)+(COUNTIFS(Base!$B:$B,F$11,Base!$AG:$AG,"&gt;8",Base!$K:$K,"&lt;="&amp;$B126)))</f>
        <v>6</v>
      </c>
      <c r="AE126" s="93">
        <f>(COUNTIFS(Base!$B:$B,F$11,Base!$S:$S,"&lt;&gt;",Base!$N:$N,"&lt;="&amp;$B126)+(COUNTIFS(Base!$B:$B,F$11,Base!$AG:$AG,"&lt;&gt;",Base!$K:$K,"&lt;="&amp;$B126)+COUNTIFS(Base!$B:$B,F$11,Base!$S:$S,"&lt;7",Base!$K:$K,"&lt;="&amp;$B126,Base!$O:$O,"Finalizado")))</f>
        <v>8</v>
      </c>
      <c r="AF126" s="93">
        <f>COUNTIFS(Base!$B:$B,F$11,Base!$S:$S,"&lt;7",Base!$N:$N,"&lt;="&amp;$B126) +COUNTIFS(Base!$B:$B,F$11,Base!$AG:$AG,"&lt;7",Base!$K:$K,"&lt;="&amp;$B126) + COUNTIFS(Base!$B:$B,F$11,Base!$S:$S,"&lt;7",Base!$K:$K,"&lt;="&amp;$B126,Base!$O:$O,"Finalizado")</f>
        <v>0</v>
      </c>
    </row>
    <row r="127">
      <c r="B127" s="151">
        <f t="shared" si="180"/>
        <v>45382</v>
      </c>
      <c r="C127" s="93">
        <f>COUNTIFS(Base!$B:$B,C$11,Base!$M:$M,"&lt;"&amp;$B127,Base!$N:$N,"&gt;="&amp;$B127,Base!$O:$O,"&lt;&gt;Finalizado",Base!$O:$O,"&lt;&gt;Congelado",Base!$O:$O,"&lt;&gt;Concluindo pendências") + COUNTIFS(Base!$B:$B,C$11,Base!$M:$M,"&lt;"&amp;$B127,Base!$N:$N,"",Base!$O:$O,"&lt;&gt;Finalizado",Base!$O:$O,"&lt;&gt;Congelado",Base!$O:$O,"&lt;&gt;Concluindo pendências")</f>
        <v>5</v>
      </c>
      <c r="D127" s="93">
        <f>COUNTIFS(Base!$B:$B,D$11,Base!$M:$M,"&lt;"&amp;$B127,Base!$N:$N,"&gt;="&amp;$B127,Base!$O:$O,"&lt;&gt;Finalizado",Base!$O:$O,"&lt;&gt;Congelado",Base!$O:$O,"&lt;&gt;Concluindo pendências") + COUNTIFS(Base!$B:$B,D$11,Base!$M:$M,"&lt;"&amp;$B127,Base!$N:$N,"",Base!$O:$O,"&lt;&gt;Finalizado",Base!$O:$O,"&lt;&gt;Congelado",Base!$O:$O,"&lt;&gt;Concluindo pendências")</f>
        <v>7</v>
      </c>
      <c r="E127" s="93">
        <f>COUNTIFS(Base!$B:$B,E$11,Base!$M:$M,"&lt;"&amp;$B127,Base!$N:$N,"&gt;="&amp;$B127,Base!$O:$O,"&lt;&gt;Finalizado",Base!$O:$O,"&lt;&gt;Congelado",Base!$O:$O,"&lt;&gt;Concluindo pendências") + COUNTIFS(Base!$B:$B,E$11,Base!$M:$M,"&lt;"&amp;$B127,Base!$N:$N,"",Base!$O:$O,"&lt;&gt;Finalizado",Base!$O:$O,"&lt;&gt;Congelado",Base!$O:$O,"&lt;&gt;Concluindo pendências")</f>
        <v>2</v>
      </c>
      <c r="F127" s="93">
        <f>COUNTIFS(Base!$B:$B,F$11,Base!$M:$M,"&lt;"&amp;$B127,Base!$N:$N,"&gt;="&amp;$B127,Base!$O:$O,"&lt;&gt;Finalizado",Base!$O:$O,"&lt;&gt;Congelado",Base!$O:$O,"&lt;&gt;Concluindo pendências") + COUNTIFS(Base!$B:$B,F$11,Base!$M:$M,"&lt;"&amp;$B127,Base!$N:$N,"",Base!$O:$O,"&lt;&gt;Finalizado",Base!$O:$O,"&lt;&gt;Congelado",Base!$O:$O,"&lt;&gt;Concluindo pendências")</f>
        <v>6</v>
      </c>
      <c r="H127" s="93">
        <f>COUNTIFS(Base!$B:$B,C$11,Base!$K:$K,"&lt;"&amp;$B127,Base!$N:$N,"&gt;="&amp;$B127,Base!$O:$O,"&lt;&gt;Finalizado",Base!$O:$O,"&lt;&gt;Congelado") + COUNTIFS(Base!$B:$B,C$11,Base!$K:$K,"&lt;"&amp;$B127,Base!$N:$N,"",Base!$O:$O,"&lt;&gt;Finalizado",Base!$O:$O,"&lt;&gt;Congelado")</f>
        <v>15</v>
      </c>
      <c r="I127" s="93">
        <f>COUNTIFS(Base!$B:$B,D$11,Base!$K:$K,"&lt;"&amp;$B127,Base!$N:$N,"&gt;="&amp;$B127,Base!$O:$O,"&lt;&gt;Finalizado",Base!$O:$O,"&lt;&gt;Congelado") + COUNTIFS(Base!$B:$B,D$11,Base!$K:$K,"&lt;"&amp;$B127,Base!$N:$N,"",Base!$O:$O,"&lt;&gt;Finalizado",Base!$O:$O,"&lt;&gt;Congelado")</f>
        <v>21</v>
      </c>
      <c r="J127" s="93">
        <f>COUNTIFS(Base!$B:$B,E$11,Base!$K:$K,"&lt;"&amp;$B127,Base!$N:$N,"&gt;="&amp;$B127,Base!$O:$O,"&lt;&gt;Finalizado",Base!$O:$O,"&lt;&gt;Congelado") + COUNTIFS(Base!$B:$B,E$11,Base!$K:$K,"&lt;"&amp;$B127,Base!$N:$N,"",Base!$O:$O,"&lt;&gt;Finalizado",Base!$O:$O,"&lt;&gt;Congelado")</f>
        <v>17</v>
      </c>
      <c r="K127" s="93">
        <f>COUNTIFS(Base!$B:$B,F$11,Base!$K:$K,"&lt;"&amp;$B127,Base!$N:$N,"&gt;="&amp;$B127,Base!$O:$O,"&lt;&gt;Finalizado",Base!$O:$O,"&lt;&gt;Congelado") + COUNTIFS(Base!$B:$B,F$11,Base!$K:$K,"&lt;"&amp;$B127,Base!$N:$N,"",Base!$O:$O,"&lt;&gt;Finalizado",Base!$O:$O,"&lt;&gt;Congelado")</f>
        <v>20</v>
      </c>
      <c r="M127" s="133">
        <f t="shared" ref="M127:P127" si="191">C127/H127</f>
        <v>0.3333333333</v>
      </c>
      <c r="N127" s="133">
        <f t="shared" si="191"/>
        <v>0.3333333333</v>
      </c>
      <c r="O127" s="133">
        <f t="shared" si="191"/>
        <v>0.1176470588</v>
      </c>
      <c r="P127" s="133">
        <f t="shared" si="191"/>
        <v>0.3</v>
      </c>
      <c r="Q127" s="133">
        <f t="shared" si="9"/>
        <v>0.2739726027</v>
      </c>
      <c r="S127" s="93">
        <f t="shared" ref="S127:V127" si="192">S126+C127</f>
        <v>270</v>
      </c>
      <c r="T127" s="93">
        <f t="shared" si="192"/>
        <v>551</v>
      </c>
      <c r="U127" s="93">
        <f t="shared" si="192"/>
        <v>482</v>
      </c>
      <c r="V127" s="93">
        <f t="shared" si="192"/>
        <v>425</v>
      </c>
      <c r="W127" s="93">
        <f t="shared" si="11"/>
        <v>1728</v>
      </c>
      <c r="Y127" s="133">
        <f>(COUNTIFS(Base!$B:$B,C$11,Base!$S:$S,"&gt;8",Base!$N:$N,"&lt;="&amp;$B127) - COUNTIFS(Base!$B:$B,C$11,Base!$S:$S,"&lt;7",Base!$N:$N,"&lt;="&amp;$B127) - COUNTIFS(Base!$B:$B,C$11,Base!$S:$S,"&lt;7",Base!$K:$K,"&lt;="&amp;$B127,Base!$O:$O,"Finalizado"))/(COUNTIFS(Base!$B:$B,C$11,Base!$S:$S,"&lt;&gt;",Base!$N:$N,"&lt;="&amp;$B127)+COUNTIFS(Base!$B:$B,C$11,Base!$S:$S,"&lt;7",Base!$K:$K,"&lt;="&amp;$B127,Base!$O:$O,"Finalizado"))</f>
        <v>0.6666666667</v>
      </c>
      <c r="Z127" s="133">
        <f>(COUNTIFS(Base!$B:$B,D$11,Base!$S:$S,"&gt;8",Base!$N:$N,"&lt;="&amp;$B127) - COUNTIFS(Base!$B:$B,D$11,Base!$S:$S,"&lt;7",Base!$N:$N,"&lt;="&amp;$B127) - COUNTIFS(Base!$B:$B,D$11,Base!$S:$S,"&lt;7",Base!$K:$K,"&lt;="&amp;$B127,Base!$O:$O,"Finalizado"))/(COUNTIFS(Base!$B:$B,D$11,Base!$S:$S,"&lt;&gt;",Base!$N:$N,"&lt;="&amp;$B127)+COUNTIFS(Base!$B:$B,D$11,Base!$S:$S,"&lt;7",Base!$K:$K,"&lt;="&amp;$B127,Base!$O:$O,"Finalizado"))</f>
        <v>0.7</v>
      </c>
      <c r="AA127" s="133">
        <f>(COUNTIFS(Base!$B:$B,E$11,Base!$S:$S,"&gt;8",Base!$N:$N,"&lt;="&amp;$B127) - COUNTIFS(Base!$B:$B,E$11,Base!$S:$S,"&lt;7",Base!$N:$N,"&lt;="&amp;$B127) - COUNTIFS(Base!$B:$B,E$11,Base!$S:$S,"&lt;7",Base!$K:$K,"&lt;="&amp;$B127,Base!$O:$O,"Finalizado"))/(COUNTIFS(Base!$B:$B,E$11,Base!$S:$S,"&lt;&gt;",Base!$N:$N,"&lt;="&amp;$B127)+COUNTIFS(Base!$B:$B,E$11,Base!$S:$S,"&lt;7",Base!$K:$K,"&lt;="&amp;$B127,Base!$O:$O,"Finalizado"))</f>
        <v>0.6</v>
      </c>
      <c r="AB127" s="133">
        <f t="shared" si="12"/>
        <v>0.75</v>
      </c>
      <c r="AD127" s="93">
        <f>(COUNTIFS(Base!$B:$B,F$11,Base!$S:$S,"&gt;8",Base!$N:$N,"&lt;="&amp;$B127)+(COUNTIFS(Base!$B:$B,F$11,Base!$AG:$AG,"&gt;8",Base!$K:$K,"&lt;="&amp;$B127)))</f>
        <v>6</v>
      </c>
      <c r="AE127" s="93">
        <f>(COUNTIFS(Base!$B:$B,F$11,Base!$S:$S,"&lt;&gt;",Base!$N:$N,"&lt;="&amp;$B127)+(COUNTIFS(Base!$B:$B,F$11,Base!$AG:$AG,"&lt;&gt;",Base!$K:$K,"&lt;="&amp;$B127)+COUNTIFS(Base!$B:$B,F$11,Base!$S:$S,"&lt;7",Base!$K:$K,"&lt;="&amp;$B127,Base!$O:$O,"Finalizado")))</f>
        <v>8</v>
      </c>
      <c r="AF127" s="93">
        <f>COUNTIFS(Base!$B:$B,F$11,Base!$S:$S,"&lt;7",Base!$N:$N,"&lt;="&amp;$B127) +COUNTIFS(Base!$B:$B,F$11,Base!$AG:$AG,"&lt;7",Base!$K:$K,"&lt;="&amp;$B127) + COUNTIFS(Base!$B:$B,F$11,Base!$S:$S,"&lt;7",Base!$K:$K,"&lt;="&amp;$B127,Base!$O:$O,"Finalizado")</f>
        <v>0</v>
      </c>
    </row>
    <row r="128">
      <c r="B128" s="151">
        <f t="shared" si="180"/>
        <v>45383</v>
      </c>
      <c r="C128" s="93">
        <f>COUNTIFS(Base!$B:$B,C$11,Base!$M:$M,"&lt;"&amp;$B128,Base!$N:$N,"&gt;="&amp;$B128,Base!$O:$O,"&lt;&gt;Finalizado",Base!$O:$O,"&lt;&gt;Congelado",Base!$O:$O,"&lt;&gt;Concluindo pendências") + COUNTIFS(Base!$B:$B,C$11,Base!$M:$M,"&lt;"&amp;$B128,Base!$N:$N,"",Base!$O:$O,"&lt;&gt;Finalizado",Base!$O:$O,"&lt;&gt;Congelado",Base!$O:$O,"&lt;&gt;Concluindo pendências")</f>
        <v>5</v>
      </c>
      <c r="D128" s="93">
        <f>COUNTIFS(Base!$B:$B,D$11,Base!$M:$M,"&lt;"&amp;$B128,Base!$N:$N,"&gt;="&amp;$B128,Base!$O:$O,"&lt;&gt;Finalizado",Base!$O:$O,"&lt;&gt;Congelado",Base!$O:$O,"&lt;&gt;Concluindo pendências") + COUNTIFS(Base!$B:$B,D$11,Base!$M:$M,"&lt;"&amp;$B128,Base!$N:$N,"",Base!$O:$O,"&lt;&gt;Finalizado",Base!$O:$O,"&lt;&gt;Congelado",Base!$O:$O,"&lt;&gt;Concluindo pendências")</f>
        <v>7</v>
      </c>
      <c r="E128" s="93">
        <f>COUNTIFS(Base!$B:$B,E$11,Base!$M:$M,"&lt;"&amp;$B128,Base!$N:$N,"&gt;="&amp;$B128,Base!$O:$O,"&lt;&gt;Finalizado",Base!$O:$O,"&lt;&gt;Congelado",Base!$O:$O,"&lt;&gt;Concluindo pendências") + COUNTIFS(Base!$B:$B,E$11,Base!$M:$M,"&lt;"&amp;$B128,Base!$N:$N,"",Base!$O:$O,"&lt;&gt;Finalizado",Base!$O:$O,"&lt;&gt;Congelado",Base!$O:$O,"&lt;&gt;Concluindo pendências")</f>
        <v>2</v>
      </c>
      <c r="F128" s="93">
        <f>COUNTIFS(Base!$B:$B,F$11,Base!$M:$M,"&lt;"&amp;$B128,Base!$N:$N,"&gt;="&amp;$B128,Base!$O:$O,"&lt;&gt;Finalizado",Base!$O:$O,"&lt;&gt;Congelado",Base!$O:$O,"&lt;&gt;Concluindo pendências") + COUNTIFS(Base!$B:$B,F$11,Base!$M:$M,"&lt;"&amp;$B128,Base!$N:$N,"",Base!$O:$O,"&lt;&gt;Finalizado",Base!$O:$O,"&lt;&gt;Congelado",Base!$O:$O,"&lt;&gt;Concluindo pendências")</f>
        <v>6</v>
      </c>
      <c r="H128" s="93">
        <f>COUNTIFS(Base!$B:$B,C$11,Base!$K:$K,"&lt;"&amp;$B128,Base!$N:$N,"&gt;="&amp;$B128,Base!$O:$O,"&lt;&gt;Finalizado",Base!$O:$O,"&lt;&gt;Congelado") + COUNTIFS(Base!$B:$B,C$11,Base!$K:$K,"&lt;"&amp;$B128,Base!$N:$N,"",Base!$O:$O,"&lt;&gt;Finalizado",Base!$O:$O,"&lt;&gt;Congelado")</f>
        <v>15</v>
      </c>
      <c r="I128" s="93">
        <f>COUNTIFS(Base!$B:$B,D$11,Base!$K:$K,"&lt;"&amp;$B128,Base!$N:$N,"&gt;="&amp;$B128,Base!$O:$O,"&lt;&gt;Finalizado",Base!$O:$O,"&lt;&gt;Congelado") + COUNTIFS(Base!$B:$B,D$11,Base!$K:$K,"&lt;"&amp;$B128,Base!$N:$N,"",Base!$O:$O,"&lt;&gt;Finalizado",Base!$O:$O,"&lt;&gt;Congelado")</f>
        <v>21</v>
      </c>
      <c r="J128" s="93">
        <f>COUNTIFS(Base!$B:$B,E$11,Base!$K:$K,"&lt;"&amp;$B128,Base!$N:$N,"&gt;="&amp;$B128,Base!$O:$O,"&lt;&gt;Finalizado",Base!$O:$O,"&lt;&gt;Congelado") + COUNTIFS(Base!$B:$B,E$11,Base!$K:$K,"&lt;"&amp;$B128,Base!$N:$N,"",Base!$O:$O,"&lt;&gt;Finalizado",Base!$O:$O,"&lt;&gt;Congelado")</f>
        <v>17</v>
      </c>
      <c r="K128" s="93">
        <f>COUNTIFS(Base!$B:$B,F$11,Base!$K:$K,"&lt;"&amp;$B128,Base!$N:$N,"&gt;="&amp;$B128,Base!$O:$O,"&lt;&gt;Finalizado",Base!$O:$O,"&lt;&gt;Congelado") + COUNTIFS(Base!$B:$B,F$11,Base!$K:$K,"&lt;"&amp;$B128,Base!$N:$N,"",Base!$O:$O,"&lt;&gt;Finalizado",Base!$O:$O,"&lt;&gt;Congelado")</f>
        <v>20</v>
      </c>
      <c r="M128" s="133">
        <f t="shared" ref="M128:P128" si="193">C128/H128</f>
        <v>0.3333333333</v>
      </c>
      <c r="N128" s="133">
        <f t="shared" si="193"/>
        <v>0.3333333333</v>
      </c>
      <c r="O128" s="133">
        <f t="shared" si="193"/>
        <v>0.1176470588</v>
      </c>
      <c r="P128" s="133">
        <f t="shared" si="193"/>
        <v>0.3</v>
      </c>
      <c r="Q128" s="133">
        <f t="shared" si="9"/>
        <v>0.2739726027</v>
      </c>
      <c r="S128" s="93">
        <f t="shared" ref="S128:V128" si="194">S127+C128</f>
        <v>275</v>
      </c>
      <c r="T128" s="93">
        <f t="shared" si="194"/>
        <v>558</v>
      </c>
      <c r="U128" s="93">
        <f t="shared" si="194"/>
        <v>484</v>
      </c>
      <c r="V128" s="93">
        <f t="shared" si="194"/>
        <v>431</v>
      </c>
      <c r="W128" s="93">
        <f t="shared" si="11"/>
        <v>1748</v>
      </c>
      <c r="Y128" s="133">
        <f>(COUNTIFS(Base!$B:$B,C$11,Base!$S:$S,"&gt;8",Base!$N:$N,"&lt;="&amp;$B128) - COUNTIFS(Base!$B:$B,C$11,Base!$S:$S,"&lt;7",Base!$N:$N,"&lt;="&amp;$B128) - COUNTIFS(Base!$B:$B,C$11,Base!$S:$S,"&lt;7",Base!$K:$K,"&lt;="&amp;$B128,Base!$O:$O,"Finalizado"))/(COUNTIFS(Base!$B:$B,C$11,Base!$S:$S,"&lt;&gt;",Base!$N:$N,"&lt;="&amp;$B128)+COUNTIFS(Base!$B:$B,C$11,Base!$S:$S,"&lt;7",Base!$K:$K,"&lt;="&amp;$B128,Base!$O:$O,"Finalizado"))</f>
        <v>0.6666666667</v>
      </c>
      <c r="Z128" s="133">
        <f>(COUNTIFS(Base!$B:$B,D$11,Base!$S:$S,"&gt;8",Base!$N:$N,"&lt;="&amp;$B128) - COUNTIFS(Base!$B:$B,D$11,Base!$S:$S,"&lt;7",Base!$N:$N,"&lt;="&amp;$B128) - COUNTIFS(Base!$B:$B,D$11,Base!$S:$S,"&lt;7",Base!$K:$K,"&lt;="&amp;$B128,Base!$O:$O,"Finalizado"))/(COUNTIFS(Base!$B:$B,D$11,Base!$S:$S,"&lt;&gt;",Base!$N:$N,"&lt;="&amp;$B128)+COUNTIFS(Base!$B:$B,D$11,Base!$S:$S,"&lt;7",Base!$K:$K,"&lt;="&amp;$B128,Base!$O:$O,"Finalizado"))</f>
        <v>0.7142857143</v>
      </c>
      <c r="AA128" s="133">
        <f>(COUNTIFS(Base!$B:$B,E$11,Base!$S:$S,"&gt;8",Base!$N:$N,"&lt;="&amp;$B128) - COUNTIFS(Base!$B:$B,E$11,Base!$S:$S,"&lt;7",Base!$N:$N,"&lt;="&amp;$B128) - COUNTIFS(Base!$B:$B,E$11,Base!$S:$S,"&lt;7",Base!$K:$K,"&lt;="&amp;$B128,Base!$O:$O,"Finalizado"))/(COUNTIFS(Base!$B:$B,E$11,Base!$S:$S,"&lt;&gt;",Base!$N:$N,"&lt;="&amp;$B128)+COUNTIFS(Base!$B:$B,E$11,Base!$S:$S,"&lt;7",Base!$K:$K,"&lt;="&amp;$B128,Base!$O:$O,"Finalizado"))</f>
        <v>0.6</v>
      </c>
      <c r="AB128" s="133">
        <f t="shared" si="12"/>
        <v>0.75</v>
      </c>
      <c r="AD128" s="93">
        <f>(COUNTIFS(Base!$B:$B,F$11,Base!$S:$S,"&gt;8",Base!$N:$N,"&lt;="&amp;$B128)+(COUNTIFS(Base!$B:$B,F$11,Base!$AG:$AG,"&gt;8",Base!$K:$K,"&lt;="&amp;$B128)))</f>
        <v>6</v>
      </c>
      <c r="AE128" s="93">
        <f>(COUNTIFS(Base!$B:$B,F$11,Base!$S:$S,"&lt;&gt;",Base!$N:$N,"&lt;="&amp;$B128)+(COUNTIFS(Base!$B:$B,F$11,Base!$AG:$AG,"&lt;&gt;",Base!$K:$K,"&lt;="&amp;$B128)+COUNTIFS(Base!$B:$B,F$11,Base!$S:$S,"&lt;7",Base!$K:$K,"&lt;="&amp;$B128,Base!$O:$O,"Finalizado")))</f>
        <v>8</v>
      </c>
      <c r="AF128" s="93">
        <f>COUNTIFS(Base!$B:$B,F$11,Base!$S:$S,"&lt;7",Base!$N:$N,"&lt;="&amp;$B128) +COUNTIFS(Base!$B:$B,F$11,Base!$AG:$AG,"&lt;7",Base!$K:$K,"&lt;="&amp;$B128) + COUNTIFS(Base!$B:$B,F$11,Base!$S:$S,"&lt;7",Base!$K:$K,"&lt;="&amp;$B128,Base!$O:$O,"Finalizado")</f>
        <v>0</v>
      </c>
    </row>
    <row r="129">
      <c r="B129" s="151">
        <f t="shared" si="180"/>
        <v>45384</v>
      </c>
      <c r="C129" s="93">
        <f>COUNTIFS(Base!$B:$B,C$11,Base!$M:$M,"&lt;"&amp;$B129,Base!$N:$N,"&gt;="&amp;$B129,Base!$O:$O,"&lt;&gt;Finalizado",Base!$O:$O,"&lt;&gt;Congelado",Base!$O:$O,"&lt;&gt;Concluindo pendências") + COUNTIFS(Base!$B:$B,C$11,Base!$M:$M,"&lt;"&amp;$B129,Base!$N:$N,"",Base!$O:$O,"&lt;&gt;Finalizado",Base!$O:$O,"&lt;&gt;Congelado",Base!$O:$O,"&lt;&gt;Concluindo pendências")</f>
        <v>6</v>
      </c>
      <c r="D129" s="93">
        <f>COUNTIFS(Base!$B:$B,D$11,Base!$M:$M,"&lt;"&amp;$B129,Base!$N:$N,"&gt;="&amp;$B129,Base!$O:$O,"&lt;&gt;Finalizado",Base!$O:$O,"&lt;&gt;Congelado",Base!$O:$O,"&lt;&gt;Concluindo pendências") + COUNTIFS(Base!$B:$B,D$11,Base!$M:$M,"&lt;"&amp;$B129,Base!$N:$N,"",Base!$O:$O,"&lt;&gt;Finalizado",Base!$O:$O,"&lt;&gt;Congelado",Base!$O:$O,"&lt;&gt;Concluindo pendências")</f>
        <v>6</v>
      </c>
      <c r="E129" s="93">
        <f>COUNTIFS(Base!$B:$B,E$11,Base!$M:$M,"&lt;"&amp;$B129,Base!$N:$N,"&gt;="&amp;$B129,Base!$O:$O,"&lt;&gt;Finalizado",Base!$O:$O,"&lt;&gt;Congelado",Base!$O:$O,"&lt;&gt;Concluindo pendências") + COUNTIFS(Base!$B:$B,E$11,Base!$M:$M,"&lt;"&amp;$B129,Base!$N:$N,"",Base!$O:$O,"&lt;&gt;Finalizado",Base!$O:$O,"&lt;&gt;Congelado",Base!$O:$O,"&lt;&gt;Concluindo pendências")</f>
        <v>3</v>
      </c>
      <c r="F129" s="93">
        <f>COUNTIFS(Base!$B:$B,F$11,Base!$M:$M,"&lt;"&amp;$B129,Base!$N:$N,"&gt;="&amp;$B129,Base!$O:$O,"&lt;&gt;Finalizado",Base!$O:$O,"&lt;&gt;Congelado",Base!$O:$O,"&lt;&gt;Concluindo pendências") + COUNTIFS(Base!$B:$B,F$11,Base!$M:$M,"&lt;"&amp;$B129,Base!$N:$N,"",Base!$O:$O,"&lt;&gt;Finalizado",Base!$O:$O,"&lt;&gt;Congelado",Base!$O:$O,"&lt;&gt;Concluindo pendências")</f>
        <v>6</v>
      </c>
      <c r="H129" s="93">
        <f>COUNTIFS(Base!$B:$B,C$11,Base!$K:$K,"&lt;"&amp;$B129,Base!$N:$N,"&gt;="&amp;$B129,Base!$O:$O,"&lt;&gt;Finalizado",Base!$O:$O,"&lt;&gt;Congelado") + COUNTIFS(Base!$B:$B,C$11,Base!$K:$K,"&lt;"&amp;$B129,Base!$N:$N,"",Base!$O:$O,"&lt;&gt;Finalizado",Base!$O:$O,"&lt;&gt;Congelado")</f>
        <v>15</v>
      </c>
      <c r="I129" s="93">
        <f>COUNTIFS(Base!$B:$B,D$11,Base!$K:$K,"&lt;"&amp;$B129,Base!$N:$N,"&gt;="&amp;$B129,Base!$O:$O,"&lt;&gt;Finalizado",Base!$O:$O,"&lt;&gt;Congelado") + COUNTIFS(Base!$B:$B,D$11,Base!$K:$K,"&lt;"&amp;$B129,Base!$N:$N,"",Base!$O:$O,"&lt;&gt;Finalizado",Base!$O:$O,"&lt;&gt;Congelado")</f>
        <v>21</v>
      </c>
      <c r="J129" s="93">
        <f>COUNTIFS(Base!$B:$B,E$11,Base!$K:$K,"&lt;"&amp;$B129,Base!$N:$N,"&gt;="&amp;$B129,Base!$O:$O,"&lt;&gt;Finalizado",Base!$O:$O,"&lt;&gt;Congelado") + COUNTIFS(Base!$B:$B,E$11,Base!$K:$K,"&lt;"&amp;$B129,Base!$N:$N,"",Base!$O:$O,"&lt;&gt;Finalizado",Base!$O:$O,"&lt;&gt;Congelado")</f>
        <v>17</v>
      </c>
      <c r="K129" s="93">
        <f>COUNTIFS(Base!$B:$B,F$11,Base!$K:$K,"&lt;"&amp;$B129,Base!$N:$N,"&gt;="&amp;$B129,Base!$O:$O,"&lt;&gt;Finalizado",Base!$O:$O,"&lt;&gt;Congelado") + COUNTIFS(Base!$B:$B,F$11,Base!$K:$K,"&lt;"&amp;$B129,Base!$N:$N,"",Base!$O:$O,"&lt;&gt;Finalizado",Base!$O:$O,"&lt;&gt;Congelado")</f>
        <v>20</v>
      </c>
      <c r="M129" s="133">
        <f t="shared" ref="M129:P129" si="195">C129/H129</f>
        <v>0.4</v>
      </c>
      <c r="N129" s="133">
        <f t="shared" si="195"/>
        <v>0.2857142857</v>
      </c>
      <c r="O129" s="133">
        <f t="shared" si="195"/>
        <v>0.1764705882</v>
      </c>
      <c r="P129" s="133">
        <f t="shared" si="195"/>
        <v>0.3</v>
      </c>
      <c r="Q129" s="133">
        <f t="shared" si="9"/>
        <v>0.2876712329</v>
      </c>
      <c r="S129" s="93">
        <f t="shared" ref="S129:V129" si="196">S128+C129</f>
        <v>281</v>
      </c>
      <c r="T129" s="93">
        <f t="shared" si="196"/>
        <v>564</v>
      </c>
      <c r="U129" s="93">
        <f t="shared" si="196"/>
        <v>487</v>
      </c>
      <c r="V129" s="93">
        <f t="shared" si="196"/>
        <v>437</v>
      </c>
      <c r="W129" s="93">
        <f t="shared" si="11"/>
        <v>1769</v>
      </c>
      <c r="Y129" s="133">
        <f>(COUNTIFS(Base!$B:$B,C$11,Base!$S:$S,"&gt;8",Base!$N:$N,"&lt;="&amp;$B129) - COUNTIFS(Base!$B:$B,C$11,Base!$S:$S,"&lt;7",Base!$N:$N,"&lt;="&amp;$B129) - COUNTIFS(Base!$B:$B,C$11,Base!$S:$S,"&lt;7",Base!$K:$K,"&lt;="&amp;$B129,Base!$O:$O,"Finalizado"))/(COUNTIFS(Base!$B:$B,C$11,Base!$S:$S,"&lt;&gt;",Base!$N:$N,"&lt;="&amp;$B129)+COUNTIFS(Base!$B:$B,C$11,Base!$S:$S,"&lt;7",Base!$K:$K,"&lt;="&amp;$B129,Base!$O:$O,"Finalizado"))</f>
        <v>0.6666666667</v>
      </c>
      <c r="Z129" s="133">
        <f>(COUNTIFS(Base!$B:$B,D$11,Base!$S:$S,"&gt;8",Base!$N:$N,"&lt;="&amp;$B129) - COUNTIFS(Base!$B:$B,D$11,Base!$S:$S,"&lt;7",Base!$N:$N,"&lt;="&amp;$B129) - COUNTIFS(Base!$B:$B,D$11,Base!$S:$S,"&lt;7",Base!$K:$K,"&lt;="&amp;$B129,Base!$O:$O,"Finalizado"))/(COUNTIFS(Base!$B:$B,D$11,Base!$S:$S,"&lt;&gt;",Base!$N:$N,"&lt;="&amp;$B129)+COUNTIFS(Base!$B:$B,D$11,Base!$S:$S,"&lt;7",Base!$K:$K,"&lt;="&amp;$B129,Base!$O:$O,"Finalizado"))</f>
        <v>0.7142857143</v>
      </c>
      <c r="AA129" s="133">
        <f>(COUNTIFS(Base!$B:$B,E$11,Base!$S:$S,"&gt;8",Base!$N:$N,"&lt;="&amp;$B129) - COUNTIFS(Base!$B:$B,E$11,Base!$S:$S,"&lt;7",Base!$N:$N,"&lt;="&amp;$B129) - COUNTIFS(Base!$B:$B,E$11,Base!$S:$S,"&lt;7",Base!$K:$K,"&lt;="&amp;$B129,Base!$O:$O,"Finalizado"))/(COUNTIFS(Base!$B:$B,E$11,Base!$S:$S,"&lt;&gt;",Base!$N:$N,"&lt;="&amp;$B129)+COUNTIFS(Base!$B:$B,E$11,Base!$S:$S,"&lt;7",Base!$K:$K,"&lt;="&amp;$B129,Base!$O:$O,"Finalizado"))</f>
        <v>0.6</v>
      </c>
      <c r="AB129" s="133">
        <f t="shared" si="12"/>
        <v>0.75</v>
      </c>
      <c r="AD129" s="93">
        <f>(COUNTIFS(Base!$B:$B,F$11,Base!$S:$S,"&gt;8",Base!$N:$N,"&lt;="&amp;$B129)+(COUNTIFS(Base!$B:$B,F$11,Base!$AG:$AG,"&gt;8",Base!$K:$K,"&lt;="&amp;$B129)))</f>
        <v>6</v>
      </c>
      <c r="AE129" s="93">
        <f>(COUNTIFS(Base!$B:$B,F$11,Base!$S:$S,"&lt;&gt;",Base!$N:$N,"&lt;="&amp;$B129)+(COUNTIFS(Base!$B:$B,F$11,Base!$AG:$AG,"&lt;&gt;",Base!$K:$K,"&lt;="&amp;$B129)+COUNTIFS(Base!$B:$B,F$11,Base!$S:$S,"&lt;7",Base!$K:$K,"&lt;="&amp;$B129,Base!$O:$O,"Finalizado")))</f>
        <v>8</v>
      </c>
      <c r="AF129" s="93">
        <f>COUNTIFS(Base!$B:$B,F$11,Base!$S:$S,"&lt;7",Base!$N:$N,"&lt;="&amp;$B129) +COUNTIFS(Base!$B:$B,F$11,Base!$AG:$AG,"&lt;7",Base!$K:$K,"&lt;="&amp;$B129) + COUNTIFS(Base!$B:$B,F$11,Base!$S:$S,"&lt;7",Base!$K:$K,"&lt;="&amp;$B129,Base!$O:$O,"Finalizado")</f>
        <v>0</v>
      </c>
    </row>
    <row r="130">
      <c r="B130" s="151">
        <f t="shared" si="180"/>
        <v>45385</v>
      </c>
      <c r="C130" s="93">
        <f>COUNTIFS(Base!$B:$B,C$11,Base!$M:$M,"&lt;"&amp;$B130,Base!$N:$N,"&gt;="&amp;$B130,Base!$O:$O,"&lt;&gt;Finalizado",Base!$O:$O,"&lt;&gt;Congelado",Base!$O:$O,"&lt;&gt;Concluindo pendências") + COUNTIFS(Base!$B:$B,C$11,Base!$M:$M,"&lt;"&amp;$B130,Base!$N:$N,"",Base!$O:$O,"&lt;&gt;Finalizado",Base!$O:$O,"&lt;&gt;Congelado",Base!$O:$O,"&lt;&gt;Concluindo pendências")</f>
        <v>6</v>
      </c>
      <c r="D130" s="93">
        <f>COUNTIFS(Base!$B:$B,D$11,Base!$M:$M,"&lt;"&amp;$B130,Base!$N:$N,"&gt;="&amp;$B130,Base!$O:$O,"&lt;&gt;Finalizado",Base!$O:$O,"&lt;&gt;Congelado",Base!$O:$O,"&lt;&gt;Concluindo pendências") + COUNTIFS(Base!$B:$B,D$11,Base!$M:$M,"&lt;"&amp;$B130,Base!$N:$N,"",Base!$O:$O,"&lt;&gt;Finalizado",Base!$O:$O,"&lt;&gt;Congelado",Base!$O:$O,"&lt;&gt;Concluindo pendências")</f>
        <v>6</v>
      </c>
      <c r="E130" s="93">
        <f>COUNTIFS(Base!$B:$B,E$11,Base!$M:$M,"&lt;"&amp;$B130,Base!$N:$N,"&gt;="&amp;$B130,Base!$O:$O,"&lt;&gt;Finalizado",Base!$O:$O,"&lt;&gt;Congelado",Base!$O:$O,"&lt;&gt;Concluindo pendências") + COUNTIFS(Base!$B:$B,E$11,Base!$M:$M,"&lt;"&amp;$B130,Base!$N:$N,"",Base!$O:$O,"&lt;&gt;Finalizado",Base!$O:$O,"&lt;&gt;Congelado",Base!$O:$O,"&lt;&gt;Concluindo pendências")</f>
        <v>3</v>
      </c>
      <c r="F130" s="93">
        <f>COUNTIFS(Base!$B:$B,F$11,Base!$M:$M,"&lt;"&amp;$B130,Base!$N:$N,"&gt;="&amp;$B130,Base!$O:$O,"&lt;&gt;Finalizado",Base!$O:$O,"&lt;&gt;Congelado",Base!$O:$O,"&lt;&gt;Concluindo pendências") + COUNTIFS(Base!$B:$B,F$11,Base!$M:$M,"&lt;"&amp;$B130,Base!$N:$N,"",Base!$O:$O,"&lt;&gt;Finalizado",Base!$O:$O,"&lt;&gt;Congelado",Base!$O:$O,"&lt;&gt;Concluindo pendências")</f>
        <v>7</v>
      </c>
      <c r="H130" s="93">
        <f>COUNTIFS(Base!$B:$B,C$11,Base!$K:$K,"&lt;"&amp;$B130,Base!$N:$N,"&gt;="&amp;$B130,Base!$O:$O,"&lt;&gt;Finalizado",Base!$O:$O,"&lt;&gt;Congelado") + COUNTIFS(Base!$B:$B,C$11,Base!$K:$K,"&lt;"&amp;$B130,Base!$N:$N,"",Base!$O:$O,"&lt;&gt;Finalizado",Base!$O:$O,"&lt;&gt;Congelado")</f>
        <v>15</v>
      </c>
      <c r="I130" s="93">
        <f>COUNTIFS(Base!$B:$B,D$11,Base!$K:$K,"&lt;"&amp;$B130,Base!$N:$N,"&gt;="&amp;$B130,Base!$O:$O,"&lt;&gt;Finalizado",Base!$O:$O,"&lt;&gt;Congelado") + COUNTIFS(Base!$B:$B,D$11,Base!$K:$K,"&lt;"&amp;$B130,Base!$N:$N,"",Base!$O:$O,"&lt;&gt;Finalizado",Base!$O:$O,"&lt;&gt;Congelado")</f>
        <v>22</v>
      </c>
      <c r="J130" s="93">
        <f>COUNTIFS(Base!$B:$B,E$11,Base!$K:$K,"&lt;"&amp;$B130,Base!$N:$N,"&gt;="&amp;$B130,Base!$O:$O,"&lt;&gt;Finalizado",Base!$O:$O,"&lt;&gt;Congelado") + COUNTIFS(Base!$B:$B,E$11,Base!$K:$K,"&lt;"&amp;$B130,Base!$N:$N,"",Base!$O:$O,"&lt;&gt;Finalizado",Base!$O:$O,"&lt;&gt;Congelado")</f>
        <v>17</v>
      </c>
      <c r="K130" s="93">
        <f>COUNTIFS(Base!$B:$B,F$11,Base!$K:$K,"&lt;"&amp;$B130,Base!$N:$N,"&gt;="&amp;$B130,Base!$O:$O,"&lt;&gt;Finalizado",Base!$O:$O,"&lt;&gt;Congelado") + COUNTIFS(Base!$B:$B,F$11,Base!$K:$K,"&lt;"&amp;$B130,Base!$N:$N,"",Base!$O:$O,"&lt;&gt;Finalizado",Base!$O:$O,"&lt;&gt;Congelado")</f>
        <v>21</v>
      </c>
      <c r="M130" s="133">
        <f t="shared" ref="M130:P130" si="197">C130/H130</f>
        <v>0.4</v>
      </c>
      <c r="N130" s="133">
        <f t="shared" si="197"/>
        <v>0.2727272727</v>
      </c>
      <c r="O130" s="133">
        <f t="shared" si="197"/>
        <v>0.1764705882</v>
      </c>
      <c r="P130" s="133">
        <f t="shared" si="197"/>
        <v>0.3333333333</v>
      </c>
      <c r="Q130" s="133">
        <f t="shared" si="9"/>
        <v>0.2933333333</v>
      </c>
      <c r="S130" s="93">
        <f t="shared" ref="S130:V130" si="198">S129+C130</f>
        <v>287</v>
      </c>
      <c r="T130" s="93">
        <f t="shared" si="198"/>
        <v>570</v>
      </c>
      <c r="U130" s="93">
        <f t="shared" si="198"/>
        <v>490</v>
      </c>
      <c r="V130" s="93">
        <f t="shared" si="198"/>
        <v>444</v>
      </c>
      <c r="W130" s="93">
        <f t="shared" si="11"/>
        <v>1791</v>
      </c>
      <c r="Y130" s="133">
        <f>(COUNTIFS(Base!$B:$B,C$11,Base!$S:$S,"&gt;8",Base!$N:$N,"&lt;="&amp;$B130) - COUNTIFS(Base!$B:$B,C$11,Base!$S:$S,"&lt;7",Base!$N:$N,"&lt;="&amp;$B130) - COUNTIFS(Base!$B:$B,C$11,Base!$S:$S,"&lt;7",Base!$K:$K,"&lt;="&amp;$B130,Base!$O:$O,"Finalizado"))/(COUNTIFS(Base!$B:$B,C$11,Base!$S:$S,"&lt;&gt;",Base!$N:$N,"&lt;="&amp;$B130)+COUNTIFS(Base!$B:$B,C$11,Base!$S:$S,"&lt;7",Base!$K:$K,"&lt;="&amp;$B130,Base!$O:$O,"Finalizado"))</f>
        <v>0.6666666667</v>
      </c>
      <c r="Z130" s="133">
        <f>(COUNTIFS(Base!$B:$B,D$11,Base!$S:$S,"&gt;8",Base!$N:$N,"&lt;="&amp;$B130) - COUNTIFS(Base!$B:$B,D$11,Base!$S:$S,"&lt;7",Base!$N:$N,"&lt;="&amp;$B130) - COUNTIFS(Base!$B:$B,D$11,Base!$S:$S,"&lt;7",Base!$K:$K,"&lt;="&amp;$B130,Base!$O:$O,"Finalizado"))/(COUNTIFS(Base!$B:$B,D$11,Base!$S:$S,"&lt;&gt;",Base!$N:$N,"&lt;="&amp;$B130)+COUNTIFS(Base!$B:$B,D$11,Base!$S:$S,"&lt;7",Base!$K:$K,"&lt;="&amp;$B130,Base!$O:$O,"Finalizado"))</f>
        <v>0.7142857143</v>
      </c>
      <c r="AA130" s="133">
        <f>(COUNTIFS(Base!$B:$B,E$11,Base!$S:$S,"&gt;8",Base!$N:$N,"&lt;="&amp;$B130) - COUNTIFS(Base!$B:$B,E$11,Base!$S:$S,"&lt;7",Base!$N:$N,"&lt;="&amp;$B130) - COUNTIFS(Base!$B:$B,E$11,Base!$S:$S,"&lt;7",Base!$K:$K,"&lt;="&amp;$B130,Base!$O:$O,"Finalizado"))/(COUNTIFS(Base!$B:$B,E$11,Base!$S:$S,"&lt;&gt;",Base!$N:$N,"&lt;="&amp;$B130)+COUNTIFS(Base!$B:$B,E$11,Base!$S:$S,"&lt;7",Base!$K:$K,"&lt;="&amp;$B130,Base!$O:$O,"Finalizado"))</f>
        <v>0.6</v>
      </c>
      <c r="AB130" s="133">
        <f t="shared" si="12"/>
        <v>0.75</v>
      </c>
      <c r="AD130" s="93">
        <f>(COUNTIFS(Base!$B:$B,F$11,Base!$S:$S,"&gt;8",Base!$N:$N,"&lt;="&amp;$B130)+(COUNTIFS(Base!$B:$B,F$11,Base!$AG:$AG,"&gt;8",Base!$K:$K,"&lt;="&amp;$B130)))</f>
        <v>6</v>
      </c>
      <c r="AE130" s="93">
        <f>(COUNTIFS(Base!$B:$B,F$11,Base!$S:$S,"&lt;&gt;",Base!$N:$N,"&lt;="&amp;$B130)+(COUNTIFS(Base!$B:$B,F$11,Base!$AG:$AG,"&lt;&gt;",Base!$K:$K,"&lt;="&amp;$B130)+COUNTIFS(Base!$B:$B,F$11,Base!$S:$S,"&lt;7",Base!$K:$K,"&lt;="&amp;$B130,Base!$O:$O,"Finalizado")))</f>
        <v>8</v>
      </c>
      <c r="AF130" s="93">
        <f>COUNTIFS(Base!$B:$B,F$11,Base!$S:$S,"&lt;7",Base!$N:$N,"&lt;="&amp;$B130) +COUNTIFS(Base!$B:$B,F$11,Base!$AG:$AG,"&lt;7",Base!$K:$K,"&lt;="&amp;$B130) + COUNTIFS(Base!$B:$B,F$11,Base!$S:$S,"&lt;7",Base!$K:$K,"&lt;="&amp;$B130,Base!$O:$O,"Finalizado")</f>
        <v>0</v>
      </c>
    </row>
    <row r="131">
      <c r="B131" s="151">
        <f t="shared" si="180"/>
        <v>45386</v>
      </c>
      <c r="C131" s="93">
        <f>COUNTIFS(Base!$B:$B,C$11,Base!$M:$M,"&lt;"&amp;$B131,Base!$N:$N,"&gt;="&amp;$B131,Base!$O:$O,"&lt;&gt;Finalizado",Base!$O:$O,"&lt;&gt;Congelado",Base!$O:$O,"&lt;&gt;Concluindo pendências") + COUNTIFS(Base!$B:$B,C$11,Base!$M:$M,"&lt;"&amp;$B131,Base!$N:$N,"",Base!$O:$O,"&lt;&gt;Finalizado",Base!$O:$O,"&lt;&gt;Congelado",Base!$O:$O,"&lt;&gt;Concluindo pendências")</f>
        <v>7</v>
      </c>
      <c r="D131" s="93">
        <f>COUNTIFS(Base!$B:$B,D$11,Base!$M:$M,"&lt;"&amp;$B131,Base!$N:$N,"&gt;="&amp;$B131,Base!$O:$O,"&lt;&gt;Finalizado",Base!$O:$O,"&lt;&gt;Congelado",Base!$O:$O,"&lt;&gt;Concluindo pendências") + COUNTIFS(Base!$B:$B,D$11,Base!$M:$M,"&lt;"&amp;$B131,Base!$N:$N,"",Base!$O:$O,"&lt;&gt;Finalizado",Base!$O:$O,"&lt;&gt;Congelado",Base!$O:$O,"&lt;&gt;Concluindo pendências")</f>
        <v>6</v>
      </c>
      <c r="E131" s="93">
        <f>COUNTIFS(Base!$B:$B,E$11,Base!$M:$M,"&lt;"&amp;$B131,Base!$N:$N,"&gt;="&amp;$B131,Base!$O:$O,"&lt;&gt;Finalizado",Base!$O:$O,"&lt;&gt;Congelado",Base!$O:$O,"&lt;&gt;Concluindo pendências") + COUNTIFS(Base!$B:$B,E$11,Base!$M:$M,"&lt;"&amp;$B131,Base!$N:$N,"",Base!$O:$O,"&lt;&gt;Finalizado",Base!$O:$O,"&lt;&gt;Congelado",Base!$O:$O,"&lt;&gt;Concluindo pendências")</f>
        <v>3</v>
      </c>
      <c r="F131" s="93">
        <f>COUNTIFS(Base!$B:$B,F$11,Base!$M:$M,"&lt;"&amp;$B131,Base!$N:$N,"&gt;="&amp;$B131,Base!$O:$O,"&lt;&gt;Finalizado",Base!$O:$O,"&lt;&gt;Congelado",Base!$O:$O,"&lt;&gt;Concluindo pendências") + COUNTIFS(Base!$B:$B,F$11,Base!$M:$M,"&lt;"&amp;$B131,Base!$N:$N,"",Base!$O:$O,"&lt;&gt;Finalizado",Base!$O:$O,"&lt;&gt;Congelado",Base!$O:$O,"&lt;&gt;Concluindo pendências")</f>
        <v>7</v>
      </c>
      <c r="H131" s="93">
        <f>COUNTIFS(Base!$B:$B,C$11,Base!$K:$K,"&lt;"&amp;$B131,Base!$N:$N,"&gt;="&amp;$B131,Base!$O:$O,"&lt;&gt;Finalizado",Base!$O:$O,"&lt;&gt;Congelado") + COUNTIFS(Base!$B:$B,C$11,Base!$K:$K,"&lt;"&amp;$B131,Base!$N:$N,"",Base!$O:$O,"&lt;&gt;Finalizado",Base!$O:$O,"&lt;&gt;Congelado")</f>
        <v>15</v>
      </c>
      <c r="I131" s="93">
        <f>COUNTIFS(Base!$B:$B,D$11,Base!$K:$K,"&lt;"&amp;$B131,Base!$N:$N,"&gt;="&amp;$B131,Base!$O:$O,"&lt;&gt;Finalizado",Base!$O:$O,"&lt;&gt;Congelado") + COUNTIFS(Base!$B:$B,D$11,Base!$K:$K,"&lt;"&amp;$B131,Base!$N:$N,"",Base!$O:$O,"&lt;&gt;Finalizado",Base!$O:$O,"&lt;&gt;Congelado")</f>
        <v>22</v>
      </c>
      <c r="J131" s="93">
        <f>COUNTIFS(Base!$B:$B,E$11,Base!$K:$K,"&lt;"&amp;$B131,Base!$N:$N,"&gt;="&amp;$B131,Base!$O:$O,"&lt;&gt;Finalizado",Base!$O:$O,"&lt;&gt;Congelado") + COUNTIFS(Base!$B:$B,E$11,Base!$K:$K,"&lt;"&amp;$B131,Base!$N:$N,"",Base!$O:$O,"&lt;&gt;Finalizado",Base!$O:$O,"&lt;&gt;Congelado")</f>
        <v>17</v>
      </c>
      <c r="K131" s="93">
        <f>COUNTIFS(Base!$B:$B,F$11,Base!$K:$K,"&lt;"&amp;$B131,Base!$N:$N,"&gt;="&amp;$B131,Base!$O:$O,"&lt;&gt;Finalizado",Base!$O:$O,"&lt;&gt;Congelado") + COUNTIFS(Base!$B:$B,F$11,Base!$K:$K,"&lt;"&amp;$B131,Base!$N:$N,"",Base!$O:$O,"&lt;&gt;Finalizado",Base!$O:$O,"&lt;&gt;Congelado")</f>
        <v>21</v>
      </c>
      <c r="M131" s="133">
        <f t="shared" ref="M131:P131" si="199">C131/H131</f>
        <v>0.4666666667</v>
      </c>
      <c r="N131" s="133">
        <f t="shared" si="199"/>
        <v>0.2727272727</v>
      </c>
      <c r="O131" s="133">
        <f t="shared" si="199"/>
        <v>0.1764705882</v>
      </c>
      <c r="P131" s="133">
        <f t="shared" si="199"/>
        <v>0.3333333333</v>
      </c>
      <c r="Q131" s="133">
        <f t="shared" si="9"/>
        <v>0.3066666667</v>
      </c>
      <c r="S131" s="93">
        <f t="shared" ref="S131:V131" si="200">S130+C131</f>
        <v>294</v>
      </c>
      <c r="T131" s="93">
        <f t="shared" si="200"/>
        <v>576</v>
      </c>
      <c r="U131" s="93">
        <f t="shared" si="200"/>
        <v>493</v>
      </c>
      <c r="V131" s="93">
        <f t="shared" si="200"/>
        <v>451</v>
      </c>
      <c r="W131" s="93">
        <f t="shared" si="11"/>
        <v>1814</v>
      </c>
      <c r="Y131" s="133">
        <f>(COUNTIFS(Base!$B:$B,C$11,Base!$S:$S,"&gt;8",Base!$N:$N,"&lt;="&amp;$B131) - COUNTIFS(Base!$B:$B,C$11,Base!$S:$S,"&lt;7",Base!$N:$N,"&lt;="&amp;$B131) - COUNTIFS(Base!$B:$B,C$11,Base!$S:$S,"&lt;7",Base!$K:$K,"&lt;="&amp;$B131,Base!$O:$O,"Finalizado"))/(COUNTIFS(Base!$B:$B,C$11,Base!$S:$S,"&lt;&gt;",Base!$N:$N,"&lt;="&amp;$B131)+COUNTIFS(Base!$B:$B,C$11,Base!$S:$S,"&lt;7",Base!$K:$K,"&lt;="&amp;$B131,Base!$O:$O,"Finalizado"))</f>
        <v>0.6666666667</v>
      </c>
      <c r="Z131" s="133">
        <f>(COUNTIFS(Base!$B:$B,D$11,Base!$S:$S,"&gt;8",Base!$N:$N,"&lt;="&amp;$B131) - COUNTIFS(Base!$B:$B,D$11,Base!$S:$S,"&lt;7",Base!$N:$N,"&lt;="&amp;$B131) - COUNTIFS(Base!$B:$B,D$11,Base!$S:$S,"&lt;7",Base!$K:$K,"&lt;="&amp;$B131,Base!$O:$O,"Finalizado"))/(COUNTIFS(Base!$B:$B,D$11,Base!$S:$S,"&lt;&gt;",Base!$N:$N,"&lt;="&amp;$B131)+COUNTIFS(Base!$B:$B,D$11,Base!$S:$S,"&lt;7",Base!$K:$K,"&lt;="&amp;$B131,Base!$O:$O,"Finalizado"))</f>
        <v>0.7142857143</v>
      </c>
      <c r="AA131" s="133">
        <f>(COUNTIFS(Base!$B:$B,E$11,Base!$S:$S,"&gt;8",Base!$N:$N,"&lt;="&amp;$B131) - COUNTIFS(Base!$B:$B,E$11,Base!$S:$S,"&lt;7",Base!$N:$N,"&lt;="&amp;$B131) - COUNTIFS(Base!$B:$B,E$11,Base!$S:$S,"&lt;7",Base!$K:$K,"&lt;="&amp;$B131,Base!$O:$O,"Finalizado"))/(COUNTIFS(Base!$B:$B,E$11,Base!$S:$S,"&lt;&gt;",Base!$N:$N,"&lt;="&amp;$B131)+COUNTIFS(Base!$B:$B,E$11,Base!$S:$S,"&lt;7",Base!$K:$K,"&lt;="&amp;$B131,Base!$O:$O,"Finalizado"))</f>
        <v>0.6</v>
      </c>
      <c r="AB131" s="133">
        <f t="shared" si="12"/>
        <v>0.75</v>
      </c>
      <c r="AD131" s="93">
        <f>(COUNTIFS(Base!$B:$B,F$11,Base!$S:$S,"&gt;8",Base!$N:$N,"&lt;="&amp;$B131)+(COUNTIFS(Base!$B:$B,F$11,Base!$AG:$AG,"&gt;8",Base!$K:$K,"&lt;="&amp;$B131)))</f>
        <v>6</v>
      </c>
      <c r="AE131" s="93">
        <f>(COUNTIFS(Base!$B:$B,F$11,Base!$S:$S,"&lt;&gt;",Base!$N:$N,"&lt;="&amp;$B131)+(COUNTIFS(Base!$B:$B,F$11,Base!$AG:$AG,"&lt;&gt;",Base!$K:$K,"&lt;="&amp;$B131)+COUNTIFS(Base!$B:$B,F$11,Base!$S:$S,"&lt;7",Base!$K:$K,"&lt;="&amp;$B131,Base!$O:$O,"Finalizado")))</f>
        <v>8</v>
      </c>
      <c r="AF131" s="93">
        <f>COUNTIFS(Base!$B:$B,F$11,Base!$S:$S,"&lt;7",Base!$N:$N,"&lt;="&amp;$B131) +COUNTIFS(Base!$B:$B,F$11,Base!$AG:$AG,"&lt;7",Base!$K:$K,"&lt;="&amp;$B131) + COUNTIFS(Base!$B:$B,F$11,Base!$S:$S,"&lt;7",Base!$K:$K,"&lt;="&amp;$B131,Base!$O:$O,"Finalizado")</f>
        <v>0</v>
      </c>
    </row>
    <row r="132">
      <c r="B132" s="151">
        <f t="shared" si="180"/>
        <v>45387</v>
      </c>
      <c r="C132" s="93">
        <f>COUNTIFS(Base!$B:$B,C$11,Base!$M:$M,"&lt;"&amp;$B132,Base!$N:$N,"&gt;="&amp;$B132,Base!$O:$O,"&lt;&gt;Finalizado",Base!$O:$O,"&lt;&gt;Congelado",Base!$O:$O,"&lt;&gt;Concluindo pendências") + COUNTIFS(Base!$B:$B,C$11,Base!$M:$M,"&lt;"&amp;$B132,Base!$N:$N,"",Base!$O:$O,"&lt;&gt;Finalizado",Base!$O:$O,"&lt;&gt;Congelado",Base!$O:$O,"&lt;&gt;Concluindo pendências")</f>
        <v>7</v>
      </c>
      <c r="D132" s="93">
        <f>COUNTIFS(Base!$B:$B,D$11,Base!$M:$M,"&lt;"&amp;$B132,Base!$N:$N,"&gt;="&amp;$B132,Base!$O:$O,"&lt;&gt;Finalizado",Base!$O:$O,"&lt;&gt;Congelado",Base!$O:$O,"&lt;&gt;Concluindo pendências") + COUNTIFS(Base!$B:$B,D$11,Base!$M:$M,"&lt;"&amp;$B132,Base!$N:$N,"",Base!$O:$O,"&lt;&gt;Finalizado",Base!$O:$O,"&lt;&gt;Congelado",Base!$O:$O,"&lt;&gt;Concluindo pendências")</f>
        <v>6</v>
      </c>
      <c r="E132" s="93">
        <f>COUNTIFS(Base!$B:$B,E$11,Base!$M:$M,"&lt;"&amp;$B132,Base!$N:$N,"&gt;="&amp;$B132,Base!$O:$O,"&lt;&gt;Finalizado",Base!$O:$O,"&lt;&gt;Congelado",Base!$O:$O,"&lt;&gt;Concluindo pendências") + COUNTIFS(Base!$B:$B,E$11,Base!$M:$M,"&lt;"&amp;$B132,Base!$N:$N,"",Base!$O:$O,"&lt;&gt;Finalizado",Base!$O:$O,"&lt;&gt;Congelado",Base!$O:$O,"&lt;&gt;Concluindo pendências")</f>
        <v>3</v>
      </c>
      <c r="F132" s="93">
        <f>COUNTIFS(Base!$B:$B,F$11,Base!$M:$M,"&lt;"&amp;$B132,Base!$N:$N,"&gt;="&amp;$B132,Base!$O:$O,"&lt;&gt;Finalizado",Base!$O:$O,"&lt;&gt;Congelado",Base!$O:$O,"&lt;&gt;Concluindo pendências") + COUNTIFS(Base!$B:$B,F$11,Base!$M:$M,"&lt;"&amp;$B132,Base!$N:$N,"",Base!$O:$O,"&lt;&gt;Finalizado",Base!$O:$O,"&lt;&gt;Congelado",Base!$O:$O,"&lt;&gt;Concluindo pendências")</f>
        <v>7</v>
      </c>
      <c r="H132" s="93">
        <f>COUNTIFS(Base!$B:$B,C$11,Base!$K:$K,"&lt;"&amp;$B132,Base!$N:$N,"&gt;="&amp;$B132,Base!$O:$O,"&lt;&gt;Finalizado",Base!$O:$O,"&lt;&gt;Congelado") + COUNTIFS(Base!$B:$B,C$11,Base!$K:$K,"&lt;"&amp;$B132,Base!$N:$N,"",Base!$O:$O,"&lt;&gt;Finalizado",Base!$O:$O,"&lt;&gt;Congelado")</f>
        <v>15</v>
      </c>
      <c r="I132" s="93">
        <f>COUNTIFS(Base!$B:$B,D$11,Base!$K:$K,"&lt;"&amp;$B132,Base!$N:$N,"&gt;="&amp;$B132,Base!$O:$O,"&lt;&gt;Finalizado",Base!$O:$O,"&lt;&gt;Congelado") + COUNTIFS(Base!$B:$B,D$11,Base!$K:$K,"&lt;"&amp;$B132,Base!$N:$N,"",Base!$O:$O,"&lt;&gt;Finalizado",Base!$O:$O,"&lt;&gt;Congelado")</f>
        <v>22</v>
      </c>
      <c r="J132" s="93">
        <f>COUNTIFS(Base!$B:$B,E$11,Base!$K:$K,"&lt;"&amp;$B132,Base!$N:$N,"&gt;="&amp;$B132,Base!$O:$O,"&lt;&gt;Finalizado",Base!$O:$O,"&lt;&gt;Congelado") + COUNTIFS(Base!$B:$B,E$11,Base!$K:$K,"&lt;"&amp;$B132,Base!$N:$N,"",Base!$O:$O,"&lt;&gt;Finalizado",Base!$O:$O,"&lt;&gt;Congelado")</f>
        <v>17</v>
      </c>
      <c r="K132" s="93">
        <f>COUNTIFS(Base!$B:$B,F$11,Base!$K:$K,"&lt;"&amp;$B132,Base!$N:$N,"&gt;="&amp;$B132,Base!$O:$O,"&lt;&gt;Finalizado",Base!$O:$O,"&lt;&gt;Congelado") + COUNTIFS(Base!$B:$B,F$11,Base!$K:$K,"&lt;"&amp;$B132,Base!$N:$N,"",Base!$O:$O,"&lt;&gt;Finalizado",Base!$O:$O,"&lt;&gt;Congelado")</f>
        <v>21</v>
      </c>
      <c r="M132" s="133">
        <f t="shared" ref="M132:P132" si="201">C132/H132</f>
        <v>0.4666666667</v>
      </c>
      <c r="N132" s="133">
        <f t="shared" si="201"/>
        <v>0.2727272727</v>
      </c>
      <c r="O132" s="133">
        <f t="shared" si="201"/>
        <v>0.1764705882</v>
      </c>
      <c r="P132" s="133">
        <f t="shared" si="201"/>
        <v>0.3333333333</v>
      </c>
      <c r="Q132" s="133">
        <f t="shared" si="9"/>
        <v>0.3066666667</v>
      </c>
      <c r="S132" s="93">
        <f t="shared" ref="S132:V132" si="202">S131+C132</f>
        <v>301</v>
      </c>
      <c r="T132" s="93">
        <f t="shared" si="202"/>
        <v>582</v>
      </c>
      <c r="U132" s="93">
        <f t="shared" si="202"/>
        <v>496</v>
      </c>
      <c r="V132" s="93">
        <f t="shared" si="202"/>
        <v>458</v>
      </c>
      <c r="W132" s="93">
        <f t="shared" si="11"/>
        <v>1837</v>
      </c>
      <c r="Y132" s="133">
        <f>(COUNTIFS(Base!$B:$B,C$11,Base!$S:$S,"&gt;8",Base!$N:$N,"&lt;="&amp;$B132) - COUNTIFS(Base!$B:$B,C$11,Base!$S:$S,"&lt;7",Base!$N:$N,"&lt;="&amp;$B132) - COUNTIFS(Base!$B:$B,C$11,Base!$S:$S,"&lt;7",Base!$K:$K,"&lt;="&amp;$B132,Base!$O:$O,"Finalizado"))/(COUNTIFS(Base!$B:$B,C$11,Base!$S:$S,"&lt;&gt;",Base!$N:$N,"&lt;="&amp;$B132)+COUNTIFS(Base!$B:$B,C$11,Base!$S:$S,"&lt;7",Base!$K:$K,"&lt;="&amp;$B132,Base!$O:$O,"Finalizado"))</f>
        <v>0.6666666667</v>
      </c>
      <c r="Z132" s="133">
        <f>(COUNTIFS(Base!$B:$B,D$11,Base!$S:$S,"&gt;8",Base!$N:$N,"&lt;="&amp;$B132) - COUNTIFS(Base!$B:$B,D$11,Base!$S:$S,"&lt;7",Base!$N:$N,"&lt;="&amp;$B132) - COUNTIFS(Base!$B:$B,D$11,Base!$S:$S,"&lt;7",Base!$K:$K,"&lt;="&amp;$B132,Base!$O:$O,"Finalizado"))/(COUNTIFS(Base!$B:$B,D$11,Base!$S:$S,"&lt;&gt;",Base!$N:$N,"&lt;="&amp;$B132)+COUNTIFS(Base!$B:$B,D$11,Base!$S:$S,"&lt;7",Base!$K:$K,"&lt;="&amp;$B132,Base!$O:$O,"Finalizado"))</f>
        <v>0.7142857143</v>
      </c>
      <c r="AA132" s="133">
        <f>(COUNTIFS(Base!$B:$B,E$11,Base!$S:$S,"&gt;8",Base!$N:$N,"&lt;="&amp;$B132) - COUNTIFS(Base!$B:$B,E$11,Base!$S:$S,"&lt;7",Base!$N:$N,"&lt;="&amp;$B132) - COUNTIFS(Base!$B:$B,E$11,Base!$S:$S,"&lt;7",Base!$K:$K,"&lt;="&amp;$B132,Base!$O:$O,"Finalizado"))/(COUNTIFS(Base!$B:$B,E$11,Base!$S:$S,"&lt;&gt;",Base!$N:$N,"&lt;="&amp;$B132)+COUNTIFS(Base!$B:$B,E$11,Base!$S:$S,"&lt;7",Base!$K:$K,"&lt;="&amp;$B132,Base!$O:$O,"Finalizado"))</f>
        <v>0.6</v>
      </c>
      <c r="AB132" s="133">
        <f t="shared" si="12"/>
        <v>0.75</v>
      </c>
      <c r="AD132" s="93">
        <f>(COUNTIFS(Base!$B:$B,F$11,Base!$S:$S,"&gt;8",Base!$N:$N,"&lt;="&amp;$B132)+(COUNTIFS(Base!$B:$B,F$11,Base!$AG:$AG,"&gt;8",Base!$K:$K,"&lt;="&amp;$B132)))</f>
        <v>6</v>
      </c>
      <c r="AE132" s="93">
        <f>(COUNTIFS(Base!$B:$B,F$11,Base!$S:$S,"&lt;&gt;",Base!$N:$N,"&lt;="&amp;$B132)+(COUNTIFS(Base!$B:$B,F$11,Base!$AG:$AG,"&lt;&gt;",Base!$K:$K,"&lt;="&amp;$B132)+COUNTIFS(Base!$B:$B,F$11,Base!$S:$S,"&lt;7",Base!$K:$K,"&lt;="&amp;$B132,Base!$O:$O,"Finalizado")))</f>
        <v>8</v>
      </c>
      <c r="AF132" s="93">
        <f>COUNTIFS(Base!$B:$B,F$11,Base!$S:$S,"&lt;7",Base!$N:$N,"&lt;="&amp;$B132) +COUNTIFS(Base!$B:$B,F$11,Base!$AG:$AG,"&lt;7",Base!$K:$K,"&lt;="&amp;$B132) + COUNTIFS(Base!$B:$B,F$11,Base!$S:$S,"&lt;7",Base!$K:$K,"&lt;="&amp;$B132,Base!$O:$O,"Finalizado")</f>
        <v>0</v>
      </c>
    </row>
    <row r="133">
      <c r="B133" s="151">
        <f t="shared" si="180"/>
        <v>45388</v>
      </c>
      <c r="C133" s="93">
        <f>COUNTIFS(Base!$B:$B,C$11,Base!$M:$M,"&lt;"&amp;$B133,Base!$N:$N,"&gt;="&amp;$B133,Base!$O:$O,"&lt;&gt;Finalizado",Base!$O:$O,"&lt;&gt;Congelado",Base!$O:$O,"&lt;&gt;Concluindo pendências") + COUNTIFS(Base!$B:$B,C$11,Base!$M:$M,"&lt;"&amp;$B133,Base!$N:$N,"",Base!$O:$O,"&lt;&gt;Finalizado",Base!$O:$O,"&lt;&gt;Congelado",Base!$O:$O,"&lt;&gt;Concluindo pendências")</f>
        <v>7</v>
      </c>
      <c r="D133" s="93">
        <f>COUNTIFS(Base!$B:$B,D$11,Base!$M:$M,"&lt;"&amp;$B133,Base!$N:$N,"&gt;="&amp;$B133,Base!$O:$O,"&lt;&gt;Finalizado",Base!$O:$O,"&lt;&gt;Congelado",Base!$O:$O,"&lt;&gt;Concluindo pendências") + COUNTIFS(Base!$B:$B,D$11,Base!$M:$M,"&lt;"&amp;$B133,Base!$N:$N,"",Base!$O:$O,"&lt;&gt;Finalizado",Base!$O:$O,"&lt;&gt;Congelado",Base!$O:$O,"&lt;&gt;Concluindo pendências")</f>
        <v>7</v>
      </c>
      <c r="E133" s="93">
        <f>COUNTIFS(Base!$B:$B,E$11,Base!$M:$M,"&lt;"&amp;$B133,Base!$N:$N,"&gt;="&amp;$B133,Base!$O:$O,"&lt;&gt;Finalizado",Base!$O:$O,"&lt;&gt;Congelado",Base!$O:$O,"&lt;&gt;Concluindo pendências") + COUNTIFS(Base!$B:$B,E$11,Base!$M:$M,"&lt;"&amp;$B133,Base!$N:$N,"",Base!$O:$O,"&lt;&gt;Finalizado",Base!$O:$O,"&lt;&gt;Congelado",Base!$O:$O,"&lt;&gt;Concluindo pendências")</f>
        <v>3</v>
      </c>
      <c r="F133" s="93">
        <f>COUNTIFS(Base!$B:$B,F$11,Base!$M:$M,"&lt;"&amp;$B133,Base!$N:$N,"&gt;="&amp;$B133,Base!$O:$O,"&lt;&gt;Finalizado",Base!$O:$O,"&lt;&gt;Congelado",Base!$O:$O,"&lt;&gt;Concluindo pendências") + COUNTIFS(Base!$B:$B,F$11,Base!$M:$M,"&lt;"&amp;$B133,Base!$N:$N,"",Base!$O:$O,"&lt;&gt;Finalizado",Base!$O:$O,"&lt;&gt;Congelado",Base!$O:$O,"&lt;&gt;Concluindo pendências")</f>
        <v>7</v>
      </c>
      <c r="H133" s="93">
        <f>COUNTIFS(Base!$B:$B,C$11,Base!$K:$K,"&lt;"&amp;$B133,Base!$N:$N,"&gt;="&amp;$B133,Base!$O:$O,"&lt;&gt;Finalizado",Base!$O:$O,"&lt;&gt;Congelado") + COUNTIFS(Base!$B:$B,C$11,Base!$K:$K,"&lt;"&amp;$B133,Base!$N:$N,"",Base!$O:$O,"&lt;&gt;Finalizado",Base!$O:$O,"&lt;&gt;Congelado")</f>
        <v>15</v>
      </c>
      <c r="I133" s="93">
        <f>COUNTIFS(Base!$B:$B,D$11,Base!$K:$K,"&lt;"&amp;$B133,Base!$N:$N,"&gt;="&amp;$B133,Base!$O:$O,"&lt;&gt;Finalizado",Base!$O:$O,"&lt;&gt;Congelado") + COUNTIFS(Base!$B:$B,D$11,Base!$K:$K,"&lt;"&amp;$B133,Base!$N:$N,"",Base!$O:$O,"&lt;&gt;Finalizado",Base!$O:$O,"&lt;&gt;Congelado")</f>
        <v>22</v>
      </c>
      <c r="J133" s="93">
        <f>COUNTIFS(Base!$B:$B,E$11,Base!$K:$K,"&lt;"&amp;$B133,Base!$N:$N,"&gt;="&amp;$B133,Base!$O:$O,"&lt;&gt;Finalizado",Base!$O:$O,"&lt;&gt;Congelado") + COUNTIFS(Base!$B:$B,E$11,Base!$K:$K,"&lt;"&amp;$B133,Base!$N:$N,"",Base!$O:$O,"&lt;&gt;Finalizado",Base!$O:$O,"&lt;&gt;Congelado")</f>
        <v>17</v>
      </c>
      <c r="K133" s="93">
        <f>COUNTIFS(Base!$B:$B,F$11,Base!$K:$K,"&lt;"&amp;$B133,Base!$N:$N,"&gt;="&amp;$B133,Base!$O:$O,"&lt;&gt;Finalizado",Base!$O:$O,"&lt;&gt;Congelado") + COUNTIFS(Base!$B:$B,F$11,Base!$K:$K,"&lt;"&amp;$B133,Base!$N:$N,"",Base!$O:$O,"&lt;&gt;Finalizado",Base!$O:$O,"&lt;&gt;Congelado")</f>
        <v>21</v>
      </c>
      <c r="M133" s="133">
        <f t="shared" ref="M133:P133" si="203">C133/H133</f>
        <v>0.4666666667</v>
      </c>
      <c r="N133" s="133">
        <f t="shared" si="203"/>
        <v>0.3181818182</v>
      </c>
      <c r="O133" s="133">
        <f t="shared" si="203"/>
        <v>0.1764705882</v>
      </c>
      <c r="P133" s="133">
        <f t="shared" si="203"/>
        <v>0.3333333333</v>
      </c>
      <c r="Q133" s="133">
        <f t="shared" si="9"/>
        <v>0.32</v>
      </c>
      <c r="S133" s="93">
        <f t="shared" ref="S133:V133" si="204">S132+C133</f>
        <v>308</v>
      </c>
      <c r="T133" s="93">
        <f t="shared" si="204"/>
        <v>589</v>
      </c>
      <c r="U133" s="93">
        <f t="shared" si="204"/>
        <v>499</v>
      </c>
      <c r="V133" s="93">
        <f t="shared" si="204"/>
        <v>465</v>
      </c>
      <c r="W133" s="93">
        <f t="shared" si="11"/>
        <v>1861</v>
      </c>
      <c r="Y133" s="133">
        <f>(COUNTIFS(Base!$B:$B,C$11,Base!$S:$S,"&gt;8",Base!$N:$N,"&lt;="&amp;$B133) - COUNTIFS(Base!$B:$B,C$11,Base!$S:$S,"&lt;7",Base!$N:$N,"&lt;="&amp;$B133) - COUNTIFS(Base!$B:$B,C$11,Base!$S:$S,"&lt;7",Base!$K:$K,"&lt;="&amp;$B133,Base!$O:$O,"Finalizado"))/(COUNTIFS(Base!$B:$B,C$11,Base!$S:$S,"&lt;&gt;",Base!$N:$N,"&lt;="&amp;$B133)+COUNTIFS(Base!$B:$B,C$11,Base!$S:$S,"&lt;7",Base!$K:$K,"&lt;="&amp;$B133,Base!$O:$O,"Finalizado"))</f>
        <v>0.6666666667</v>
      </c>
      <c r="Z133" s="133">
        <f>(COUNTIFS(Base!$B:$B,D$11,Base!$S:$S,"&gt;8",Base!$N:$N,"&lt;="&amp;$B133) - COUNTIFS(Base!$B:$B,D$11,Base!$S:$S,"&lt;7",Base!$N:$N,"&lt;="&amp;$B133) - COUNTIFS(Base!$B:$B,D$11,Base!$S:$S,"&lt;7",Base!$K:$K,"&lt;="&amp;$B133,Base!$O:$O,"Finalizado"))/(COUNTIFS(Base!$B:$B,D$11,Base!$S:$S,"&lt;&gt;",Base!$N:$N,"&lt;="&amp;$B133)+COUNTIFS(Base!$B:$B,D$11,Base!$S:$S,"&lt;7",Base!$K:$K,"&lt;="&amp;$B133,Base!$O:$O,"Finalizado"))</f>
        <v>0.7142857143</v>
      </c>
      <c r="AA133" s="133">
        <f>(COUNTIFS(Base!$B:$B,E$11,Base!$S:$S,"&gt;8",Base!$N:$N,"&lt;="&amp;$B133) - COUNTIFS(Base!$B:$B,E$11,Base!$S:$S,"&lt;7",Base!$N:$N,"&lt;="&amp;$B133) - COUNTIFS(Base!$B:$B,E$11,Base!$S:$S,"&lt;7",Base!$K:$K,"&lt;="&amp;$B133,Base!$O:$O,"Finalizado"))/(COUNTIFS(Base!$B:$B,E$11,Base!$S:$S,"&lt;&gt;",Base!$N:$N,"&lt;="&amp;$B133)+COUNTIFS(Base!$B:$B,E$11,Base!$S:$S,"&lt;7",Base!$K:$K,"&lt;="&amp;$B133,Base!$O:$O,"Finalizado"))</f>
        <v>0.6</v>
      </c>
      <c r="AB133" s="133">
        <f t="shared" si="12"/>
        <v>0.75</v>
      </c>
      <c r="AD133" s="93">
        <f>(COUNTIFS(Base!$B:$B,F$11,Base!$S:$S,"&gt;8",Base!$N:$N,"&lt;="&amp;$B133)+(COUNTIFS(Base!$B:$B,F$11,Base!$AG:$AG,"&gt;8",Base!$K:$K,"&lt;="&amp;$B133)))</f>
        <v>6</v>
      </c>
      <c r="AE133" s="93">
        <f>(COUNTIFS(Base!$B:$B,F$11,Base!$S:$S,"&lt;&gt;",Base!$N:$N,"&lt;="&amp;$B133)+(COUNTIFS(Base!$B:$B,F$11,Base!$AG:$AG,"&lt;&gt;",Base!$K:$K,"&lt;="&amp;$B133)+COUNTIFS(Base!$B:$B,F$11,Base!$S:$S,"&lt;7",Base!$K:$K,"&lt;="&amp;$B133,Base!$O:$O,"Finalizado")))</f>
        <v>8</v>
      </c>
      <c r="AF133" s="93">
        <f>COUNTIFS(Base!$B:$B,F$11,Base!$S:$S,"&lt;7",Base!$N:$N,"&lt;="&amp;$B133) +COUNTIFS(Base!$B:$B,F$11,Base!$AG:$AG,"&lt;7",Base!$K:$K,"&lt;="&amp;$B133) + COUNTIFS(Base!$B:$B,F$11,Base!$S:$S,"&lt;7",Base!$K:$K,"&lt;="&amp;$B133,Base!$O:$O,"Finalizado")</f>
        <v>0</v>
      </c>
    </row>
    <row r="134">
      <c r="B134" s="151">
        <f t="shared" si="180"/>
        <v>45389</v>
      </c>
      <c r="C134" s="93">
        <f>COUNTIFS(Base!$B:$B,C$11,Base!$M:$M,"&lt;"&amp;$B134,Base!$N:$N,"&gt;="&amp;$B134,Base!$O:$O,"&lt;&gt;Finalizado",Base!$O:$O,"&lt;&gt;Congelado",Base!$O:$O,"&lt;&gt;Concluindo pendências") + COUNTIFS(Base!$B:$B,C$11,Base!$M:$M,"&lt;"&amp;$B134,Base!$N:$N,"",Base!$O:$O,"&lt;&gt;Finalizado",Base!$O:$O,"&lt;&gt;Congelado",Base!$O:$O,"&lt;&gt;Concluindo pendências")</f>
        <v>8</v>
      </c>
      <c r="D134" s="93">
        <f>COUNTIFS(Base!$B:$B,D$11,Base!$M:$M,"&lt;"&amp;$B134,Base!$N:$N,"&gt;="&amp;$B134,Base!$O:$O,"&lt;&gt;Finalizado",Base!$O:$O,"&lt;&gt;Congelado",Base!$O:$O,"&lt;&gt;Concluindo pendências") + COUNTIFS(Base!$B:$B,D$11,Base!$M:$M,"&lt;"&amp;$B134,Base!$N:$N,"",Base!$O:$O,"&lt;&gt;Finalizado",Base!$O:$O,"&lt;&gt;Congelado",Base!$O:$O,"&lt;&gt;Concluindo pendências")</f>
        <v>7</v>
      </c>
      <c r="E134" s="93">
        <f>COUNTIFS(Base!$B:$B,E$11,Base!$M:$M,"&lt;"&amp;$B134,Base!$N:$N,"&gt;="&amp;$B134,Base!$O:$O,"&lt;&gt;Finalizado",Base!$O:$O,"&lt;&gt;Congelado",Base!$O:$O,"&lt;&gt;Concluindo pendências") + COUNTIFS(Base!$B:$B,E$11,Base!$M:$M,"&lt;"&amp;$B134,Base!$N:$N,"",Base!$O:$O,"&lt;&gt;Finalizado",Base!$O:$O,"&lt;&gt;Congelado",Base!$O:$O,"&lt;&gt;Concluindo pendências")</f>
        <v>3</v>
      </c>
      <c r="F134" s="93">
        <f>COUNTIFS(Base!$B:$B,F$11,Base!$M:$M,"&lt;"&amp;$B134,Base!$N:$N,"&gt;="&amp;$B134,Base!$O:$O,"&lt;&gt;Finalizado",Base!$O:$O,"&lt;&gt;Congelado",Base!$O:$O,"&lt;&gt;Concluindo pendências") + COUNTIFS(Base!$B:$B,F$11,Base!$M:$M,"&lt;"&amp;$B134,Base!$N:$N,"",Base!$O:$O,"&lt;&gt;Finalizado",Base!$O:$O,"&lt;&gt;Congelado",Base!$O:$O,"&lt;&gt;Concluindo pendências")</f>
        <v>7</v>
      </c>
      <c r="H134" s="93">
        <f>COUNTIFS(Base!$B:$B,C$11,Base!$K:$K,"&lt;"&amp;$B134,Base!$N:$N,"&gt;="&amp;$B134,Base!$O:$O,"&lt;&gt;Finalizado",Base!$O:$O,"&lt;&gt;Congelado") + COUNTIFS(Base!$B:$B,C$11,Base!$K:$K,"&lt;"&amp;$B134,Base!$N:$N,"",Base!$O:$O,"&lt;&gt;Finalizado",Base!$O:$O,"&lt;&gt;Congelado")</f>
        <v>15</v>
      </c>
      <c r="I134" s="93">
        <f>COUNTIFS(Base!$B:$B,D$11,Base!$K:$K,"&lt;"&amp;$B134,Base!$N:$N,"&gt;="&amp;$B134,Base!$O:$O,"&lt;&gt;Finalizado",Base!$O:$O,"&lt;&gt;Congelado") + COUNTIFS(Base!$B:$B,D$11,Base!$K:$K,"&lt;"&amp;$B134,Base!$N:$N,"",Base!$O:$O,"&lt;&gt;Finalizado",Base!$O:$O,"&lt;&gt;Congelado")</f>
        <v>22</v>
      </c>
      <c r="J134" s="93">
        <f>COUNTIFS(Base!$B:$B,E$11,Base!$K:$K,"&lt;"&amp;$B134,Base!$N:$N,"&gt;="&amp;$B134,Base!$O:$O,"&lt;&gt;Finalizado",Base!$O:$O,"&lt;&gt;Congelado") + COUNTIFS(Base!$B:$B,E$11,Base!$K:$K,"&lt;"&amp;$B134,Base!$N:$N,"",Base!$O:$O,"&lt;&gt;Finalizado",Base!$O:$O,"&lt;&gt;Congelado")</f>
        <v>17</v>
      </c>
      <c r="K134" s="93">
        <f>COUNTIFS(Base!$B:$B,F$11,Base!$K:$K,"&lt;"&amp;$B134,Base!$N:$N,"&gt;="&amp;$B134,Base!$O:$O,"&lt;&gt;Finalizado",Base!$O:$O,"&lt;&gt;Congelado") + COUNTIFS(Base!$B:$B,F$11,Base!$K:$K,"&lt;"&amp;$B134,Base!$N:$N,"",Base!$O:$O,"&lt;&gt;Finalizado",Base!$O:$O,"&lt;&gt;Congelado")</f>
        <v>21</v>
      </c>
      <c r="M134" s="133">
        <f t="shared" ref="M134:P134" si="205">C134/H134</f>
        <v>0.5333333333</v>
      </c>
      <c r="N134" s="133">
        <f t="shared" si="205"/>
        <v>0.3181818182</v>
      </c>
      <c r="O134" s="133">
        <f t="shared" si="205"/>
        <v>0.1764705882</v>
      </c>
      <c r="P134" s="133">
        <f t="shared" si="205"/>
        <v>0.3333333333</v>
      </c>
      <c r="Q134" s="133">
        <f t="shared" si="9"/>
        <v>0.3333333333</v>
      </c>
      <c r="S134" s="93">
        <f t="shared" ref="S134:V134" si="206">S133+C134</f>
        <v>316</v>
      </c>
      <c r="T134" s="93">
        <f t="shared" si="206"/>
        <v>596</v>
      </c>
      <c r="U134" s="93">
        <f t="shared" si="206"/>
        <v>502</v>
      </c>
      <c r="V134" s="93">
        <f t="shared" si="206"/>
        <v>472</v>
      </c>
      <c r="W134" s="93">
        <f t="shared" si="11"/>
        <v>1886</v>
      </c>
      <c r="Y134" s="133">
        <f>(COUNTIFS(Base!$B:$B,C$11,Base!$S:$S,"&gt;8",Base!$N:$N,"&lt;="&amp;$B134) - COUNTIFS(Base!$B:$B,C$11,Base!$S:$S,"&lt;7",Base!$N:$N,"&lt;="&amp;$B134) - COUNTIFS(Base!$B:$B,C$11,Base!$S:$S,"&lt;7",Base!$K:$K,"&lt;="&amp;$B134,Base!$O:$O,"Finalizado"))/(COUNTIFS(Base!$B:$B,C$11,Base!$S:$S,"&lt;&gt;",Base!$N:$N,"&lt;="&amp;$B134)+COUNTIFS(Base!$B:$B,C$11,Base!$S:$S,"&lt;7",Base!$K:$K,"&lt;="&amp;$B134,Base!$O:$O,"Finalizado"))</f>
        <v>0.6666666667</v>
      </c>
      <c r="Z134" s="133">
        <f>(COUNTIFS(Base!$B:$B,D$11,Base!$S:$S,"&gt;8",Base!$N:$N,"&lt;="&amp;$B134) - COUNTIFS(Base!$B:$B,D$11,Base!$S:$S,"&lt;7",Base!$N:$N,"&lt;="&amp;$B134) - COUNTIFS(Base!$B:$B,D$11,Base!$S:$S,"&lt;7",Base!$K:$K,"&lt;="&amp;$B134,Base!$O:$O,"Finalizado"))/(COUNTIFS(Base!$B:$B,D$11,Base!$S:$S,"&lt;&gt;",Base!$N:$N,"&lt;="&amp;$B134)+COUNTIFS(Base!$B:$B,D$11,Base!$S:$S,"&lt;7",Base!$K:$K,"&lt;="&amp;$B134,Base!$O:$O,"Finalizado"))</f>
        <v>0.7142857143</v>
      </c>
      <c r="AA134" s="133">
        <f>(COUNTIFS(Base!$B:$B,E$11,Base!$S:$S,"&gt;8",Base!$N:$N,"&lt;="&amp;$B134) - COUNTIFS(Base!$B:$B,E$11,Base!$S:$S,"&lt;7",Base!$N:$N,"&lt;="&amp;$B134) - COUNTIFS(Base!$B:$B,E$11,Base!$S:$S,"&lt;7",Base!$K:$K,"&lt;="&amp;$B134,Base!$O:$O,"Finalizado"))/(COUNTIFS(Base!$B:$B,E$11,Base!$S:$S,"&lt;&gt;",Base!$N:$N,"&lt;="&amp;$B134)+COUNTIFS(Base!$B:$B,E$11,Base!$S:$S,"&lt;7",Base!$K:$K,"&lt;="&amp;$B134,Base!$O:$O,"Finalizado"))</f>
        <v>0.6</v>
      </c>
      <c r="AB134" s="133">
        <f t="shared" si="12"/>
        <v>0.75</v>
      </c>
      <c r="AD134" s="93">
        <f>(COUNTIFS(Base!$B:$B,F$11,Base!$S:$S,"&gt;8",Base!$N:$N,"&lt;="&amp;$B134)+(COUNTIFS(Base!$B:$B,F$11,Base!$AG:$AG,"&gt;8",Base!$K:$K,"&lt;="&amp;$B134)))</f>
        <v>6</v>
      </c>
      <c r="AE134" s="93">
        <f>(COUNTIFS(Base!$B:$B,F$11,Base!$S:$S,"&lt;&gt;",Base!$N:$N,"&lt;="&amp;$B134)+(COUNTIFS(Base!$B:$B,F$11,Base!$AG:$AG,"&lt;&gt;",Base!$K:$K,"&lt;="&amp;$B134)+COUNTIFS(Base!$B:$B,F$11,Base!$S:$S,"&lt;7",Base!$K:$K,"&lt;="&amp;$B134,Base!$O:$O,"Finalizado")))</f>
        <v>8</v>
      </c>
      <c r="AF134" s="93">
        <f>COUNTIFS(Base!$B:$B,F$11,Base!$S:$S,"&lt;7",Base!$N:$N,"&lt;="&amp;$B134) +COUNTIFS(Base!$B:$B,F$11,Base!$AG:$AG,"&lt;7",Base!$K:$K,"&lt;="&amp;$B134) + COUNTIFS(Base!$B:$B,F$11,Base!$S:$S,"&lt;7",Base!$K:$K,"&lt;="&amp;$B134,Base!$O:$O,"Finalizado")</f>
        <v>0</v>
      </c>
    </row>
    <row r="135">
      <c r="B135" s="151">
        <f t="shared" si="180"/>
        <v>45390</v>
      </c>
      <c r="C135" s="93">
        <f>COUNTIFS(Base!$B:$B,C$11,Base!$M:$M,"&lt;"&amp;$B135,Base!$N:$N,"&gt;="&amp;$B135,Base!$O:$O,"&lt;&gt;Finalizado",Base!$O:$O,"&lt;&gt;Congelado",Base!$O:$O,"&lt;&gt;Concluindo pendências") + COUNTIFS(Base!$B:$B,C$11,Base!$M:$M,"&lt;"&amp;$B135,Base!$N:$N,"",Base!$O:$O,"&lt;&gt;Finalizado",Base!$O:$O,"&lt;&gt;Congelado",Base!$O:$O,"&lt;&gt;Concluindo pendências")</f>
        <v>8</v>
      </c>
      <c r="D135" s="93">
        <f>COUNTIFS(Base!$B:$B,D$11,Base!$M:$M,"&lt;"&amp;$B135,Base!$N:$N,"&gt;="&amp;$B135,Base!$O:$O,"&lt;&gt;Finalizado",Base!$O:$O,"&lt;&gt;Congelado",Base!$O:$O,"&lt;&gt;Concluindo pendências") + COUNTIFS(Base!$B:$B,D$11,Base!$M:$M,"&lt;"&amp;$B135,Base!$N:$N,"",Base!$O:$O,"&lt;&gt;Finalizado",Base!$O:$O,"&lt;&gt;Congelado",Base!$O:$O,"&lt;&gt;Concluindo pendências")</f>
        <v>7</v>
      </c>
      <c r="E135" s="93">
        <f>COUNTIFS(Base!$B:$B,E$11,Base!$M:$M,"&lt;"&amp;$B135,Base!$N:$N,"&gt;="&amp;$B135,Base!$O:$O,"&lt;&gt;Finalizado",Base!$O:$O,"&lt;&gt;Congelado",Base!$O:$O,"&lt;&gt;Concluindo pendências") + COUNTIFS(Base!$B:$B,E$11,Base!$M:$M,"&lt;"&amp;$B135,Base!$N:$N,"",Base!$O:$O,"&lt;&gt;Finalizado",Base!$O:$O,"&lt;&gt;Congelado",Base!$O:$O,"&lt;&gt;Concluindo pendências")</f>
        <v>3</v>
      </c>
      <c r="F135" s="93">
        <f>COUNTIFS(Base!$B:$B,F$11,Base!$M:$M,"&lt;"&amp;$B135,Base!$N:$N,"&gt;="&amp;$B135,Base!$O:$O,"&lt;&gt;Finalizado",Base!$O:$O,"&lt;&gt;Congelado",Base!$O:$O,"&lt;&gt;Concluindo pendências") + COUNTIFS(Base!$B:$B,F$11,Base!$M:$M,"&lt;"&amp;$B135,Base!$N:$N,"",Base!$O:$O,"&lt;&gt;Finalizado",Base!$O:$O,"&lt;&gt;Congelado",Base!$O:$O,"&lt;&gt;Concluindo pendências")</f>
        <v>7</v>
      </c>
      <c r="H135" s="93">
        <f>COUNTIFS(Base!$B:$B,C$11,Base!$K:$K,"&lt;"&amp;$B135,Base!$N:$N,"&gt;="&amp;$B135,Base!$O:$O,"&lt;&gt;Finalizado",Base!$O:$O,"&lt;&gt;Congelado") + COUNTIFS(Base!$B:$B,C$11,Base!$K:$K,"&lt;"&amp;$B135,Base!$N:$N,"",Base!$O:$O,"&lt;&gt;Finalizado",Base!$O:$O,"&lt;&gt;Congelado")</f>
        <v>15</v>
      </c>
      <c r="I135" s="93">
        <f>COUNTIFS(Base!$B:$B,D$11,Base!$K:$K,"&lt;"&amp;$B135,Base!$N:$N,"&gt;="&amp;$B135,Base!$O:$O,"&lt;&gt;Finalizado",Base!$O:$O,"&lt;&gt;Congelado") + COUNTIFS(Base!$B:$B,D$11,Base!$K:$K,"&lt;"&amp;$B135,Base!$N:$N,"",Base!$O:$O,"&lt;&gt;Finalizado",Base!$O:$O,"&lt;&gt;Congelado")</f>
        <v>22</v>
      </c>
      <c r="J135" s="93">
        <f>COUNTIFS(Base!$B:$B,E$11,Base!$K:$K,"&lt;"&amp;$B135,Base!$N:$N,"&gt;="&amp;$B135,Base!$O:$O,"&lt;&gt;Finalizado",Base!$O:$O,"&lt;&gt;Congelado") + COUNTIFS(Base!$B:$B,E$11,Base!$K:$K,"&lt;"&amp;$B135,Base!$N:$N,"",Base!$O:$O,"&lt;&gt;Finalizado",Base!$O:$O,"&lt;&gt;Congelado")</f>
        <v>17</v>
      </c>
      <c r="K135" s="93">
        <f>COUNTIFS(Base!$B:$B,F$11,Base!$K:$K,"&lt;"&amp;$B135,Base!$N:$N,"&gt;="&amp;$B135,Base!$O:$O,"&lt;&gt;Finalizado",Base!$O:$O,"&lt;&gt;Congelado") + COUNTIFS(Base!$B:$B,F$11,Base!$K:$K,"&lt;"&amp;$B135,Base!$N:$N,"",Base!$O:$O,"&lt;&gt;Finalizado",Base!$O:$O,"&lt;&gt;Congelado")</f>
        <v>21</v>
      </c>
      <c r="M135" s="133">
        <f t="shared" ref="M135:P135" si="207">C135/H135</f>
        <v>0.5333333333</v>
      </c>
      <c r="N135" s="133">
        <f t="shared" si="207"/>
        <v>0.3181818182</v>
      </c>
      <c r="O135" s="133">
        <f t="shared" si="207"/>
        <v>0.1764705882</v>
      </c>
      <c r="P135" s="133">
        <f t="shared" si="207"/>
        <v>0.3333333333</v>
      </c>
      <c r="Q135" s="133">
        <f t="shared" si="9"/>
        <v>0.3333333333</v>
      </c>
      <c r="S135" s="93">
        <f t="shared" ref="S135:V135" si="208">S134+C135</f>
        <v>324</v>
      </c>
      <c r="T135" s="93">
        <f t="shared" si="208"/>
        <v>603</v>
      </c>
      <c r="U135" s="93">
        <f t="shared" si="208"/>
        <v>505</v>
      </c>
      <c r="V135" s="93">
        <f t="shared" si="208"/>
        <v>479</v>
      </c>
      <c r="W135" s="93">
        <f t="shared" si="11"/>
        <v>1911</v>
      </c>
      <c r="Y135" s="133">
        <f>(COUNTIFS(Base!$B:$B,C$11,Base!$S:$S,"&gt;8",Base!$N:$N,"&lt;="&amp;$B135) - COUNTIFS(Base!$B:$B,C$11,Base!$S:$S,"&lt;7",Base!$N:$N,"&lt;="&amp;$B135) - COUNTIFS(Base!$B:$B,C$11,Base!$S:$S,"&lt;7",Base!$K:$K,"&lt;="&amp;$B135,Base!$O:$O,"Finalizado"))/(COUNTIFS(Base!$B:$B,C$11,Base!$S:$S,"&lt;&gt;",Base!$N:$N,"&lt;="&amp;$B135)+COUNTIFS(Base!$B:$B,C$11,Base!$S:$S,"&lt;7",Base!$K:$K,"&lt;="&amp;$B135,Base!$O:$O,"Finalizado"))</f>
        <v>0.6666666667</v>
      </c>
      <c r="Z135" s="133">
        <f>(COUNTIFS(Base!$B:$B,D$11,Base!$S:$S,"&gt;8",Base!$N:$N,"&lt;="&amp;$B135) - COUNTIFS(Base!$B:$B,D$11,Base!$S:$S,"&lt;7",Base!$N:$N,"&lt;="&amp;$B135) - COUNTIFS(Base!$B:$B,D$11,Base!$S:$S,"&lt;7",Base!$K:$K,"&lt;="&amp;$B135,Base!$O:$O,"Finalizado"))/(COUNTIFS(Base!$B:$B,D$11,Base!$S:$S,"&lt;&gt;",Base!$N:$N,"&lt;="&amp;$B135)+COUNTIFS(Base!$B:$B,D$11,Base!$S:$S,"&lt;7",Base!$K:$K,"&lt;="&amp;$B135,Base!$O:$O,"Finalizado"))</f>
        <v>0.6818181818</v>
      </c>
      <c r="AA135" s="133">
        <f>(COUNTIFS(Base!$B:$B,E$11,Base!$S:$S,"&gt;8",Base!$N:$N,"&lt;="&amp;$B135) - COUNTIFS(Base!$B:$B,E$11,Base!$S:$S,"&lt;7",Base!$N:$N,"&lt;="&amp;$B135) - COUNTIFS(Base!$B:$B,E$11,Base!$S:$S,"&lt;7",Base!$K:$K,"&lt;="&amp;$B135,Base!$O:$O,"Finalizado"))/(COUNTIFS(Base!$B:$B,E$11,Base!$S:$S,"&lt;&gt;",Base!$N:$N,"&lt;="&amp;$B135)+COUNTIFS(Base!$B:$B,E$11,Base!$S:$S,"&lt;7",Base!$K:$K,"&lt;="&amp;$B135,Base!$O:$O,"Finalizado"))</f>
        <v>0.6</v>
      </c>
      <c r="AB135" s="133">
        <f t="shared" si="12"/>
        <v>0.75</v>
      </c>
      <c r="AD135" s="93">
        <f>(COUNTIFS(Base!$B:$B,F$11,Base!$S:$S,"&gt;8",Base!$N:$N,"&lt;="&amp;$B135)+(COUNTIFS(Base!$B:$B,F$11,Base!$AG:$AG,"&gt;8",Base!$K:$K,"&lt;="&amp;$B135)))</f>
        <v>6</v>
      </c>
      <c r="AE135" s="93">
        <f>(COUNTIFS(Base!$B:$B,F$11,Base!$S:$S,"&lt;&gt;",Base!$N:$N,"&lt;="&amp;$B135)+(COUNTIFS(Base!$B:$B,F$11,Base!$AG:$AG,"&lt;&gt;",Base!$K:$K,"&lt;="&amp;$B135)+COUNTIFS(Base!$B:$B,F$11,Base!$S:$S,"&lt;7",Base!$K:$K,"&lt;="&amp;$B135,Base!$O:$O,"Finalizado")))</f>
        <v>8</v>
      </c>
      <c r="AF135" s="93">
        <f>COUNTIFS(Base!$B:$B,F$11,Base!$S:$S,"&lt;7",Base!$N:$N,"&lt;="&amp;$B135) +COUNTIFS(Base!$B:$B,F$11,Base!$AG:$AG,"&lt;7",Base!$K:$K,"&lt;="&amp;$B135) + COUNTIFS(Base!$B:$B,F$11,Base!$S:$S,"&lt;7",Base!$K:$K,"&lt;="&amp;$B135,Base!$O:$O,"Finalizado")</f>
        <v>0</v>
      </c>
    </row>
    <row r="136">
      <c r="B136" s="151">
        <f t="shared" si="180"/>
        <v>45391</v>
      </c>
      <c r="C136" s="93">
        <f>COUNTIFS(Base!$B:$B,C$11,Base!$M:$M,"&lt;"&amp;$B136,Base!$N:$N,"&gt;="&amp;$B136,Base!$O:$O,"&lt;&gt;Finalizado",Base!$O:$O,"&lt;&gt;Congelado",Base!$O:$O,"&lt;&gt;Concluindo pendências") + COUNTIFS(Base!$B:$B,C$11,Base!$M:$M,"&lt;"&amp;$B136,Base!$N:$N,"",Base!$O:$O,"&lt;&gt;Finalizado",Base!$O:$O,"&lt;&gt;Congelado",Base!$O:$O,"&lt;&gt;Concluindo pendências")</f>
        <v>8</v>
      </c>
      <c r="D136" s="93">
        <f>COUNTIFS(Base!$B:$B,D$11,Base!$M:$M,"&lt;"&amp;$B136,Base!$N:$N,"&gt;="&amp;$B136,Base!$O:$O,"&lt;&gt;Finalizado",Base!$O:$O,"&lt;&gt;Congelado",Base!$O:$O,"&lt;&gt;Concluindo pendências") + COUNTIFS(Base!$B:$B,D$11,Base!$M:$M,"&lt;"&amp;$B136,Base!$N:$N,"",Base!$O:$O,"&lt;&gt;Finalizado",Base!$O:$O,"&lt;&gt;Congelado",Base!$O:$O,"&lt;&gt;Concluindo pendências")</f>
        <v>8</v>
      </c>
      <c r="E136" s="93">
        <f>COUNTIFS(Base!$B:$B,E$11,Base!$M:$M,"&lt;"&amp;$B136,Base!$N:$N,"&gt;="&amp;$B136,Base!$O:$O,"&lt;&gt;Finalizado",Base!$O:$O,"&lt;&gt;Congelado",Base!$O:$O,"&lt;&gt;Concluindo pendências") + COUNTIFS(Base!$B:$B,E$11,Base!$M:$M,"&lt;"&amp;$B136,Base!$N:$N,"",Base!$O:$O,"&lt;&gt;Finalizado",Base!$O:$O,"&lt;&gt;Congelado",Base!$O:$O,"&lt;&gt;Concluindo pendências")</f>
        <v>3</v>
      </c>
      <c r="F136" s="93">
        <f>COUNTIFS(Base!$B:$B,F$11,Base!$M:$M,"&lt;"&amp;$B136,Base!$N:$N,"&gt;="&amp;$B136,Base!$O:$O,"&lt;&gt;Finalizado",Base!$O:$O,"&lt;&gt;Congelado",Base!$O:$O,"&lt;&gt;Concluindo pendências") + COUNTIFS(Base!$B:$B,F$11,Base!$M:$M,"&lt;"&amp;$B136,Base!$N:$N,"",Base!$O:$O,"&lt;&gt;Finalizado",Base!$O:$O,"&lt;&gt;Congelado",Base!$O:$O,"&lt;&gt;Concluindo pendências")</f>
        <v>7</v>
      </c>
      <c r="H136" s="93">
        <f>COUNTIFS(Base!$B:$B,C$11,Base!$K:$K,"&lt;"&amp;$B136,Base!$N:$N,"&gt;="&amp;$B136,Base!$O:$O,"&lt;&gt;Finalizado",Base!$O:$O,"&lt;&gt;Congelado") + COUNTIFS(Base!$B:$B,C$11,Base!$K:$K,"&lt;"&amp;$B136,Base!$N:$N,"",Base!$O:$O,"&lt;&gt;Finalizado",Base!$O:$O,"&lt;&gt;Congelado")</f>
        <v>15</v>
      </c>
      <c r="I136" s="93">
        <f>COUNTIFS(Base!$B:$B,D$11,Base!$K:$K,"&lt;"&amp;$B136,Base!$N:$N,"&gt;="&amp;$B136,Base!$O:$O,"&lt;&gt;Finalizado",Base!$O:$O,"&lt;&gt;Congelado") + COUNTIFS(Base!$B:$B,D$11,Base!$K:$K,"&lt;"&amp;$B136,Base!$N:$N,"",Base!$O:$O,"&lt;&gt;Finalizado",Base!$O:$O,"&lt;&gt;Congelado")</f>
        <v>21</v>
      </c>
      <c r="J136" s="93">
        <f>COUNTIFS(Base!$B:$B,E$11,Base!$K:$K,"&lt;"&amp;$B136,Base!$N:$N,"&gt;="&amp;$B136,Base!$O:$O,"&lt;&gt;Finalizado",Base!$O:$O,"&lt;&gt;Congelado") + COUNTIFS(Base!$B:$B,E$11,Base!$K:$K,"&lt;"&amp;$B136,Base!$N:$N,"",Base!$O:$O,"&lt;&gt;Finalizado",Base!$O:$O,"&lt;&gt;Congelado")</f>
        <v>17</v>
      </c>
      <c r="K136" s="93">
        <f>COUNTIFS(Base!$B:$B,F$11,Base!$K:$K,"&lt;"&amp;$B136,Base!$N:$N,"&gt;="&amp;$B136,Base!$O:$O,"&lt;&gt;Finalizado",Base!$O:$O,"&lt;&gt;Congelado") + COUNTIFS(Base!$B:$B,F$11,Base!$K:$K,"&lt;"&amp;$B136,Base!$N:$N,"",Base!$O:$O,"&lt;&gt;Finalizado",Base!$O:$O,"&lt;&gt;Congelado")</f>
        <v>21</v>
      </c>
      <c r="M136" s="133">
        <f t="shared" ref="M136:P136" si="209">C136/H136</f>
        <v>0.5333333333</v>
      </c>
      <c r="N136" s="133">
        <f t="shared" si="209"/>
        <v>0.380952381</v>
      </c>
      <c r="O136" s="133">
        <f t="shared" si="209"/>
        <v>0.1764705882</v>
      </c>
      <c r="P136" s="133">
        <f t="shared" si="209"/>
        <v>0.3333333333</v>
      </c>
      <c r="Q136" s="133">
        <f t="shared" si="9"/>
        <v>0.3513513514</v>
      </c>
      <c r="S136" s="93">
        <f t="shared" ref="S136:V136" si="210">S135+C136</f>
        <v>332</v>
      </c>
      <c r="T136" s="93">
        <f t="shared" si="210"/>
        <v>611</v>
      </c>
      <c r="U136" s="93">
        <f t="shared" si="210"/>
        <v>508</v>
      </c>
      <c r="V136" s="93">
        <f t="shared" si="210"/>
        <v>486</v>
      </c>
      <c r="W136" s="93">
        <f t="shared" si="11"/>
        <v>1937</v>
      </c>
      <c r="Y136" s="133">
        <f>(COUNTIFS(Base!$B:$B,C$11,Base!$S:$S,"&gt;8",Base!$N:$N,"&lt;="&amp;$B136) - COUNTIFS(Base!$B:$B,C$11,Base!$S:$S,"&lt;7",Base!$N:$N,"&lt;="&amp;$B136) - COUNTIFS(Base!$B:$B,C$11,Base!$S:$S,"&lt;7",Base!$K:$K,"&lt;="&amp;$B136,Base!$O:$O,"Finalizado"))/(COUNTIFS(Base!$B:$B,C$11,Base!$S:$S,"&lt;&gt;",Base!$N:$N,"&lt;="&amp;$B136)+COUNTIFS(Base!$B:$B,C$11,Base!$S:$S,"&lt;7",Base!$K:$K,"&lt;="&amp;$B136,Base!$O:$O,"Finalizado"))</f>
        <v>0.6666666667</v>
      </c>
      <c r="Z136" s="133">
        <f>(COUNTIFS(Base!$B:$B,D$11,Base!$S:$S,"&gt;8",Base!$N:$N,"&lt;="&amp;$B136) - COUNTIFS(Base!$B:$B,D$11,Base!$S:$S,"&lt;7",Base!$N:$N,"&lt;="&amp;$B136) - COUNTIFS(Base!$B:$B,D$11,Base!$S:$S,"&lt;7",Base!$K:$K,"&lt;="&amp;$B136,Base!$O:$O,"Finalizado"))/(COUNTIFS(Base!$B:$B,D$11,Base!$S:$S,"&lt;&gt;",Base!$N:$N,"&lt;="&amp;$B136)+COUNTIFS(Base!$B:$B,D$11,Base!$S:$S,"&lt;7",Base!$K:$K,"&lt;="&amp;$B136,Base!$O:$O,"Finalizado"))</f>
        <v>0.6818181818</v>
      </c>
      <c r="AA136" s="133">
        <f>(COUNTIFS(Base!$B:$B,E$11,Base!$S:$S,"&gt;8",Base!$N:$N,"&lt;="&amp;$B136) - COUNTIFS(Base!$B:$B,E$11,Base!$S:$S,"&lt;7",Base!$N:$N,"&lt;="&amp;$B136) - COUNTIFS(Base!$B:$B,E$11,Base!$S:$S,"&lt;7",Base!$K:$K,"&lt;="&amp;$B136,Base!$O:$O,"Finalizado"))/(COUNTIFS(Base!$B:$B,E$11,Base!$S:$S,"&lt;&gt;",Base!$N:$N,"&lt;="&amp;$B136)+COUNTIFS(Base!$B:$B,E$11,Base!$S:$S,"&lt;7",Base!$K:$K,"&lt;="&amp;$B136,Base!$O:$O,"Finalizado"))</f>
        <v>0.6</v>
      </c>
      <c r="AB136" s="133">
        <f t="shared" si="12"/>
        <v>0.75</v>
      </c>
      <c r="AD136" s="93">
        <f>(COUNTIFS(Base!$B:$B,F$11,Base!$S:$S,"&gt;8",Base!$N:$N,"&lt;="&amp;$B136)+(COUNTIFS(Base!$B:$B,F$11,Base!$AG:$AG,"&gt;8",Base!$K:$K,"&lt;="&amp;$B136)))</f>
        <v>6</v>
      </c>
      <c r="AE136" s="93">
        <f>(COUNTIFS(Base!$B:$B,F$11,Base!$S:$S,"&lt;&gt;",Base!$N:$N,"&lt;="&amp;$B136)+(COUNTIFS(Base!$B:$B,F$11,Base!$AG:$AG,"&lt;&gt;",Base!$K:$K,"&lt;="&amp;$B136)+COUNTIFS(Base!$B:$B,F$11,Base!$S:$S,"&lt;7",Base!$K:$K,"&lt;="&amp;$B136,Base!$O:$O,"Finalizado")))</f>
        <v>8</v>
      </c>
      <c r="AF136" s="93">
        <f>COUNTIFS(Base!$B:$B,F$11,Base!$S:$S,"&lt;7",Base!$N:$N,"&lt;="&amp;$B136) +COUNTIFS(Base!$B:$B,F$11,Base!$AG:$AG,"&lt;7",Base!$K:$K,"&lt;="&amp;$B136) + COUNTIFS(Base!$B:$B,F$11,Base!$S:$S,"&lt;7",Base!$K:$K,"&lt;="&amp;$B136,Base!$O:$O,"Finalizado")</f>
        <v>0</v>
      </c>
    </row>
    <row r="137">
      <c r="B137" s="151">
        <f t="shared" si="180"/>
        <v>45392</v>
      </c>
      <c r="C137" s="93">
        <f>COUNTIFS(Base!$B:$B,C$11,Base!$M:$M,"&lt;"&amp;$B137,Base!$N:$N,"&gt;="&amp;$B137,Base!$O:$O,"&lt;&gt;Finalizado",Base!$O:$O,"&lt;&gt;Congelado",Base!$O:$O,"&lt;&gt;Concluindo pendências") + COUNTIFS(Base!$B:$B,C$11,Base!$M:$M,"&lt;"&amp;$B137,Base!$N:$N,"",Base!$O:$O,"&lt;&gt;Finalizado",Base!$O:$O,"&lt;&gt;Congelado",Base!$O:$O,"&lt;&gt;Concluindo pendências")</f>
        <v>8</v>
      </c>
      <c r="D137" s="93">
        <f>COUNTIFS(Base!$B:$B,D$11,Base!$M:$M,"&lt;"&amp;$B137,Base!$N:$N,"&gt;="&amp;$B137,Base!$O:$O,"&lt;&gt;Finalizado",Base!$O:$O,"&lt;&gt;Congelado",Base!$O:$O,"&lt;&gt;Concluindo pendências") + COUNTIFS(Base!$B:$B,D$11,Base!$M:$M,"&lt;"&amp;$B137,Base!$N:$N,"",Base!$O:$O,"&lt;&gt;Finalizado",Base!$O:$O,"&lt;&gt;Congelado",Base!$O:$O,"&lt;&gt;Concluindo pendências")</f>
        <v>8</v>
      </c>
      <c r="E137" s="93">
        <f>COUNTIFS(Base!$B:$B,E$11,Base!$M:$M,"&lt;"&amp;$B137,Base!$N:$N,"&gt;="&amp;$B137,Base!$O:$O,"&lt;&gt;Finalizado",Base!$O:$O,"&lt;&gt;Congelado",Base!$O:$O,"&lt;&gt;Concluindo pendências") + COUNTIFS(Base!$B:$B,E$11,Base!$M:$M,"&lt;"&amp;$B137,Base!$N:$N,"",Base!$O:$O,"&lt;&gt;Finalizado",Base!$O:$O,"&lt;&gt;Congelado",Base!$O:$O,"&lt;&gt;Concluindo pendências")</f>
        <v>3</v>
      </c>
      <c r="F137" s="93">
        <f>COUNTIFS(Base!$B:$B,F$11,Base!$M:$M,"&lt;"&amp;$B137,Base!$N:$N,"&gt;="&amp;$B137,Base!$O:$O,"&lt;&gt;Finalizado",Base!$O:$O,"&lt;&gt;Congelado",Base!$O:$O,"&lt;&gt;Concluindo pendências") + COUNTIFS(Base!$B:$B,F$11,Base!$M:$M,"&lt;"&amp;$B137,Base!$N:$N,"",Base!$O:$O,"&lt;&gt;Finalizado",Base!$O:$O,"&lt;&gt;Congelado",Base!$O:$O,"&lt;&gt;Concluindo pendências")</f>
        <v>7</v>
      </c>
      <c r="H137" s="93">
        <f>COUNTIFS(Base!$B:$B,C$11,Base!$K:$K,"&lt;"&amp;$B137,Base!$N:$N,"&gt;="&amp;$B137,Base!$O:$O,"&lt;&gt;Finalizado",Base!$O:$O,"&lt;&gt;Congelado") + COUNTIFS(Base!$B:$B,C$11,Base!$K:$K,"&lt;"&amp;$B137,Base!$N:$N,"",Base!$O:$O,"&lt;&gt;Finalizado",Base!$O:$O,"&lt;&gt;Congelado")</f>
        <v>15</v>
      </c>
      <c r="I137" s="93">
        <f>COUNTIFS(Base!$B:$B,D$11,Base!$K:$K,"&lt;"&amp;$B137,Base!$N:$N,"&gt;="&amp;$B137,Base!$O:$O,"&lt;&gt;Finalizado",Base!$O:$O,"&lt;&gt;Congelado") + COUNTIFS(Base!$B:$B,D$11,Base!$K:$K,"&lt;"&amp;$B137,Base!$N:$N,"",Base!$O:$O,"&lt;&gt;Finalizado",Base!$O:$O,"&lt;&gt;Congelado")</f>
        <v>21</v>
      </c>
      <c r="J137" s="93">
        <f>COUNTIFS(Base!$B:$B,E$11,Base!$K:$K,"&lt;"&amp;$B137,Base!$N:$N,"&gt;="&amp;$B137,Base!$O:$O,"&lt;&gt;Finalizado",Base!$O:$O,"&lt;&gt;Congelado") + COUNTIFS(Base!$B:$B,E$11,Base!$K:$K,"&lt;"&amp;$B137,Base!$N:$N,"",Base!$O:$O,"&lt;&gt;Finalizado",Base!$O:$O,"&lt;&gt;Congelado")</f>
        <v>17</v>
      </c>
      <c r="K137" s="93">
        <f>COUNTIFS(Base!$B:$B,F$11,Base!$K:$K,"&lt;"&amp;$B137,Base!$N:$N,"&gt;="&amp;$B137,Base!$O:$O,"&lt;&gt;Finalizado",Base!$O:$O,"&lt;&gt;Congelado") + COUNTIFS(Base!$B:$B,F$11,Base!$K:$K,"&lt;"&amp;$B137,Base!$N:$N,"",Base!$O:$O,"&lt;&gt;Finalizado",Base!$O:$O,"&lt;&gt;Congelado")</f>
        <v>21</v>
      </c>
      <c r="M137" s="133">
        <f t="shared" ref="M137:P137" si="211">C137/H137</f>
        <v>0.5333333333</v>
      </c>
      <c r="N137" s="133">
        <f t="shared" si="211"/>
        <v>0.380952381</v>
      </c>
      <c r="O137" s="133">
        <f t="shared" si="211"/>
        <v>0.1764705882</v>
      </c>
      <c r="P137" s="133">
        <f t="shared" si="211"/>
        <v>0.3333333333</v>
      </c>
      <c r="Q137" s="133">
        <f t="shared" si="9"/>
        <v>0.3513513514</v>
      </c>
      <c r="S137" s="93">
        <f t="shared" ref="S137:V137" si="212">S136+C137</f>
        <v>340</v>
      </c>
      <c r="T137" s="93">
        <f t="shared" si="212"/>
        <v>619</v>
      </c>
      <c r="U137" s="93">
        <f t="shared" si="212"/>
        <v>511</v>
      </c>
      <c r="V137" s="93">
        <f t="shared" si="212"/>
        <v>493</v>
      </c>
      <c r="W137" s="93">
        <f t="shared" si="11"/>
        <v>1963</v>
      </c>
      <c r="Y137" s="133">
        <f>(COUNTIFS(Base!$B:$B,C$11,Base!$S:$S,"&gt;8",Base!$N:$N,"&lt;="&amp;$B137) - COUNTIFS(Base!$B:$B,C$11,Base!$S:$S,"&lt;7",Base!$N:$N,"&lt;="&amp;$B137) - COUNTIFS(Base!$B:$B,C$11,Base!$S:$S,"&lt;7",Base!$K:$K,"&lt;="&amp;$B137,Base!$O:$O,"Finalizado"))/(COUNTIFS(Base!$B:$B,C$11,Base!$S:$S,"&lt;&gt;",Base!$N:$N,"&lt;="&amp;$B137)+COUNTIFS(Base!$B:$B,C$11,Base!$S:$S,"&lt;7",Base!$K:$K,"&lt;="&amp;$B137,Base!$O:$O,"Finalizado"))</f>
        <v>0.6666666667</v>
      </c>
      <c r="Z137" s="133">
        <f>(COUNTIFS(Base!$B:$B,D$11,Base!$S:$S,"&gt;8",Base!$N:$N,"&lt;="&amp;$B137) - COUNTIFS(Base!$B:$B,D$11,Base!$S:$S,"&lt;7",Base!$N:$N,"&lt;="&amp;$B137) - COUNTIFS(Base!$B:$B,D$11,Base!$S:$S,"&lt;7",Base!$K:$K,"&lt;="&amp;$B137,Base!$O:$O,"Finalizado"))/(COUNTIFS(Base!$B:$B,D$11,Base!$S:$S,"&lt;&gt;",Base!$N:$N,"&lt;="&amp;$B137)+COUNTIFS(Base!$B:$B,D$11,Base!$S:$S,"&lt;7",Base!$K:$K,"&lt;="&amp;$B137,Base!$O:$O,"Finalizado"))</f>
        <v>0.6818181818</v>
      </c>
      <c r="AA137" s="133">
        <f>(COUNTIFS(Base!$B:$B,E$11,Base!$S:$S,"&gt;8",Base!$N:$N,"&lt;="&amp;$B137) - COUNTIFS(Base!$B:$B,E$11,Base!$S:$S,"&lt;7",Base!$N:$N,"&lt;="&amp;$B137) - COUNTIFS(Base!$B:$B,E$11,Base!$S:$S,"&lt;7",Base!$K:$K,"&lt;="&amp;$B137,Base!$O:$O,"Finalizado"))/(COUNTIFS(Base!$B:$B,E$11,Base!$S:$S,"&lt;&gt;",Base!$N:$N,"&lt;="&amp;$B137)+COUNTIFS(Base!$B:$B,E$11,Base!$S:$S,"&lt;7",Base!$K:$K,"&lt;="&amp;$B137,Base!$O:$O,"Finalizado"))</f>
        <v>0.6</v>
      </c>
      <c r="AB137" s="133">
        <f t="shared" si="12"/>
        <v>0.75</v>
      </c>
      <c r="AD137" s="93">
        <f>(COUNTIFS(Base!$B:$B,F$11,Base!$S:$S,"&gt;8",Base!$N:$N,"&lt;="&amp;$B137)+(COUNTIFS(Base!$B:$B,F$11,Base!$AG:$AG,"&gt;8",Base!$K:$K,"&lt;="&amp;$B137)))</f>
        <v>6</v>
      </c>
      <c r="AE137" s="93">
        <f>(COUNTIFS(Base!$B:$B,F$11,Base!$S:$S,"&lt;&gt;",Base!$N:$N,"&lt;="&amp;$B137)+(COUNTIFS(Base!$B:$B,F$11,Base!$AG:$AG,"&lt;&gt;",Base!$K:$K,"&lt;="&amp;$B137)+COUNTIFS(Base!$B:$B,F$11,Base!$S:$S,"&lt;7",Base!$K:$K,"&lt;="&amp;$B137,Base!$O:$O,"Finalizado")))</f>
        <v>8</v>
      </c>
      <c r="AF137" s="93">
        <f>COUNTIFS(Base!$B:$B,F$11,Base!$S:$S,"&lt;7",Base!$N:$N,"&lt;="&amp;$B137) +COUNTIFS(Base!$B:$B,F$11,Base!$AG:$AG,"&lt;7",Base!$K:$K,"&lt;="&amp;$B137) + COUNTIFS(Base!$B:$B,F$11,Base!$S:$S,"&lt;7",Base!$K:$K,"&lt;="&amp;$B137,Base!$O:$O,"Finalizado")</f>
        <v>0</v>
      </c>
    </row>
    <row r="138">
      <c r="B138" s="151">
        <f t="shared" si="180"/>
        <v>45393</v>
      </c>
      <c r="C138" s="93">
        <f>COUNTIFS(Base!$B:$B,C$11,Base!$M:$M,"&lt;"&amp;$B138,Base!$N:$N,"&gt;="&amp;$B138,Base!$O:$O,"&lt;&gt;Finalizado",Base!$O:$O,"&lt;&gt;Congelado",Base!$O:$O,"&lt;&gt;Concluindo pendências") + COUNTIFS(Base!$B:$B,C$11,Base!$M:$M,"&lt;"&amp;$B138,Base!$N:$N,"",Base!$O:$O,"&lt;&gt;Finalizado",Base!$O:$O,"&lt;&gt;Congelado",Base!$O:$O,"&lt;&gt;Concluindo pendências")</f>
        <v>7</v>
      </c>
      <c r="D138" s="93">
        <f>COUNTIFS(Base!$B:$B,D$11,Base!$M:$M,"&lt;"&amp;$B138,Base!$N:$N,"&gt;="&amp;$B138,Base!$O:$O,"&lt;&gt;Finalizado",Base!$O:$O,"&lt;&gt;Congelado",Base!$O:$O,"&lt;&gt;Concluindo pendências") + COUNTIFS(Base!$B:$B,D$11,Base!$M:$M,"&lt;"&amp;$B138,Base!$N:$N,"",Base!$O:$O,"&lt;&gt;Finalizado",Base!$O:$O,"&lt;&gt;Congelado",Base!$O:$O,"&lt;&gt;Concluindo pendências")</f>
        <v>8</v>
      </c>
      <c r="E138" s="93">
        <f>COUNTIFS(Base!$B:$B,E$11,Base!$M:$M,"&lt;"&amp;$B138,Base!$N:$N,"&gt;="&amp;$B138,Base!$O:$O,"&lt;&gt;Finalizado",Base!$O:$O,"&lt;&gt;Congelado",Base!$O:$O,"&lt;&gt;Concluindo pendências") + COUNTIFS(Base!$B:$B,E$11,Base!$M:$M,"&lt;"&amp;$B138,Base!$N:$N,"",Base!$O:$O,"&lt;&gt;Finalizado",Base!$O:$O,"&lt;&gt;Congelado",Base!$O:$O,"&lt;&gt;Concluindo pendências")</f>
        <v>3</v>
      </c>
      <c r="F138" s="93">
        <f>COUNTIFS(Base!$B:$B,F$11,Base!$M:$M,"&lt;"&amp;$B138,Base!$N:$N,"&gt;="&amp;$B138,Base!$O:$O,"&lt;&gt;Finalizado",Base!$O:$O,"&lt;&gt;Congelado",Base!$O:$O,"&lt;&gt;Concluindo pendências") + COUNTIFS(Base!$B:$B,F$11,Base!$M:$M,"&lt;"&amp;$B138,Base!$N:$N,"",Base!$O:$O,"&lt;&gt;Finalizado",Base!$O:$O,"&lt;&gt;Congelado",Base!$O:$O,"&lt;&gt;Concluindo pendências")</f>
        <v>8</v>
      </c>
      <c r="H138" s="93">
        <f>COUNTIFS(Base!$B:$B,C$11,Base!$K:$K,"&lt;"&amp;$B138,Base!$N:$N,"&gt;="&amp;$B138,Base!$O:$O,"&lt;&gt;Finalizado",Base!$O:$O,"&lt;&gt;Congelado") + COUNTIFS(Base!$B:$B,C$11,Base!$K:$K,"&lt;"&amp;$B138,Base!$N:$N,"",Base!$O:$O,"&lt;&gt;Finalizado",Base!$O:$O,"&lt;&gt;Congelado")</f>
        <v>13</v>
      </c>
      <c r="I138" s="93">
        <f>COUNTIFS(Base!$B:$B,D$11,Base!$K:$K,"&lt;"&amp;$B138,Base!$N:$N,"&gt;="&amp;$B138,Base!$O:$O,"&lt;&gt;Finalizado",Base!$O:$O,"&lt;&gt;Congelado") + COUNTIFS(Base!$B:$B,D$11,Base!$K:$K,"&lt;"&amp;$B138,Base!$N:$N,"",Base!$O:$O,"&lt;&gt;Finalizado",Base!$O:$O,"&lt;&gt;Congelado")</f>
        <v>21</v>
      </c>
      <c r="J138" s="93">
        <f>COUNTIFS(Base!$B:$B,E$11,Base!$K:$K,"&lt;"&amp;$B138,Base!$N:$N,"&gt;="&amp;$B138,Base!$O:$O,"&lt;&gt;Finalizado",Base!$O:$O,"&lt;&gt;Congelado") + COUNTIFS(Base!$B:$B,E$11,Base!$K:$K,"&lt;"&amp;$B138,Base!$N:$N,"",Base!$O:$O,"&lt;&gt;Finalizado",Base!$O:$O,"&lt;&gt;Congelado")</f>
        <v>16</v>
      </c>
      <c r="K138" s="93">
        <f>COUNTIFS(Base!$B:$B,F$11,Base!$K:$K,"&lt;"&amp;$B138,Base!$N:$N,"&gt;="&amp;$B138,Base!$O:$O,"&lt;&gt;Finalizado",Base!$O:$O,"&lt;&gt;Congelado") + COUNTIFS(Base!$B:$B,F$11,Base!$K:$K,"&lt;"&amp;$B138,Base!$N:$N,"",Base!$O:$O,"&lt;&gt;Finalizado",Base!$O:$O,"&lt;&gt;Congelado")</f>
        <v>21</v>
      </c>
      <c r="M138" s="133">
        <f t="shared" ref="M138:P138" si="213">C138/H138</f>
        <v>0.5384615385</v>
      </c>
      <c r="N138" s="133">
        <f t="shared" si="213"/>
        <v>0.380952381</v>
      </c>
      <c r="O138" s="133">
        <f t="shared" si="213"/>
        <v>0.1875</v>
      </c>
      <c r="P138" s="133">
        <f t="shared" si="213"/>
        <v>0.380952381</v>
      </c>
      <c r="Q138" s="133">
        <f t="shared" si="9"/>
        <v>0.3661971831</v>
      </c>
      <c r="S138" s="93">
        <f t="shared" ref="S138:V138" si="214">S137+C138</f>
        <v>347</v>
      </c>
      <c r="T138" s="93">
        <f t="shared" si="214"/>
        <v>627</v>
      </c>
      <c r="U138" s="93">
        <f t="shared" si="214"/>
        <v>514</v>
      </c>
      <c r="V138" s="93">
        <f t="shared" si="214"/>
        <v>501</v>
      </c>
      <c r="W138" s="93">
        <f t="shared" si="11"/>
        <v>1989</v>
      </c>
      <c r="Y138" s="133">
        <f>(COUNTIFS(Base!$B:$B,C$11,Base!$S:$S,"&gt;8",Base!$N:$N,"&lt;="&amp;$B138) - COUNTIFS(Base!$B:$B,C$11,Base!$S:$S,"&lt;7",Base!$N:$N,"&lt;="&amp;$B138) - COUNTIFS(Base!$B:$B,C$11,Base!$S:$S,"&lt;7",Base!$K:$K,"&lt;="&amp;$B138,Base!$O:$O,"Finalizado"))/(COUNTIFS(Base!$B:$B,C$11,Base!$S:$S,"&lt;&gt;",Base!$N:$N,"&lt;="&amp;$B138)+COUNTIFS(Base!$B:$B,C$11,Base!$S:$S,"&lt;7",Base!$K:$K,"&lt;="&amp;$B138,Base!$O:$O,"Finalizado"))</f>
        <v>0.6666666667</v>
      </c>
      <c r="Z138" s="133">
        <f>(COUNTIFS(Base!$B:$B,D$11,Base!$S:$S,"&gt;8",Base!$N:$N,"&lt;="&amp;$B138) - COUNTIFS(Base!$B:$B,D$11,Base!$S:$S,"&lt;7",Base!$N:$N,"&lt;="&amp;$B138) - COUNTIFS(Base!$B:$B,D$11,Base!$S:$S,"&lt;7",Base!$K:$K,"&lt;="&amp;$B138,Base!$O:$O,"Finalizado"))/(COUNTIFS(Base!$B:$B,D$11,Base!$S:$S,"&lt;&gt;",Base!$N:$N,"&lt;="&amp;$B138)+COUNTIFS(Base!$B:$B,D$11,Base!$S:$S,"&lt;7",Base!$K:$K,"&lt;="&amp;$B138,Base!$O:$O,"Finalizado"))</f>
        <v>0.6818181818</v>
      </c>
      <c r="AA138" s="133">
        <f>(COUNTIFS(Base!$B:$B,E$11,Base!$S:$S,"&gt;8",Base!$N:$N,"&lt;="&amp;$B138) - COUNTIFS(Base!$B:$B,E$11,Base!$S:$S,"&lt;7",Base!$N:$N,"&lt;="&amp;$B138) - COUNTIFS(Base!$B:$B,E$11,Base!$S:$S,"&lt;7",Base!$K:$K,"&lt;="&amp;$B138,Base!$O:$O,"Finalizado"))/(COUNTIFS(Base!$B:$B,E$11,Base!$S:$S,"&lt;&gt;",Base!$N:$N,"&lt;="&amp;$B138)+COUNTIFS(Base!$B:$B,E$11,Base!$S:$S,"&lt;7",Base!$K:$K,"&lt;="&amp;$B138,Base!$O:$O,"Finalizado"))</f>
        <v>0.6</v>
      </c>
      <c r="AB138" s="133">
        <f t="shared" si="12"/>
        <v>0.75</v>
      </c>
      <c r="AD138" s="93">
        <f>(COUNTIFS(Base!$B:$B,F$11,Base!$S:$S,"&gt;8",Base!$N:$N,"&lt;="&amp;$B138)+(COUNTIFS(Base!$B:$B,F$11,Base!$AG:$AG,"&gt;8",Base!$K:$K,"&lt;="&amp;$B138)))</f>
        <v>6</v>
      </c>
      <c r="AE138" s="93">
        <f>(COUNTIFS(Base!$B:$B,F$11,Base!$S:$S,"&lt;&gt;",Base!$N:$N,"&lt;="&amp;$B138)+(COUNTIFS(Base!$B:$B,F$11,Base!$AG:$AG,"&lt;&gt;",Base!$K:$K,"&lt;="&amp;$B138)+COUNTIFS(Base!$B:$B,F$11,Base!$S:$S,"&lt;7",Base!$K:$K,"&lt;="&amp;$B138,Base!$O:$O,"Finalizado")))</f>
        <v>8</v>
      </c>
      <c r="AF138" s="93">
        <f>COUNTIFS(Base!$B:$B,F$11,Base!$S:$S,"&lt;7",Base!$N:$N,"&lt;="&amp;$B138) +COUNTIFS(Base!$B:$B,F$11,Base!$AG:$AG,"&lt;7",Base!$K:$K,"&lt;="&amp;$B138) + COUNTIFS(Base!$B:$B,F$11,Base!$S:$S,"&lt;7",Base!$K:$K,"&lt;="&amp;$B138,Base!$O:$O,"Finalizado")</f>
        <v>0</v>
      </c>
    </row>
    <row r="139">
      <c r="B139" s="151">
        <f t="shared" si="180"/>
        <v>45394</v>
      </c>
      <c r="C139" s="93">
        <f>COUNTIFS(Base!$B:$B,C$11,Base!$M:$M,"&lt;"&amp;$B139,Base!$N:$N,"&gt;="&amp;$B139,Base!$O:$O,"&lt;&gt;Finalizado",Base!$O:$O,"&lt;&gt;Congelado",Base!$O:$O,"&lt;&gt;Concluindo pendências") + COUNTIFS(Base!$B:$B,C$11,Base!$M:$M,"&lt;"&amp;$B139,Base!$N:$N,"",Base!$O:$O,"&lt;&gt;Finalizado",Base!$O:$O,"&lt;&gt;Congelado",Base!$O:$O,"&lt;&gt;Concluindo pendências")</f>
        <v>7</v>
      </c>
      <c r="D139" s="93">
        <f>COUNTIFS(Base!$B:$B,D$11,Base!$M:$M,"&lt;"&amp;$B139,Base!$N:$N,"&gt;="&amp;$B139,Base!$O:$O,"&lt;&gt;Finalizado",Base!$O:$O,"&lt;&gt;Congelado",Base!$O:$O,"&lt;&gt;Concluindo pendências") + COUNTIFS(Base!$B:$B,D$11,Base!$M:$M,"&lt;"&amp;$B139,Base!$N:$N,"",Base!$O:$O,"&lt;&gt;Finalizado",Base!$O:$O,"&lt;&gt;Congelado",Base!$O:$O,"&lt;&gt;Concluindo pendências")</f>
        <v>8</v>
      </c>
      <c r="E139" s="93">
        <f>COUNTIFS(Base!$B:$B,E$11,Base!$M:$M,"&lt;"&amp;$B139,Base!$N:$N,"&gt;="&amp;$B139,Base!$O:$O,"&lt;&gt;Finalizado",Base!$O:$O,"&lt;&gt;Congelado",Base!$O:$O,"&lt;&gt;Concluindo pendências") + COUNTIFS(Base!$B:$B,E$11,Base!$M:$M,"&lt;"&amp;$B139,Base!$N:$N,"",Base!$O:$O,"&lt;&gt;Finalizado",Base!$O:$O,"&lt;&gt;Congelado",Base!$O:$O,"&lt;&gt;Concluindo pendências")</f>
        <v>3</v>
      </c>
      <c r="F139" s="93">
        <f>COUNTIFS(Base!$B:$B,F$11,Base!$M:$M,"&lt;"&amp;$B139,Base!$N:$N,"&gt;="&amp;$B139,Base!$O:$O,"&lt;&gt;Finalizado",Base!$O:$O,"&lt;&gt;Congelado",Base!$O:$O,"&lt;&gt;Concluindo pendências") + COUNTIFS(Base!$B:$B,F$11,Base!$M:$M,"&lt;"&amp;$B139,Base!$N:$N,"",Base!$O:$O,"&lt;&gt;Finalizado",Base!$O:$O,"&lt;&gt;Congelado",Base!$O:$O,"&lt;&gt;Concluindo pendências")</f>
        <v>7</v>
      </c>
      <c r="H139" s="93">
        <f>COUNTIFS(Base!$B:$B,C$11,Base!$K:$K,"&lt;"&amp;$B139,Base!$N:$N,"&gt;="&amp;$B139,Base!$O:$O,"&lt;&gt;Finalizado",Base!$O:$O,"&lt;&gt;Congelado") + COUNTIFS(Base!$B:$B,C$11,Base!$K:$K,"&lt;"&amp;$B139,Base!$N:$N,"",Base!$O:$O,"&lt;&gt;Finalizado",Base!$O:$O,"&lt;&gt;Congelado")</f>
        <v>13</v>
      </c>
      <c r="I139" s="93">
        <f>COUNTIFS(Base!$B:$B,D$11,Base!$K:$K,"&lt;"&amp;$B139,Base!$N:$N,"&gt;="&amp;$B139,Base!$O:$O,"&lt;&gt;Finalizado",Base!$O:$O,"&lt;&gt;Congelado") + COUNTIFS(Base!$B:$B,D$11,Base!$K:$K,"&lt;"&amp;$B139,Base!$N:$N,"",Base!$O:$O,"&lt;&gt;Finalizado",Base!$O:$O,"&lt;&gt;Congelado")</f>
        <v>21</v>
      </c>
      <c r="J139" s="93">
        <f>COUNTIFS(Base!$B:$B,E$11,Base!$K:$K,"&lt;"&amp;$B139,Base!$N:$N,"&gt;="&amp;$B139,Base!$O:$O,"&lt;&gt;Finalizado",Base!$O:$O,"&lt;&gt;Congelado") + COUNTIFS(Base!$B:$B,E$11,Base!$K:$K,"&lt;"&amp;$B139,Base!$N:$N,"",Base!$O:$O,"&lt;&gt;Finalizado",Base!$O:$O,"&lt;&gt;Congelado")</f>
        <v>16</v>
      </c>
      <c r="K139" s="93">
        <f>COUNTIFS(Base!$B:$B,F$11,Base!$K:$K,"&lt;"&amp;$B139,Base!$N:$N,"&gt;="&amp;$B139,Base!$O:$O,"&lt;&gt;Finalizado",Base!$O:$O,"&lt;&gt;Congelado") + COUNTIFS(Base!$B:$B,F$11,Base!$K:$K,"&lt;"&amp;$B139,Base!$N:$N,"",Base!$O:$O,"&lt;&gt;Finalizado",Base!$O:$O,"&lt;&gt;Congelado")</f>
        <v>20</v>
      </c>
      <c r="M139" s="133">
        <f t="shared" ref="M139:P139" si="215">C139/H139</f>
        <v>0.5384615385</v>
      </c>
      <c r="N139" s="133">
        <f t="shared" si="215"/>
        <v>0.380952381</v>
      </c>
      <c r="O139" s="133">
        <f t="shared" si="215"/>
        <v>0.1875</v>
      </c>
      <c r="P139" s="133">
        <f t="shared" si="215"/>
        <v>0.35</v>
      </c>
      <c r="Q139" s="133">
        <f t="shared" si="9"/>
        <v>0.3571428571</v>
      </c>
      <c r="S139" s="93">
        <f t="shared" ref="S139:V139" si="216">S138+C139</f>
        <v>354</v>
      </c>
      <c r="T139" s="93">
        <f t="shared" si="216"/>
        <v>635</v>
      </c>
      <c r="U139" s="93">
        <f t="shared" si="216"/>
        <v>517</v>
      </c>
      <c r="V139" s="93">
        <f t="shared" si="216"/>
        <v>508</v>
      </c>
      <c r="W139" s="93">
        <f t="shared" si="11"/>
        <v>2014</v>
      </c>
      <c r="Y139" s="133">
        <f>(COUNTIFS(Base!$B:$B,C$11,Base!$S:$S,"&gt;8",Base!$N:$N,"&lt;="&amp;$B139) - COUNTIFS(Base!$B:$B,C$11,Base!$S:$S,"&lt;7",Base!$N:$N,"&lt;="&amp;$B139) - COUNTIFS(Base!$B:$B,C$11,Base!$S:$S,"&lt;7",Base!$K:$K,"&lt;="&amp;$B139,Base!$O:$O,"Finalizado"))/(COUNTIFS(Base!$B:$B,C$11,Base!$S:$S,"&lt;&gt;",Base!$N:$N,"&lt;="&amp;$B139)+COUNTIFS(Base!$B:$B,C$11,Base!$S:$S,"&lt;7",Base!$K:$K,"&lt;="&amp;$B139,Base!$O:$O,"Finalizado"))</f>
        <v>0.6666666667</v>
      </c>
      <c r="Z139" s="133">
        <f>(COUNTIFS(Base!$B:$B,D$11,Base!$S:$S,"&gt;8",Base!$N:$N,"&lt;="&amp;$B139) - COUNTIFS(Base!$B:$B,D$11,Base!$S:$S,"&lt;7",Base!$N:$N,"&lt;="&amp;$B139) - COUNTIFS(Base!$B:$B,D$11,Base!$S:$S,"&lt;7",Base!$K:$K,"&lt;="&amp;$B139,Base!$O:$O,"Finalizado"))/(COUNTIFS(Base!$B:$B,D$11,Base!$S:$S,"&lt;&gt;",Base!$N:$N,"&lt;="&amp;$B139)+COUNTIFS(Base!$B:$B,D$11,Base!$S:$S,"&lt;7",Base!$K:$K,"&lt;="&amp;$B139,Base!$O:$O,"Finalizado"))</f>
        <v>0.6818181818</v>
      </c>
      <c r="AA139" s="133">
        <f>(COUNTIFS(Base!$B:$B,E$11,Base!$S:$S,"&gt;8",Base!$N:$N,"&lt;="&amp;$B139) - COUNTIFS(Base!$B:$B,E$11,Base!$S:$S,"&lt;7",Base!$N:$N,"&lt;="&amp;$B139) - COUNTIFS(Base!$B:$B,E$11,Base!$S:$S,"&lt;7",Base!$K:$K,"&lt;="&amp;$B139,Base!$O:$O,"Finalizado"))/(COUNTIFS(Base!$B:$B,E$11,Base!$S:$S,"&lt;&gt;",Base!$N:$N,"&lt;="&amp;$B139)+COUNTIFS(Base!$B:$B,E$11,Base!$S:$S,"&lt;7",Base!$K:$K,"&lt;="&amp;$B139,Base!$O:$O,"Finalizado"))</f>
        <v>0.6</v>
      </c>
      <c r="AB139" s="133">
        <f t="shared" si="12"/>
        <v>0.75</v>
      </c>
      <c r="AD139" s="93">
        <f>(COUNTIFS(Base!$B:$B,F$11,Base!$S:$S,"&gt;8",Base!$N:$N,"&lt;="&amp;$B139)+(COUNTIFS(Base!$B:$B,F$11,Base!$AG:$AG,"&gt;8",Base!$K:$K,"&lt;="&amp;$B139)))</f>
        <v>6</v>
      </c>
      <c r="AE139" s="93">
        <f>(COUNTIFS(Base!$B:$B,F$11,Base!$S:$S,"&lt;&gt;",Base!$N:$N,"&lt;="&amp;$B139)+(COUNTIFS(Base!$B:$B,F$11,Base!$AG:$AG,"&lt;&gt;",Base!$K:$K,"&lt;="&amp;$B139)+COUNTIFS(Base!$B:$B,F$11,Base!$S:$S,"&lt;7",Base!$K:$K,"&lt;="&amp;$B139,Base!$O:$O,"Finalizado")))</f>
        <v>8</v>
      </c>
      <c r="AF139" s="93">
        <f>COUNTIFS(Base!$B:$B,F$11,Base!$S:$S,"&lt;7",Base!$N:$N,"&lt;="&amp;$B139) +COUNTIFS(Base!$B:$B,F$11,Base!$AG:$AG,"&lt;7",Base!$K:$K,"&lt;="&amp;$B139) + COUNTIFS(Base!$B:$B,F$11,Base!$S:$S,"&lt;7",Base!$K:$K,"&lt;="&amp;$B139,Base!$O:$O,"Finalizado")</f>
        <v>0</v>
      </c>
    </row>
    <row r="140">
      <c r="B140" s="151">
        <f t="shared" si="180"/>
        <v>45395</v>
      </c>
      <c r="C140" s="93">
        <f>COUNTIFS(Base!$B:$B,C$11,Base!$M:$M,"&lt;"&amp;$B140,Base!$N:$N,"&gt;="&amp;$B140,Base!$O:$O,"&lt;&gt;Finalizado",Base!$O:$O,"&lt;&gt;Congelado",Base!$O:$O,"&lt;&gt;Concluindo pendências") + COUNTIFS(Base!$B:$B,C$11,Base!$M:$M,"&lt;"&amp;$B140,Base!$N:$N,"",Base!$O:$O,"&lt;&gt;Finalizado",Base!$O:$O,"&lt;&gt;Congelado",Base!$O:$O,"&lt;&gt;Concluindo pendências")</f>
        <v>7</v>
      </c>
      <c r="D140" s="93">
        <f>COUNTIFS(Base!$B:$B,D$11,Base!$M:$M,"&lt;"&amp;$B140,Base!$N:$N,"&gt;="&amp;$B140,Base!$O:$O,"&lt;&gt;Finalizado",Base!$O:$O,"&lt;&gt;Congelado",Base!$O:$O,"&lt;&gt;Concluindo pendências") + COUNTIFS(Base!$B:$B,D$11,Base!$M:$M,"&lt;"&amp;$B140,Base!$N:$N,"",Base!$O:$O,"&lt;&gt;Finalizado",Base!$O:$O,"&lt;&gt;Congelado",Base!$O:$O,"&lt;&gt;Concluindo pendências")</f>
        <v>8</v>
      </c>
      <c r="E140" s="93">
        <f>COUNTIFS(Base!$B:$B,E$11,Base!$M:$M,"&lt;"&amp;$B140,Base!$N:$N,"&gt;="&amp;$B140,Base!$O:$O,"&lt;&gt;Finalizado",Base!$O:$O,"&lt;&gt;Congelado",Base!$O:$O,"&lt;&gt;Concluindo pendências") + COUNTIFS(Base!$B:$B,E$11,Base!$M:$M,"&lt;"&amp;$B140,Base!$N:$N,"",Base!$O:$O,"&lt;&gt;Finalizado",Base!$O:$O,"&lt;&gt;Congelado",Base!$O:$O,"&lt;&gt;Concluindo pendências")</f>
        <v>3</v>
      </c>
      <c r="F140" s="93">
        <f>COUNTIFS(Base!$B:$B,F$11,Base!$M:$M,"&lt;"&amp;$B140,Base!$N:$N,"&gt;="&amp;$B140,Base!$O:$O,"&lt;&gt;Finalizado",Base!$O:$O,"&lt;&gt;Congelado",Base!$O:$O,"&lt;&gt;Concluindo pendências") + COUNTIFS(Base!$B:$B,F$11,Base!$M:$M,"&lt;"&amp;$B140,Base!$N:$N,"",Base!$O:$O,"&lt;&gt;Finalizado",Base!$O:$O,"&lt;&gt;Congelado",Base!$O:$O,"&lt;&gt;Concluindo pendências")</f>
        <v>7</v>
      </c>
      <c r="H140" s="93">
        <f>COUNTIFS(Base!$B:$B,C$11,Base!$K:$K,"&lt;"&amp;$B140,Base!$N:$N,"&gt;="&amp;$B140,Base!$O:$O,"&lt;&gt;Finalizado",Base!$O:$O,"&lt;&gt;Congelado") + COUNTIFS(Base!$B:$B,C$11,Base!$K:$K,"&lt;"&amp;$B140,Base!$N:$N,"",Base!$O:$O,"&lt;&gt;Finalizado",Base!$O:$O,"&lt;&gt;Congelado")</f>
        <v>12</v>
      </c>
      <c r="I140" s="93">
        <f>COUNTIFS(Base!$B:$B,D$11,Base!$K:$K,"&lt;"&amp;$B140,Base!$N:$N,"&gt;="&amp;$B140,Base!$O:$O,"&lt;&gt;Finalizado",Base!$O:$O,"&lt;&gt;Congelado") + COUNTIFS(Base!$B:$B,D$11,Base!$K:$K,"&lt;"&amp;$B140,Base!$N:$N,"",Base!$O:$O,"&lt;&gt;Finalizado",Base!$O:$O,"&lt;&gt;Congelado")</f>
        <v>22</v>
      </c>
      <c r="J140" s="93">
        <f>COUNTIFS(Base!$B:$B,E$11,Base!$K:$K,"&lt;"&amp;$B140,Base!$N:$N,"&gt;="&amp;$B140,Base!$O:$O,"&lt;&gt;Finalizado",Base!$O:$O,"&lt;&gt;Congelado") + COUNTIFS(Base!$B:$B,E$11,Base!$K:$K,"&lt;"&amp;$B140,Base!$N:$N,"",Base!$O:$O,"&lt;&gt;Finalizado",Base!$O:$O,"&lt;&gt;Congelado")</f>
        <v>16</v>
      </c>
      <c r="K140" s="93">
        <f>COUNTIFS(Base!$B:$B,F$11,Base!$K:$K,"&lt;"&amp;$B140,Base!$N:$N,"&gt;="&amp;$B140,Base!$O:$O,"&lt;&gt;Finalizado",Base!$O:$O,"&lt;&gt;Congelado") + COUNTIFS(Base!$B:$B,F$11,Base!$K:$K,"&lt;"&amp;$B140,Base!$N:$N,"",Base!$O:$O,"&lt;&gt;Finalizado",Base!$O:$O,"&lt;&gt;Congelado")</f>
        <v>20</v>
      </c>
      <c r="M140" s="133">
        <f t="shared" ref="M140:P140" si="217">C140/H140</f>
        <v>0.5833333333</v>
      </c>
      <c r="N140" s="133">
        <f t="shared" si="217"/>
        <v>0.3636363636</v>
      </c>
      <c r="O140" s="133">
        <f t="shared" si="217"/>
        <v>0.1875</v>
      </c>
      <c r="P140" s="133">
        <f t="shared" si="217"/>
        <v>0.35</v>
      </c>
      <c r="Q140" s="133">
        <f t="shared" si="9"/>
        <v>0.3571428571</v>
      </c>
      <c r="S140" s="93">
        <f t="shared" ref="S140:V140" si="218">S139+C140</f>
        <v>361</v>
      </c>
      <c r="T140" s="93">
        <f t="shared" si="218"/>
        <v>643</v>
      </c>
      <c r="U140" s="93">
        <f t="shared" si="218"/>
        <v>520</v>
      </c>
      <c r="V140" s="93">
        <f t="shared" si="218"/>
        <v>515</v>
      </c>
      <c r="W140" s="93">
        <f t="shared" si="11"/>
        <v>2039</v>
      </c>
      <c r="Y140" s="133">
        <f>(COUNTIFS(Base!$B:$B,C$11,Base!$S:$S,"&gt;8",Base!$N:$N,"&lt;="&amp;$B140) - COUNTIFS(Base!$B:$B,C$11,Base!$S:$S,"&lt;7",Base!$N:$N,"&lt;="&amp;$B140) - COUNTIFS(Base!$B:$B,C$11,Base!$S:$S,"&lt;7",Base!$K:$K,"&lt;="&amp;$B140,Base!$O:$O,"Finalizado"))/(COUNTIFS(Base!$B:$B,C$11,Base!$S:$S,"&lt;&gt;",Base!$N:$N,"&lt;="&amp;$B140)+COUNTIFS(Base!$B:$B,C$11,Base!$S:$S,"&lt;7",Base!$K:$K,"&lt;="&amp;$B140,Base!$O:$O,"Finalizado"))</f>
        <v>0.6666666667</v>
      </c>
      <c r="Z140" s="133">
        <f>(COUNTIFS(Base!$B:$B,D$11,Base!$S:$S,"&gt;8",Base!$N:$N,"&lt;="&amp;$B140) - COUNTIFS(Base!$B:$B,D$11,Base!$S:$S,"&lt;7",Base!$N:$N,"&lt;="&amp;$B140) - COUNTIFS(Base!$B:$B,D$11,Base!$S:$S,"&lt;7",Base!$K:$K,"&lt;="&amp;$B140,Base!$O:$O,"Finalizado"))/(COUNTIFS(Base!$B:$B,D$11,Base!$S:$S,"&lt;&gt;",Base!$N:$N,"&lt;="&amp;$B140)+COUNTIFS(Base!$B:$B,D$11,Base!$S:$S,"&lt;7",Base!$K:$K,"&lt;="&amp;$B140,Base!$O:$O,"Finalizado"))</f>
        <v>0.6818181818</v>
      </c>
      <c r="AA140" s="133">
        <f>(COUNTIFS(Base!$B:$B,E$11,Base!$S:$S,"&gt;8",Base!$N:$N,"&lt;="&amp;$B140) - COUNTIFS(Base!$B:$B,E$11,Base!$S:$S,"&lt;7",Base!$N:$N,"&lt;="&amp;$B140) - COUNTIFS(Base!$B:$B,E$11,Base!$S:$S,"&lt;7",Base!$K:$K,"&lt;="&amp;$B140,Base!$O:$O,"Finalizado"))/(COUNTIFS(Base!$B:$B,E$11,Base!$S:$S,"&lt;&gt;",Base!$N:$N,"&lt;="&amp;$B140)+COUNTIFS(Base!$B:$B,E$11,Base!$S:$S,"&lt;7",Base!$K:$K,"&lt;="&amp;$B140,Base!$O:$O,"Finalizado"))</f>
        <v>0.6</v>
      </c>
      <c r="AB140" s="133">
        <f t="shared" si="12"/>
        <v>0.75</v>
      </c>
      <c r="AD140" s="93">
        <f>(COUNTIFS(Base!$B:$B,F$11,Base!$S:$S,"&gt;8",Base!$N:$N,"&lt;="&amp;$B140)+(COUNTIFS(Base!$B:$B,F$11,Base!$AG:$AG,"&gt;8",Base!$K:$K,"&lt;="&amp;$B140)))</f>
        <v>6</v>
      </c>
      <c r="AE140" s="93">
        <f>(COUNTIFS(Base!$B:$B,F$11,Base!$S:$S,"&lt;&gt;",Base!$N:$N,"&lt;="&amp;$B140)+(COUNTIFS(Base!$B:$B,F$11,Base!$AG:$AG,"&lt;&gt;",Base!$K:$K,"&lt;="&amp;$B140)+COUNTIFS(Base!$B:$B,F$11,Base!$S:$S,"&lt;7",Base!$K:$K,"&lt;="&amp;$B140,Base!$O:$O,"Finalizado")))</f>
        <v>8</v>
      </c>
      <c r="AF140" s="93">
        <f>COUNTIFS(Base!$B:$B,F$11,Base!$S:$S,"&lt;7",Base!$N:$N,"&lt;="&amp;$B140) +COUNTIFS(Base!$B:$B,F$11,Base!$AG:$AG,"&lt;7",Base!$K:$K,"&lt;="&amp;$B140) + COUNTIFS(Base!$B:$B,F$11,Base!$S:$S,"&lt;7",Base!$K:$K,"&lt;="&amp;$B140,Base!$O:$O,"Finalizado")</f>
        <v>0</v>
      </c>
    </row>
    <row r="141">
      <c r="B141" s="151">
        <f t="shared" si="180"/>
        <v>45396</v>
      </c>
      <c r="C141" s="93">
        <f>COUNTIFS(Base!$B:$B,C$11,Base!$M:$M,"&lt;"&amp;$B141,Base!$N:$N,"&gt;="&amp;$B141,Base!$O:$O,"&lt;&gt;Finalizado",Base!$O:$O,"&lt;&gt;Congelado",Base!$O:$O,"&lt;&gt;Concluindo pendências") + COUNTIFS(Base!$B:$B,C$11,Base!$M:$M,"&lt;"&amp;$B141,Base!$N:$N,"",Base!$O:$O,"&lt;&gt;Finalizado",Base!$O:$O,"&lt;&gt;Congelado",Base!$O:$O,"&lt;&gt;Concluindo pendências")</f>
        <v>7</v>
      </c>
      <c r="D141" s="93">
        <f>COUNTIFS(Base!$B:$B,D$11,Base!$M:$M,"&lt;"&amp;$B141,Base!$N:$N,"&gt;="&amp;$B141,Base!$O:$O,"&lt;&gt;Finalizado",Base!$O:$O,"&lt;&gt;Congelado",Base!$O:$O,"&lt;&gt;Concluindo pendências") + COUNTIFS(Base!$B:$B,D$11,Base!$M:$M,"&lt;"&amp;$B141,Base!$N:$N,"",Base!$O:$O,"&lt;&gt;Finalizado",Base!$O:$O,"&lt;&gt;Congelado",Base!$O:$O,"&lt;&gt;Concluindo pendências")</f>
        <v>8</v>
      </c>
      <c r="E141" s="93">
        <f>COUNTIFS(Base!$B:$B,E$11,Base!$M:$M,"&lt;"&amp;$B141,Base!$N:$N,"&gt;="&amp;$B141,Base!$O:$O,"&lt;&gt;Finalizado",Base!$O:$O,"&lt;&gt;Congelado",Base!$O:$O,"&lt;&gt;Concluindo pendências") + COUNTIFS(Base!$B:$B,E$11,Base!$M:$M,"&lt;"&amp;$B141,Base!$N:$N,"",Base!$O:$O,"&lt;&gt;Finalizado",Base!$O:$O,"&lt;&gt;Congelado",Base!$O:$O,"&lt;&gt;Concluindo pendências")</f>
        <v>3</v>
      </c>
      <c r="F141" s="93">
        <f>COUNTIFS(Base!$B:$B,F$11,Base!$M:$M,"&lt;"&amp;$B141,Base!$N:$N,"&gt;="&amp;$B141,Base!$O:$O,"&lt;&gt;Finalizado",Base!$O:$O,"&lt;&gt;Congelado",Base!$O:$O,"&lt;&gt;Concluindo pendências") + COUNTIFS(Base!$B:$B,F$11,Base!$M:$M,"&lt;"&amp;$B141,Base!$N:$N,"",Base!$O:$O,"&lt;&gt;Finalizado",Base!$O:$O,"&lt;&gt;Congelado",Base!$O:$O,"&lt;&gt;Concluindo pendências")</f>
        <v>7</v>
      </c>
      <c r="H141" s="93">
        <f>COUNTIFS(Base!$B:$B,C$11,Base!$K:$K,"&lt;"&amp;$B141,Base!$N:$N,"&gt;="&amp;$B141,Base!$O:$O,"&lt;&gt;Finalizado",Base!$O:$O,"&lt;&gt;Congelado") + COUNTIFS(Base!$B:$B,C$11,Base!$K:$K,"&lt;"&amp;$B141,Base!$N:$N,"",Base!$O:$O,"&lt;&gt;Finalizado",Base!$O:$O,"&lt;&gt;Congelado")</f>
        <v>12</v>
      </c>
      <c r="I141" s="93">
        <f>COUNTIFS(Base!$B:$B,D$11,Base!$K:$K,"&lt;"&amp;$B141,Base!$N:$N,"&gt;="&amp;$B141,Base!$O:$O,"&lt;&gt;Finalizado",Base!$O:$O,"&lt;&gt;Congelado") + COUNTIFS(Base!$B:$B,D$11,Base!$K:$K,"&lt;"&amp;$B141,Base!$N:$N,"",Base!$O:$O,"&lt;&gt;Finalizado",Base!$O:$O,"&lt;&gt;Congelado")</f>
        <v>22</v>
      </c>
      <c r="J141" s="93">
        <f>COUNTIFS(Base!$B:$B,E$11,Base!$K:$K,"&lt;"&amp;$B141,Base!$N:$N,"&gt;="&amp;$B141,Base!$O:$O,"&lt;&gt;Finalizado",Base!$O:$O,"&lt;&gt;Congelado") + COUNTIFS(Base!$B:$B,E$11,Base!$K:$K,"&lt;"&amp;$B141,Base!$N:$N,"",Base!$O:$O,"&lt;&gt;Finalizado",Base!$O:$O,"&lt;&gt;Congelado")</f>
        <v>16</v>
      </c>
      <c r="K141" s="93">
        <f>COUNTIFS(Base!$B:$B,F$11,Base!$K:$K,"&lt;"&amp;$B141,Base!$N:$N,"&gt;="&amp;$B141,Base!$O:$O,"&lt;&gt;Finalizado",Base!$O:$O,"&lt;&gt;Congelado") + COUNTIFS(Base!$B:$B,F$11,Base!$K:$K,"&lt;"&amp;$B141,Base!$N:$N,"",Base!$O:$O,"&lt;&gt;Finalizado",Base!$O:$O,"&lt;&gt;Congelado")</f>
        <v>20</v>
      </c>
      <c r="M141" s="133">
        <f t="shared" ref="M141:P141" si="219">C141/H141</f>
        <v>0.5833333333</v>
      </c>
      <c r="N141" s="133">
        <f t="shared" si="219"/>
        <v>0.3636363636</v>
      </c>
      <c r="O141" s="133">
        <f t="shared" si="219"/>
        <v>0.1875</v>
      </c>
      <c r="P141" s="133">
        <f t="shared" si="219"/>
        <v>0.35</v>
      </c>
      <c r="Q141" s="133">
        <f t="shared" si="9"/>
        <v>0.3571428571</v>
      </c>
      <c r="S141" s="93">
        <f t="shared" ref="S141:V141" si="220">S140+C141</f>
        <v>368</v>
      </c>
      <c r="T141" s="93">
        <f t="shared" si="220"/>
        <v>651</v>
      </c>
      <c r="U141" s="93">
        <f t="shared" si="220"/>
        <v>523</v>
      </c>
      <c r="V141" s="93">
        <f t="shared" si="220"/>
        <v>522</v>
      </c>
      <c r="W141" s="93">
        <f t="shared" si="11"/>
        <v>2064</v>
      </c>
      <c r="Y141" s="133">
        <f>(COUNTIFS(Base!$B:$B,C$11,Base!$S:$S,"&gt;8",Base!$N:$N,"&lt;="&amp;$B141) - COUNTIFS(Base!$B:$B,C$11,Base!$S:$S,"&lt;7",Base!$N:$N,"&lt;="&amp;$B141) - COUNTIFS(Base!$B:$B,C$11,Base!$S:$S,"&lt;7",Base!$K:$K,"&lt;="&amp;$B141,Base!$O:$O,"Finalizado"))/(COUNTIFS(Base!$B:$B,C$11,Base!$S:$S,"&lt;&gt;",Base!$N:$N,"&lt;="&amp;$B141)+COUNTIFS(Base!$B:$B,C$11,Base!$S:$S,"&lt;7",Base!$K:$K,"&lt;="&amp;$B141,Base!$O:$O,"Finalizado"))</f>
        <v>0.6666666667</v>
      </c>
      <c r="Z141" s="133">
        <f>(COUNTIFS(Base!$B:$B,D$11,Base!$S:$S,"&gt;8",Base!$N:$N,"&lt;="&amp;$B141) - COUNTIFS(Base!$B:$B,D$11,Base!$S:$S,"&lt;7",Base!$N:$N,"&lt;="&amp;$B141) - COUNTIFS(Base!$B:$B,D$11,Base!$S:$S,"&lt;7",Base!$K:$K,"&lt;="&amp;$B141,Base!$O:$O,"Finalizado"))/(COUNTIFS(Base!$B:$B,D$11,Base!$S:$S,"&lt;&gt;",Base!$N:$N,"&lt;="&amp;$B141)+COUNTIFS(Base!$B:$B,D$11,Base!$S:$S,"&lt;7",Base!$K:$K,"&lt;="&amp;$B141,Base!$O:$O,"Finalizado"))</f>
        <v>0.6818181818</v>
      </c>
      <c r="AA141" s="133">
        <f>(COUNTIFS(Base!$B:$B,E$11,Base!$S:$S,"&gt;8",Base!$N:$N,"&lt;="&amp;$B141) - COUNTIFS(Base!$B:$B,E$11,Base!$S:$S,"&lt;7",Base!$N:$N,"&lt;="&amp;$B141) - COUNTIFS(Base!$B:$B,E$11,Base!$S:$S,"&lt;7",Base!$K:$K,"&lt;="&amp;$B141,Base!$O:$O,"Finalizado"))/(COUNTIFS(Base!$B:$B,E$11,Base!$S:$S,"&lt;&gt;",Base!$N:$N,"&lt;="&amp;$B141)+COUNTIFS(Base!$B:$B,E$11,Base!$S:$S,"&lt;7",Base!$K:$K,"&lt;="&amp;$B141,Base!$O:$O,"Finalizado"))</f>
        <v>0.6</v>
      </c>
      <c r="AB141" s="133">
        <f t="shared" si="12"/>
        <v>0.75</v>
      </c>
      <c r="AD141" s="93">
        <f>(COUNTIFS(Base!$B:$B,F$11,Base!$S:$S,"&gt;8",Base!$N:$N,"&lt;="&amp;$B141)+(COUNTIFS(Base!$B:$B,F$11,Base!$AG:$AG,"&gt;8",Base!$K:$K,"&lt;="&amp;$B141)))</f>
        <v>6</v>
      </c>
      <c r="AE141" s="93">
        <f>(COUNTIFS(Base!$B:$B,F$11,Base!$S:$S,"&lt;&gt;",Base!$N:$N,"&lt;="&amp;$B141)+(COUNTIFS(Base!$B:$B,F$11,Base!$AG:$AG,"&lt;&gt;",Base!$K:$K,"&lt;="&amp;$B141)+COUNTIFS(Base!$B:$B,F$11,Base!$S:$S,"&lt;7",Base!$K:$K,"&lt;="&amp;$B141,Base!$O:$O,"Finalizado")))</f>
        <v>8</v>
      </c>
      <c r="AF141" s="93">
        <f>COUNTIFS(Base!$B:$B,F$11,Base!$S:$S,"&lt;7",Base!$N:$N,"&lt;="&amp;$B141) +COUNTIFS(Base!$B:$B,F$11,Base!$AG:$AG,"&lt;7",Base!$K:$K,"&lt;="&amp;$B141) + COUNTIFS(Base!$B:$B,F$11,Base!$S:$S,"&lt;7",Base!$K:$K,"&lt;="&amp;$B141,Base!$O:$O,"Finalizado")</f>
        <v>0</v>
      </c>
    </row>
    <row r="142">
      <c r="B142" s="151">
        <f t="shared" si="180"/>
        <v>45397</v>
      </c>
      <c r="C142" s="93">
        <f>COUNTIFS(Base!$B:$B,C$11,Base!$M:$M,"&lt;"&amp;$B142,Base!$N:$N,"&gt;="&amp;$B142,Base!$O:$O,"&lt;&gt;Finalizado",Base!$O:$O,"&lt;&gt;Congelado",Base!$O:$O,"&lt;&gt;Concluindo pendências") + COUNTIFS(Base!$B:$B,C$11,Base!$M:$M,"&lt;"&amp;$B142,Base!$N:$N,"",Base!$O:$O,"&lt;&gt;Finalizado",Base!$O:$O,"&lt;&gt;Congelado",Base!$O:$O,"&lt;&gt;Concluindo pendências")</f>
        <v>7</v>
      </c>
      <c r="D142" s="93">
        <f>COUNTIFS(Base!$B:$B,D$11,Base!$M:$M,"&lt;"&amp;$B142,Base!$N:$N,"&gt;="&amp;$B142,Base!$O:$O,"&lt;&gt;Finalizado",Base!$O:$O,"&lt;&gt;Congelado",Base!$O:$O,"&lt;&gt;Concluindo pendências") + COUNTIFS(Base!$B:$B,D$11,Base!$M:$M,"&lt;"&amp;$B142,Base!$N:$N,"",Base!$O:$O,"&lt;&gt;Finalizado",Base!$O:$O,"&lt;&gt;Congelado",Base!$O:$O,"&lt;&gt;Concluindo pendências")</f>
        <v>8</v>
      </c>
      <c r="E142" s="93">
        <f>COUNTIFS(Base!$B:$B,E$11,Base!$M:$M,"&lt;"&amp;$B142,Base!$N:$N,"&gt;="&amp;$B142,Base!$O:$O,"&lt;&gt;Finalizado",Base!$O:$O,"&lt;&gt;Congelado",Base!$O:$O,"&lt;&gt;Concluindo pendências") + COUNTIFS(Base!$B:$B,E$11,Base!$M:$M,"&lt;"&amp;$B142,Base!$N:$N,"",Base!$O:$O,"&lt;&gt;Finalizado",Base!$O:$O,"&lt;&gt;Congelado",Base!$O:$O,"&lt;&gt;Concluindo pendências")</f>
        <v>3</v>
      </c>
      <c r="F142" s="93">
        <f>COUNTIFS(Base!$B:$B,F$11,Base!$M:$M,"&lt;"&amp;$B142,Base!$N:$N,"&gt;="&amp;$B142,Base!$O:$O,"&lt;&gt;Finalizado",Base!$O:$O,"&lt;&gt;Congelado",Base!$O:$O,"&lt;&gt;Concluindo pendências") + COUNTIFS(Base!$B:$B,F$11,Base!$M:$M,"&lt;"&amp;$B142,Base!$N:$N,"",Base!$O:$O,"&lt;&gt;Finalizado",Base!$O:$O,"&lt;&gt;Congelado",Base!$O:$O,"&lt;&gt;Concluindo pendências")</f>
        <v>7</v>
      </c>
      <c r="H142" s="93">
        <f>COUNTIFS(Base!$B:$B,C$11,Base!$K:$K,"&lt;"&amp;$B142,Base!$N:$N,"&gt;="&amp;$B142,Base!$O:$O,"&lt;&gt;Finalizado",Base!$O:$O,"&lt;&gt;Congelado") + COUNTIFS(Base!$B:$B,C$11,Base!$K:$K,"&lt;"&amp;$B142,Base!$N:$N,"",Base!$O:$O,"&lt;&gt;Finalizado",Base!$O:$O,"&lt;&gt;Congelado")</f>
        <v>12</v>
      </c>
      <c r="I142" s="93">
        <f>COUNTIFS(Base!$B:$B,D$11,Base!$K:$K,"&lt;"&amp;$B142,Base!$N:$N,"&gt;="&amp;$B142,Base!$O:$O,"&lt;&gt;Finalizado",Base!$O:$O,"&lt;&gt;Congelado") + COUNTIFS(Base!$B:$B,D$11,Base!$K:$K,"&lt;"&amp;$B142,Base!$N:$N,"",Base!$O:$O,"&lt;&gt;Finalizado",Base!$O:$O,"&lt;&gt;Congelado")</f>
        <v>22</v>
      </c>
      <c r="J142" s="93">
        <f>COUNTIFS(Base!$B:$B,E$11,Base!$K:$K,"&lt;"&amp;$B142,Base!$N:$N,"&gt;="&amp;$B142,Base!$O:$O,"&lt;&gt;Finalizado",Base!$O:$O,"&lt;&gt;Congelado") + COUNTIFS(Base!$B:$B,E$11,Base!$K:$K,"&lt;"&amp;$B142,Base!$N:$N,"",Base!$O:$O,"&lt;&gt;Finalizado",Base!$O:$O,"&lt;&gt;Congelado")</f>
        <v>16</v>
      </c>
      <c r="K142" s="93">
        <f>COUNTIFS(Base!$B:$B,F$11,Base!$K:$K,"&lt;"&amp;$B142,Base!$N:$N,"&gt;="&amp;$B142,Base!$O:$O,"&lt;&gt;Finalizado",Base!$O:$O,"&lt;&gt;Congelado") + COUNTIFS(Base!$B:$B,F$11,Base!$K:$K,"&lt;"&amp;$B142,Base!$N:$N,"",Base!$O:$O,"&lt;&gt;Finalizado",Base!$O:$O,"&lt;&gt;Congelado")</f>
        <v>20</v>
      </c>
      <c r="M142" s="133">
        <f t="shared" ref="M142:P142" si="221">C142/H142</f>
        <v>0.5833333333</v>
      </c>
      <c r="N142" s="133">
        <f t="shared" si="221"/>
        <v>0.3636363636</v>
      </c>
      <c r="O142" s="133">
        <f t="shared" si="221"/>
        <v>0.1875</v>
      </c>
      <c r="P142" s="133">
        <f t="shared" si="221"/>
        <v>0.35</v>
      </c>
      <c r="Q142" s="133">
        <f t="shared" si="9"/>
        <v>0.3571428571</v>
      </c>
      <c r="S142" s="93">
        <f t="shared" ref="S142:V142" si="222">S141+C142</f>
        <v>375</v>
      </c>
      <c r="T142" s="93">
        <f t="shared" si="222"/>
        <v>659</v>
      </c>
      <c r="U142" s="93">
        <f t="shared" si="222"/>
        <v>526</v>
      </c>
      <c r="V142" s="93">
        <f t="shared" si="222"/>
        <v>529</v>
      </c>
      <c r="W142" s="93">
        <f t="shared" si="11"/>
        <v>2089</v>
      </c>
      <c r="Y142" s="133">
        <f>(COUNTIFS(Base!$B:$B,C$11,Base!$S:$S,"&gt;8",Base!$N:$N,"&lt;="&amp;$B142) - COUNTIFS(Base!$B:$B,C$11,Base!$S:$S,"&lt;7",Base!$N:$N,"&lt;="&amp;$B142) - COUNTIFS(Base!$B:$B,C$11,Base!$S:$S,"&lt;7",Base!$K:$K,"&lt;="&amp;$B142,Base!$O:$O,"Finalizado"))/(COUNTIFS(Base!$B:$B,C$11,Base!$S:$S,"&lt;&gt;",Base!$N:$N,"&lt;="&amp;$B142)+COUNTIFS(Base!$B:$B,C$11,Base!$S:$S,"&lt;7",Base!$K:$K,"&lt;="&amp;$B142,Base!$O:$O,"Finalizado"))</f>
        <v>0.6666666667</v>
      </c>
      <c r="Z142" s="133">
        <f>(COUNTIFS(Base!$B:$B,D$11,Base!$S:$S,"&gt;8",Base!$N:$N,"&lt;="&amp;$B142) - COUNTIFS(Base!$B:$B,D$11,Base!$S:$S,"&lt;7",Base!$N:$N,"&lt;="&amp;$B142) - COUNTIFS(Base!$B:$B,D$11,Base!$S:$S,"&lt;7",Base!$K:$K,"&lt;="&amp;$B142,Base!$O:$O,"Finalizado"))/(COUNTIFS(Base!$B:$B,D$11,Base!$S:$S,"&lt;&gt;",Base!$N:$N,"&lt;="&amp;$B142)+COUNTIFS(Base!$B:$B,D$11,Base!$S:$S,"&lt;7",Base!$K:$K,"&lt;="&amp;$B142,Base!$O:$O,"Finalizado"))</f>
        <v>0.6818181818</v>
      </c>
      <c r="AA142" s="133">
        <f>(COUNTIFS(Base!$B:$B,E$11,Base!$S:$S,"&gt;8",Base!$N:$N,"&lt;="&amp;$B142) - COUNTIFS(Base!$B:$B,E$11,Base!$S:$S,"&lt;7",Base!$N:$N,"&lt;="&amp;$B142) - COUNTIFS(Base!$B:$B,E$11,Base!$S:$S,"&lt;7",Base!$K:$K,"&lt;="&amp;$B142,Base!$O:$O,"Finalizado"))/(COUNTIFS(Base!$B:$B,E$11,Base!$S:$S,"&lt;&gt;",Base!$N:$N,"&lt;="&amp;$B142)+COUNTIFS(Base!$B:$B,E$11,Base!$S:$S,"&lt;7",Base!$K:$K,"&lt;="&amp;$B142,Base!$O:$O,"Finalizado"))</f>
        <v>0.6</v>
      </c>
      <c r="AB142" s="133">
        <f t="shared" si="12"/>
        <v>0.7777777778</v>
      </c>
      <c r="AD142" s="93">
        <f>(COUNTIFS(Base!$B:$B,F$11,Base!$S:$S,"&gt;8",Base!$N:$N,"&lt;="&amp;$B142)+(COUNTIFS(Base!$B:$B,F$11,Base!$AG:$AG,"&gt;8",Base!$K:$K,"&lt;="&amp;$B142)))</f>
        <v>7</v>
      </c>
      <c r="AE142" s="93">
        <f>(COUNTIFS(Base!$B:$B,F$11,Base!$S:$S,"&lt;&gt;",Base!$N:$N,"&lt;="&amp;$B142)+(COUNTIFS(Base!$B:$B,F$11,Base!$AG:$AG,"&lt;&gt;",Base!$K:$K,"&lt;="&amp;$B142)+COUNTIFS(Base!$B:$B,F$11,Base!$S:$S,"&lt;7",Base!$K:$K,"&lt;="&amp;$B142,Base!$O:$O,"Finalizado")))</f>
        <v>9</v>
      </c>
      <c r="AF142" s="93">
        <f>COUNTIFS(Base!$B:$B,F$11,Base!$S:$S,"&lt;7",Base!$N:$N,"&lt;="&amp;$B142) +COUNTIFS(Base!$B:$B,F$11,Base!$AG:$AG,"&lt;7",Base!$K:$K,"&lt;="&amp;$B142) + COUNTIFS(Base!$B:$B,F$11,Base!$S:$S,"&lt;7",Base!$K:$K,"&lt;="&amp;$B142,Base!$O:$O,"Finalizado")</f>
        <v>0</v>
      </c>
    </row>
    <row r="143">
      <c r="B143" s="151">
        <f t="shared" si="180"/>
        <v>45398</v>
      </c>
      <c r="C143" s="93">
        <f>COUNTIFS(Base!$B:$B,C$11,Base!$M:$M,"&lt;"&amp;$B143,Base!$N:$N,"&gt;="&amp;$B143,Base!$O:$O,"&lt;&gt;Finalizado",Base!$O:$O,"&lt;&gt;Congelado",Base!$O:$O,"&lt;&gt;Concluindo pendências") + COUNTIFS(Base!$B:$B,C$11,Base!$M:$M,"&lt;"&amp;$B143,Base!$N:$N,"",Base!$O:$O,"&lt;&gt;Finalizado",Base!$O:$O,"&lt;&gt;Congelado",Base!$O:$O,"&lt;&gt;Concluindo pendências")</f>
        <v>7</v>
      </c>
      <c r="D143" s="93">
        <f>COUNTIFS(Base!$B:$B,D$11,Base!$M:$M,"&lt;"&amp;$B143,Base!$N:$N,"&gt;="&amp;$B143,Base!$O:$O,"&lt;&gt;Finalizado",Base!$O:$O,"&lt;&gt;Congelado",Base!$O:$O,"&lt;&gt;Concluindo pendências") + COUNTIFS(Base!$B:$B,D$11,Base!$M:$M,"&lt;"&amp;$B143,Base!$N:$N,"",Base!$O:$O,"&lt;&gt;Finalizado",Base!$O:$O,"&lt;&gt;Congelado",Base!$O:$O,"&lt;&gt;Concluindo pendências")</f>
        <v>8</v>
      </c>
      <c r="E143" s="93">
        <f>COUNTIFS(Base!$B:$B,E$11,Base!$M:$M,"&lt;"&amp;$B143,Base!$N:$N,"&gt;="&amp;$B143,Base!$O:$O,"&lt;&gt;Finalizado",Base!$O:$O,"&lt;&gt;Congelado",Base!$O:$O,"&lt;&gt;Concluindo pendências") + COUNTIFS(Base!$B:$B,E$11,Base!$M:$M,"&lt;"&amp;$B143,Base!$N:$N,"",Base!$O:$O,"&lt;&gt;Finalizado",Base!$O:$O,"&lt;&gt;Congelado",Base!$O:$O,"&lt;&gt;Concluindo pendências")</f>
        <v>3</v>
      </c>
      <c r="F143" s="93">
        <f>COUNTIFS(Base!$B:$B,F$11,Base!$M:$M,"&lt;"&amp;$B143,Base!$N:$N,"&gt;="&amp;$B143,Base!$O:$O,"&lt;&gt;Finalizado",Base!$O:$O,"&lt;&gt;Congelado",Base!$O:$O,"&lt;&gt;Concluindo pendências") + COUNTIFS(Base!$B:$B,F$11,Base!$M:$M,"&lt;"&amp;$B143,Base!$N:$N,"",Base!$O:$O,"&lt;&gt;Finalizado",Base!$O:$O,"&lt;&gt;Congelado",Base!$O:$O,"&lt;&gt;Concluindo pendências")</f>
        <v>7</v>
      </c>
      <c r="H143" s="93">
        <f>COUNTIFS(Base!$B:$B,C$11,Base!$K:$K,"&lt;"&amp;$B143,Base!$N:$N,"&gt;="&amp;$B143,Base!$O:$O,"&lt;&gt;Finalizado",Base!$O:$O,"&lt;&gt;Congelado") + COUNTIFS(Base!$B:$B,C$11,Base!$K:$K,"&lt;"&amp;$B143,Base!$N:$N,"",Base!$O:$O,"&lt;&gt;Finalizado",Base!$O:$O,"&lt;&gt;Congelado")</f>
        <v>12</v>
      </c>
      <c r="I143" s="93">
        <f>COUNTIFS(Base!$B:$B,D$11,Base!$K:$K,"&lt;"&amp;$B143,Base!$N:$N,"&gt;="&amp;$B143,Base!$O:$O,"&lt;&gt;Finalizado",Base!$O:$O,"&lt;&gt;Congelado") + COUNTIFS(Base!$B:$B,D$11,Base!$K:$K,"&lt;"&amp;$B143,Base!$N:$N,"",Base!$O:$O,"&lt;&gt;Finalizado",Base!$O:$O,"&lt;&gt;Congelado")</f>
        <v>24</v>
      </c>
      <c r="J143" s="93">
        <f>COUNTIFS(Base!$B:$B,E$11,Base!$K:$K,"&lt;"&amp;$B143,Base!$N:$N,"&gt;="&amp;$B143,Base!$O:$O,"&lt;&gt;Finalizado",Base!$O:$O,"&lt;&gt;Congelado") + COUNTIFS(Base!$B:$B,E$11,Base!$K:$K,"&lt;"&amp;$B143,Base!$N:$N,"",Base!$O:$O,"&lt;&gt;Finalizado",Base!$O:$O,"&lt;&gt;Congelado")</f>
        <v>17</v>
      </c>
      <c r="K143" s="93">
        <f>COUNTIFS(Base!$B:$B,F$11,Base!$K:$K,"&lt;"&amp;$B143,Base!$N:$N,"&gt;="&amp;$B143,Base!$O:$O,"&lt;&gt;Finalizado",Base!$O:$O,"&lt;&gt;Congelado") + COUNTIFS(Base!$B:$B,F$11,Base!$K:$K,"&lt;"&amp;$B143,Base!$N:$N,"",Base!$O:$O,"&lt;&gt;Finalizado",Base!$O:$O,"&lt;&gt;Congelado")</f>
        <v>19</v>
      </c>
      <c r="M143" s="133">
        <f t="shared" ref="M143:P143" si="223">C143/H143</f>
        <v>0.5833333333</v>
      </c>
      <c r="N143" s="133">
        <f t="shared" si="223"/>
        <v>0.3333333333</v>
      </c>
      <c r="O143" s="133">
        <f t="shared" si="223"/>
        <v>0.1764705882</v>
      </c>
      <c r="P143" s="133">
        <f t="shared" si="223"/>
        <v>0.3684210526</v>
      </c>
      <c r="Q143" s="133">
        <f t="shared" si="9"/>
        <v>0.3472222222</v>
      </c>
      <c r="S143" s="93">
        <f t="shared" ref="S143:V143" si="224">S142+C143</f>
        <v>382</v>
      </c>
      <c r="T143" s="93">
        <f t="shared" si="224"/>
        <v>667</v>
      </c>
      <c r="U143" s="93">
        <f t="shared" si="224"/>
        <v>529</v>
      </c>
      <c r="V143" s="93">
        <f t="shared" si="224"/>
        <v>536</v>
      </c>
      <c r="W143" s="93">
        <f t="shared" si="11"/>
        <v>2114</v>
      </c>
      <c r="Y143" s="133">
        <f>(COUNTIFS(Base!$B:$B,C$11,Base!$S:$S,"&gt;8",Base!$N:$N,"&lt;="&amp;$B143) - COUNTIFS(Base!$B:$B,C$11,Base!$S:$S,"&lt;7",Base!$N:$N,"&lt;="&amp;$B143) - COUNTIFS(Base!$B:$B,C$11,Base!$S:$S,"&lt;7",Base!$K:$K,"&lt;="&amp;$B143,Base!$O:$O,"Finalizado"))/(COUNTIFS(Base!$B:$B,C$11,Base!$S:$S,"&lt;&gt;",Base!$N:$N,"&lt;="&amp;$B143)+COUNTIFS(Base!$B:$B,C$11,Base!$S:$S,"&lt;7",Base!$K:$K,"&lt;="&amp;$B143,Base!$O:$O,"Finalizado"))</f>
        <v>0.6666666667</v>
      </c>
      <c r="Z143" s="133">
        <f>(COUNTIFS(Base!$B:$B,D$11,Base!$S:$S,"&gt;8",Base!$N:$N,"&lt;="&amp;$B143) - COUNTIFS(Base!$B:$B,D$11,Base!$S:$S,"&lt;7",Base!$N:$N,"&lt;="&amp;$B143) - COUNTIFS(Base!$B:$B,D$11,Base!$S:$S,"&lt;7",Base!$K:$K,"&lt;="&amp;$B143,Base!$O:$O,"Finalizado"))/(COUNTIFS(Base!$B:$B,D$11,Base!$S:$S,"&lt;&gt;",Base!$N:$N,"&lt;="&amp;$B143)+COUNTIFS(Base!$B:$B,D$11,Base!$S:$S,"&lt;7",Base!$K:$K,"&lt;="&amp;$B143,Base!$O:$O,"Finalizado"))</f>
        <v>0.6818181818</v>
      </c>
      <c r="AA143" s="133">
        <f>(COUNTIFS(Base!$B:$B,E$11,Base!$S:$S,"&gt;8",Base!$N:$N,"&lt;="&amp;$B143) - COUNTIFS(Base!$B:$B,E$11,Base!$S:$S,"&lt;7",Base!$N:$N,"&lt;="&amp;$B143) - COUNTIFS(Base!$B:$B,E$11,Base!$S:$S,"&lt;7",Base!$K:$K,"&lt;="&amp;$B143,Base!$O:$O,"Finalizado"))/(COUNTIFS(Base!$B:$B,E$11,Base!$S:$S,"&lt;&gt;",Base!$N:$N,"&lt;="&amp;$B143)+COUNTIFS(Base!$B:$B,E$11,Base!$S:$S,"&lt;7",Base!$K:$K,"&lt;="&amp;$B143,Base!$O:$O,"Finalizado"))</f>
        <v>0.6</v>
      </c>
      <c r="AB143" s="133">
        <f t="shared" si="12"/>
        <v>0.7777777778</v>
      </c>
      <c r="AD143" s="93">
        <f>(COUNTIFS(Base!$B:$B,F$11,Base!$S:$S,"&gt;8",Base!$N:$N,"&lt;="&amp;$B143)+(COUNTIFS(Base!$B:$B,F$11,Base!$AG:$AG,"&gt;8",Base!$K:$K,"&lt;="&amp;$B143)))</f>
        <v>7</v>
      </c>
      <c r="AE143" s="93">
        <f>(COUNTIFS(Base!$B:$B,F$11,Base!$S:$S,"&lt;&gt;",Base!$N:$N,"&lt;="&amp;$B143)+(COUNTIFS(Base!$B:$B,F$11,Base!$AG:$AG,"&lt;&gt;",Base!$K:$K,"&lt;="&amp;$B143)+COUNTIFS(Base!$B:$B,F$11,Base!$S:$S,"&lt;7",Base!$K:$K,"&lt;="&amp;$B143,Base!$O:$O,"Finalizado")))</f>
        <v>9</v>
      </c>
      <c r="AF143" s="93">
        <f>COUNTIFS(Base!$B:$B,F$11,Base!$S:$S,"&lt;7",Base!$N:$N,"&lt;="&amp;$B143) +COUNTIFS(Base!$B:$B,F$11,Base!$AG:$AG,"&lt;7",Base!$K:$K,"&lt;="&amp;$B143) + COUNTIFS(Base!$B:$B,F$11,Base!$S:$S,"&lt;7",Base!$K:$K,"&lt;="&amp;$B143,Base!$O:$O,"Finalizado")</f>
        <v>0</v>
      </c>
    </row>
    <row r="144">
      <c r="B144" s="151">
        <f t="shared" si="180"/>
        <v>45399</v>
      </c>
      <c r="C144" s="93">
        <f>COUNTIFS(Base!$B:$B,C$11,Base!$M:$M,"&lt;"&amp;$B144,Base!$N:$N,"&gt;="&amp;$B144,Base!$O:$O,"&lt;&gt;Finalizado",Base!$O:$O,"&lt;&gt;Congelado",Base!$O:$O,"&lt;&gt;Concluindo pendências") + COUNTIFS(Base!$B:$B,C$11,Base!$M:$M,"&lt;"&amp;$B144,Base!$N:$N,"",Base!$O:$O,"&lt;&gt;Finalizado",Base!$O:$O,"&lt;&gt;Congelado",Base!$O:$O,"&lt;&gt;Concluindo pendências")</f>
        <v>7</v>
      </c>
      <c r="D144" s="93">
        <f>COUNTIFS(Base!$B:$B,D$11,Base!$M:$M,"&lt;"&amp;$B144,Base!$N:$N,"&gt;="&amp;$B144,Base!$O:$O,"&lt;&gt;Finalizado",Base!$O:$O,"&lt;&gt;Congelado",Base!$O:$O,"&lt;&gt;Concluindo pendências") + COUNTIFS(Base!$B:$B,D$11,Base!$M:$M,"&lt;"&amp;$B144,Base!$N:$N,"",Base!$O:$O,"&lt;&gt;Finalizado",Base!$O:$O,"&lt;&gt;Congelado",Base!$O:$O,"&lt;&gt;Concluindo pendências")</f>
        <v>9</v>
      </c>
      <c r="E144" s="93">
        <f>COUNTIFS(Base!$B:$B,E$11,Base!$M:$M,"&lt;"&amp;$B144,Base!$N:$N,"&gt;="&amp;$B144,Base!$O:$O,"&lt;&gt;Finalizado",Base!$O:$O,"&lt;&gt;Congelado",Base!$O:$O,"&lt;&gt;Concluindo pendências") + COUNTIFS(Base!$B:$B,E$11,Base!$M:$M,"&lt;"&amp;$B144,Base!$N:$N,"",Base!$O:$O,"&lt;&gt;Finalizado",Base!$O:$O,"&lt;&gt;Congelado",Base!$O:$O,"&lt;&gt;Concluindo pendências")</f>
        <v>4</v>
      </c>
      <c r="F144" s="93">
        <f>COUNTIFS(Base!$B:$B,F$11,Base!$M:$M,"&lt;"&amp;$B144,Base!$N:$N,"&gt;="&amp;$B144,Base!$O:$O,"&lt;&gt;Finalizado",Base!$O:$O,"&lt;&gt;Congelado",Base!$O:$O,"&lt;&gt;Concluindo pendências") + COUNTIFS(Base!$B:$B,F$11,Base!$M:$M,"&lt;"&amp;$B144,Base!$N:$N,"",Base!$O:$O,"&lt;&gt;Finalizado",Base!$O:$O,"&lt;&gt;Congelado",Base!$O:$O,"&lt;&gt;Concluindo pendências")</f>
        <v>7</v>
      </c>
      <c r="H144" s="93">
        <f>COUNTIFS(Base!$B:$B,C$11,Base!$K:$K,"&lt;"&amp;$B144,Base!$N:$N,"&gt;="&amp;$B144,Base!$O:$O,"&lt;&gt;Finalizado",Base!$O:$O,"&lt;&gt;Congelado") + COUNTIFS(Base!$B:$B,C$11,Base!$K:$K,"&lt;"&amp;$B144,Base!$N:$N,"",Base!$O:$O,"&lt;&gt;Finalizado",Base!$O:$O,"&lt;&gt;Congelado")</f>
        <v>12</v>
      </c>
      <c r="I144" s="93">
        <f>COUNTIFS(Base!$B:$B,D$11,Base!$K:$K,"&lt;"&amp;$B144,Base!$N:$N,"&gt;="&amp;$B144,Base!$O:$O,"&lt;&gt;Finalizado",Base!$O:$O,"&lt;&gt;Congelado") + COUNTIFS(Base!$B:$B,D$11,Base!$K:$K,"&lt;"&amp;$B144,Base!$N:$N,"",Base!$O:$O,"&lt;&gt;Finalizado",Base!$O:$O,"&lt;&gt;Congelado")</f>
        <v>25</v>
      </c>
      <c r="J144" s="93">
        <f>COUNTIFS(Base!$B:$B,E$11,Base!$K:$K,"&lt;"&amp;$B144,Base!$N:$N,"&gt;="&amp;$B144,Base!$O:$O,"&lt;&gt;Finalizado",Base!$O:$O,"&lt;&gt;Congelado") + COUNTIFS(Base!$B:$B,E$11,Base!$K:$K,"&lt;"&amp;$B144,Base!$N:$N,"",Base!$O:$O,"&lt;&gt;Finalizado",Base!$O:$O,"&lt;&gt;Congelado")</f>
        <v>19</v>
      </c>
      <c r="K144" s="93">
        <f>COUNTIFS(Base!$B:$B,F$11,Base!$K:$K,"&lt;"&amp;$B144,Base!$N:$N,"&gt;="&amp;$B144,Base!$O:$O,"&lt;&gt;Finalizado",Base!$O:$O,"&lt;&gt;Congelado") + COUNTIFS(Base!$B:$B,F$11,Base!$K:$K,"&lt;"&amp;$B144,Base!$N:$N,"",Base!$O:$O,"&lt;&gt;Finalizado",Base!$O:$O,"&lt;&gt;Congelado")</f>
        <v>19</v>
      </c>
      <c r="M144" s="133">
        <f t="shared" ref="M144:P144" si="225">C144/H144</f>
        <v>0.5833333333</v>
      </c>
      <c r="N144" s="133">
        <f t="shared" si="225"/>
        <v>0.36</v>
      </c>
      <c r="O144" s="133">
        <f t="shared" si="225"/>
        <v>0.2105263158</v>
      </c>
      <c r="P144" s="133">
        <f t="shared" si="225"/>
        <v>0.3684210526</v>
      </c>
      <c r="Q144" s="133">
        <f t="shared" si="9"/>
        <v>0.36</v>
      </c>
      <c r="S144" s="93">
        <f t="shared" ref="S144:V144" si="226">S143+C144</f>
        <v>389</v>
      </c>
      <c r="T144" s="93">
        <f t="shared" si="226"/>
        <v>676</v>
      </c>
      <c r="U144" s="93">
        <f t="shared" si="226"/>
        <v>533</v>
      </c>
      <c r="V144" s="93">
        <f t="shared" si="226"/>
        <v>543</v>
      </c>
      <c r="W144" s="93">
        <f t="shared" si="11"/>
        <v>2141</v>
      </c>
      <c r="Y144" s="133">
        <f>(COUNTIFS(Base!$B:$B,C$11,Base!$S:$S,"&gt;8",Base!$N:$N,"&lt;="&amp;$B144) - COUNTIFS(Base!$B:$B,C$11,Base!$S:$S,"&lt;7",Base!$N:$N,"&lt;="&amp;$B144) - COUNTIFS(Base!$B:$B,C$11,Base!$S:$S,"&lt;7",Base!$K:$K,"&lt;="&amp;$B144,Base!$O:$O,"Finalizado"))/(COUNTIFS(Base!$B:$B,C$11,Base!$S:$S,"&lt;&gt;",Base!$N:$N,"&lt;="&amp;$B144)+COUNTIFS(Base!$B:$B,C$11,Base!$S:$S,"&lt;7",Base!$K:$K,"&lt;="&amp;$B144,Base!$O:$O,"Finalizado"))</f>
        <v>0.6666666667</v>
      </c>
      <c r="Z144" s="133">
        <f>(COUNTIFS(Base!$B:$B,D$11,Base!$S:$S,"&gt;8",Base!$N:$N,"&lt;="&amp;$B144) - COUNTIFS(Base!$B:$B,D$11,Base!$S:$S,"&lt;7",Base!$N:$N,"&lt;="&amp;$B144) - COUNTIFS(Base!$B:$B,D$11,Base!$S:$S,"&lt;7",Base!$K:$K,"&lt;="&amp;$B144,Base!$O:$O,"Finalizado"))/(COUNTIFS(Base!$B:$B,D$11,Base!$S:$S,"&lt;&gt;",Base!$N:$N,"&lt;="&amp;$B144)+COUNTIFS(Base!$B:$B,D$11,Base!$S:$S,"&lt;7",Base!$K:$K,"&lt;="&amp;$B144,Base!$O:$O,"Finalizado"))</f>
        <v>0.6818181818</v>
      </c>
      <c r="AA144" s="133">
        <f>(COUNTIFS(Base!$B:$B,E$11,Base!$S:$S,"&gt;8",Base!$N:$N,"&lt;="&amp;$B144) - COUNTIFS(Base!$B:$B,E$11,Base!$S:$S,"&lt;7",Base!$N:$N,"&lt;="&amp;$B144) - COUNTIFS(Base!$B:$B,E$11,Base!$S:$S,"&lt;7",Base!$K:$K,"&lt;="&amp;$B144,Base!$O:$O,"Finalizado"))/(COUNTIFS(Base!$B:$B,E$11,Base!$S:$S,"&lt;&gt;",Base!$N:$N,"&lt;="&amp;$B144)+COUNTIFS(Base!$B:$B,E$11,Base!$S:$S,"&lt;7",Base!$K:$K,"&lt;="&amp;$B144,Base!$O:$O,"Finalizado"))</f>
        <v>0.6</v>
      </c>
      <c r="AB144" s="133">
        <f t="shared" si="12"/>
        <v>0.7777777778</v>
      </c>
      <c r="AD144" s="93">
        <f>(COUNTIFS(Base!$B:$B,F$11,Base!$S:$S,"&gt;8",Base!$N:$N,"&lt;="&amp;$B144)+(COUNTIFS(Base!$B:$B,F$11,Base!$AG:$AG,"&gt;8",Base!$K:$K,"&lt;="&amp;$B144)))</f>
        <v>7</v>
      </c>
      <c r="AE144" s="93">
        <f>(COUNTIFS(Base!$B:$B,F$11,Base!$S:$S,"&lt;&gt;",Base!$N:$N,"&lt;="&amp;$B144)+(COUNTIFS(Base!$B:$B,F$11,Base!$AG:$AG,"&lt;&gt;",Base!$K:$K,"&lt;="&amp;$B144)+COUNTIFS(Base!$B:$B,F$11,Base!$S:$S,"&lt;7",Base!$K:$K,"&lt;="&amp;$B144,Base!$O:$O,"Finalizado")))</f>
        <v>9</v>
      </c>
      <c r="AF144" s="93">
        <f>COUNTIFS(Base!$B:$B,F$11,Base!$S:$S,"&lt;7",Base!$N:$N,"&lt;="&amp;$B144) +COUNTIFS(Base!$B:$B,F$11,Base!$AG:$AG,"&lt;7",Base!$K:$K,"&lt;="&amp;$B144) + COUNTIFS(Base!$B:$B,F$11,Base!$S:$S,"&lt;7",Base!$K:$K,"&lt;="&amp;$B144,Base!$O:$O,"Finalizado")</f>
        <v>0</v>
      </c>
    </row>
    <row r="145">
      <c r="B145" s="151">
        <f t="shared" si="180"/>
        <v>45400</v>
      </c>
      <c r="C145" s="93">
        <f>COUNTIFS(Base!$B:$B,C$11,Base!$M:$M,"&lt;"&amp;$B145,Base!$N:$N,"&gt;="&amp;$B145,Base!$O:$O,"&lt;&gt;Finalizado",Base!$O:$O,"&lt;&gt;Congelado",Base!$O:$O,"&lt;&gt;Concluindo pendências") + COUNTIFS(Base!$B:$B,C$11,Base!$M:$M,"&lt;"&amp;$B145,Base!$N:$N,"",Base!$O:$O,"&lt;&gt;Finalizado",Base!$O:$O,"&lt;&gt;Congelado",Base!$O:$O,"&lt;&gt;Concluindo pendências")</f>
        <v>7</v>
      </c>
      <c r="D145" s="93">
        <f>COUNTIFS(Base!$B:$B,D$11,Base!$M:$M,"&lt;"&amp;$B145,Base!$N:$N,"&gt;="&amp;$B145,Base!$O:$O,"&lt;&gt;Finalizado",Base!$O:$O,"&lt;&gt;Congelado",Base!$O:$O,"&lt;&gt;Concluindo pendências") + COUNTIFS(Base!$B:$B,D$11,Base!$M:$M,"&lt;"&amp;$B145,Base!$N:$N,"",Base!$O:$O,"&lt;&gt;Finalizado",Base!$O:$O,"&lt;&gt;Congelado",Base!$O:$O,"&lt;&gt;Concluindo pendências")</f>
        <v>9</v>
      </c>
      <c r="E145" s="93">
        <f>COUNTIFS(Base!$B:$B,E$11,Base!$M:$M,"&lt;"&amp;$B145,Base!$N:$N,"&gt;="&amp;$B145,Base!$O:$O,"&lt;&gt;Finalizado",Base!$O:$O,"&lt;&gt;Congelado",Base!$O:$O,"&lt;&gt;Concluindo pendências") + COUNTIFS(Base!$B:$B,E$11,Base!$M:$M,"&lt;"&amp;$B145,Base!$N:$N,"",Base!$O:$O,"&lt;&gt;Finalizado",Base!$O:$O,"&lt;&gt;Congelado",Base!$O:$O,"&lt;&gt;Concluindo pendências")</f>
        <v>4</v>
      </c>
      <c r="F145" s="93">
        <f>COUNTIFS(Base!$B:$B,F$11,Base!$M:$M,"&lt;"&amp;$B145,Base!$N:$N,"&gt;="&amp;$B145,Base!$O:$O,"&lt;&gt;Finalizado",Base!$O:$O,"&lt;&gt;Congelado",Base!$O:$O,"&lt;&gt;Concluindo pendências") + COUNTIFS(Base!$B:$B,F$11,Base!$M:$M,"&lt;"&amp;$B145,Base!$N:$N,"",Base!$O:$O,"&lt;&gt;Finalizado",Base!$O:$O,"&lt;&gt;Congelado",Base!$O:$O,"&lt;&gt;Concluindo pendências")</f>
        <v>7</v>
      </c>
      <c r="H145" s="93">
        <f>COUNTIFS(Base!$B:$B,C$11,Base!$K:$K,"&lt;"&amp;$B145,Base!$N:$N,"&gt;="&amp;$B145,Base!$O:$O,"&lt;&gt;Finalizado",Base!$O:$O,"&lt;&gt;Congelado") + COUNTIFS(Base!$B:$B,C$11,Base!$K:$K,"&lt;"&amp;$B145,Base!$N:$N,"",Base!$O:$O,"&lt;&gt;Finalizado",Base!$O:$O,"&lt;&gt;Congelado")</f>
        <v>12</v>
      </c>
      <c r="I145" s="93">
        <f>COUNTIFS(Base!$B:$B,D$11,Base!$K:$K,"&lt;"&amp;$B145,Base!$N:$N,"&gt;="&amp;$B145,Base!$O:$O,"&lt;&gt;Finalizado",Base!$O:$O,"&lt;&gt;Congelado") + COUNTIFS(Base!$B:$B,D$11,Base!$K:$K,"&lt;"&amp;$B145,Base!$N:$N,"",Base!$O:$O,"&lt;&gt;Finalizado",Base!$O:$O,"&lt;&gt;Congelado")</f>
        <v>25</v>
      </c>
      <c r="J145" s="93">
        <f>COUNTIFS(Base!$B:$B,E$11,Base!$K:$K,"&lt;"&amp;$B145,Base!$N:$N,"&gt;="&amp;$B145,Base!$O:$O,"&lt;&gt;Finalizado",Base!$O:$O,"&lt;&gt;Congelado") + COUNTIFS(Base!$B:$B,E$11,Base!$K:$K,"&lt;"&amp;$B145,Base!$N:$N,"",Base!$O:$O,"&lt;&gt;Finalizado",Base!$O:$O,"&lt;&gt;Congelado")</f>
        <v>20</v>
      </c>
      <c r="K145" s="93">
        <f>COUNTIFS(Base!$B:$B,F$11,Base!$K:$K,"&lt;"&amp;$B145,Base!$N:$N,"&gt;="&amp;$B145,Base!$O:$O,"&lt;&gt;Finalizado",Base!$O:$O,"&lt;&gt;Congelado") + COUNTIFS(Base!$B:$B,F$11,Base!$K:$K,"&lt;"&amp;$B145,Base!$N:$N,"",Base!$O:$O,"&lt;&gt;Finalizado",Base!$O:$O,"&lt;&gt;Congelado")</f>
        <v>20</v>
      </c>
      <c r="M145" s="133">
        <f t="shared" ref="M145:P145" si="227">C145/H145</f>
        <v>0.5833333333</v>
      </c>
      <c r="N145" s="133">
        <f t="shared" si="227"/>
        <v>0.36</v>
      </c>
      <c r="O145" s="133">
        <f t="shared" si="227"/>
        <v>0.2</v>
      </c>
      <c r="P145" s="133">
        <f t="shared" si="227"/>
        <v>0.35</v>
      </c>
      <c r="Q145" s="133">
        <f t="shared" si="9"/>
        <v>0.3506493506</v>
      </c>
      <c r="S145" s="93">
        <f t="shared" ref="S145:V145" si="228">S144+C145</f>
        <v>396</v>
      </c>
      <c r="T145" s="93">
        <f t="shared" si="228"/>
        <v>685</v>
      </c>
      <c r="U145" s="93">
        <f t="shared" si="228"/>
        <v>537</v>
      </c>
      <c r="V145" s="93">
        <f t="shared" si="228"/>
        <v>550</v>
      </c>
      <c r="W145" s="93">
        <f t="shared" si="11"/>
        <v>2168</v>
      </c>
      <c r="Y145" s="133">
        <f>(COUNTIFS(Base!$B:$B,C$11,Base!$S:$S,"&gt;8",Base!$N:$N,"&lt;="&amp;$B145) - COUNTIFS(Base!$B:$B,C$11,Base!$S:$S,"&lt;7",Base!$N:$N,"&lt;="&amp;$B145) - COUNTIFS(Base!$B:$B,C$11,Base!$S:$S,"&lt;7",Base!$K:$K,"&lt;="&amp;$B145,Base!$O:$O,"Finalizado"))/(COUNTIFS(Base!$B:$B,C$11,Base!$S:$S,"&lt;&gt;",Base!$N:$N,"&lt;="&amp;$B145)+COUNTIFS(Base!$B:$B,C$11,Base!$S:$S,"&lt;7",Base!$K:$K,"&lt;="&amp;$B145,Base!$O:$O,"Finalizado"))</f>
        <v>0.6666666667</v>
      </c>
      <c r="Z145" s="133">
        <f>(COUNTIFS(Base!$B:$B,D$11,Base!$S:$S,"&gt;8",Base!$N:$N,"&lt;="&amp;$B145) - COUNTIFS(Base!$B:$B,D$11,Base!$S:$S,"&lt;7",Base!$N:$N,"&lt;="&amp;$B145) - COUNTIFS(Base!$B:$B,D$11,Base!$S:$S,"&lt;7",Base!$K:$K,"&lt;="&amp;$B145,Base!$O:$O,"Finalizado"))/(COUNTIFS(Base!$B:$B,D$11,Base!$S:$S,"&lt;&gt;",Base!$N:$N,"&lt;="&amp;$B145)+COUNTIFS(Base!$B:$B,D$11,Base!$S:$S,"&lt;7",Base!$K:$K,"&lt;="&amp;$B145,Base!$O:$O,"Finalizado"))</f>
        <v>0.6818181818</v>
      </c>
      <c r="AA145" s="133">
        <f>(COUNTIFS(Base!$B:$B,E$11,Base!$S:$S,"&gt;8",Base!$N:$N,"&lt;="&amp;$B145) - COUNTIFS(Base!$B:$B,E$11,Base!$S:$S,"&lt;7",Base!$N:$N,"&lt;="&amp;$B145) - COUNTIFS(Base!$B:$B,E$11,Base!$S:$S,"&lt;7",Base!$K:$K,"&lt;="&amp;$B145,Base!$O:$O,"Finalizado"))/(COUNTIFS(Base!$B:$B,E$11,Base!$S:$S,"&lt;&gt;",Base!$N:$N,"&lt;="&amp;$B145)+COUNTIFS(Base!$B:$B,E$11,Base!$S:$S,"&lt;7",Base!$K:$K,"&lt;="&amp;$B145,Base!$O:$O,"Finalizado"))</f>
        <v>0.6</v>
      </c>
      <c r="AB145" s="133">
        <f t="shared" si="12"/>
        <v>0.7777777778</v>
      </c>
      <c r="AD145" s="93">
        <f>(COUNTIFS(Base!$B:$B,F$11,Base!$S:$S,"&gt;8",Base!$N:$N,"&lt;="&amp;$B145)+(COUNTIFS(Base!$B:$B,F$11,Base!$AG:$AG,"&gt;8",Base!$K:$K,"&lt;="&amp;$B145)))</f>
        <v>7</v>
      </c>
      <c r="AE145" s="93">
        <f>(COUNTIFS(Base!$B:$B,F$11,Base!$S:$S,"&lt;&gt;",Base!$N:$N,"&lt;="&amp;$B145)+(COUNTIFS(Base!$B:$B,F$11,Base!$AG:$AG,"&lt;&gt;",Base!$K:$K,"&lt;="&amp;$B145)+COUNTIFS(Base!$B:$B,F$11,Base!$S:$S,"&lt;7",Base!$K:$K,"&lt;="&amp;$B145,Base!$O:$O,"Finalizado")))</f>
        <v>9</v>
      </c>
      <c r="AF145" s="93">
        <f>COUNTIFS(Base!$B:$B,F$11,Base!$S:$S,"&lt;7",Base!$N:$N,"&lt;="&amp;$B145) +COUNTIFS(Base!$B:$B,F$11,Base!$AG:$AG,"&lt;7",Base!$K:$K,"&lt;="&amp;$B145) + COUNTIFS(Base!$B:$B,F$11,Base!$S:$S,"&lt;7",Base!$K:$K,"&lt;="&amp;$B145,Base!$O:$O,"Finalizado")</f>
        <v>0</v>
      </c>
    </row>
    <row r="146">
      <c r="B146" s="151">
        <f t="shared" si="180"/>
        <v>45401</v>
      </c>
      <c r="C146" s="93">
        <f>COUNTIFS(Base!$B:$B,C$11,Base!$M:$M,"&lt;"&amp;$B146,Base!$N:$N,"&gt;="&amp;$B146,Base!$O:$O,"&lt;&gt;Finalizado",Base!$O:$O,"&lt;&gt;Congelado",Base!$O:$O,"&lt;&gt;Concluindo pendências") + COUNTIFS(Base!$B:$B,C$11,Base!$M:$M,"&lt;"&amp;$B146,Base!$N:$N,"",Base!$O:$O,"&lt;&gt;Finalizado",Base!$O:$O,"&lt;&gt;Congelado",Base!$O:$O,"&lt;&gt;Concluindo pendências")</f>
        <v>7</v>
      </c>
      <c r="D146" s="93">
        <f>COUNTIFS(Base!$B:$B,D$11,Base!$M:$M,"&lt;"&amp;$B146,Base!$N:$N,"&gt;="&amp;$B146,Base!$O:$O,"&lt;&gt;Finalizado",Base!$O:$O,"&lt;&gt;Congelado",Base!$O:$O,"&lt;&gt;Concluindo pendências") + COUNTIFS(Base!$B:$B,D$11,Base!$M:$M,"&lt;"&amp;$B146,Base!$N:$N,"",Base!$O:$O,"&lt;&gt;Finalizado",Base!$O:$O,"&lt;&gt;Congelado",Base!$O:$O,"&lt;&gt;Concluindo pendências")</f>
        <v>9</v>
      </c>
      <c r="E146" s="93">
        <f>COUNTIFS(Base!$B:$B,E$11,Base!$M:$M,"&lt;"&amp;$B146,Base!$N:$N,"&gt;="&amp;$B146,Base!$O:$O,"&lt;&gt;Finalizado",Base!$O:$O,"&lt;&gt;Congelado",Base!$O:$O,"&lt;&gt;Concluindo pendências") + COUNTIFS(Base!$B:$B,E$11,Base!$M:$M,"&lt;"&amp;$B146,Base!$N:$N,"",Base!$O:$O,"&lt;&gt;Finalizado",Base!$O:$O,"&lt;&gt;Congelado",Base!$O:$O,"&lt;&gt;Concluindo pendências")</f>
        <v>4</v>
      </c>
      <c r="F146" s="93">
        <f>COUNTIFS(Base!$B:$B,F$11,Base!$M:$M,"&lt;"&amp;$B146,Base!$N:$N,"&gt;="&amp;$B146,Base!$O:$O,"&lt;&gt;Finalizado",Base!$O:$O,"&lt;&gt;Congelado",Base!$O:$O,"&lt;&gt;Concluindo pendências") + COUNTIFS(Base!$B:$B,F$11,Base!$M:$M,"&lt;"&amp;$B146,Base!$N:$N,"",Base!$O:$O,"&lt;&gt;Finalizado",Base!$O:$O,"&lt;&gt;Congelado",Base!$O:$O,"&lt;&gt;Concluindo pendências")</f>
        <v>7</v>
      </c>
      <c r="H146" s="93">
        <f>COUNTIFS(Base!$B:$B,C$11,Base!$K:$K,"&lt;"&amp;$B146,Base!$N:$N,"&gt;="&amp;$B146,Base!$O:$O,"&lt;&gt;Finalizado",Base!$O:$O,"&lt;&gt;Congelado") + COUNTIFS(Base!$B:$B,C$11,Base!$K:$K,"&lt;"&amp;$B146,Base!$N:$N,"",Base!$O:$O,"&lt;&gt;Finalizado",Base!$O:$O,"&lt;&gt;Congelado")</f>
        <v>12</v>
      </c>
      <c r="I146" s="93">
        <f>COUNTIFS(Base!$B:$B,D$11,Base!$K:$K,"&lt;"&amp;$B146,Base!$N:$N,"&gt;="&amp;$B146,Base!$O:$O,"&lt;&gt;Finalizado",Base!$O:$O,"&lt;&gt;Congelado") + COUNTIFS(Base!$B:$B,D$11,Base!$K:$K,"&lt;"&amp;$B146,Base!$N:$N,"",Base!$O:$O,"&lt;&gt;Finalizado",Base!$O:$O,"&lt;&gt;Congelado")</f>
        <v>25</v>
      </c>
      <c r="J146" s="93">
        <f>COUNTIFS(Base!$B:$B,E$11,Base!$K:$K,"&lt;"&amp;$B146,Base!$N:$N,"&gt;="&amp;$B146,Base!$O:$O,"&lt;&gt;Finalizado",Base!$O:$O,"&lt;&gt;Congelado") + COUNTIFS(Base!$B:$B,E$11,Base!$K:$K,"&lt;"&amp;$B146,Base!$N:$N,"",Base!$O:$O,"&lt;&gt;Finalizado",Base!$O:$O,"&lt;&gt;Congelado")</f>
        <v>21</v>
      </c>
      <c r="K146" s="93">
        <f>COUNTIFS(Base!$B:$B,F$11,Base!$K:$K,"&lt;"&amp;$B146,Base!$N:$N,"&gt;="&amp;$B146,Base!$O:$O,"&lt;&gt;Finalizado",Base!$O:$O,"&lt;&gt;Congelado") + COUNTIFS(Base!$B:$B,F$11,Base!$K:$K,"&lt;"&amp;$B146,Base!$N:$N,"",Base!$O:$O,"&lt;&gt;Finalizado",Base!$O:$O,"&lt;&gt;Congelado")</f>
        <v>20</v>
      </c>
      <c r="M146" s="133">
        <f t="shared" ref="M146:P146" si="229">C146/H146</f>
        <v>0.5833333333</v>
      </c>
      <c r="N146" s="133">
        <f t="shared" si="229"/>
        <v>0.36</v>
      </c>
      <c r="O146" s="133">
        <f t="shared" si="229"/>
        <v>0.1904761905</v>
      </c>
      <c r="P146" s="133">
        <f t="shared" si="229"/>
        <v>0.35</v>
      </c>
      <c r="Q146" s="133">
        <f t="shared" si="9"/>
        <v>0.3461538462</v>
      </c>
      <c r="S146" s="93">
        <f t="shared" ref="S146:V146" si="230">S145+C146</f>
        <v>403</v>
      </c>
      <c r="T146" s="93">
        <f t="shared" si="230"/>
        <v>694</v>
      </c>
      <c r="U146" s="93">
        <f t="shared" si="230"/>
        <v>541</v>
      </c>
      <c r="V146" s="93">
        <f t="shared" si="230"/>
        <v>557</v>
      </c>
      <c r="W146" s="93">
        <f t="shared" si="11"/>
        <v>2195</v>
      </c>
      <c r="Y146" s="133">
        <f>(COUNTIFS(Base!$B:$B,C$11,Base!$S:$S,"&gt;8",Base!$N:$N,"&lt;="&amp;$B146) - COUNTIFS(Base!$B:$B,C$11,Base!$S:$S,"&lt;7",Base!$N:$N,"&lt;="&amp;$B146) - COUNTIFS(Base!$B:$B,C$11,Base!$S:$S,"&lt;7",Base!$K:$K,"&lt;="&amp;$B146,Base!$O:$O,"Finalizado"))/(COUNTIFS(Base!$B:$B,C$11,Base!$S:$S,"&lt;&gt;",Base!$N:$N,"&lt;="&amp;$B146)+COUNTIFS(Base!$B:$B,C$11,Base!$S:$S,"&lt;7",Base!$K:$K,"&lt;="&amp;$B146,Base!$O:$O,"Finalizado"))</f>
        <v>0.7142857143</v>
      </c>
      <c r="Z146" s="133">
        <f>(COUNTIFS(Base!$B:$B,D$11,Base!$S:$S,"&gt;8",Base!$N:$N,"&lt;="&amp;$B146) - COUNTIFS(Base!$B:$B,D$11,Base!$S:$S,"&lt;7",Base!$N:$N,"&lt;="&amp;$B146) - COUNTIFS(Base!$B:$B,D$11,Base!$S:$S,"&lt;7",Base!$K:$K,"&lt;="&amp;$B146,Base!$O:$O,"Finalizado"))/(COUNTIFS(Base!$B:$B,D$11,Base!$S:$S,"&lt;&gt;",Base!$N:$N,"&lt;="&amp;$B146)+COUNTIFS(Base!$B:$B,D$11,Base!$S:$S,"&lt;7",Base!$K:$K,"&lt;="&amp;$B146,Base!$O:$O,"Finalizado"))</f>
        <v>0.6818181818</v>
      </c>
      <c r="AA146" s="133">
        <f>(COUNTIFS(Base!$B:$B,E$11,Base!$S:$S,"&gt;8",Base!$N:$N,"&lt;="&amp;$B146) - COUNTIFS(Base!$B:$B,E$11,Base!$S:$S,"&lt;7",Base!$N:$N,"&lt;="&amp;$B146) - COUNTIFS(Base!$B:$B,E$11,Base!$S:$S,"&lt;7",Base!$K:$K,"&lt;="&amp;$B146,Base!$O:$O,"Finalizado"))/(COUNTIFS(Base!$B:$B,E$11,Base!$S:$S,"&lt;&gt;",Base!$N:$N,"&lt;="&amp;$B146)+COUNTIFS(Base!$B:$B,E$11,Base!$S:$S,"&lt;7",Base!$K:$K,"&lt;="&amp;$B146,Base!$O:$O,"Finalizado"))</f>
        <v>0.6</v>
      </c>
      <c r="AB146" s="133">
        <f t="shared" si="12"/>
        <v>0.7777777778</v>
      </c>
      <c r="AD146" s="93">
        <f>(COUNTIFS(Base!$B:$B,F$11,Base!$S:$S,"&gt;8",Base!$N:$N,"&lt;="&amp;$B146)+(COUNTIFS(Base!$B:$B,F$11,Base!$AG:$AG,"&gt;8",Base!$K:$K,"&lt;="&amp;$B146)))</f>
        <v>7</v>
      </c>
      <c r="AE146" s="93">
        <f>(COUNTIFS(Base!$B:$B,F$11,Base!$S:$S,"&lt;&gt;",Base!$N:$N,"&lt;="&amp;$B146)+(COUNTIFS(Base!$B:$B,F$11,Base!$AG:$AG,"&lt;&gt;",Base!$K:$K,"&lt;="&amp;$B146)+COUNTIFS(Base!$B:$B,F$11,Base!$S:$S,"&lt;7",Base!$K:$K,"&lt;="&amp;$B146,Base!$O:$O,"Finalizado")))</f>
        <v>9</v>
      </c>
      <c r="AF146" s="93">
        <f>COUNTIFS(Base!$B:$B,F$11,Base!$S:$S,"&lt;7",Base!$N:$N,"&lt;="&amp;$B146) +COUNTIFS(Base!$B:$B,F$11,Base!$AG:$AG,"&lt;7",Base!$K:$K,"&lt;="&amp;$B146) + COUNTIFS(Base!$B:$B,F$11,Base!$S:$S,"&lt;7",Base!$K:$K,"&lt;="&amp;$B146,Base!$O:$O,"Finalizado")</f>
        <v>0</v>
      </c>
    </row>
    <row r="147">
      <c r="B147" s="151">
        <f t="shared" si="180"/>
        <v>45402</v>
      </c>
      <c r="C147" s="93">
        <f>COUNTIFS(Base!$B:$B,C$11,Base!$M:$M,"&lt;"&amp;$B147,Base!$N:$N,"&gt;="&amp;$B147,Base!$O:$O,"&lt;&gt;Finalizado",Base!$O:$O,"&lt;&gt;Congelado",Base!$O:$O,"&lt;&gt;Concluindo pendências") + COUNTIFS(Base!$B:$B,C$11,Base!$M:$M,"&lt;"&amp;$B147,Base!$N:$N,"",Base!$O:$O,"&lt;&gt;Finalizado",Base!$O:$O,"&lt;&gt;Congelado",Base!$O:$O,"&lt;&gt;Concluindo pendências")</f>
        <v>6</v>
      </c>
      <c r="D147" s="93">
        <f>COUNTIFS(Base!$B:$B,D$11,Base!$M:$M,"&lt;"&amp;$B147,Base!$N:$N,"&gt;="&amp;$B147,Base!$O:$O,"&lt;&gt;Finalizado",Base!$O:$O,"&lt;&gt;Congelado",Base!$O:$O,"&lt;&gt;Concluindo pendências") + COUNTIFS(Base!$B:$B,D$11,Base!$M:$M,"&lt;"&amp;$B147,Base!$N:$N,"",Base!$O:$O,"&lt;&gt;Finalizado",Base!$O:$O,"&lt;&gt;Congelado",Base!$O:$O,"&lt;&gt;Concluindo pendências")</f>
        <v>9</v>
      </c>
      <c r="E147" s="93">
        <f>COUNTIFS(Base!$B:$B,E$11,Base!$M:$M,"&lt;"&amp;$B147,Base!$N:$N,"&gt;="&amp;$B147,Base!$O:$O,"&lt;&gt;Finalizado",Base!$O:$O,"&lt;&gt;Congelado",Base!$O:$O,"&lt;&gt;Concluindo pendências") + COUNTIFS(Base!$B:$B,E$11,Base!$M:$M,"&lt;"&amp;$B147,Base!$N:$N,"",Base!$O:$O,"&lt;&gt;Finalizado",Base!$O:$O,"&lt;&gt;Congelado",Base!$O:$O,"&lt;&gt;Concluindo pendências")</f>
        <v>4</v>
      </c>
      <c r="F147" s="93">
        <f>COUNTIFS(Base!$B:$B,F$11,Base!$M:$M,"&lt;"&amp;$B147,Base!$N:$N,"&gt;="&amp;$B147,Base!$O:$O,"&lt;&gt;Finalizado",Base!$O:$O,"&lt;&gt;Congelado",Base!$O:$O,"&lt;&gt;Concluindo pendências") + COUNTIFS(Base!$B:$B,F$11,Base!$M:$M,"&lt;"&amp;$B147,Base!$N:$N,"",Base!$O:$O,"&lt;&gt;Finalizado",Base!$O:$O,"&lt;&gt;Congelado",Base!$O:$O,"&lt;&gt;Concluindo pendências")</f>
        <v>7</v>
      </c>
      <c r="H147" s="93">
        <f>COUNTIFS(Base!$B:$B,C$11,Base!$K:$K,"&lt;"&amp;$B147,Base!$N:$N,"&gt;="&amp;$B147,Base!$O:$O,"&lt;&gt;Finalizado",Base!$O:$O,"&lt;&gt;Congelado") + COUNTIFS(Base!$B:$B,C$11,Base!$K:$K,"&lt;"&amp;$B147,Base!$N:$N,"",Base!$O:$O,"&lt;&gt;Finalizado",Base!$O:$O,"&lt;&gt;Congelado")</f>
        <v>11</v>
      </c>
      <c r="I147" s="93">
        <f>COUNTIFS(Base!$B:$B,D$11,Base!$K:$K,"&lt;"&amp;$B147,Base!$N:$N,"&gt;="&amp;$B147,Base!$O:$O,"&lt;&gt;Finalizado",Base!$O:$O,"&lt;&gt;Congelado") + COUNTIFS(Base!$B:$B,D$11,Base!$K:$K,"&lt;"&amp;$B147,Base!$N:$N,"",Base!$O:$O,"&lt;&gt;Finalizado",Base!$O:$O,"&lt;&gt;Congelado")</f>
        <v>25</v>
      </c>
      <c r="J147" s="93">
        <f>COUNTIFS(Base!$B:$B,E$11,Base!$K:$K,"&lt;"&amp;$B147,Base!$N:$N,"&gt;="&amp;$B147,Base!$O:$O,"&lt;&gt;Finalizado",Base!$O:$O,"&lt;&gt;Congelado") + COUNTIFS(Base!$B:$B,E$11,Base!$K:$K,"&lt;"&amp;$B147,Base!$N:$N,"",Base!$O:$O,"&lt;&gt;Finalizado",Base!$O:$O,"&lt;&gt;Congelado")</f>
        <v>21</v>
      </c>
      <c r="K147" s="93">
        <f>COUNTIFS(Base!$B:$B,F$11,Base!$K:$K,"&lt;"&amp;$B147,Base!$N:$N,"&gt;="&amp;$B147,Base!$O:$O,"&lt;&gt;Finalizado",Base!$O:$O,"&lt;&gt;Congelado") + COUNTIFS(Base!$B:$B,F$11,Base!$K:$K,"&lt;"&amp;$B147,Base!$N:$N,"",Base!$O:$O,"&lt;&gt;Finalizado",Base!$O:$O,"&lt;&gt;Congelado")</f>
        <v>20</v>
      </c>
      <c r="M147" s="133">
        <f t="shared" ref="M147:P147" si="231">C147/H147</f>
        <v>0.5454545455</v>
      </c>
      <c r="N147" s="133">
        <f t="shared" si="231"/>
        <v>0.36</v>
      </c>
      <c r="O147" s="133">
        <f t="shared" si="231"/>
        <v>0.1904761905</v>
      </c>
      <c r="P147" s="133">
        <f t="shared" si="231"/>
        <v>0.35</v>
      </c>
      <c r="Q147" s="133">
        <f t="shared" si="9"/>
        <v>0.3376623377</v>
      </c>
      <c r="S147" s="93">
        <f t="shared" ref="S147:V147" si="232">S146+C147</f>
        <v>409</v>
      </c>
      <c r="T147" s="93">
        <f t="shared" si="232"/>
        <v>703</v>
      </c>
      <c r="U147" s="93">
        <f t="shared" si="232"/>
        <v>545</v>
      </c>
      <c r="V147" s="93">
        <f t="shared" si="232"/>
        <v>564</v>
      </c>
      <c r="W147" s="93">
        <f t="shared" si="11"/>
        <v>2221</v>
      </c>
      <c r="Y147" s="133">
        <f>(COUNTIFS(Base!$B:$B,C$11,Base!$S:$S,"&gt;8",Base!$N:$N,"&lt;="&amp;$B147) - COUNTIFS(Base!$B:$B,C$11,Base!$S:$S,"&lt;7",Base!$N:$N,"&lt;="&amp;$B147) - COUNTIFS(Base!$B:$B,C$11,Base!$S:$S,"&lt;7",Base!$K:$K,"&lt;="&amp;$B147,Base!$O:$O,"Finalizado"))/(COUNTIFS(Base!$B:$B,C$11,Base!$S:$S,"&lt;&gt;",Base!$N:$N,"&lt;="&amp;$B147)+COUNTIFS(Base!$B:$B,C$11,Base!$S:$S,"&lt;7",Base!$K:$K,"&lt;="&amp;$B147,Base!$O:$O,"Finalizado"))</f>
        <v>0.7142857143</v>
      </c>
      <c r="Z147" s="133">
        <f>(COUNTIFS(Base!$B:$B,D$11,Base!$S:$S,"&gt;8",Base!$N:$N,"&lt;="&amp;$B147) - COUNTIFS(Base!$B:$B,D$11,Base!$S:$S,"&lt;7",Base!$N:$N,"&lt;="&amp;$B147) - COUNTIFS(Base!$B:$B,D$11,Base!$S:$S,"&lt;7",Base!$K:$K,"&lt;="&amp;$B147,Base!$O:$O,"Finalizado"))/(COUNTIFS(Base!$B:$B,D$11,Base!$S:$S,"&lt;&gt;",Base!$N:$N,"&lt;="&amp;$B147)+COUNTIFS(Base!$B:$B,D$11,Base!$S:$S,"&lt;7",Base!$K:$K,"&lt;="&amp;$B147,Base!$O:$O,"Finalizado"))</f>
        <v>0.6818181818</v>
      </c>
      <c r="AA147" s="133">
        <f>(COUNTIFS(Base!$B:$B,E$11,Base!$S:$S,"&gt;8",Base!$N:$N,"&lt;="&amp;$B147) - COUNTIFS(Base!$B:$B,E$11,Base!$S:$S,"&lt;7",Base!$N:$N,"&lt;="&amp;$B147) - COUNTIFS(Base!$B:$B,E$11,Base!$S:$S,"&lt;7",Base!$K:$K,"&lt;="&amp;$B147,Base!$O:$O,"Finalizado"))/(COUNTIFS(Base!$B:$B,E$11,Base!$S:$S,"&lt;&gt;",Base!$N:$N,"&lt;="&amp;$B147)+COUNTIFS(Base!$B:$B,E$11,Base!$S:$S,"&lt;7",Base!$K:$K,"&lt;="&amp;$B147,Base!$O:$O,"Finalizado"))</f>
        <v>0.6</v>
      </c>
      <c r="AB147" s="133">
        <f t="shared" si="12"/>
        <v>0.7777777778</v>
      </c>
      <c r="AD147" s="93">
        <f>(COUNTIFS(Base!$B:$B,F$11,Base!$S:$S,"&gt;8",Base!$N:$N,"&lt;="&amp;$B147)+(COUNTIFS(Base!$B:$B,F$11,Base!$AG:$AG,"&gt;8",Base!$K:$K,"&lt;="&amp;$B147)))</f>
        <v>7</v>
      </c>
      <c r="AE147" s="93">
        <f>(COUNTIFS(Base!$B:$B,F$11,Base!$S:$S,"&lt;&gt;",Base!$N:$N,"&lt;="&amp;$B147)+(COUNTIFS(Base!$B:$B,F$11,Base!$AG:$AG,"&lt;&gt;",Base!$K:$K,"&lt;="&amp;$B147)+COUNTIFS(Base!$B:$B,F$11,Base!$S:$S,"&lt;7",Base!$K:$K,"&lt;="&amp;$B147,Base!$O:$O,"Finalizado")))</f>
        <v>9</v>
      </c>
      <c r="AF147" s="93">
        <f>COUNTIFS(Base!$B:$B,F$11,Base!$S:$S,"&lt;7",Base!$N:$N,"&lt;="&amp;$B147) +COUNTIFS(Base!$B:$B,F$11,Base!$AG:$AG,"&lt;7",Base!$K:$K,"&lt;="&amp;$B147) + COUNTIFS(Base!$B:$B,F$11,Base!$S:$S,"&lt;7",Base!$K:$K,"&lt;="&amp;$B147,Base!$O:$O,"Finalizado")</f>
        <v>0</v>
      </c>
    </row>
    <row r="148">
      <c r="B148" s="151">
        <f t="shared" si="180"/>
        <v>45403</v>
      </c>
      <c r="C148" s="93">
        <f>COUNTIFS(Base!$B:$B,C$11,Base!$M:$M,"&lt;"&amp;$B148,Base!$N:$N,"&gt;="&amp;$B148,Base!$O:$O,"&lt;&gt;Finalizado",Base!$O:$O,"&lt;&gt;Congelado",Base!$O:$O,"&lt;&gt;Concluindo pendências") + COUNTIFS(Base!$B:$B,C$11,Base!$M:$M,"&lt;"&amp;$B148,Base!$N:$N,"",Base!$O:$O,"&lt;&gt;Finalizado",Base!$O:$O,"&lt;&gt;Congelado",Base!$O:$O,"&lt;&gt;Concluindo pendências")</f>
        <v>6</v>
      </c>
      <c r="D148" s="93">
        <f>COUNTIFS(Base!$B:$B,D$11,Base!$M:$M,"&lt;"&amp;$B148,Base!$N:$N,"&gt;="&amp;$B148,Base!$O:$O,"&lt;&gt;Finalizado",Base!$O:$O,"&lt;&gt;Congelado",Base!$O:$O,"&lt;&gt;Concluindo pendências") + COUNTIFS(Base!$B:$B,D$11,Base!$M:$M,"&lt;"&amp;$B148,Base!$N:$N,"",Base!$O:$O,"&lt;&gt;Finalizado",Base!$O:$O,"&lt;&gt;Congelado",Base!$O:$O,"&lt;&gt;Concluindo pendências")</f>
        <v>9</v>
      </c>
      <c r="E148" s="93">
        <f>COUNTIFS(Base!$B:$B,E$11,Base!$M:$M,"&lt;"&amp;$B148,Base!$N:$N,"&gt;="&amp;$B148,Base!$O:$O,"&lt;&gt;Finalizado",Base!$O:$O,"&lt;&gt;Congelado",Base!$O:$O,"&lt;&gt;Concluindo pendências") + COUNTIFS(Base!$B:$B,E$11,Base!$M:$M,"&lt;"&amp;$B148,Base!$N:$N,"",Base!$O:$O,"&lt;&gt;Finalizado",Base!$O:$O,"&lt;&gt;Congelado",Base!$O:$O,"&lt;&gt;Concluindo pendências")</f>
        <v>4</v>
      </c>
      <c r="F148" s="93">
        <f>COUNTIFS(Base!$B:$B,F$11,Base!$M:$M,"&lt;"&amp;$B148,Base!$N:$N,"&gt;="&amp;$B148,Base!$O:$O,"&lt;&gt;Finalizado",Base!$O:$O,"&lt;&gt;Congelado",Base!$O:$O,"&lt;&gt;Concluindo pendências") + COUNTIFS(Base!$B:$B,F$11,Base!$M:$M,"&lt;"&amp;$B148,Base!$N:$N,"",Base!$O:$O,"&lt;&gt;Finalizado",Base!$O:$O,"&lt;&gt;Congelado",Base!$O:$O,"&lt;&gt;Concluindo pendências")</f>
        <v>7</v>
      </c>
      <c r="H148" s="93">
        <f>COUNTIFS(Base!$B:$B,C$11,Base!$K:$K,"&lt;"&amp;$B148,Base!$N:$N,"&gt;="&amp;$B148,Base!$O:$O,"&lt;&gt;Finalizado",Base!$O:$O,"&lt;&gt;Congelado") + COUNTIFS(Base!$B:$B,C$11,Base!$K:$K,"&lt;"&amp;$B148,Base!$N:$N,"",Base!$O:$O,"&lt;&gt;Finalizado",Base!$O:$O,"&lt;&gt;Congelado")</f>
        <v>11</v>
      </c>
      <c r="I148" s="93">
        <f>COUNTIFS(Base!$B:$B,D$11,Base!$K:$K,"&lt;"&amp;$B148,Base!$N:$N,"&gt;="&amp;$B148,Base!$O:$O,"&lt;&gt;Finalizado",Base!$O:$O,"&lt;&gt;Congelado") + COUNTIFS(Base!$B:$B,D$11,Base!$K:$K,"&lt;"&amp;$B148,Base!$N:$N,"",Base!$O:$O,"&lt;&gt;Finalizado",Base!$O:$O,"&lt;&gt;Congelado")</f>
        <v>25</v>
      </c>
      <c r="J148" s="93">
        <f>COUNTIFS(Base!$B:$B,E$11,Base!$K:$K,"&lt;"&amp;$B148,Base!$N:$N,"&gt;="&amp;$B148,Base!$O:$O,"&lt;&gt;Finalizado",Base!$O:$O,"&lt;&gt;Congelado") + COUNTIFS(Base!$B:$B,E$11,Base!$K:$K,"&lt;"&amp;$B148,Base!$N:$N,"",Base!$O:$O,"&lt;&gt;Finalizado",Base!$O:$O,"&lt;&gt;Congelado")</f>
        <v>21</v>
      </c>
      <c r="K148" s="93">
        <f>COUNTIFS(Base!$B:$B,F$11,Base!$K:$K,"&lt;"&amp;$B148,Base!$N:$N,"&gt;="&amp;$B148,Base!$O:$O,"&lt;&gt;Finalizado",Base!$O:$O,"&lt;&gt;Congelado") + COUNTIFS(Base!$B:$B,F$11,Base!$K:$K,"&lt;"&amp;$B148,Base!$N:$N,"",Base!$O:$O,"&lt;&gt;Finalizado",Base!$O:$O,"&lt;&gt;Congelado")</f>
        <v>20</v>
      </c>
      <c r="M148" s="133">
        <f t="shared" ref="M148:P148" si="233">C148/H148</f>
        <v>0.5454545455</v>
      </c>
      <c r="N148" s="133">
        <f t="shared" si="233"/>
        <v>0.36</v>
      </c>
      <c r="O148" s="133">
        <f t="shared" si="233"/>
        <v>0.1904761905</v>
      </c>
      <c r="P148" s="133">
        <f t="shared" si="233"/>
        <v>0.35</v>
      </c>
      <c r="Q148" s="133">
        <f t="shared" si="9"/>
        <v>0.3376623377</v>
      </c>
      <c r="S148" s="93">
        <f t="shared" ref="S148:V148" si="234">S147+C148</f>
        <v>415</v>
      </c>
      <c r="T148" s="93">
        <f t="shared" si="234"/>
        <v>712</v>
      </c>
      <c r="U148" s="93">
        <f t="shared" si="234"/>
        <v>549</v>
      </c>
      <c r="V148" s="93">
        <f t="shared" si="234"/>
        <v>571</v>
      </c>
      <c r="W148" s="93">
        <f t="shared" si="11"/>
        <v>2247</v>
      </c>
      <c r="Y148" s="133">
        <f>(COUNTIFS(Base!$B:$B,C$11,Base!$S:$S,"&gt;8",Base!$N:$N,"&lt;="&amp;$B148) - COUNTIFS(Base!$B:$B,C$11,Base!$S:$S,"&lt;7",Base!$N:$N,"&lt;="&amp;$B148) - COUNTIFS(Base!$B:$B,C$11,Base!$S:$S,"&lt;7",Base!$K:$K,"&lt;="&amp;$B148,Base!$O:$O,"Finalizado"))/(COUNTIFS(Base!$B:$B,C$11,Base!$S:$S,"&lt;&gt;",Base!$N:$N,"&lt;="&amp;$B148)+COUNTIFS(Base!$B:$B,C$11,Base!$S:$S,"&lt;7",Base!$K:$K,"&lt;="&amp;$B148,Base!$O:$O,"Finalizado"))</f>
        <v>0.7142857143</v>
      </c>
      <c r="Z148" s="133">
        <f>(COUNTIFS(Base!$B:$B,D$11,Base!$S:$S,"&gt;8",Base!$N:$N,"&lt;="&amp;$B148) - COUNTIFS(Base!$B:$B,D$11,Base!$S:$S,"&lt;7",Base!$N:$N,"&lt;="&amp;$B148) - COUNTIFS(Base!$B:$B,D$11,Base!$S:$S,"&lt;7",Base!$K:$K,"&lt;="&amp;$B148,Base!$O:$O,"Finalizado"))/(COUNTIFS(Base!$B:$B,D$11,Base!$S:$S,"&lt;&gt;",Base!$N:$N,"&lt;="&amp;$B148)+COUNTIFS(Base!$B:$B,D$11,Base!$S:$S,"&lt;7",Base!$K:$K,"&lt;="&amp;$B148,Base!$O:$O,"Finalizado"))</f>
        <v>0.6818181818</v>
      </c>
      <c r="AA148" s="133">
        <f>(COUNTIFS(Base!$B:$B,E$11,Base!$S:$S,"&gt;8",Base!$N:$N,"&lt;="&amp;$B148) - COUNTIFS(Base!$B:$B,E$11,Base!$S:$S,"&lt;7",Base!$N:$N,"&lt;="&amp;$B148) - COUNTIFS(Base!$B:$B,E$11,Base!$S:$S,"&lt;7",Base!$K:$K,"&lt;="&amp;$B148,Base!$O:$O,"Finalizado"))/(COUNTIFS(Base!$B:$B,E$11,Base!$S:$S,"&lt;&gt;",Base!$N:$N,"&lt;="&amp;$B148)+COUNTIFS(Base!$B:$B,E$11,Base!$S:$S,"&lt;7",Base!$K:$K,"&lt;="&amp;$B148,Base!$O:$O,"Finalizado"))</f>
        <v>0.6</v>
      </c>
      <c r="AB148" s="133">
        <f t="shared" si="12"/>
        <v>0.7777777778</v>
      </c>
      <c r="AD148" s="93">
        <f>(COUNTIFS(Base!$B:$B,F$11,Base!$S:$S,"&gt;8",Base!$N:$N,"&lt;="&amp;$B148)+(COUNTIFS(Base!$B:$B,F$11,Base!$AG:$AG,"&gt;8",Base!$K:$K,"&lt;="&amp;$B148)))</f>
        <v>7</v>
      </c>
      <c r="AE148" s="93">
        <f>(COUNTIFS(Base!$B:$B,F$11,Base!$S:$S,"&lt;&gt;",Base!$N:$N,"&lt;="&amp;$B148)+(COUNTIFS(Base!$B:$B,F$11,Base!$AG:$AG,"&lt;&gt;",Base!$K:$K,"&lt;="&amp;$B148)+COUNTIFS(Base!$B:$B,F$11,Base!$S:$S,"&lt;7",Base!$K:$K,"&lt;="&amp;$B148,Base!$O:$O,"Finalizado")))</f>
        <v>9</v>
      </c>
      <c r="AF148" s="93">
        <f>COUNTIFS(Base!$B:$B,F$11,Base!$S:$S,"&lt;7",Base!$N:$N,"&lt;="&amp;$B148) +COUNTIFS(Base!$B:$B,F$11,Base!$AG:$AG,"&lt;7",Base!$K:$K,"&lt;="&amp;$B148) + COUNTIFS(Base!$B:$B,F$11,Base!$S:$S,"&lt;7",Base!$K:$K,"&lt;="&amp;$B148,Base!$O:$O,"Finalizado")</f>
        <v>0</v>
      </c>
    </row>
    <row r="149">
      <c r="B149" s="151">
        <f t="shared" si="180"/>
        <v>45404</v>
      </c>
      <c r="C149" s="93">
        <f>COUNTIFS(Base!$B:$B,C$11,Base!$M:$M,"&lt;"&amp;$B149,Base!$N:$N,"&gt;="&amp;$B149,Base!$O:$O,"&lt;&gt;Finalizado",Base!$O:$O,"&lt;&gt;Congelado",Base!$O:$O,"&lt;&gt;Concluindo pendências") + COUNTIFS(Base!$B:$B,C$11,Base!$M:$M,"&lt;"&amp;$B149,Base!$N:$N,"",Base!$O:$O,"&lt;&gt;Finalizado",Base!$O:$O,"&lt;&gt;Congelado",Base!$O:$O,"&lt;&gt;Concluindo pendências")</f>
        <v>6</v>
      </c>
      <c r="D149" s="93">
        <f>COUNTIFS(Base!$B:$B,D$11,Base!$M:$M,"&lt;"&amp;$B149,Base!$N:$N,"&gt;="&amp;$B149,Base!$O:$O,"&lt;&gt;Finalizado",Base!$O:$O,"&lt;&gt;Congelado",Base!$O:$O,"&lt;&gt;Concluindo pendências") + COUNTIFS(Base!$B:$B,D$11,Base!$M:$M,"&lt;"&amp;$B149,Base!$N:$N,"",Base!$O:$O,"&lt;&gt;Finalizado",Base!$O:$O,"&lt;&gt;Congelado",Base!$O:$O,"&lt;&gt;Concluindo pendências")</f>
        <v>9</v>
      </c>
      <c r="E149" s="93">
        <f>COUNTIFS(Base!$B:$B,E$11,Base!$M:$M,"&lt;"&amp;$B149,Base!$N:$N,"&gt;="&amp;$B149,Base!$O:$O,"&lt;&gt;Finalizado",Base!$O:$O,"&lt;&gt;Congelado",Base!$O:$O,"&lt;&gt;Concluindo pendências") + COUNTIFS(Base!$B:$B,E$11,Base!$M:$M,"&lt;"&amp;$B149,Base!$N:$N,"",Base!$O:$O,"&lt;&gt;Finalizado",Base!$O:$O,"&lt;&gt;Congelado",Base!$O:$O,"&lt;&gt;Concluindo pendências")</f>
        <v>4</v>
      </c>
      <c r="F149" s="93">
        <f>COUNTIFS(Base!$B:$B,F$11,Base!$M:$M,"&lt;"&amp;$B149,Base!$N:$N,"&gt;="&amp;$B149,Base!$O:$O,"&lt;&gt;Finalizado",Base!$O:$O,"&lt;&gt;Congelado",Base!$O:$O,"&lt;&gt;Concluindo pendências") + COUNTIFS(Base!$B:$B,F$11,Base!$M:$M,"&lt;"&amp;$B149,Base!$N:$N,"",Base!$O:$O,"&lt;&gt;Finalizado",Base!$O:$O,"&lt;&gt;Congelado",Base!$O:$O,"&lt;&gt;Concluindo pendências")</f>
        <v>7</v>
      </c>
      <c r="H149" s="93">
        <f>COUNTIFS(Base!$B:$B,C$11,Base!$K:$K,"&lt;"&amp;$B149,Base!$N:$N,"&gt;="&amp;$B149,Base!$O:$O,"&lt;&gt;Finalizado",Base!$O:$O,"&lt;&gt;Congelado") + COUNTIFS(Base!$B:$B,C$11,Base!$K:$K,"&lt;"&amp;$B149,Base!$N:$N,"",Base!$O:$O,"&lt;&gt;Finalizado",Base!$O:$O,"&lt;&gt;Congelado")</f>
        <v>11</v>
      </c>
      <c r="I149" s="93">
        <f>COUNTIFS(Base!$B:$B,D$11,Base!$K:$K,"&lt;"&amp;$B149,Base!$N:$N,"&gt;="&amp;$B149,Base!$O:$O,"&lt;&gt;Finalizado",Base!$O:$O,"&lt;&gt;Congelado") + COUNTIFS(Base!$B:$B,D$11,Base!$K:$K,"&lt;"&amp;$B149,Base!$N:$N,"",Base!$O:$O,"&lt;&gt;Finalizado",Base!$O:$O,"&lt;&gt;Congelado")</f>
        <v>25</v>
      </c>
      <c r="J149" s="93">
        <f>COUNTIFS(Base!$B:$B,E$11,Base!$K:$K,"&lt;"&amp;$B149,Base!$N:$N,"&gt;="&amp;$B149,Base!$O:$O,"&lt;&gt;Finalizado",Base!$O:$O,"&lt;&gt;Congelado") + COUNTIFS(Base!$B:$B,E$11,Base!$K:$K,"&lt;"&amp;$B149,Base!$N:$N,"",Base!$O:$O,"&lt;&gt;Finalizado",Base!$O:$O,"&lt;&gt;Congelado")</f>
        <v>21</v>
      </c>
      <c r="K149" s="93">
        <f>COUNTIFS(Base!$B:$B,F$11,Base!$K:$K,"&lt;"&amp;$B149,Base!$N:$N,"&gt;="&amp;$B149,Base!$O:$O,"&lt;&gt;Finalizado",Base!$O:$O,"&lt;&gt;Congelado") + COUNTIFS(Base!$B:$B,F$11,Base!$K:$K,"&lt;"&amp;$B149,Base!$N:$N,"",Base!$O:$O,"&lt;&gt;Finalizado",Base!$O:$O,"&lt;&gt;Congelado")</f>
        <v>20</v>
      </c>
      <c r="M149" s="133">
        <f t="shared" ref="M149:P149" si="235">C149/H149</f>
        <v>0.5454545455</v>
      </c>
      <c r="N149" s="133">
        <f t="shared" si="235"/>
        <v>0.36</v>
      </c>
      <c r="O149" s="133">
        <f t="shared" si="235"/>
        <v>0.1904761905</v>
      </c>
      <c r="P149" s="133">
        <f t="shared" si="235"/>
        <v>0.35</v>
      </c>
      <c r="Q149" s="133">
        <f t="shared" si="9"/>
        <v>0.3376623377</v>
      </c>
      <c r="S149" s="93">
        <f t="shared" ref="S149:V149" si="236">S148+C149</f>
        <v>421</v>
      </c>
      <c r="T149" s="93">
        <f t="shared" si="236"/>
        <v>721</v>
      </c>
      <c r="U149" s="93">
        <f t="shared" si="236"/>
        <v>553</v>
      </c>
      <c r="V149" s="93">
        <f t="shared" si="236"/>
        <v>578</v>
      </c>
      <c r="W149" s="93">
        <f t="shared" si="11"/>
        <v>2273</v>
      </c>
      <c r="Y149" s="133">
        <f>(COUNTIFS(Base!$B:$B,C$11,Base!$S:$S,"&gt;8",Base!$N:$N,"&lt;="&amp;$B149) - COUNTIFS(Base!$B:$B,C$11,Base!$S:$S,"&lt;7",Base!$N:$N,"&lt;="&amp;$B149) - COUNTIFS(Base!$B:$B,C$11,Base!$S:$S,"&lt;7",Base!$K:$K,"&lt;="&amp;$B149,Base!$O:$O,"Finalizado"))/(COUNTIFS(Base!$B:$B,C$11,Base!$S:$S,"&lt;&gt;",Base!$N:$N,"&lt;="&amp;$B149)+COUNTIFS(Base!$B:$B,C$11,Base!$S:$S,"&lt;7",Base!$K:$K,"&lt;="&amp;$B149,Base!$O:$O,"Finalizado"))</f>
        <v>0.7142857143</v>
      </c>
      <c r="Z149" s="133">
        <f>(COUNTIFS(Base!$B:$B,D$11,Base!$S:$S,"&gt;8",Base!$N:$N,"&lt;="&amp;$B149) - COUNTIFS(Base!$B:$B,D$11,Base!$S:$S,"&lt;7",Base!$N:$N,"&lt;="&amp;$B149) - COUNTIFS(Base!$B:$B,D$11,Base!$S:$S,"&lt;7",Base!$K:$K,"&lt;="&amp;$B149,Base!$O:$O,"Finalizado"))/(COUNTIFS(Base!$B:$B,D$11,Base!$S:$S,"&lt;&gt;",Base!$N:$N,"&lt;="&amp;$B149)+COUNTIFS(Base!$B:$B,D$11,Base!$S:$S,"&lt;7",Base!$K:$K,"&lt;="&amp;$B149,Base!$O:$O,"Finalizado"))</f>
        <v>0.6666666667</v>
      </c>
      <c r="AA149" s="133">
        <f>(COUNTIFS(Base!$B:$B,E$11,Base!$S:$S,"&gt;8",Base!$N:$N,"&lt;="&amp;$B149) - COUNTIFS(Base!$B:$B,E$11,Base!$S:$S,"&lt;7",Base!$N:$N,"&lt;="&amp;$B149) - COUNTIFS(Base!$B:$B,E$11,Base!$S:$S,"&lt;7",Base!$K:$K,"&lt;="&amp;$B149,Base!$O:$O,"Finalizado"))/(COUNTIFS(Base!$B:$B,E$11,Base!$S:$S,"&lt;&gt;",Base!$N:$N,"&lt;="&amp;$B149)+COUNTIFS(Base!$B:$B,E$11,Base!$S:$S,"&lt;7",Base!$K:$K,"&lt;="&amp;$B149,Base!$O:$O,"Finalizado"))</f>
        <v>0.6</v>
      </c>
      <c r="AB149" s="133">
        <f t="shared" si="12"/>
        <v>0.7777777778</v>
      </c>
      <c r="AD149" s="93">
        <f>(COUNTIFS(Base!$B:$B,F$11,Base!$S:$S,"&gt;8",Base!$N:$N,"&lt;="&amp;$B149)+(COUNTIFS(Base!$B:$B,F$11,Base!$AG:$AG,"&gt;8",Base!$K:$K,"&lt;="&amp;$B149)))</f>
        <v>7</v>
      </c>
      <c r="AE149" s="93">
        <f>(COUNTIFS(Base!$B:$B,F$11,Base!$S:$S,"&lt;&gt;",Base!$N:$N,"&lt;="&amp;$B149)+(COUNTIFS(Base!$B:$B,F$11,Base!$AG:$AG,"&lt;&gt;",Base!$K:$K,"&lt;="&amp;$B149)+COUNTIFS(Base!$B:$B,F$11,Base!$S:$S,"&lt;7",Base!$K:$K,"&lt;="&amp;$B149,Base!$O:$O,"Finalizado")))</f>
        <v>9</v>
      </c>
      <c r="AF149" s="93">
        <f>COUNTIFS(Base!$B:$B,F$11,Base!$S:$S,"&lt;7",Base!$N:$N,"&lt;="&amp;$B149) +COUNTIFS(Base!$B:$B,F$11,Base!$AG:$AG,"&lt;7",Base!$K:$K,"&lt;="&amp;$B149) + COUNTIFS(Base!$B:$B,F$11,Base!$S:$S,"&lt;7",Base!$K:$K,"&lt;="&amp;$B149,Base!$O:$O,"Finalizado")</f>
        <v>0</v>
      </c>
    </row>
    <row r="150">
      <c r="B150" s="151">
        <f t="shared" si="180"/>
        <v>45405</v>
      </c>
      <c r="C150" s="93">
        <f>COUNTIFS(Base!$B:$B,C$11,Base!$M:$M,"&lt;"&amp;$B150,Base!$N:$N,"&gt;="&amp;$B150,Base!$O:$O,"&lt;&gt;Finalizado",Base!$O:$O,"&lt;&gt;Congelado",Base!$O:$O,"&lt;&gt;Concluindo pendências") + COUNTIFS(Base!$B:$B,C$11,Base!$M:$M,"&lt;"&amp;$B150,Base!$N:$N,"",Base!$O:$O,"&lt;&gt;Finalizado",Base!$O:$O,"&lt;&gt;Congelado",Base!$O:$O,"&lt;&gt;Concluindo pendências")</f>
        <v>6</v>
      </c>
      <c r="D150" s="93">
        <f>COUNTIFS(Base!$B:$B,D$11,Base!$M:$M,"&lt;"&amp;$B150,Base!$N:$N,"&gt;="&amp;$B150,Base!$O:$O,"&lt;&gt;Finalizado",Base!$O:$O,"&lt;&gt;Congelado",Base!$O:$O,"&lt;&gt;Concluindo pendências") + COUNTIFS(Base!$B:$B,D$11,Base!$M:$M,"&lt;"&amp;$B150,Base!$N:$N,"",Base!$O:$O,"&lt;&gt;Finalizado",Base!$O:$O,"&lt;&gt;Congelado",Base!$O:$O,"&lt;&gt;Concluindo pendências")</f>
        <v>8</v>
      </c>
      <c r="E150" s="93">
        <f>COUNTIFS(Base!$B:$B,E$11,Base!$M:$M,"&lt;"&amp;$B150,Base!$N:$N,"&gt;="&amp;$B150,Base!$O:$O,"&lt;&gt;Finalizado",Base!$O:$O,"&lt;&gt;Congelado",Base!$O:$O,"&lt;&gt;Concluindo pendências") + COUNTIFS(Base!$B:$B,E$11,Base!$M:$M,"&lt;"&amp;$B150,Base!$N:$N,"",Base!$O:$O,"&lt;&gt;Finalizado",Base!$O:$O,"&lt;&gt;Congelado",Base!$O:$O,"&lt;&gt;Concluindo pendências")</f>
        <v>5</v>
      </c>
      <c r="F150" s="93">
        <f>COUNTIFS(Base!$B:$B,F$11,Base!$M:$M,"&lt;"&amp;$B150,Base!$N:$N,"&gt;="&amp;$B150,Base!$O:$O,"&lt;&gt;Finalizado",Base!$O:$O,"&lt;&gt;Congelado",Base!$O:$O,"&lt;&gt;Concluindo pendências") + COUNTIFS(Base!$B:$B,F$11,Base!$M:$M,"&lt;"&amp;$B150,Base!$N:$N,"",Base!$O:$O,"&lt;&gt;Finalizado",Base!$O:$O,"&lt;&gt;Congelado",Base!$O:$O,"&lt;&gt;Concluindo pendências")</f>
        <v>7</v>
      </c>
      <c r="H150" s="93">
        <f>COUNTIFS(Base!$B:$B,C$11,Base!$K:$K,"&lt;"&amp;$B150,Base!$N:$N,"&gt;="&amp;$B150,Base!$O:$O,"&lt;&gt;Finalizado",Base!$O:$O,"&lt;&gt;Congelado") + COUNTIFS(Base!$B:$B,C$11,Base!$K:$K,"&lt;"&amp;$B150,Base!$N:$N,"",Base!$O:$O,"&lt;&gt;Finalizado",Base!$O:$O,"&lt;&gt;Congelado")</f>
        <v>12</v>
      </c>
      <c r="I150" s="93">
        <f>COUNTIFS(Base!$B:$B,D$11,Base!$K:$K,"&lt;"&amp;$B150,Base!$N:$N,"&gt;="&amp;$B150,Base!$O:$O,"&lt;&gt;Finalizado",Base!$O:$O,"&lt;&gt;Congelado") + COUNTIFS(Base!$B:$B,D$11,Base!$K:$K,"&lt;"&amp;$B150,Base!$N:$N,"",Base!$O:$O,"&lt;&gt;Finalizado",Base!$O:$O,"&lt;&gt;Congelado")</f>
        <v>23</v>
      </c>
      <c r="J150" s="93">
        <f>COUNTIFS(Base!$B:$B,E$11,Base!$K:$K,"&lt;"&amp;$B150,Base!$N:$N,"&gt;="&amp;$B150,Base!$O:$O,"&lt;&gt;Finalizado",Base!$O:$O,"&lt;&gt;Congelado") + COUNTIFS(Base!$B:$B,E$11,Base!$K:$K,"&lt;"&amp;$B150,Base!$N:$N,"",Base!$O:$O,"&lt;&gt;Finalizado",Base!$O:$O,"&lt;&gt;Congelado")</f>
        <v>22</v>
      </c>
      <c r="K150" s="93">
        <f>COUNTIFS(Base!$B:$B,F$11,Base!$K:$K,"&lt;"&amp;$B150,Base!$N:$N,"&gt;="&amp;$B150,Base!$O:$O,"&lt;&gt;Finalizado",Base!$O:$O,"&lt;&gt;Congelado") + COUNTIFS(Base!$B:$B,F$11,Base!$K:$K,"&lt;"&amp;$B150,Base!$N:$N,"",Base!$O:$O,"&lt;&gt;Finalizado",Base!$O:$O,"&lt;&gt;Congelado")</f>
        <v>21</v>
      </c>
      <c r="M150" s="133">
        <f t="shared" ref="M150:P150" si="237">C150/H150</f>
        <v>0.5</v>
      </c>
      <c r="N150" s="133">
        <f t="shared" si="237"/>
        <v>0.347826087</v>
      </c>
      <c r="O150" s="133">
        <f t="shared" si="237"/>
        <v>0.2272727273</v>
      </c>
      <c r="P150" s="133">
        <f t="shared" si="237"/>
        <v>0.3333333333</v>
      </c>
      <c r="Q150" s="133">
        <f t="shared" si="9"/>
        <v>0.3333333333</v>
      </c>
      <c r="S150" s="93">
        <f t="shared" ref="S150:V150" si="238">S149+C150</f>
        <v>427</v>
      </c>
      <c r="T150" s="93">
        <f t="shared" si="238"/>
        <v>729</v>
      </c>
      <c r="U150" s="93">
        <f t="shared" si="238"/>
        <v>558</v>
      </c>
      <c r="V150" s="93">
        <f t="shared" si="238"/>
        <v>585</v>
      </c>
      <c r="W150" s="93">
        <f t="shared" si="11"/>
        <v>2299</v>
      </c>
      <c r="Y150" s="133">
        <f>(COUNTIFS(Base!$B:$B,C$11,Base!$S:$S,"&gt;8",Base!$N:$N,"&lt;="&amp;$B150) - COUNTIFS(Base!$B:$B,C$11,Base!$S:$S,"&lt;7",Base!$N:$N,"&lt;="&amp;$B150) - COUNTIFS(Base!$B:$B,C$11,Base!$S:$S,"&lt;7",Base!$K:$K,"&lt;="&amp;$B150,Base!$O:$O,"Finalizado"))/(COUNTIFS(Base!$B:$B,C$11,Base!$S:$S,"&lt;&gt;",Base!$N:$N,"&lt;="&amp;$B150)+COUNTIFS(Base!$B:$B,C$11,Base!$S:$S,"&lt;7",Base!$K:$K,"&lt;="&amp;$B150,Base!$O:$O,"Finalizado"))</f>
        <v>0.7142857143</v>
      </c>
      <c r="Z150" s="133">
        <f>(COUNTIFS(Base!$B:$B,D$11,Base!$S:$S,"&gt;8",Base!$N:$N,"&lt;="&amp;$B150) - COUNTIFS(Base!$B:$B,D$11,Base!$S:$S,"&lt;7",Base!$N:$N,"&lt;="&amp;$B150) - COUNTIFS(Base!$B:$B,D$11,Base!$S:$S,"&lt;7",Base!$K:$K,"&lt;="&amp;$B150,Base!$O:$O,"Finalizado"))/(COUNTIFS(Base!$B:$B,D$11,Base!$S:$S,"&lt;&gt;",Base!$N:$N,"&lt;="&amp;$B150)+COUNTIFS(Base!$B:$B,D$11,Base!$S:$S,"&lt;7",Base!$K:$K,"&lt;="&amp;$B150,Base!$O:$O,"Finalizado"))</f>
        <v>0.68</v>
      </c>
      <c r="AA150" s="133">
        <f>(COUNTIFS(Base!$B:$B,E$11,Base!$S:$S,"&gt;8",Base!$N:$N,"&lt;="&amp;$B150) - COUNTIFS(Base!$B:$B,E$11,Base!$S:$S,"&lt;7",Base!$N:$N,"&lt;="&amp;$B150) - COUNTIFS(Base!$B:$B,E$11,Base!$S:$S,"&lt;7",Base!$K:$K,"&lt;="&amp;$B150,Base!$O:$O,"Finalizado"))/(COUNTIFS(Base!$B:$B,E$11,Base!$S:$S,"&lt;&gt;",Base!$N:$N,"&lt;="&amp;$B150)+COUNTIFS(Base!$B:$B,E$11,Base!$S:$S,"&lt;7",Base!$K:$K,"&lt;="&amp;$B150,Base!$O:$O,"Finalizado"))</f>
        <v>0.6</v>
      </c>
      <c r="AB150" s="133">
        <f t="shared" si="12"/>
        <v>0.8</v>
      </c>
      <c r="AD150" s="93">
        <f>(COUNTIFS(Base!$B:$B,F$11,Base!$S:$S,"&gt;8",Base!$N:$N,"&lt;="&amp;$B150)+(COUNTIFS(Base!$B:$B,F$11,Base!$AG:$AG,"&gt;8",Base!$K:$K,"&lt;="&amp;$B150)))</f>
        <v>8</v>
      </c>
      <c r="AE150" s="93">
        <f>(COUNTIFS(Base!$B:$B,F$11,Base!$S:$S,"&lt;&gt;",Base!$N:$N,"&lt;="&amp;$B150)+(COUNTIFS(Base!$B:$B,F$11,Base!$AG:$AG,"&lt;&gt;",Base!$K:$K,"&lt;="&amp;$B150)+COUNTIFS(Base!$B:$B,F$11,Base!$S:$S,"&lt;7",Base!$K:$K,"&lt;="&amp;$B150,Base!$O:$O,"Finalizado")))</f>
        <v>10</v>
      </c>
      <c r="AF150" s="93">
        <f>COUNTIFS(Base!$B:$B,F$11,Base!$S:$S,"&lt;7",Base!$N:$N,"&lt;="&amp;$B150) +COUNTIFS(Base!$B:$B,F$11,Base!$AG:$AG,"&lt;7",Base!$K:$K,"&lt;="&amp;$B150) + COUNTIFS(Base!$B:$B,F$11,Base!$S:$S,"&lt;7",Base!$K:$K,"&lt;="&amp;$B150,Base!$O:$O,"Finalizado")</f>
        <v>0</v>
      </c>
    </row>
    <row r="151">
      <c r="B151" s="151">
        <f t="shared" si="180"/>
        <v>45406</v>
      </c>
      <c r="C151" s="93">
        <f>COUNTIFS(Base!$B:$B,C$11,Base!$M:$M,"&lt;"&amp;$B151,Base!$N:$N,"&gt;="&amp;$B151,Base!$O:$O,"&lt;&gt;Finalizado",Base!$O:$O,"&lt;&gt;Congelado",Base!$O:$O,"&lt;&gt;Concluindo pendências") + COUNTIFS(Base!$B:$B,C$11,Base!$M:$M,"&lt;"&amp;$B151,Base!$N:$N,"",Base!$O:$O,"&lt;&gt;Finalizado",Base!$O:$O,"&lt;&gt;Congelado",Base!$O:$O,"&lt;&gt;Concluindo pendências")</f>
        <v>6</v>
      </c>
      <c r="D151" s="93">
        <f>COUNTIFS(Base!$B:$B,D$11,Base!$M:$M,"&lt;"&amp;$B151,Base!$N:$N,"&gt;="&amp;$B151,Base!$O:$O,"&lt;&gt;Finalizado",Base!$O:$O,"&lt;&gt;Congelado",Base!$O:$O,"&lt;&gt;Concluindo pendências") + COUNTIFS(Base!$B:$B,D$11,Base!$M:$M,"&lt;"&amp;$B151,Base!$N:$N,"",Base!$O:$O,"&lt;&gt;Finalizado",Base!$O:$O,"&lt;&gt;Congelado",Base!$O:$O,"&lt;&gt;Concluindo pendências")</f>
        <v>7</v>
      </c>
      <c r="E151" s="93">
        <f>COUNTIFS(Base!$B:$B,E$11,Base!$M:$M,"&lt;"&amp;$B151,Base!$N:$N,"&gt;="&amp;$B151,Base!$O:$O,"&lt;&gt;Finalizado",Base!$O:$O,"&lt;&gt;Congelado",Base!$O:$O,"&lt;&gt;Concluindo pendências") + COUNTIFS(Base!$B:$B,E$11,Base!$M:$M,"&lt;"&amp;$B151,Base!$N:$N,"",Base!$O:$O,"&lt;&gt;Finalizado",Base!$O:$O,"&lt;&gt;Congelado",Base!$O:$O,"&lt;&gt;Concluindo pendências")</f>
        <v>4</v>
      </c>
      <c r="F151" s="93">
        <f>COUNTIFS(Base!$B:$B,F$11,Base!$M:$M,"&lt;"&amp;$B151,Base!$N:$N,"&gt;="&amp;$B151,Base!$O:$O,"&lt;&gt;Finalizado",Base!$O:$O,"&lt;&gt;Congelado",Base!$O:$O,"&lt;&gt;Concluindo pendências") + COUNTIFS(Base!$B:$B,F$11,Base!$M:$M,"&lt;"&amp;$B151,Base!$N:$N,"",Base!$O:$O,"&lt;&gt;Finalizado",Base!$O:$O,"&lt;&gt;Congelado",Base!$O:$O,"&lt;&gt;Concluindo pendências")</f>
        <v>7</v>
      </c>
      <c r="H151" s="93">
        <f>COUNTIFS(Base!$B:$B,C$11,Base!$K:$K,"&lt;"&amp;$B151,Base!$N:$N,"&gt;="&amp;$B151,Base!$O:$O,"&lt;&gt;Finalizado",Base!$O:$O,"&lt;&gt;Congelado") + COUNTIFS(Base!$B:$B,C$11,Base!$K:$K,"&lt;"&amp;$B151,Base!$N:$N,"",Base!$O:$O,"&lt;&gt;Finalizado",Base!$O:$O,"&lt;&gt;Congelado")</f>
        <v>12</v>
      </c>
      <c r="I151" s="93">
        <f>COUNTIFS(Base!$B:$B,D$11,Base!$K:$K,"&lt;"&amp;$B151,Base!$N:$N,"&gt;="&amp;$B151,Base!$O:$O,"&lt;&gt;Finalizado",Base!$O:$O,"&lt;&gt;Congelado") + COUNTIFS(Base!$B:$B,D$11,Base!$K:$K,"&lt;"&amp;$B151,Base!$N:$N,"",Base!$O:$O,"&lt;&gt;Finalizado",Base!$O:$O,"&lt;&gt;Congelado")</f>
        <v>22</v>
      </c>
      <c r="J151" s="93">
        <f>COUNTIFS(Base!$B:$B,E$11,Base!$K:$K,"&lt;"&amp;$B151,Base!$N:$N,"&gt;="&amp;$B151,Base!$O:$O,"&lt;&gt;Finalizado",Base!$O:$O,"&lt;&gt;Congelado") + COUNTIFS(Base!$B:$B,E$11,Base!$K:$K,"&lt;"&amp;$B151,Base!$N:$N,"",Base!$O:$O,"&lt;&gt;Finalizado",Base!$O:$O,"&lt;&gt;Congelado")</f>
        <v>21</v>
      </c>
      <c r="K151" s="93">
        <f>COUNTIFS(Base!$B:$B,F$11,Base!$K:$K,"&lt;"&amp;$B151,Base!$N:$N,"&gt;="&amp;$B151,Base!$O:$O,"&lt;&gt;Finalizado",Base!$O:$O,"&lt;&gt;Congelado") + COUNTIFS(Base!$B:$B,F$11,Base!$K:$K,"&lt;"&amp;$B151,Base!$N:$N,"",Base!$O:$O,"&lt;&gt;Finalizado",Base!$O:$O,"&lt;&gt;Congelado")</f>
        <v>23</v>
      </c>
      <c r="M151" s="133">
        <f t="shared" ref="M151:P151" si="239">C151/H151</f>
        <v>0.5</v>
      </c>
      <c r="N151" s="133">
        <f t="shared" si="239"/>
        <v>0.3181818182</v>
      </c>
      <c r="O151" s="133">
        <f t="shared" si="239"/>
        <v>0.1904761905</v>
      </c>
      <c r="P151" s="133">
        <f t="shared" si="239"/>
        <v>0.3043478261</v>
      </c>
      <c r="Q151" s="133">
        <f t="shared" si="9"/>
        <v>0.3076923077</v>
      </c>
      <c r="S151" s="93">
        <f t="shared" ref="S151:V151" si="240">S150+C151</f>
        <v>433</v>
      </c>
      <c r="T151" s="93">
        <f t="shared" si="240"/>
        <v>736</v>
      </c>
      <c r="U151" s="93">
        <f t="shared" si="240"/>
        <v>562</v>
      </c>
      <c r="V151" s="93">
        <f t="shared" si="240"/>
        <v>592</v>
      </c>
      <c r="W151" s="93">
        <f t="shared" si="11"/>
        <v>2323</v>
      </c>
      <c r="Y151" s="133">
        <f>(COUNTIFS(Base!$B:$B,C$11,Base!$S:$S,"&gt;8",Base!$N:$N,"&lt;="&amp;$B151) - COUNTIFS(Base!$B:$B,C$11,Base!$S:$S,"&lt;7",Base!$N:$N,"&lt;="&amp;$B151) - COUNTIFS(Base!$B:$B,C$11,Base!$S:$S,"&lt;7",Base!$K:$K,"&lt;="&amp;$B151,Base!$O:$O,"Finalizado"))/(COUNTIFS(Base!$B:$B,C$11,Base!$S:$S,"&lt;&gt;",Base!$N:$N,"&lt;="&amp;$B151)+COUNTIFS(Base!$B:$B,C$11,Base!$S:$S,"&lt;7",Base!$K:$K,"&lt;="&amp;$B151,Base!$O:$O,"Finalizado"))</f>
        <v>0.7142857143</v>
      </c>
      <c r="Z151" s="133">
        <f>(COUNTIFS(Base!$B:$B,D$11,Base!$S:$S,"&gt;8",Base!$N:$N,"&lt;="&amp;$B151) - COUNTIFS(Base!$B:$B,D$11,Base!$S:$S,"&lt;7",Base!$N:$N,"&lt;="&amp;$B151) - COUNTIFS(Base!$B:$B,D$11,Base!$S:$S,"&lt;7",Base!$K:$K,"&lt;="&amp;$B151,Base!$O:$O,"Finalizado"))/(COUNTIFS(Base!$B:$B,D$11,Base!$S:$S,"&lt;&gt;",Base!$N:$N,"&lt;="&amp;$B151)+COUNTIFS(Base!$B:$B,D$11,Base!$S:$S,"&lt;7",Base!$K:$K,"&lt;="&amp;$B151,Base!$O:$O,"Finalizado"))</f>
        <v>0.6923076923</v>
      </c>
      <c r="AA151" s="133">
        <f>(COUNTIFS(Base!$B:$B,E$11,Base!$S:$S,"&gt;8",Base!$N:$N,"&lt;="&amp;$B151) - COUNTIFS(Base!$B:$B,E$11,Base!$S:$S,"&lt;7",Base!$N:$N,"&lt;="&amp;$B151) - COUNTIFS(Base!$B:$B,E$11,Base!$S:$S,"&lt;7",Base!$K:$K,"&lt;="&amp;$B151,Base!$O:$O,"Finalizado"))/(COUNTIFS(Base!$B:$B,E$11,Base!$S:$S,"&lt;&gt;",Base!$N:$N,"&lt;="&amp;$B151)+COUNTIFS(Base!$B:$B,E$11,Base!$S:$S,"&lt;7",Base!$K:$K,"&lt;="&amp;$B151,Base!$O:$O,"Finalizado"))</f>
        <v>0.6</v>
      </c>
      <c r="AB151" s="133">
        <f t="shared" si="12"/>
        <v>0.8</v>
      </c>
      <c r="AD151" s="93">
        <f>(COUNTIFS(Base!$B:$B,F$11,Base!$S:$S,"&gt;8",Base!$N:$N,"&lt;="&amp;$B151)+(COUNTIFS(Base!$B:$B,F$11,Base!$AG:$AG,"&gt;8",Base!$K:$K,"&lt;="&amp;$B151)))</f>
        <v>8</v>
      </c>
      <c r="AE151" s="93">
        <f>(COUNTIFS(Base!$B:$B,F$11,Base!$S:$S,"&lt;&gt;",Base!$N:$N,"&lt;="&amp;$B151)+(COUNTIFS(Base!$B:$B,F$11,Base!$AG:$AG,"&lt;&gt;",Base!$K:$K,"&lt;="&amp;$B151)+COUNTIFS(Base!$B:$B,F$11,Base!$S:$S,"&lt;7",Base!$K:$K,"&lt;="&amp;$B151,Base!$O:$O,"Finalizado")))</f>
        <v>10</v>
      </c>
      <c r="AF151" s="93">
        <f>COUNTIFS(Base!$B:$B,F$11,Base!$S:$S,"&lt;7",Base!$N:$N,"&lt;="&amp;$B151) +COUNTIFS(Base!$B:$B,F$11,Base!$AG:$AG,"&lt;7",Base!$K:$K,"&lt;="&amp;$B151) + COUNTIFS(Base!$B:$B,F$11,Base!$S:$S,"&lt;7",Base!$K:$K,"&lt;="&amp;$B151,Base!$O:$O,"Finalizado")</f>
        <v>0</v>
      </c>
    </row>
    <row r="152">
      <c r="B152" s="151">
        <f t="shared" si="180"/>
        <v>45407</v>
      </c>
      <c r="C152" s="93">
        <f>COUNTIFS(Base!$B:$B,C$11,Base!$M:$M,"&lt;"&amp;$B152,Base!$N:$N,"&gt;="&amp;$B152,Base!$O:$O,"&lt;&gt;Finalizado",Base!$O:$O,"&lt;&gt;Congelado",Base!$O:$O,"&lt;&gt;Concluindo pendências") + COUNTIFS(Base!$B:$B,C$11,Base!$M:$M,"&lt;"&amp;$B152,Base!$N:$N,"",Base!$O:$O,"&lt;&gt;Finalizado",Base!$O:$O,"&lt;&gt;Congelado",Base!$O:$O,"&lt;&gt;Concluindo pendências")</f>
        <v>6</v>
      </c>
      <c r="D152" s="93">
        <f>COUNTIFS(Base!$B:$B,D$11,Base!$M:$M,"&lt;"&amp;$B152,Base!$N:$N,"&gt;="&amp;$B152,Base!$O:$O,"&lt;&gt;Finalizado",Base!$O:$O,"&lt;&gt;Congelado",Base!$O:$O,"&lt;&gt;Concluindo pendências") + COUNTIFS(Base!$B:$B,D$11,Base!$M:$M,"&lt;"&amp;$B152,Base!$N:$N,"",Base!$O:$O,"&lt;&gt;Finalizado",Base!$O:$O,"&lt;&gt;Congelado",Base!$O:$O,"&lt;&gt;Concluindo pendências")</f>
        <v>6</v>
      </c>
      <c r="E152" s="93">
        <f>COUNTIFS(Base!$B:$B,E$11,Base!$M:$M,"&lt;"&amp;$B152,Base!$N:$N,"&gt;="&amp;$B152,Base!$O:$O,"&lt;&gt;Finalizado",Base!$O:$O,"&lt;&gt;Congelado",Base!$O:$O,"&lt;&gt;Concluindo pendências") + COUNTIFS(Base!$B:$B,E$11,Base!$M:$M,"&lt;"&amp;$B152,Base!$N:$N,"",Base!$O:$O,"&lt;&gt;Finalizado",Base!$O:$O,"&lt;&gt;Congelado",Base!$O:$O,"&lt;&gt;Concluindo pendências")</f>
        <v>4</v>
      </c>
      <c r="F152" s="93">
        <f>COUNTIFS(Base!$B:$B,F$11,Base!$M:$M,"&lt;"&amp;$B152,Base!$N:$N,"&gt;="&amp;$B152,Base!$O:$O,"&lt;&gt;Finalizado",Base!$O:$O,"&lt;&gt;Congelado",Base!$O:$O,"&lt;&gt;Concluindo pendências") + COUNTIFS(Base!$B:$B,F$11,Base!$M:$M,"&lt;"&amp;$B152,Base!$N:$N,"",Base!$O:$O,"&lt;&gt;Finalizado",Base!$O:$O,"&lt;&gt;Congelado",Base!$O:$O,"&lt;&gt;Concluindo pendências")</f>
        <v>7</v>
      </c>
      <c r="H152" s="93">
        <f>COUNTIFS(Base!$B:$B,C$11,Base!$K:$K,"&lt;"&amp;$B152,Base!$N:$N,"&gt;="&amp;$B152,Base!$O:$O,"&lt;&gt;Finalizado",Base!$O:$O,"&lt;&gt;Congelado") + COUNTIFS(Base!$B:$B,C$11,Base!$K:$K,"&lt;"&amp;$B152,Base!$N:$N,"",Base!$O:$O,"&lt;&gt;Finalizado",Base!$O:$O,"&lt;&gt;Congelado")</f>
        <v>12</v>
      </c>
      <c r="I152" s="93">
        <f>COUNTIFS(Base!$B:$B,D$11,Base!$K:$K,"&lt;"&amp;$B152,Base!$N:$N,"&gt;="&amp;$B152,Base!$O:$O,"&lt;&gt;Finalizado",Base!$O:$O,"&lt;&gt;Congelado") + COUNTIFS(Base!$B:$B,D$11,Base!$K:$K,"&lt;"&amp;$B152,Base!$N:$N,"",Base!$O:$O,"&lt;&gt;Finalizado",Base!$O:$O,"&lt;&gt;Congelado")</f>
        <v>22</v>
      </c>
      <c r="J152" s="93">
        <f>COUNTIFS(Base!$B:$B,E$11,Base!$K:$K,"&lt;"&amp;$B152,Base!$N:$N,"&gt;="&amp;$B152,Base!$O:$O,"&lt;&gt;Finalizado",Base!$O:$O,"&lt;&gt;Congelado") + COUNTIFS(Base!$B:$B,E$11,Base!$K:$K,"&lt;"&amp;$B152,Base!$N:$N,"",Base!$O:$O,"&lt;&gt;Finalizado",Base!$O:$O,"&lt;&gt;Congelado")</f>
        <v>21</v>
      </c>
      <c r="K152" s="93">
        <f>COUNTIFS(Base!$B:$B,F$11,Base!$K:$K,"&lt;"&amp;$B152,Base!$N:$N,"&gt;="&amp;$B152,Base!$O:$O,"&lt;&gt;Finalizado",Base!$O:$O,"&lt;&gt;Congelado") + COUNTIFS(Base!$B:$B,F$11,Base!$K:$K,"&lt;"&amp;$B152,Base!$N:$N,"",Base!$O:$O,"&lt;&gt;Finalizado",Base!$O:$O,"&lt;&gt;Congelado")</f>
        <v>23</v>
      </c>
      <c r="M152" s="133">
        <f t="shared" ref="M152:P152" si="241">C152/H152</f>
        <v>0.5</v>
      </c>
      <c r="N152" s="133">
        <f t="shared" si="241"/>
        <v>0.2727272727</v>
      </c>
      <c r="O152" s="133">
        <f t="shared" si="241"/>
        <v>0.1904761905</v>
      </c>
      <c r="P152" s="133">
        <f t="shared" si="241"/>
        <v>0.3043478261</v>
      </c>
      <c r="Q152" s="133">
        <f t="shared" si="9"/>
        <v>0.2948717949</v>
      </c>
      <c r="S152" s="93">
        <f t="shared" ref="S152:V152" si="242">S151+C152</f>
        <v>439</v>
      </c>
      <c r="T152" s="93">
        <f t="shared" si="242"/>
        <v>742</v>
      </c>
      <c r="U152" s="93">
        <f t="shared" si="242"/>
        <v>566</v>
      </c>
      <c r="V152" s="93">
        <f t="shared" si="242"/>
        <v>599</v>
      </c>
      <c r="W152" s="93">
        <f t="shared" si="11"/>
        <v>2346</v>
      </c>
      <c r="Y152" s="133">
        <f>(COUNTIFS(Base!$B:$B,C$11,Base!$S:$S,"&gt;8",Base!$N:$N,"&lt;="&amp;$B152) - COUNTIFS(Base!$B:$B,C$11,Base!$S:$S,"&lt;7",Base!$N:$N,"&lt;="&amp;$B152) - COUNTIFS(Base!$B:$B,C$11,Base!$S:$S,"&lt;7",Base!$K:$K,"&lt;="&amp;$B152,Base!$O:$O,"Finalizado"))/(COUNTIFS(Base!$B:$B,C$11,Base!$S:$S,"&lt;&gt;",Base!$N:$N,"&lt;="&amp;$B152)+COUNTIFS(Base!$B:$B,C$11,Base!$S:$S,"&lt;7",Base!$K:$K,"&lt;="&amp;$B152,Base!$O:$O,"Finalizado"))</f>
        <v>0.7142857143</v>
      </c>
      <c r="Z152" s="133">
        <f>(COUNTIFS(Base!$B:$B,D$11,Base!$S:$S,"&gt;8",Base!$N:$N,"&lt;="&amp;$B152) - COUNTIFS(Base!$B:$B,D$11,Base!$S:$S,"&lt;7",Base!$N:$N,"&lt;="&amp;$B152) - COUNTIFS(Base!$B:$B,D$11,Base!$S:$S,"&lt;7",Base!$K:$K,"&lt;="&amp;$B152,Base!$O:$O,"Finalizado"))/(COUNTIFS(Base!$B:$B,D$11,Base!$S:$S,"&lt;&gt;",Base!$N:$N,"&lt;="&amp;$B152)+COUNTIFS(Base!$B:$B,D$11,Base!$S:$S,"&lt;7",Base!$K:$K,"&lt;="&amp;$B152,Base!$O:$O,"Finalizado"))</f>
        <v>0.6923076923</v>
      </c>
      <c r="AA152" s="133">
        <f>(COUNTIFS(Base!$B:$B,E$11,Base!$S:$S,"&gt;8",Base!$N:$N,"&lt;="&amp;$B152) - COUNTIFS(Base!$B:$B,E$11,Base!$S:$S,"&lt;7",Base!$N:$N,"&lt;="&amp;$B152) - COUNTIFS(Base!$B:$B,E$11,Base!$S:$S,"&lt;7",Base!$K:$K,"&lt;="&amp;$B152,Base!$O:$O,"Finalizado"))/(COUNTIFS(Base!$B:$B,E$11,Base!$S:$S,"&lt;&gt;",Base!$N:$N,"&lt;="&amp;$B152)+COUNTIFS(Base!$B:$B,E$11,Base!$S:$S,"&lt;7",Base!$K:$K,"&lt;="&amp;$B152,Base!$O:$O,"Finalizado"))</f>
        <v>0.6</v>
      </c>
      <c r="AB152" s="133">
        <f t="shared" si="12"/>
        <v>0.8</v>
      </c>
      <c r="AD152" s="93">
        <f>(COUNTIFS(Base!$B:$B,F$11,Base!$S:$S,"&gt;8",Base!$N:$N,"&lt;="&amp;$B152)+(COUNTIFS(Base!$B:$B,F$11,Base!$AG:$AG,"&gt;8",Base!$K:$K,"&lt;="&amp;$B152)))</f>
        <v>8</v>
      </c>
      <c r="AE152" s="93">
        <f>(COUNTIFS(Base!$B:$B,F$11,Base!$S:$S,"&lt;&gt;",Base!$N:$N,"&lt;="&amp;$B152)+(COUNTIFS(Base!$B:$B,F$11,Base!$AG:$AG,"&lt;&gt;",Base!$K:$K,"&lt;="&amp;$B152)+COUNTIFS(Base!$B:$B,F$11,Base!$S:$S,"&lt;7",Base!$K:$K,"&lt;="&amp;$B152,Base!$O:$O,"Finalizado")))</f>
        <v>10</v>
      </c>
      <c r="AF152" s="93">
        <f>COUNTIFS(Base!$B:$B,F$11,Base!$S:$S,"&lt;7",Base!$N:$N,"&lt;="&amp;$B152) +COUNTIFS(Base!$B:$B,F$11,Base!$AG:$AG,"&lt;7",Base!$K:$K,"&lt;="&amp;$B152) + COUNTIFS(Base!$B:$B,F$11,Base!$S:$S,"&lt;7",Base!$K:$K,"&lt;="&amp;$B152,Base!$O:$O,"Finalizado")</f>
        <v>0</v>
      </c>
    </row>
    <row r="153">
      <c r="B153" s="151">
        <f t="shared" si="180"/>
        <v>45408</v>
      </c>
      <c r="C153" s="93">
        <f>COUNTIFS(Base!$B:$B,C$11,Base!$M:$M,"&lt;"&amp;$B153,Base!$N:$N,"&gt;="&amp;$B153,Base!$O:$O,"&lt;&gt;Finalizado",Base!$O:$O,"&lt;&gt;Congelado",Base!$O:$O,"&lt;&gt;Concluindo pendências") + COUNTIFS(Base!$B:$B,C$11,Base!$M:$M,"&lt;"&amp;$B153,Base!$N:$N,"",Base!$O:$O,"&lt;&gt;Finalizado",Base!$O:$O,"&lt;&gt;Congelado",Base!$O:$O,"&lt;&gt;Concluindo pendências")</f>
        <v>6</v>
      </c>
      <c r="D153" s="93">
        <f>COUNTIFS(Base!$B:$B,D$11,Base!$M:$M,"&lt;"&amp;$B153,Base!$N:$N,"&gt;="&amp;$B153,Base!$O:$O,"&lt;&gt;Finalizado",Base!$O:$O,"&lt;&gt;Congelado",Base!$O:$O,"&lt;&gt;Concluindo pendências") + COUNTIFS(Base!$B:$B,D$11,Base!$M:$M,"&lt;"&amp;$B153,Base!$N:$N,"",Base!$O:$O,"&lt;&gt;Finalizado",Base!$O:$O,"&lt;&gt;Congelado",Base!$O:$O,"&lt;&gt;Concluindo pendências")</f>
        <v>6</v>
      </c>
      <c r="E153" s="93">
        <f>COUNTIFS(Base!$B:$B,E$11,Base!$M:$M,"&lt;"&amp;$B153,Base!$N:$N,"&gt;="&amp;$B153,Base!$O:$O,"&lt;&gt;Finalizado",Base!$O:$O,"&lt;&gt;Congelado",Base!$O:$O,"&lt;&gt;Concluindo pendências") + COUNTIFS(Base!$B:$B,E$11,Base!$M:$M,"&lt;"&amp;$B153,Base!$N:$N,"",Base!$O:$O,"&lt;&gt;Finalizado",Base!$O:$O,"&lt;&gt;Congelado",Base!$O:$O,"&lt;&gt;Concluindo pendências")</f>
        <v>4</v>
      </c>
      <c r="F153" s="93">
        <f>COUNTIFS(Base!$B:$B,F$11,Base!$M:$M,"&lt;"&amp;$B153,Base!$N:$N,"&gt;="&amp;$B153,Base!$O:$O,"&lt;&gt;Finalizado",Base!$O:$O,"&lt;&gt;Congelado",Base!$O:$O,"&lt;&gt;Concluindo pendências") + COUNTIFS(Base!$B:$B,F$11,Base!$M:$M,"&lt;"&amp;$B153,Base!$N:$N,"",Base!$O:$O,"&lt;&gt;Finalizado",Base!$O:$O,"&lt;&gt;Congelado",Base!$O:$O,"&lt;&gt;Concluindo pendências")</f>
        <v>7</v>
      </c>
      <c r="H153" s="93">
        <f>COUNTIFS(Base!$B:$B,C$11,Base!$K:$K,"&lt;"&amp;$B153,Base!$N:$N,"&gt;="&amp;$B153,Base!$O:$O,"&lt;&gt;Finalizado",Base!$O:$O,"&lt;&gt;Congelado") + COUNTIFS(Base!$B:$B,C$11,Base!$K:$K,"&lt;"&amp;$B153,Base!$N:$N,"",Base!$O:$O,"&lt;&gt;Finalizado",Base!$O:$O,"&lt;&gt;Congelado")</f>
        <v>12</v>
      </c>
      <c r="I153" s="93">
        <f>COUNTIFS(Base!$B:$B,D$11,Base!$K:$K,"&lt;"&amp;$B153,Base!$N:$N,"&gt;="&amp;$B153,Base!$O:$O,"&lt;&gt;Finalizado",Base!$O:$O,"&lt;&gt;Congelado") + COUNTIFS(Base!$B:$B,D$11,Base!$K:$K,"&lt;"&amp;$B153,Base!$N:$N,"",Base!$O:$O,"&lt;&gt;Finalizado",Base!$O:$O,"&lt;&gt;Congelado")</f>
        <v>22</v>
      </c>
      <c r="J153" s="93">
        <f>COUNTIFS(Base!$B:$B,E$11,Base!$K:$K,"&lt;"&amp;$B153,Base!$N:$N,"&gt;="&amp;$B153,Base!$O:$O,"&lt;&gt;Finalizado",Base!$O:$O,"&lt;&gt;Congelado") + COUNTIFS(Base!$B:$B,E$11,Base!$K:$K,"&lt;"&amp;$B153,Base!$N:$N,"",Base!$O:$O,"&lt;&gt;Finalizado",Base!$O:$O,"&lt;&gt;Congelado")</f>
        <v>21</v>
      </c>
      <c r="K153" s="93">
        <f>COUNTIFS(Base!$B:$B,F$11,Base!$K:$K,"&lt;"&amp;$B153,Base!$N:$N,"&gt;="&amp;$B153,Base!$O:$O,"&lt;&gt;Finalizado",Base!$O:$O,"&lt;&gt;Congelado") + COUNTIFS(Base!$B:$B,F$11,Base!$K:$K,"&lt;"&amp;$B153,Base!$N:$N,"",Base!$O:$O,"&lt;&gt;Finalizado",Base!$O:$O,"&lt;&gt;Congelado")</f>
        <v>23</v>
      </c>
      <c r="M153" s="133">
        <f t="shared" ref="M153:P153" si="243">C153/H153</f>
        <v>0.5</v>
      </c>
      <c r="N153" s="133">
        <f t="shared" si="243"/>
        <v>0.2727272727</v>
      </c>
      <c r="O153" s="133">
        <f t="shared" si="243"/>
        <v>0.1904761905</v>
      </c>
      <c r="P153" s="133">
        <f t="shared" si="243"/>
        <v>0.3043478261</v>
      </c>
      <c r="Q153" s="133">
        <f t="shared" si="9"/>
        <v>0.2948717949</v>
      </c>
      <c r="S153" s="93">
        <f t="shared" ref="S153:V153" si="244">S152+C153</f>
        <v>445</v>
      </c>
      <c r="T153" s="93">
        <f t="shared" si="244"/>
        <v>748</v>
      </c>
      <c r="U153" s="93">
        <f t="shared" si="244"/>
        <v>570</v>
      </c>
      <c r="V153" s="93">
        <f t="shared" si="244"/>
        <v>606</v>
      </c>
      <c r="W153" s="93">
        <f t="shared" si="11"/>
        <v>2369</v>
      </c>
      <c r="Y153" s="133">
        <f>(COUNTIFS(Base!$B:$B,C$11,Base!$S:$S,"&gt;8",Base!$N:$N,"&lt;="&amp;$B153) - COUNTIFS(Base!$B:$B,C$11,Base!$S:$S,"&lt;7",Base!$N:$N,"&lt;="&amp;$B153) - COUNTIFS(Base!$B:$B,C$11,Base!$S:$S,"&lt;7",Base!$K:$K,"&lt;="&amp;$B153,Base!$O:$O,"Finalizado"))/(COUNTIFS(Base!$B:$B,C$11,Base!$S:$S,"&lt;&gt;",Base!$N:$N,"&lt;="&amp;$B153)+COUNTIFS(Base!$B:$B,C$11,Base!$S:$S,"&lt;7",Base!$K:$K,"&lt;="&amp;$B153,Base!$O:$O,"Finalizado"))</f>
        <v>0.7142857143</v>
      </c>
      <c r="Z153" s="133">
        <f>(COUNTIFS(Base!$B:$B,D$11,Base!$S:$S,"&gt;8",Base!$N:$N,"&lt;="&amp;$B153) - COUNTIFS(Base!$B:$B,D$11,Base!$S:$S,"&lt;7",Base!$N:$N,"&lt;="&amp;$B153) - COUNTIFS(Base!$B:$B,D$11,Base!$S:$S,"&lt;7",Base!$K:$K,"&lt;="&amp;$B153,Base!$O:$O,"Finalizado"))/(COUNTIFS(Base!$B:$B,D$11,Base!$S:$S,"&lt;&gt;",Base!$N:$N,"&lt;="&amp;$B153)+COUNTIFS(Base!$B:$B,D$11,Base!$S:$S,"&lt;7",Base!$K:$K,"&lt;="&amp;$B153,Base!$O:$O,"Finalizado"))</f>
        <v>0.7037037037</v>
      </c>
      <c r="AA153" s="133">
        <f>(COUNTIFS(Base!$B:$B,E$11,Base!$S:$S,"&gt;8",Base!$N:$N,"&lt;="&amp;$B153) - COUNTIFS(Base!$B:$B,E$11,Base!$S:$S,"&lt;7",Base!$N:$N,"&lt;="&amp;$B153) - COUNTIFS(Base!$B:$B,E$11,Base!$S:$S,"&lt;7",Base!$K:$K,"&lt;="&amp;$B153,Base!$O:$O,"Finalizado"))/(COUNTIFS(Base!$B:$B,E$11,Base!$S:$S,"&lt;&gt;",Base!$N:$N,"&lt;="&amp;$B153)+COUNTIFS(Base!$B:$B,E$11,Base!$S:$S,"&lt;7",Base!$K:$K,"&lt;="&amp;$B153,Base!$O:$O,"Finalizado"))</f>
        <v>0.6</v>
      </c>
      <c r="AB153" s="133">
        <f t="shared" si="12"/>
        <v>0.8</v>
      </c>
      <c r="AD153" s="93">
        <f>(COUNTIFS(Base!$B:$B,F$11,Base!$S:$S,"&gt;8",Base!$N:$N,"&lt;="&amp;$B153)+(COUNTIFS(Base!$B:$B,F$11,Base!$AG:$AG,"&gt;8",Base!$K:$K,"&lt;="&amp;$B153)))</f>
        <v>8</v>
      </c>
      <c r="AE153" s="93">
        <f>(COUNTIFS(Base!$B:$B,F$11,Base!$S:$S,"&lt;&gt;",Base!$N:$N,"&lt;="&amp;$B153)+(COUNTIFS(Base!$B:$B,F$11,Base!$AG:$AG,"&lt;&gt;",Base!$K:$K,"&lt;="&amp;$B153)+COUNTIFS(Base!$B:$B,F$11,Base!$S:$S,"&lt;7",Base!$K:$K,"&lt;="&amp;$B153,Base!$O:$O,"Finalizado")))</f>
        <v>10</v>
      </c>
      <c r="AF153" s="93">
        <f>COUNTIFS(Base!$B:$B,F$11,Base!$S:$S,"&lt;7",Base!$N:$N,"&lt;="&amp;$B153) +COUNTIFS(Base!$B:$B,F$11,Base!$AG:$AG,"&lt;7",Base!$K:$K,"&lt;="&amp;$B153) + COUNTIFS(Base!$B:$B,F$11,Base!$S:$S,"&lt;7",Base!$K:$K,"&lt;="&amp;$B153,Base!$O:$O,"Finalizado")</f>
        <v>0</v>
      </c>
    </row>
    <row r="154">
      <c r="B154" s="151">
        <f t="shared" si="180"/>
        <v>45409</v>
      </c>
      <c r="C154" s="93">
        <f>COUNTIFS(Base!$B:$B,C$11,Base!$M:$M,"&lt;"&amp;$B154,Base!$N:$N,"&gt;="&amp;$B154,Base!$O:$O,"&lt;&gt;Finalizado",Base!$O:$O,"&lt;&gt;Congelado",Base!$O:$O,"&lt;&gt;Concluindo pendências") + COUNTIFS(Base!$B:$B,C$11,Base!$M:$M,"&lt;"&amp;$B154,Base!$N:$N,"",Base!$O:$O,"&lt;&gt;Finalizado",Base!$O:$O,"&lt;&gt;Congelado",Base!$O:$O,"&lt;&gt;Concluindo pendências")</f>
        <v>6</v>
      </c>
      <c r="D154" s="93">
        <f>COUNTIFS(Base!$B:$B,D$11,Base!$M:$M,"&lt;"&amp;$B154,Base!$N:$N,"&gt;="&amp;$B154,Base!$O:$O,"&lt;&gt;Finalizado",Base!$O:$O,"&lt;&gt;Congelado",Base!$O:$O,"&lt;&gt;Concluindo pendências") + COUNTIFS(Base!$B:$B,D$11,Base!$M:$M,"&lt;"&amp;$B154,Base!$N:$N,"",Base!$O:$O,"&lt;&gt;Finalizado",Base!$O:$O,"&lt;&gt;Congelado",Base!$O:$O,"&lt;&gt;Concluindo pendências")</f>
        <v>5</v>
      </c>
      <c r="E154" s="93">
        <f>COUNTIFS(Base!$B:$B,E$11,Base!$M:$M,"&lt;"&amp;$B154,Base!$N:$N,"&gt;="&amp;$B154,Base!$O:$O,"&lt;&gt;Finalizado",Base!$O:$O,"&lt;&gt;Congelado",Base!$O:$O,"&lt;&gt;Concluindo pendências") + COUNTIFS(Base!$B:$B,E$11,Base!$M:$M,"&lt;"&amp;$B154,Base!$N:$N,"",Base!$O:$O,"&lt;&gt;Finalizado",Base!$O:$O,"&lt;&gt;Congelado",Base!$O:$O,"&lt;&gt;Concluindo pendências")</f>
        <v>4</v>
      </c>
      <c r="F154" s="93">
        <f>COUNTIFS(Base!$B:$B,F$11,Base!$M:$M,"&lt;"&amp;$B154,Base!$N:$N,"&gt;="&amp;$B154,Base!$O:$O,"&lt;&gt;Finalizado",Base!$O:$O,"&lt;&gt;Congelado",Base!$O:$O,"&lt;&gt;Concluindo pendências") + COUNTIFS(Base!$B:$B,F$11,Base!$M:$M,"&lt;"&amp;$B154,Base!$N:$N,"",Base!$O:$O,"&lt;&gt;Finalizado",Base!$O:$O,"&lt;&gt;Congelado",Base!$O:$O,"&lt;&gt;Concluindo pendências")</f>
        <v>7</v>
      </c>
      <c r="H154" s="93">
        <f>COUNTIFS(Base!$B:$B,C$11,Base!$K:$K,"&lt;"&amp;$B154,Base!$N:$N,"&gt;="&amp;$B154,Base!$O:$O,"&lt;&gt;Finalizado",Base!$O:$O,"&lt;&gt;Congelado") + COUNTIFS(Base!$B:$B,C$11,Base!$K:$K,"&lt;"&amp;$B154,Base!$N:$N,"",Base!$O:$O,"&lt;&gt;Finalizado",Base!$O:$O,"&lt;&gt;Congelado")</f>
        <v>12</v>
      </c>
      <c r="I154" s="93">
        <f>COUNTIFS(Base!$B:$B,D$11,Base!$K:$K,"&lt;"&amp;$B154,Base!$N:$N,"&gt;="&amp;$B154,Base!$O:$O,"&lt;&gt;Finalizado",Base!$O:$O,"&lt;&gt;Congelado") + COUNTIFS(Base!$B:$B,D$11,Base!$K:$K,"&lt;"&amp;$B154,Base!$N:$N,"",Base!$O:$O,"&lt;&gt;Finalizado",Base!$O:$O,"&lt;&gt;Congelado")</f>
        <v>22</v>
      </c>
      <c r="J154" s="93">
        <f>COUNTIFS(Base!$B:$B,E$11,Base!$K:$K,"&lt;"&amp;$B154,Base!$N:$N,"&gt;="&amp;$B154,Base!$O:$O,"&lt;&gt;Finalizado",Base!$O:$O,"&lt;&gt;Congelado") + COUNTIFS(Base!$B:$B,E$11,Base!$K:$K,"&lt;"&amp;$B154,Base!$N:$N,"",Base!$O:$O,"&lt;&gt;Finalizado",Base!$O:$O,"&lt;&gt;Congelado")</f>
        <v>21</v>
      </c>
      <c r="K154" s="93">
        <f>COUNTIFS(Base!$B:$B,F$11,Base!$K:$K,"&lt;"&amp;$B154,Base!$N:$N,"&gt;="&amp;$B154,Base!$O:$O,"&lt;&gt;Finalizado",Base!$O:$O,"&lt;&gt;Congelado") + COUNTIFS(Base!$B:$B,F$11,Base!$K:$K,"&lt;"&amp;$B154,Base!$N:$N,"",Base!$O:$O,"&lt;&gt;Finalizado",Base!$O:$O,"&lt;&gt;Congelado")</f>
        <v>23</v>
      </c>
      <c r="M154" s="133">
        <f t="shared" ref="M154:P154" si="245">C154/H154</f>
        <v>0.5</v>
      </c>
      <c r="N154" s="133">
        <f t="shared" si="245"/>
        <v>0.2272727273</v>
      </c>
      <c r="O154" s="133">
        <f t="shared" si="245"/>
        <v>0.1904761905</v>
      </c>
      <c r="P154" s="133">
        <f t="shared" si="245"/>
        <v>0.3043478261</v>
      </c>
      <c r="Q154" s="133">
        <f t="shared" si="9"/>
        <v>0.2820512821</v>
      </c>
      <c r="S154" s="93">
        <f t="shared" ref="S154:V154" si="246">S153+C154</f>
        <v>451</v>
      </c>
      <c r="T154" s="93">
        <f t="shared" si="246"/>
        <v>753</v>
      </c>
      <c r="U154" s="93">
        <f t="shared" si="246"/>
        <v>574</v>
      </c>
      <c r="V154" s="93">
        <f t="shared" si="246"/>
        <v>613</v>
      </c>
      <c r="W154" s="93">
        <f t="shared" si="11"/>
        <v>2391</v>
      </c>
      <c r="Y154" s="133">
        <f>(COUNTIFS(Base!$B:$B,C$11,Base!$S:$S,"&gt;8",Base!$N:$N,"&lt;="&amp;$B154) - COUNTIFS(Base!$B:$B,C$11,Base!$S:$S,"&lt;7",Base!$N:$N,"&lt;="&amp;$B154) - COUNTIFS(Base!$B:$B,C$11,Base!$S:$S,"&lt;7",Base!$K:$K,"&lt;="&amp;$B154,Base!$O:$O,"Finalizado"))/(COUNTIFS(Base!$B:$B,C$11,Base!$S:$S,"&lt;&gt;",Base!$N:$N,"&lt;="&amp;$B154)+COUNTIFS(Base!$B:$B,C$11,Base!$S:$S,"&lt;7",Base!$K:$K,"&lt;="&amp;$B154,Base!$O:$O,"Finalizado"))</f>
        <v>0.7142857143</v>
      </c>
      <c r="Z154" s="133">
        <f>(COUNTIFS(Base!$B:$B,D$11,Base!$S:$S,"&gt;8",Base!$N:$N,"&lt;="&amp;$B154) - COUNTIFS(Base!$B:$B,D$11,Base!$S:$S,"&lt;7",Base!$N:$N,"&lt;="&amp;$B154) - COUNTIFS(Base!$B:$B,D$11,Base!$S:$S,"&lt;7",Base!$K:$K,"&lt;="&amp;$B154,Base!$O:$O,"Finalizado"))/(COUNTIFS(Base!$B:$B,D$11,Base!$S:$S,"&lt;&gt;",Base!$N:$N,"&lt;="&amp;$B154)+COUNTIFS(Base!$B:$B,D$11,Base!$S:$S,"&lt;7",Base!$K:$K,"&lt;="&amp;$B154,Base!$O:$O,"Finalizado"))</f>
        <v>0.7037037037</v>
      </c>
      <c r="AA154" s="133">
        <f>(COUNTIFS(Base!$B:$B,E$11,Base!$S:$S,"&gt;8",Base!$N:$N,"&lt;="&amp;$B154) - COUNTIFS(Base!$B:$B,E$11,Base!$S:$S,"&lt;7",Base!$N:$N,"&lt;="&amp;$B154) - COUNTIFS(Base!$B:$B,E$11,Base!$S:$S,"&lt;7",Base!$K:$K,"&lt;="&amp;$B154,Base!$O:$O,"Finalizado"))/(COUNTIFS(Base!$B:$B,E$11,Base!$S:$S,"&lt;&gt;",Base!$N:$N,"&lt;="&amp;$B154)+COUNTIFS(Base!$B:$B,E$11,Base!$S:$S,"&lt;7",Base!$K:$K,"&lt;="&amp;$B154,Base!$O:$O,"Finalizado"))</f>
        <v>0.6</v>
      </c>
      <c r="AB154" s="133">
        <f t="shared" si="12"/>
        <v>0.8</v>
      </c>
      <c r="AD154" s="93">
        <f>(COUNTIFS(Base!$B:$B,F$11,Base!$S:$S,"&gt;8",Base!$N:$N,"&lt;="&amp;$B154)+(COUNTIFS(Base!$B:$B,F$11,Base!$AG:$AG,"&gt;8",Base!$K:$K,"&lt;="&amp;$B154)))</f>
        <v>8</v>
      </c>
      <c r="AE154" s="93">
        <f>(COUNTIFS(Base!$B:$B,F$11,Base!$S:$S,"&lt;&gt;",Base!$N:$N,"&lt;="&amp;$B154)+(COUNTIFS(Base!$B:$B,F$11,Base!$AG:$AG,"&lt;&gt;",Base!$K:$K,"&lt;="&amp;$B154)+COUNTIFS(Base!$B:$B,F$11,Base!$S:$S,"&lt;7",Base!$K:$K,"&lt;="&amp;$B154,Base!$O:$O,"Finalizado")))</f>
        <v>10</v>
      </c>
      <c r="AF154" s="93">
        <f>COUNTIFS(Base!$B:$B,F$11,Base!$S:$S,"&lt;7",Base!$N:$N,"&lt;="&amp;$B154) +COUNTIFS(Base!$B:$B,F$11,Base!$AG:$AG,"&lt;7",Base!$K:$K,"&lt;="&amp;$B154) + COUNTIFS(Base!$B:$B,F$11,Base!$S:$S,"&lt;7",Base!$K:$K,"&lt;="&amp;$B154,Base!$O:$O,"Finalizado")</f>
        <v>0</v>
      </c>
    </row>
    <row r="155">
      <c r="B155" s="151">
        <f t="shared" si="180"/>
        <v>45410</v>
      </c>
      <c r="C155" s="93">
        <f>COUNTIFS(Base!$B:$B,C$11,Base!$M:$M,"&lt;"&amp;$B155,Base!$N:$N,"&gt;="&amp;$B155,Base!$O:$O,"&lt;&gt;Finalizado",Base!$O:$O,"&lt;&gt;Congelado",Base!$O:$O,"&lt;&gt;Concluindo pendências") + COUNTIFS(Base!$B:$B,C$11,Base!$M:$M,"&lt;"&amp;$B155,Base!$N:$N,"",Base!$O:$O,"&lt;&gt;Finalizado",Base!$O:$O,"&lt;&gt;Congelado",Base!$O:$O,"&lt;&gt;Concluindo pendências")</f>
        <v>6</v>
      </c>
      <c r="D155" s="93">
        <f>COUNTIFS(Base!$B:$B,D$11,Base!$M:$M,"&lt;"&amp;$B155,Base!$N:$N,"&gt;="&amp;$B155,Base!$O:$O,"&lt;&gt;Finalizado",Base!$O:$O,"&lt;&gt;Congelado",Base!$O:$O,"&lt;&gt;Concluindo pendências") + COUNTIFS(Base!$B:$B,D$11,Base!$M:$M,"&lt;"&amp;$B155,Base!$N:$N,"",Base!$O:$O,"&lt;&gt;Finalizado",Base!$O:$O,"&lt;&gt;Congelado",Base!$O:$O,"&lt;&gt;Concluindo pendências")</f>
        <v>5</v>
      </c>
      <c r="E155" s="93">
        <f>COUNTIFS(Base!$B:$B,E$11,Base!$M:$M,"&lt;"&amp;$B155,Base!$N:$N,"&gt;="&amp;$B155,Base!$O:$O,"&lt;&gt;Finalizado",Base!$O:$O,"&lt;&gt;Congelado",Base!$O:$O,"&lt;&gt;Concluindo pendências") + COUNTIFS(Base!$B:$B,E$11,Base!$M:$M,"&lt;"&amp;$B155,Base!$N:$N,"",Base!$O:$O,"&lt;&gt;Finalizado",Base!$O:$O,"&lt;&gt;Congelado",Base!$O:$O,"&lt;&gt;Concluindo pendências")</f>
        <v>4</v>
      </c>
      <c r="F155" s="93">
        <f>COUNTIFS(Base!$B:$B,F$11,Base!$M:$M,"&lt;"&amp;$B155,Base!$N:$N,"&gt;="&amp;$B155,Base!$O:$O,"&lt;&gt;Finalizado",Base!$O:$O,"&lt;&gt;Congelado",Base!$O:$O,"&lt;&gt;Concluindo pendências") + COUNTIFS(Base!$B:$B,F$11,Base!$M:$M,"&lt;"&amp;$B155,Base!$N:$N,"",Base!$O:$O,"&lt;&gt;Finalizado",Base!$O:$O,"&lt;&gt;Congelado",Base!$O:$O,"&lt;&gt;Concluindo pendências")</f>
        <v>7</v>
      </c>
      <c r="H155" s="93">
        <f>COUNTIFS(Base!$B:$B,C$11,Base!$K:$K,"&lt;"&amp;$B155,Base!$N:$N,"&gt;="&amp;$B155,Base!$O:$O,"&lt;&gt;Finalizado",Base!$O:$O,"&lt;&gt;Congelado") + COUNTIFS(Base!$B:$B,C$11,Base!$K:$K,"&lt;"&amp;$B155,Base!$N:$N,"",Base!$O:$O,"&lt;&gt;Finalizado",Base!$O:$O,"&lt;&gt;Congelado")</f>
        <v>12</v>
      </c>
      <c r="I155" s="93">
        <f>COUNTIFS(Base!$B:$B,D$11,Base!$K:$K,"&lt;"&amp;$B155,Base!$N:$N,"&gt;="&amp;$B155,Base!$O:$O,"&lt;&gt;Finalizado",Base!$O:$O,"&lt;&gt;Congelado") + COUNTIFS(Base!$B:$B,D$11,Base!$K:$K,"&lt;"&amp;$B155,Base!$N:$N,"",Base!$O:$O,"&lt;&gt;Finalizado",Base!$O:$O,"&lt;&gt;Congelado")</f>
        <v>22</v>
      </c>
      <c r="J155" s="93">
        <f>COUNTIFS(Base!$B:$B,E$11,Base!$K:$K,"&lt;"&amp;$B155,Base!$N:$N,"&gt;="&amp;$B155,Base!$O:$O,"&lt;&gt;Finalizado",Base!$O:$O,"&lt;&gt;Congelado") + COUNTIFS(Base!$B:$B,E$11,Base!$K:$K,"&lt;"&amp;$B155,Base!$N:$N,"",Base!$O:$O,"&lt;&gt;Finalizado",Base!$O:$O,"&lt;&gt;Congelado")</f>
        <v>21</v>
      </c>
      <c r="K155" s="93">
        <f>COUNTIFS(Base!$B:$B,F$11,Base!$K:$K,"&lt;"&amp;$B155,Base!$N:$N,"&gt;="&amp;$B155,Base!$O:$O,"&lt;&gt;Finalizado",Base!$O:$O,"&lt;&gt;Congelado") + COUNTIFS(Base!$B:$B,F$11,Base!$K:$K,"&lt;"&amp;$B155,Base!$N:$N,"",Base!$O:$O,"&lt;&gt;Finalizado",Base!$O:$O,"&lt;&gt;Congelado")</f>
        <v>23</v>
      </c>
      <c r="M155" s="133">
        <f t="shared" ref="M155:P155" si="247">C155/H155</f>
        <v>0.5</v>
      </c>
      <c r="N155" s="133">
        <f t="shared" si="247"/>
        <v>0.2272727273</v>
      </c>
      <c r="O155" s="133">
        <f t="shared" si="247"/>
        <v>0.1904761905</v>
      </c>
      <c r="P155" s="133">
        <f t="shared" si="247"/>
        <v>0.3043478261</v>
      </c>
      <c r="Q155" s="133">
        <f t="shared" si="9"/>
        <v>0.2820512821</v>
      </c>
      <c r="S155" s="93">
        <f t="shared" ref="S155:V155" si="248">S154+C155</f>
        <v>457</v>
      </c>
      <c r="T155" s="93">
        <f t="shared" si="248"/>
        <v>758</v>
      </c>
      <c r="U155" s="93">
        <f t="shared" si="248"/>
        <v>578</v>
      </c>
      <c r="V155" s="93">
        <f t="shared" si="248"/>
        <v>620</v>
      </c>
      <c r="W155" s="93">
        <f t="shared" si="11"/>
        <v>2413</v>
      </c>
      <c r="Y155" s="133">
        <f>(COUNTIFS(Base!$B:$B,C$11,Base!$S:$S,"&gt;8",Base!$N:$N,"&lt;="&amp;$B155) - COUNTIFS(Base!$B:$B,C$11,Base!$S:$S,"&lt;7",Base!$N:$N,"&lt;="&amp;$B155) - COUNTIFS(Base!$B:$B,C$11,Base!$S:$S,"&lt;7",Base!$K:$K,"&lt;="&amp;$B155,Base!$O:$O,"Finalizado"))/(COUNTIFS(Base!$B:$B,C$11,Base!$S:$S,"&lt;&gt;",Base!$N:$N,"&lt;="&amp;$B155)+COUNTIFS(Base!$B:$B,C$11,Base!$S:$S,"&lt;7",Base!$K:$K,"&lt;="&amp;$B155,Base!$O:$O,"Finalizado"))</f>
        <v>0.7142857143</v>
      </c>
      <c r="Z155" s="133">
        <f>(COUNTIFS(Base!$B:$B,D$11,Base!$S:$S,"&gt;8",Base!$N:$N,"&lt;="&amp;$B155) - COUNTIFS(Base!$B:$B,D$11,Base!$S:$S,"&lt;7",Base!$N:$N,"&lt;="&amp;$B155) - COUNTIFS(Base!$B:$B,D$11,Base!$S:$S,"&lt;7",Base!$K:$K,"&lt;="&amp;$B155,Base!$O:$O,"Finalizado"))/(COUNTIFS(Base!$B:$B,D$11,Base!$S:$S,"&lt;&gt;",Base!$N:$N,"&lt;="&amp;$B155)+COUNTIFS(Base!$B:$B,D$11,Base!$S:$S,"&lt;7",Base!$K:$K,"&lt;="&amp;$B155,Base!$O:$O,"Finalizado"))</f>
        <v>0.7037037037</v>
      </c>
      <c r="AA155" s="133">
        <f>(COUNTIFS(Base!$B:$B,E$11,Base!$S:$S,"&gt;8",Base!$N:$N,"&lt;="&amp;$B155) - COUNTIFS(Base!$B:$B,E$11,Base!$S:$S,"&lt;7",Base!$N:$N,"&lt;="&amp;$B155) - COUNTIFS(Base!$B:$B,E$11,Base!$S:$S,"&lt;7",Base!$K:$K,"&lt;="&amp;$B155,Base!$O:$O,"Finalizado"))/(COUNTIFS(Base!$B:$B,E$11,Base!$S:$S,"&lt;&gt;",Base!$N:$N,"&lt;="&amp;$B155)+COUNTIFS(Base!$B:$B,E$11,Base!$S:$S,"&lt;7",Base!$K:$K,"&lt;="&amp;$B155,Base!$O:$O,"Finalizado"))</f>
        <v>0.6</v>
      </c>
      <c r="AB155" s="133">
        <f t="shared" si="12"/>
        <v>0.8</v>
      </c>
      <c r="AD155" s="93">
        <f>(COUNTIFS(Base!$B:$B,F$11,Base!$S:$S,"&gt;8",Base!$N:$N,"&lt;="&amp;$B155)+(COUNTIFS(Base!$B:$B,F$11,Base!$AG:$AG,"&gt;8",Base!$K:$K,"&lt;="&amp;$B155)))</f>
        <v>8</v>
      </c>
      <c r="AE155" s="93">
        <f>(COUNTIFS(Base!$B:$B,F$11,Base!$S:$S,"&lt;&gt;",Base!$N:$N,"&lt;="&amp;$B155)+(COUNTIFS(Base!$B:$B,F$11,Base!$AG:$AG,"&lt;&gt;",Base!$K:$K,"&lt;="&amp;$B155)+COUNTIFS(Base!$B:$B,F$11,Base!$S:$S,"&lt;7",Base!$K:$K,"&lt;="&amp;$B155,Base!$O:$O,"Finalizado")))</f>
        <v>10</v>
      </c>
      <c r="AF155" s="93">
        <f>COUNTIFS(Base!$B:$B,F$11,Base!$S:$S,"&lt;7",Base!$N:$N,"&lt;="&amp;$B155) +COUNTIFS(Base!$B:$B,F$11,Base!$AG:$AG,"&lt;7",Base!$K:$K,"&lt;="&amp;$B155) + COUNTIFS(Base!$B:$B,F$11,Base!$S:$S,"&lt;7",Base!$K:$K,"&lt;="&amp;$B155,Base!$O:$O,"Finalizado")</f>
        <v>0</v>
      </c>
    </row>
    <row r="156">
      <c r="B156" s="151">
        <f t="shared" si="180"/>
        <v>45411</v>
      </c>
      <c r="C156" s="93">
        <f>COUNTIFS(Base!$B:$B,C$11,Base!$M:$M,"&lt;"&amp;$B156,Base!$N:$N,"&gt;="&amp;$B156,Base!$O:$O,"&lt;&gt;Finalizado",Base!$O:$O,"&lt;&gt;Congelado",Base!$O:$O,"&lt;&gt;Concluindo pendências") + COUNTIFS(Base!$B:$B,C$11,Base!$M:$M,"&lt;"&amp;$B156,Base!$N:$N,"",Base!$O:$O,"&lt;&gt;Finalizado",Base!$O:$O,"&lt;&gt;Congelado",Base!$O:$O,"&lt;&gt;Concluindo pendências")</f>
        <v>6</v>
      </c>
      <c r="D156" s="93">
        <f>COUNTIFS(Base!$B:$B,D$11,Base!$M:$M,"&lt;"&amp;$B156,Base!$N:$N,"&gt;="&amp;$B156,Base!$O:$O,"&lt;&gt;Finalizado",Base!$O:$O,"&lt;&gt;Congelado",Base!$O:$O,"&lt;&gt;Concluindo pendências") + COUNTIFS(Base!$B:$B,D$11,Base!$M:$M,"&lt;"&amp;$B156,Base!$N:$N,"",Base!$O:$O,"&lt;&gt;Finalizado",Base!$O:$O,"&lt;&gt;Congelado",Base!$O:$O,"&lt;&gt;Concluindo pendências")</f>
        <v>5</v>
      </c>
      <c r="E156" s="93">
        <f>COUNTIFS(Base!$B:$B,E$11,Base!$M:$M,"&lt;"&amp;$B156,Base!$N:$N,"&gt;="&amp;$B156,Base!$O:$O,"&lt;&gt;Finalizado",Base!$O:$O,"&lt;&gt;Congelado",Base!$O:$O,"&lt;&gt;Concluindo pendências") + COUNTIFS(Base!$B:$B,E$11,Base!$M:$M,"&lt;"&amp;$B156,Base!$N:$N,"",Base!$O:$O,"&lt;&gt;Finalizado",Base!$O:$O,"&lt;&gt;Congelado",Base!$O:$O,"&lt;&gt;Concluindo pendências")</f>
        <v>4</v>
      </c>
      <c r="F156" s="93">
        <f>COUNTIFS(Base!$B:$B,F$11,Base!$M:$M,"&lt;"&amp;$B156,Base!$N:$N,"&gt;="&amp;$B156,Base!$O:$O,"&lt;&gt;Finalizado",Base!$O:$O,"&lt;&gt;Congelado",Base!$O:$O,"&lt;&gt;Concluindo pendências") + COUNTIFS(Base!$B:$B,F$11,Base!$M:$M,"&lt;"&amp;$B156,Base!$N:$N,"",Base!$O:$O,"&lt;&gt;Finalizado",Base!$O:$O,"&lt;&gt;Congelado",Base!$O:$O,"&lt;&gt;Concluindo pendências")</f>
        <v>7</v>
      </c>
      <c r="H156" s="93">
        <f>COUNTIFS(Base!$B:$B,C$11,Base!$K:$K,"&lt;"&amp;$B156,Base!$N:$N,"&gt;="&amp;$B156,Base!$O:$O,"&lt;&gt;Finalizado",Base!$O:$O,"&lt;&gt;Congelado") + COUNTIFS(Base!$B:$B,C$11,Base!$K:$K,"&lt;"&amp;$B156,Base!$N:$N,"",Base!$O:$O,"&lt;&gt;Finalizado",Base!$O:$O,"&lt;&gt;Congelado")</f>
        <v>12</v>
      </c>
      <c r="I156" s="93">
        <f>COUNTIFS(Base!$B:$B,D$11,Base!$K:$K,"&lt;"&amp;$B156,Base!$N:$N,"&gt;="&amp;$B156,Base!$O:$O,"&lt;&gt;Finalizado",Base!$O:$O,"&lt;&gt;Congelado") + COUNTIFS(Base!$B:$B,D$11,Base!$K:$K,"&lt;"&amp;$B156,Base!$N:$N,"",Base!$O:$O,"&lt;&gt;Finalizado",Base!$O:$O,"&lt;&gt;Congelado")</f>
        <v>22</v>
      </c>
      <c r="J156" s="93">
        <f>COUNTIFS(Base!$B:$B,E$11,Base!$K:$K,"&lt;"&amp;$B156,Base!$N:$N,"&gt;="&amp;$B156,Base!$O:$O,"&lt;&gt;Finalizado",Base!$O:$O,"&lt;&gt;Congelado") + COUNTIFS(Base!$B:$B,E$11,Base!$K:$K,"&lt;"&amp;$B156,Base!$N:$N,"",Base!$O:$O,"&lt;&gt;Finalizado",Base!$O:$O,"&lt;&gt;Congelado")</f>
        <v>21</v>
      </c>
      <c r="K156" s="93">
        <f>COUNTIFS(Base!$B:$B,F$11,Base!$K:$K,"&lt;"&amp;$B156,Base!$N:$N,"&gt;="&amp;$B156,Base!$O:$O,"&lt;&gt;Finalizado",Base!$O:$O,"&lt;&gt;Congelado") + COUNTIFS(Base!$B:$B,F$11,Base!$K:$K,"&lt;"&amp;$B156,Base!$N:$N,"",Base!$O:$O,"&lt;&gt;Finalizado",Base!$O:$O,"&lt;&gt;Congelado")</f>
        <v>23</v>
      </c>
      <c r="M156" s="133">
        <f t="shared" ref="M156:P156" si="249">C156/H156</f>
        <v>0.5</v>
      </c>
      <c r="N156" s="133">
        <f t="shared" si="249"/>
        <v>0.2272727273</v>
      </c>
      <c r="O156" s="133">
        <f t="shared" si="249"/>
        <v>0.1904761905</v>
      </c>
      <c r="P156" s="133">
        <f t="shared" si="249"/>
        <v>0.3043478261</v>
      </c>
      <c r="Q156" s="133">
        <f t="shared" si="9"/>
        <v>0.2820512821</v>
      </c>
      <c r="S156" s="93">
        <f t="shared" ref="S156:V156" si="250">S155+C156</f>
        <v>463</v>
      </c>
      <c r="T156" s="93">
        <f t="shared" si="250"/>
        <v>763</v>
      </c>
      <c r="U156" s="93">
        <f t="shared" si="250"/>
        <v>582</v>
      </c>
      <c r="V156" s="93">
        <f t="shared" si="250"/>
        <v>627</v>
      </c>
      <c r="W156" s="93">
        <f t="shared" si="11"/>
        <v>2435</v>
      </c>
      <c r="Y156" s="133">
        <f>(COUNTIFS(Base!$B:$B,C$11,Base!$S:$S,"&gt;8",Base!$N:$N,"&lt;="&amp;$B156) - COUNTIFS(Base!$B:$B,C$11,Base!$S:$S,"&lt;7",Base!$N:$N,"&lt;="&amp;$B156) - COUNTIFS(Base!$B:$B,C$11,Base!$S:$S,"&lt;7",Base!$K:$K,"&lt;="&amp;$B156,Base!$O:$O,"Finalizado"))/(COUNTIFS(Base!$B:$B,C$11,Base!$S:$S,"&lt;&gt;",Base!$N:$N,"&lt;="&amp;$B156)+COUNTIFS(Base!$B:$B,C$11,Base!$S:$S,"&lt;7",Base!$K:$K,"&lt;="&amp;$B156,Base!$O:$O,"Finalizado"))</f>
        <v>0.7142857143</v>
      </c>
      <c r="Z156" s="133">
        <f>(COUNTIFS(Base!$B:$B,D$11,Base!$S:$S,"&gt;8",Base!$N:$N,"&lt;="&amp;$B156) - COUNTIFS(Base!$B:$B,D$11,Base!$S:$S,"&lt;7",Base!$N:$N,"&lt;="&amp;$B156) - COUNTIFS(Base!$B:$B,D$11,Base!$S:$S,"&lt;7",Base!$K:$K,"&lt;="&amp;$B156,Base!$O:$O,"Finalizado"))/(COUNTIFS(Base!$B:$B,D$11,Base!$S:$S,"&lt;&gt;",Base!$N:$N,"&lt;="&amp;$B156)+COUNTIFS(Base!$B:$B,D$11,Base!$S:$S,"&lt;7",Base!$K:$K,"&lt;="&amp;$B156,Base!$O:$O,"Finalizado"))</f>
        <v>0.7142857143</v>
      </c>
      <c r="AA156" s="133">
        <f>(COUNTIFS(Base!$B:$B,E$11,Base!$S:$S,"&gt;8",Base!$N:$N,"&lt;="&amp;$B156) - COUNTIFS(Base!$B:$B,E$11,Base!$S:$S,"&lt;7",Base!$N:$N,"&lt;="&amp;$B156) - COUNTIFS(Base!$B:$B,E$11,Base!$S:$S,"&lt;7",Base!$K:$K,"&lt;="&amp;$B156,Base!$O:$O,"Finalizado"))/(COUNTIFS(Base!$B:$B,E$11,Base!$S:$S,"&lt;&gt;",Base!$N:$N,"&lt;="&amp;$B156)+COUNTIFS(Base!$B:$B,E$11,Base!$S:$S,"&lt;7",Base!$K:$K,"&lt;="&amp;$B156,Base!$O:$O,"Finalizado"))</f>
        <v>0.5625</v>
      </c>
      <c r="AB156" s="133">
        <f t="shared" si="12"/>
        <v>0.8</v>
      </c>
      <c r="AD156" s="93">
        <f>(COUNTIFS(Base!$B:$B,F$11,Base!$S:$S,"&gt;8",Base!$N:$N,"&lt;="&amp;$B156)+(COUNTIFS(Base!$B:$B,F$11,Base!$AG:$AG,"&gt;8",Base!$K:$K,"&lt;="&amp;$B156)))</f>
        <v>8</v>
      </c>
      <c r="AE156" s="93">
        <f>(COUNTIFS(Base!$B:$B,F$11,Base!$S:$S,"&lt;&gt;",Base!$N:$N,"&lt;="&amp;$B156)+(COUNTIFS(Base!$B:$B,F$11,Base!$AG:$AG,"&lt;&gt;",Base!$K:$K,"&lt;="&amp;$B156)+COUNTIFS(Base!$B:$B,F$11,Base!$S:$S,"&lt;7",Base!$K:$K,"&lt;="&amp;$B156,Base!$O:$O,"Finalizado")))</f>
        <v>10</v>
      </c>
      <c r="AF156" s="93">
        <f>COUNTIFS(Base!$B:$B,F$11,Base!$S:$S,"&lt;7",Base!$N:$N,"&lt;="&amp;$B156) +COUNTIFS(Base!$B:$B,F$11,Base!$AG:$AG,"&lt;7",Base!$K:$K,"&lt;="&amp;$B156) + COUNTIFS(Base!$B:$B,F$11,Base!$S:$S,"&lt;7",Base!$K:$K,"&lt;="&amp;$B156,Base!$O:$O,"Finalizado")</f>
        <v>0</v>
      </c>
    </row>
    <row r="157">
      <c r="B157" s="151">
        <f t="shared" si="180"/>
        <v>45412</v>
      </c>
      <c r="C157" s="93">
        <f>COUNTIFS(Base!$B:$B,C$11,Base!$M:$M,"&lt;"&amp;$B157,Base!$N:$N,"&gt;="&amp;$B157,Base!$O:$O,"&lt;&gt;Finalizado",Base!$O:$O,"&lt;&gt;Congelado",Base!$O:$O,"&lt;&gt;Concluindo pendências") + COUNTIFS(Base!$B:$B,C$11,Base!$M:$M,"&lt;"&amp;$B157,Base!$N:$N,"",Base!$O:$O,"&lt;&gt;Finalizado",Base!$O:$O,"&lt;&gt;Congelado",Base!$O:$O,"&lt;&gt;Concluindo pendências")</f>
        <v>6</v>
      </c>
      <c r="D157" s="93">
        <f>COUNTIFS(Base!$B:$B,D$11,Base!$M:$M,"&lt;"&amp;$B157,Base!$N:$N,"&gt;="&amp;$B157,Base!$O:$O,"&lt;&gt;Finalizado",Base!$O:$O,"&lt;&gt;Congelado",Base!$O:$O,"&lt;&gt;Concluindo pendências") + COUNTIFS(Base!$B:$B,D$11,Base!$M:$M,"&lt;"&amp;$B157,Base!$N:$N,"",Base!$O:$O,"&lt;&gt;Finalizado",Base!$O:$O,"&lt;&gt;Congelado",Base!$O:$O,"&lt;&gt;Concluindo pendências")</f>
        <v>5</v>
      </c>
      <c r="E157" s="93">
        <f>COUNTIFS(Base!$B:$B,E$11,Base!$M:$M,"&lt;"&amp;$B157,Base!$N:$N,"&gt;="&amp;$B157,Base!$O:$O,"&lt;&gt;Finalizado",Base!$O:$O,"&lt;&gt;Congelado",Base!$O:$O,"&lt;&gt;Concluindo pendências") + COUNTIFS(Base!$B:$B,E$11,Base!$M:$M,"&lt;"&amp;$B157,Base!$N:$N,"",Base!$O:$O,"&lt;&gt;Finalizado",Base!$O:$O,"&lt;&gt;Congelado",Base!$O:$O,"&lt;&gt;Concluindo pendências")</f>
        <v>4</v>
      </c>
      <c r="F157" s="93">
        <f>COUNTIFS(Base!$B:$B,F$11,Base!$M:$M,"&lt;"&amp;$B157,Base!$N:$N,"&gt;="&amp;$B157,Base!$O:$O,"&lt;&gt;Finalizado",Base!$O:$O,"&lt;&gt;Congelado",Base!$O:$O,"&lt;&gt;Concluindo pendências") + COUNTIFS(Base!$B:$B,F$11,Base!$M:$M,"&lt;"&amp;$B157,Base!$N:$N,"",Base!$O:$O,"&lt;&gt;Finalizado",Base!$O:$O,"&lt;&gt;Congelado",Base!$O:$O,"&lt;&gt;Concluindo pendências")</f>
        <v>7</v>
      </c>
      <c r="H157" s="93">
        <f>COUNTIFS(Base!$B:$B,C$11,Base!$K:$K,"&lt;"&amp;$B157,Base!$N:$N,"&gt;="&amp;$B157,Base!$O:$O,"&lt;&gt;Finalizado",Base!$O:$O,"&lt;&gt;Congelado") + COUNTIFS(Base!$B:$B,C$11,Base!$K:$K,"&lt;"&amp;$B157,Base!$N:$N,"",Base!$O:$O,"&lt;&gt;Finalizado",Base!$O:$O,"&lt;&gt;Congelado")</f>
        <v>12</v>
      </c>
      <c r="I157" s="93">
        <f>COUNTIFS(Base!$B:$B,D$11,Base!$K:$K,"&lt;"&amp;$B157,Base!$N:$N,"&gt;="&amp;$B157,Base!$O:$O,"&lt;&gt;Finalizado",Base!$O:$O,"&lt;&gt;Congelado") + COUNTIFS(Base!$B:$B,D$11,Base!$K:$K,"&lt;"&amp;$B157,Base!$N:$N,"",Base!$O:$O,"&lt;&gt;Finalizado",Base!$O:$O,"&lt;&gt;Congelado")</f>
        <v>20</v>
      </c>
      <c r="J157" s="93">
        <f>COUNTIFS(Base!$B:$B,E$11,Base!$K:$K,"&lt;"&amp;$B157,Base!$N:$N,"&gt;="&amp;$B157,Base!$O:$O,"&lt;&gt;Finalizado",Base!$O:$O,"&lt;&gt;Congelado") + COUNTIFS(Base!$B:$B,E$11,Base!$K:$K,"&lt;"&amp;$B157,Base!$N:$N,"",Base!$O:$O,"&lt;&gt;Finalizado",Base!$O:$O,"&lt;&gt;Congelado")</f>
        <v>20</v>
      </c>
      <c r="K157" s="93">
        <f>COUNTIFS(Base!$B:$B,F$11,Base!$K:$K,"&lt;"&amp;$B157,Base!$N:$N,"&gt;="&amp;$B157,Base!$O:$O,"&lt;&gt;Finalizado",Base!$O:$O,"&lt;&gt;Congelado") + COUNTIFS(Base!$B:$B,F$11,Base!$K:$K,"&lt;"&amp;$B157,Base!$N:$N,"",Base!$O:$O,"&lt;&gt;Finalizado",Base!$O:$O,"&lt;&gt;Congelado")</f>
        <v>23</v>
      </c>
      <c r="M157" s="133">
        <f t="shared" ref="M157:P157" si="251">C157/H157</f>
        <v>0.5</v>
      </c>
      <c r="N157" s="133">
        <f t="shared" si="251"/>
        <v>0.25</v>
      </c>
      <c r="O157" s="133">
        <f t="shared" si="251"/>
        <v>0.2</v>
      </c>
      <c r="P157" s="133">
        <f t="shared" si="251"/>
        <v>0.3043478261</v>
      </c>
      <c r="Q157" s="133">
        <f t="shared" si="9"/>
        <v>0.2933333333</v>
      </c>
      <c r="S157" s="93">
        <f t="shared" ref="S157:V157" si="252">S156+C157</f>
        <v>469</v>
      </c>
      <c r="T157" s="93">
        <f t="shared" si="252"/>
        <v>768</v>
      </c>
      <c r="U157" s="93">
        <f t="shared" si="252"/>
        <v>586</v>
      </c>
      <c r="V157" s="93">
        <f t="shared" si="252"/>
        <v>634</v>
      </c>
      <c r="W157" s="93">
        <f t="shared" si="11"/>
        <v>2457</v>
      </c>
      <c r="Y157" s="133">
        <f>(COUNTIFS(Base!$B:$B,C$11,Base!$S:$S,"&gt;8",Base!$N:$N,"&lt;="&amp;$B157) - COUNTIFS(Base!$B:$B,C$11,Base!$S:$S,"&lt;7",Base!$N:$N,"&lt;="&amp;$B157) - COUNTIFS(Base!$B:$B,C$11,Base!$S:$S,"&lt;7",Base!$K:$K,"&lt;="&amp;$B157,Base!$O:$O,"Finalizado"))/(COUNTIFS(Base!$B:$B,C$11,Base!$S:$S,"&lt;&gt;",Base!$N:$N,"&lt;="&amp;$B157)+COUNTIFS(Base!$B:$B,C$11,Base!$S:$S,"&lt;7",Base!$K:$K,"&lt;="&amp;$B157,Base!$O:$O,"Finalizado"))</f>
        <v>0.7142857143</v>
      </c>
      <c r="Z157" s="133">
        <f>(COUNTIFS(Base!$B:$B,D$11,Base!$S:$S,"&gt;8",Base!$N:$N,"&lt;="&amp;$B157) - COUNTIFS(Base!$B:$B,D$11,Base!$S:$S,"&lt;7",Base!$N:$N,"&lt;="&amp;$B157) - COUNTIFS(Base!$B:$B,D$11,Base!$S:$S,"&lt;7",Base!$K:$K,"&lt;="&amp;$B157,Base!$O:$O,"Finalizado"))/(COUNTIFS(Base!$B:$B,D$11,Base!$S:$S,"&lt;&gt;",Base!$N:$N,"&lt;="&amp;$B157)+COUNTIFS(Base!$B:$B,D$11,Base!$S:$S,"&lt;7",Base!$K:$K,"&lt;="&amp;$B157,Base!$O:$O,"Finalizado"))</f>
        <v>0.7142857143</v>
      </c>
      <c r="AA157" s="133">
        <f>(COUNTIFS(Base!$B:$B,E$11,Base!$S:$S,"&gt;8",Base!$N:$N,"&lt;="&amp;$B157) - COUNTIFS(Base!$B:$B,E$11,Base!$S:$S,"&lt;7",Base!$N:$N,"&lt;="&amp;$B157) - COUNTIFS(Base!$B:$B,E$11,Base!$S:$S,"&lt;7",Base!$K:$K,"&lt;="&amp;$B157,Base!$O:$O,"Finalizado"))/(COUNTIFS(Base!$B:$B,E$11,Base!$S:$S,"&lt;&gt;",Base!$N:$N,"&lt;="&amp;$B157)+COUNTIFS(Base!$B:$B,E$11,Base!$S:$S,"&lt;7",Base!$K:$K,"&lt;="&amp;$B157,Base!$O:$O,"Finalizado"))</f>
        <v>0.5625</v>
      </c>
      <c r="AB157" s="133">
        <f t="shared" si="12"/>
        <v>0.8</v>
      </c>
      <c r="AD157" s="93">
        <f>(COUNTIFS(Base!$B:$B,F$11,Base!$S:$S,"&gt;8",Base!$N:$N,"&lt;="&amp;$B157)+(COUNTIFS(Base!$B:$B,F$11,Base!$AG:$AG,"&gt;8",Base!$K:$K,"&lt;="&amp;$B157)))</f>
        <v>8</v>
      </c>
      <c r="AE157" s="93">
        <f>(COUNTIFS(Base!$B:$B,F$11,Base!$S:$S,"&lt;&gt;",Base!$N:$N,"&lt;="&amp;$B157)+(COUNTIFS(Base!$B:$B,F$11,Base!$AG:$AG,"&lt;&gt;",Base!$K:$K,"&lt;="&amp;$B157)+COUNTIFS(Base!$B:$B,F$11,Base!$S:$S,"&lt;7",Base!$K:$K,"&lt;="&amp;$B157,Base!$O:$O,"Finalizado")))</f>
        <v>10</v>
      </c>
      <c r="AF157" s="93">
        <f>COUNTIFS(Base!$B:$B,F$11,Base!$S:$S,"&lt;7",Base!$N:$N,"&lt;="&amp;$B157) +COUNTIFS(Base!$B:$B,F$11,Base!$AG:$AG,"&lt;7",Base!$K:$K,"&lt;="&amp;$B157) + COUNTIFS(Base!$B:$B,F$11,Base!$S:$S,"&lt;7",Base!$K:$K,"&lt;="&amp;$B157,Base!$O:$O,"Finalizado")</f>
        <v>0</v>
      </c>
    </row>
    <row r="158">
      <c r="B158" s="151">
        <f t="shared" si="180"/>
        <v>45413</v>
      </c>
      <c r="C158" s="93">
        <f>COUNTIFS(Base!$B:$B,C$11,Base!$M:$M,"&lt;"&amp;$B158,Base!$N:$N,"&gt;="&amp;$B158,Base!$O:$O,"&lt;&gt;Finalizado",Base!$O:$O,"&lt;&gt;Congelado",Base!$O:$O,"&lt;&gt;Concluindo pendências") + COUNTIFS(Base!$B:$B,C$11,Base!$M:$M,"&lt;"&amp;$B158,Base!$N:$N,"",Base!$O:$O,"&lt;&gt;Finalizado",Base!$O:$O,"&lt;&gt;Congelado",Base!$O:$O,"&lt;&gt;Concluindo pendências")</f>
        <v>7</v>
      </c>
      <c r="D158" s="93">
        <f>COUNTIFS(Base!$B:$B,D$11,Base!$M:$M,"&lt;"&amp;$B158,Base!$N:$N,"&gt;="&amp;$B158,Base!$O:$O,"&lt;&gt;Finalizado",Base!$O:$O,"&lt;&gt;Congelado",Base!$O:$O,"&lt;&gt;Concluindo pendências") + COUNTIFS(Base!$B:$B,D$11,Base!$M:$M,"&lt;"&amp;$B158,Base!$N:$N,"",Base!$O:$O,"&lt;&gt;Finalizado",Base!$O:$O,"&lt;&gt;Congelado",Base!$O:$O,"&lt;&gt;Concluindo pendências")</f>
        <v>5</v>
      </c>
      <c r="E158" s="93">
        <f>COUNTIFS(Base!$B:$B,E$11,Base!$M:$M,"&lt;"&amp;$B158,Base!$N:$N,"&gt;="&amp;$B158,Base!$O:$O,"&lt;&gt;Finalizado",Base!$O:$O,"&lt;&gt;Congelado",Base!$O:$O,"&lt;&gt;Concluindo pendências") + COUNTIFS(Base!$B:$B,E$11,Base!$M:$M,"&lt;"&amp;$B158,Base!$N:$N,"",Base!$O:$O,"&lt;&gt;Finalizado",Base!$O:$O,"&lt;&gt;Congelado",Base!$O:$O,"&lt;&gt;Concluindo pendências")</f>
        <v>4</v>
      </c>
      <c r="F158" s="93">
        <f>COUNTIFS(Base!$B:$B,F$11,Base!$M:$M,"&lt;"&amp;$B158,Base!$N:$N,"&gt;="&amp;$B158,Base!$O:$O,"&lt;&gt;Finalizado",Base!$O:$O,"&lt;&gt;Congelado",Base!$O:$O,"&lt;&gt;Concluindo pendências") + COUNTIFS(Base!$B:$B,F$11,Base!$M:$M,"&lt;"&amp;$B158,Base!$N:$N,"",Base!$O:$O,"&lt;&gt;Finalizado",Base!$O:$O,"&lt;&gt;Congelado",Base!$O:$O,"&lt;&gt;Concluindo pendências")</f>
        <v>7</v>
      </c>
      <c r="H158" s="93">
        <f>COUNTIFS(Base!$B:$B,C$11,Base!$K:$K,"&lt;"&amp;$B158,Base!$N:$N,"&gt;="&amp;$B158,Base!$O:$O,"&lt;&gt;Finalizado",Base!$O:$O,"&lt;&gt;Congelado") + COUNTIFS(Base!$B:$B,C$11,Base!$K:$K,"&lt;"&amp;$B158,Base!$N:$N,"",Base!$O:$O,"&lt;&gt;Finalizado",Base!$O:$O,"&lt;&gt;Congelado")</f>
        <v>12</v>
      </c>
      <c r="I158" s="93">
        <f>COUNTIFS(Base!$B:$B,D$11,Base!$K:$K,"&lt;"&amp;$B158,Base!$N:$N,"&gt;="&amp;$B158,Base!$O:$O,"&lt;&gt;Finalizado",Base!$O:$O,"&lt;&gt;Congelado") + COUNTIFS(Base!$B:$B,D$11,Base!$K:$K,"&lt;"&amp;$B158,Base!$N:$N,"",Base!$O:$O,"&lt;&gt;Finalizado",Base!$O:$O,"&lt;&gt;Congelado")</f>
        <v>20</v>
      </c>
      <c r="J158" s="93">
        <f>COUNTIFS(Base!$B:$B,E$11,Base!$K:$K,"&lt;"&amp;$B158,Base!$N:$N,"&gt;="&amp;$B158,Base!$O:$O,"&lt;&gt;Finalizado",Base!$O:$O,"&lt;&gt;Congelado") + COUNTIFS(Base!$B:$B,E$11,Base!$K:$K,"&lt;"&amp;$B158,Base!$N:$N,"",Base!$O:$O,"&lt;&gt;Finalizado",Base!$O:$O,"&lt;&gt;Congelado")</f>
        <v>20</v>
      </c>
      <c r="K158" s="93">
        <f>COUNTIFS(Base!$B:$B,F$11,Base!$K:$K,"&lt;"&amp;$B158,Base!$N:$N,"&gt;="&amp;$B158,Base!$O:$O,"&lt;&gt;Finalizado",Base!$O:$O,"&lt;&gt;Congelado") + COUNTIFS(Base!$B:$B,F$11,Base!$K:$K,"&lt;"&amp;$B158,Base!$N:$N,"",Base!$O:$O,"&lt;&gt;Finalizado",Base!$O:$O,"&lt;&gt;Congelado")</f>
        <v>23</v>
      </c>
      <c r="M158" s="133">
        <f t="shared" ref="M158:P158" si="253">C158/H158</f>
        <v>0.5833333333</v>
      </c>
      <c r="N158" s="133">
        <f t="shared" si="253"/>
        <v>0.25</v>
      </c>
      <c r="O158" s="133">
        <f t="shared" si="253"/>
        <v>0.2</v>
      </c>
      <c r="P158" s="133">
        <f t="shared" si="253"/>
        <v>0.3043478261</v>
      </c>
      <c r="Q158" s="133">
        <f t="shared" si="9"/>
        <v>0.3066666667</v>
      </c>
      <c r="S158" s="93">
        <f t="shared" ref="S158:V158" si="254">S157+C158</f>
        <v>476</v>
      </c>
      <c r="T158" s="93">
        <f t="shared" si="254"/>
        <v>773</v>
      </c>
      <c r="U158" s="93">
        <f t="shared" si="254"/>
        <v>590</v>
      </c>
      <c r="V158" s="93">
        <f t="shared" si="254"/>
        <v>641</v>
      </c>
      <c r="W158" s="93">
        <f t="shared" si="11"/>
        <v>2480</v>
      </c>
      <c r="Y158" s="133">
        <f>(COUNTIFS(Base!$B:$B,C$11,Base!$S:$S,"&gt;8",Base!$N:$N,"&lt;="&amp;$B158) - COUNTIFS(Base!$B:$B,C$11,Base!$S:$S,"&lt;7",Base!$N:$N,"&lt;="&amp;$B158) - COUNTIFS(Base!$B:$B,C$11,Base!$S:$S,"&lt;7",Base!$K:$K,"&lt;="&amp;$B158,Base!$O:$O,"Finalizado"))/(COUNTIFS(Base!$B:$B,C$11,Base!$S:$S,"&lt;&gt;",Base!$N:$N,"&lt;="&amp;$B158)+COUNTIFS(Base!$B:$B,C$11,Base!$S:$S,"&lt;7",Base!$K:$K,"&lt;="&amp;$B158,Base!$O:$O,"Finalizado"))</f>
        <v>0.7142857143</v>
      </c>
      <c r="Z158" s="133">
        <f>(COUNTIFS(Base!$B:$B,D$11,Base!$S:$S,"&gt;8",Base!$N:$N,"&lt;="&amp;$B158) - COUNTIFS(Base!$B:$B,D$11,Base!$S:$S,"&lt;7",Base!$N:$N,"&lt;="&amp;$B158) - COUNTIFS(Base!$B:$B,D$11,Base!$S:$S,"&lt;7",Base!$K:$K,"&lt;="&amp;$B158,Base!$O:$O,"Finalizado"))/(COUNTIFS(Base!$B:$B,D$11,Base!$S:$S,"&lt;&gt;",Base!$N:$N,"&lt;="&amp;$B158)+COUNTIFS(Base!$B:$B,D$11,Base!$S:$S,"&lt;7",Base!$K:$K,"&lt;="&amp;$B158,Base!$O:$O,"Finalizado"))</f>
        <v>0.7142857143</v>
      </c>
      <c r="AA158" s="133">
        <f>(COUNTIFS(Base!$B:$B,E$11,Base!$S:$S,"&gt;8",Base!$N:$N,"&lt;="&amp;$B158) - COUNTIFS(Base!$B:$B,E$11,Base!$S:$S,"&lt;7",Base!$N:$N,"&lt;="&amp;$B158) - COUNTIFS(Base!$B:$B,E$11,Base!$S:$S,"&lt;7",Base!$K:$K,"&lt;="&amp;$B158,Base!$O:$O,"Finalizado"))/(COUNTIFS(Base!$B:$B,E$11,Base!$S:$S,"&lt;&gt;",Base!$N:$N,"&lt;="&amp;$B158)+COUNTIFS(Base!$B:$B,E$11,Base!$S:$S,"&lt;7",Base!$K:$K,"&lt;="&amp;$B158,Base!$O:$O,"Finalizado"))</f>
        <v>0.5625</v>
      </c>
      <c r="AB158" s="133">
        <f t="shared" si="12"/>
        <v>0.8</v>
      </c>
      <c r="AD158" s="93">
        <f>(COUNTIFS(Base!$B:$B,F$11,Base!$S:$S,"&gt;8",Base!$N:$N,"&lt;="&amp;$B158)+(COUNTIFS(Base!$B:$B,F$11,Base!$AG:$AG,"&gt;8",Base!$K:$K,"&lt;="&amp;$B158)))</f>
        <v>8</v>
      </c>
      <c r="AE158" s="93">
        <f>(COUNTIFS(Base!$B:$B,F$11,Base!$S:$S,"&lt;&gt;",Base!$N:$N,"&lt;="&amp;$B158)+(COUNTIFS(Base!$B:$B,F$11,Base!$AG:$AG,"&lt;&gt;",Base!$K:$K,"&lt;="&amp;$B158)+COUNTIFS(Base!$B:$B,F$11,Base!$S:$S,"&lt;7",Base!$K:$K,"&lt;="&amp;$B158,Base!$O:$O,"Finalizado")))</f>
        <v>10</v>
      </c>
      <c r="AF158" s="93">
        <f>COUNTIFS(Base!$B:$B,F$11,Base!$S:$S,"&lt;7",Base!$N:$N,"&lt;="&amp;$B158) +COUNTIFS(Base!$B:$B,F$11,Base!$AG:$AG,"&lt;7",Base!$K:$K,"&lt;="&amp;$B158) + COUNTIFS(Base!$B:$B,F$11,Base!$S:$S,"&lt;7",Base!$K:$K,"&lt;="&amp;$B158,Base!$O:$O,"Finalizado")</f>
        <v>0</v>
      </c>
    </row>
    <row r="159">
      <c r="B159" s="151">
        <f t="shared" si="180"/>
        <v>45414</v>
      </c>
      <c r="C159" s="93">
        <f>COUNTIFS(Base!$B:$B,C$11,Base!$M:$M,"&lt;"&amp;$B159,Base!$N:$N,"&gt;="&amp;$B159,Base!$O:$O,"&lt;&gt;Finalizado",Base!$O:$O,"&lt;&gt;Congelado",Base!$O:$O,"&lt;&gt;Concluindo pendências") + COUNTIFS(Base!$B:$B,C$11,Base!$M:$M,"&lt;"&amp;$B159,Base!$N:$N,"",Base!$O:$O,"&lt;&gt;Finalizado",Base!$O:$O,"&lt;&gt;Congelado",Base!$O:$O,"&lt;&gt;Concluindo pendências")</f>
        <v>7</v>
      </c>
      <c r="D159" s="93">
        <f>COUNTIFS(Base!$B:$B,D$11,Base!$M:$M,"&lt;"&amp;$B159,Base!$N:$N,"&gt;="&amp;$B159,Base!$O:$O,"&lt;&gt;Finalizado",Base!$O:$O,"&lt;&gt;Congelado",Base!$O:$O,"&lt;&gt;Concluindo pendências") + COUNTIFS(Base!$B:$B,D$11,Base!$M:$M,"&lt;"&amp;$B159,Base!$N:$N,"",Base!$O:$O,"&lt;&gt;Finalizado",Base!$O:$O,"&lt;&gt;Congelado",Base!$O:$O,"&lt;&gt;Concluindo pendências")</f>
        <v>6</v>
      </c>
      <c r="E159" s="93">
        <f>COUNTIFS(Base!$B:$B,E$11,Base!$M:$M,"&lt;"&amp;$B159,Base!$N:$N,"&gt;="&amp;$B159,Base!$O:$O,"&lt;&gt;Finalizado",Base!$O:$O,"&lt;&gt;Congelado",Base!$O:$O,"&lt;&gt;Concluindo pendências") + COUNTIFS(Base!$B:$B,E$11,Base!$M:$M,"&lt;"&amp;$B159,Base!$N:$N,"",Base!$O:$O,"&lt;&gt;Finalizado",Base!$O:$O,"&lt;&gt;Congelado",Base!$O:$O,"&lt;&gt;Concluindo pendências")</f>
        <v>4</v>
      </c>
      <c r="F159" s="93">
        <f>COUNTIFS(Base!$B:$B,F$11,Base!$M:$M,"&lt;"&amp;$B159,Base!$N:$N,"&gt;="&amp;$B159,Base!$O:$O,"&lt;&gt;Finalizado",Base!$O:$O,"&lt;&gt;Congelado",Base!$O:$O,"&lt;&gt;Concluindo pendências") + COUNTIFS(Base!$B:$B,F$11,Base!$M:$M,"&lt;"&amp;$B159,Base!$N:$N,"",Base!$O:$O,"&lt;&gt;Finalizado",Base!$O:$O,"&lt;&gt;Congelado",Base!$O:$O,"&lt;&gt;Concluindo pendências")</f>
        <v>7</v>
      </c>
      <c r="H159" s="93">
        <f>COUNTIFS(Base!$B:$B,C$11,Base!$K:$K,"&lt;"&amp;$B159,Base!$N:$N,"&gt;="&amp;$B159,Base!$O:$O,"&lt;&gt;Finalizado",Base!$O:$O,"&lt;&gt;Congelado") + COUNTIFS(Base!$B:$B,C$11,Base!$K:$K,"&lt;"&amp;$B159,Base!$N:$N,"",Base!$O:$O,"&lt;&gt;Finalizado",Base!$O:$O,"&lt;&gt;Congelado")</f>
        <v>13</v>
      </c>
      <c r="I159" s="93">
        <f>COUNTIFS(Base!$B:$B,D$11,Base!$K:$K,"&lt;"&amp;$B159,Base!$N:$N,"&gt;="&amp;$B159,Base!$O:$O,"&lt;&gt;Finalizado",Base!$O:$O,"&lt;&gt;Congelado") + COUNTIFS(Base!$B:$B,D$11,Base!$K:$K,"&lt;"&amp;$B159,Base!$N:$N,"",Base!$O:$O,"&lt;&gt;Finalizado",Base!$O:$O,"&lt;&gt;Congelado")</f>
        <v>20</v>
      </c>
      <c r="J159" s="93">
        <f>COUNTIFS(Base!$B:$B,E$11,Base!$K:$K,"&lt;"&amp;$B159,Base!$N:$N,"&gt;="&amp;$B159,Base!$O:$O,"&lt;&gt;Finalizado",Base!$O:$O,"&lt;&gt;Congelado") + COUNTIFS(Base!$B:$B,E$11,Base!$K:$K,"&lt;"&amp;$B159,Base!$N:$N,"",Base!$O:$O,"&lt;&gt;Finalizado",Base!$O:$O,"&lt;&gt;Congelado")</f>
        <v>20</v>
      </c>
      <c r="K159" s="93">
        <f>COUNTIFS(Base!$B:$B,F$11,Base!$K:$K,"&lt;"&amp;$B159,Base!$N:$N,"&gt;="&amp;$B159,Base!$O:$O,"&lt;&gt;Finalizado",Base!$O:$O,"&lt;&gt;Congelado") + COUNTIFS(Base!$B:$B,F$11,Base!$K:$K,"&lt;"&amp;$B159,Base!$N:$N,"",Base!$O:$O,"&lt;&gt;Finalizado",Base!$O:$O,"&lt;&gt;Congelado")</f>
        <v>23</v>
      </c>
      <c r="M159" s="133">
        <f t="shared" ref="M159:P159" si="255">C159/H159</f>
        <v>0.5384615385</v>
      </c>
      <c r="N159" s="133">
        <f t="shared" si="255"/>
        <v>0.3</v>
      </c>
      <c r="O159" s="133">
        <f t="shared" si="255"/>
        <v>0.2</v>
      </c>
      <c r="P159" s="133">
        <f t="shared" si="255"/>
        <v>0.3043478261</v>
      </c>
      <c r="Q159" s="133">
        <f t="shared" si="9"/>
        <v>0.3157894737</v>
      </c>
      <c r="S159" s="93">
        <f t="shared" ref="S159:V159" si="256">S158+C159</f>
        <v>483</v>
      </c>
      <c r="T159" s="93">
        <f t="shared" si="256"/>
        <v>779</v>
      </c>
      <c r="U159" s="93">
        <f t="shared" si="256"/>
        <v>594</v>
      </c>
      <c r="V159" s="93">
        <f t="shared" si="256"/>
        <v>648</v>
      </c>
      <c r="W159" s="93">
        <f t="shared" si="11"/>
        <v>2504</v>
      </c>
      <c r="Y159" s="133">
        <f>(COUNTIFS(Base!$B:$B,C$11,Base!$S:$S,"&gt;8",Base!$N:$N,"&lt;="&amp;$B159) - COUNTIFS(Base!$B:$B,C$11,Base!$S:$S,"&lt;7",Base!$N:$N,"&lt;="&amp;$B159) - COUNTIFS(Base!$B:$B,C$11,Base!$S:$S,"&lt;7",Base!$K:$K,"&lt;="&amp;$B159,Base!$O:$O,"Finalizado"))/(COUNTIFS(Base!$B:$B,C$11,Base!$S:$S,"&lt;&gt;",Base!$N:$N,"&lt;="&amp;$B159)+COUNTIFS(Base!$B:$B,C$11,Base!$S:$S,"&lt;7",Base!$K:$K,"&lt;="&amp;$B159,Base!$O:$O,"Finalizado"))</f>
        <v>0.7142857143</v>
      </c>
      <c r="Z159" s="133">
        <f>(COUNTIFS(Base!$B:$B,D$11,Base!$S:$S,"&gt;8",Base!$N:$N,"&lt;="&amp;$B159) - COUNTIFS(Base!$B:$B,D$11,Base!$S:$S,"&lt;7",Base!$N:$N,"&lt;="&amp;$B159) - COUNTIFS(Base!$B:$B,D$11,Base!$S:$S,"&lt;7",Base!$K:$K,"&lt;="&amp;$B159,Base!$O:$O,"Finalizado"))/(COUNTIFS(Base!$B:$B,D$11,Base!$S:$S,"&lt;&gt;",Base!$N:$N,"&lt;="&amp;$B159)+COUNTIFS(Base!$B:$B,D$11,Base!$S:$S,"&lt;7",Base!$K:$K,"&lt;="&amp;$B159,Base!$O:$O,"Finalizado"))</f>
        <v>0.7142857143</v>
      </c>
      <c r="AA159" s="133">
        <f>(COUNTIFS(Base!$B:$B,E$11,Base!$S:$S,"&gt;8",Base!$N:$N,"&lt;="&amp;$B159) - COUNTIFS(Base!$B:$B,E$11,Base!$S:$S,"&lt;7",Base!$N:$N,"&lt;="&amp;$B159) - COUNTIFS(Base!$B:$B,E$11,Base!$S:$S,"&lt;7",Base!$K:$K,"&lt;="&amp;$B159,Base!$O:$O,"Finalizado"))/(COUNTIFS(Base!$B:$B,E$11,Base!$S:$S,"&lt;&gt;",Base!$N:$N,"&lt;="&amp;$B159)+COUNTIFS(Base!$B:$B,E$11,Base!$S:$S,"&lt;7",Base!$K:$K,"&lt;="&amp;$B159,Base!$O:$O,"Finalizado"))</f>
        <v>0.5625</v>
      </c>
      <c r="AB159" s="133">
        <f t="shared" si="12"/>
        <v>0.8</v>
      </c>
      <c r="AD159" s="93">
        <f>(COUNTIFS(Base!$B:$B,F$11,Base!$S:$S,"&gt;8",Base!$N:$N,"&lt;="&amp;$B159)+(COUNTIFS(Base!$B:$B,F$11,Base!$AG:$AG,"&gt;8",Base!$K:$K,"&lt;="&amp;$B159)))</f>
        <v>8</v>
      </c>
      <c r="AE159" s="93">
        <f>(COUNTIFS(Base!$B:$B,F$11,Base!$S:$S,"&lt;&gt;",Base!$N:$N,"&lt;="&amp;$B159)+(COUNTIFS(Base!$B:$B,F$11,Base!$AG:$AG,"&lt;&gt;",Base!$K:$K,"&lt;="&amp;$B159)+COUNTIFS(Base!$B:$B,F$11,Base!$S:$S,"&lt;7",Base!$K:$K,"&lt;="&amp;$B159,Base!$O:$O,"Finalizado")))</f>
        <v>10</v>
      </c>
      <c r="AF159" s="93">
        <f>COUNTIFS(Base!$B:$B,F$11,Base!$S:$S,"&lt;7",Base!$N:$N,"&lt;="&amp;$B159) +COUNTIFS(Base!$B:$B,F$11,Base!$AG:$AG,"&lt;7",Base!$K:$K,"&lt;="&amp;$B159) + COUNTIFS(Base!$B:$B,F$11,Base!$S:$S,"&lt;7",Base!$K:$K,"&lt;="&amp;$B159,Base!$O:$O,"Finalizado")</f>
        <v>0</v>
      </c>
    </row>
    <row r="160">
      <c r="B160" s="151">
        <f t="shared" si="180"/>
        <v>45415</v>
      </c>
      <c r="C160" s="93">
        <f>COUNTIFS(Base!$B:$B,C$11,Base!$M:$M,"&lt;"&amp;$B160,Base!$N:$N,"&gt;="&amp;$B160,Base!$O:$O,"&lt;&gt;Finalizado",Base!$O:$O,"&lt;&gt;Congelado",Base!$O:$O,"&lt;&gt;Concluindo pendências") + COUNTIFS(Base!$B:$B,C$11,Base!$M:$M,"&lt;"&amp;$B160,Base!$N:$N,"",Base!$O:$O,"&lt;&gt;Finalizado",Base!$O:$O,"&lt;&gt;Congelado",Base!$O:$O,"&lt;&gt;Concluindo pendências")</f>
        <v>7</v>
      </c>
      <c r="D160" s="93">
        <f>COUNTIFS(Base!$B:$B,D$11,Base!$M:$M,"&lt;"&amp;$B160,Base!$N:$N,"&gt;="&amp;$B160,Base!$O:$O,"&lt;&gt;Finalizado",Base!$O:$O,"&lt;&gt;Congelado",Base!$O:$O,"&lt;&gt;Concluindo pendências") + COUNTIFS(Base!$B:$B,D$11,Base!$M:$M,"&lt;"&amp;$B160,Base!$N:$N,"",Base!$O:$O,"&lt;&gt;Finalizado",Base!$O:$O,"&lt;&gt;Congelado",Base!$O:$O,"&lt;&gt;Concluindo pendências")</f>
        <v>6</v>
      </c>
      <c r="E160" s="93">
        <f>COUNTIFS(Base!$B:$B,E$11,Base!$M:$M,"&lt;"&amp;$B160,Base!$N:$N,"&gt;="&amp;$B160,Base!$O:$O,"&lt;&gt;Finalizado",Base!$O:$O,"&lt;&gt;Congelado",Base!$O:$O,"&lt;&gt;Concluindo pendências") + COUNTIFS(Base!$B:$B,E$11,Base!$M:$M,"&lt;"&amp;$B160,Base!$N:$N,"",Base!$O:$O,"&lt;&gt;Finalizado",Base!$O:$O,"&lt;&gt;Congelado",Base!$O:$O,"&lt;&gt;Concluindo pendências")</f>
        <v>4</v>
      </c>
      <c r="F160" s="93">
        <f>COUNTIFS(Base!$B:$B,F$11,Base!$M:$M,"&lt;"&amp;$B160,Base!$N:$N,"&gt;="&amp;$B160,Base!$O:$O,"&lt;&gt;Finalizado",Base!$O:$O,"&lt;&gt;Congelado",Base!$O:$O,"&lt;&gt;Concluindo pendências") + COUNTIFS(Base!$B:$B,F$11,Base!$M:$M,"&lt;"&amp;$B160,Base!$N:$N,"",Base!$O:$O,"&lt;&gt;Finalizado",Base!$O:$O,"&lt;&gt;Congelado",Base!$O:$O,"&lt;&gt;Concluindo pendências")</f>
        <v>7</v>
      </c>
      <c r="H160" s="93">
        <f>COUNTIFS(Base!$B:$B,C$11,Base!$K:$K,"&lt;"&amp;$B160,Base!$N:$N,"&gt;="&amp;$B160,Base!$O:$O,"&lt;&gt;Finalizado",Base!$O:$O,"&lt;&gt;Congelado") + COUNTIFS(Base!$B:$B,C$11,Base!$K:$K,"&lt;"&amp;$B160,Base!$N:$N,"",Base!$O:$O,"&lt;&gt;Finalizado",Base!$O:$O,"&lt;&gt;Congelado")</f>
        <v>13</v>
      </c>
      <c r="I160" s="93">
        <f>COUNTIFS(Base!$B:$B,D$11,Base!$K:$K,"&lt;"&amp;$B160,Base!$N:$N,"&gt;="&amp;$B160,Base!$O:$O,"&lt;&gt;Finalizado",Base!$O:$O,"&lt;&gt;Congelado") + COUNTIFS(Base!$B:$B,D$11,Base!$K:$K,"&lt;"&amp;$B160,Base!$N:$N,"",Base!$O:$O,"&lt;&gt;Finalizado",Base!$O:$O,"&lt;&gt;Congelado")</f>
        <v>20</v>
      </c>
      <c r="J160" s="93">
        <f>COUNTIFS(Base!$B:$B,E$11,Base!$K:$K,"&lt;"&amp;$B160,Base!$N:$N,"&gt;="&amp;$B160,Base!$O:$O,"&lt;&gt;Finalizado",Base!$O:$O,"&lt;&gt;Congelado") + COUNTIFS(Base!$B:$B,E$11,Base!$K:$K,"&lt;"&amp;$B160,Base!$N:$N,"",Base!$O:$O,"&lt;&gt;Finalizado",Base!$O:$O,"&lt;&gt;Congelado")</f>
        <v>21</v>
      </c>
      <c r="K160" s="93">
        <f>COUNTIFS(Base!$B:$B,F$11,Base!$K:$K,"&lt;"&amp;$B160,Base!$N:$N,"&gt;="&amp;$B160,Base!$O:$O,"&lt;&gt;Finalizado",Base!$O:$O,"&lt;&gt;Congelado") + COUNTIFS(Base!$B:$B,F$11,Base!$K:$K,"&lt;"&amp;$B160,Base!$N:$N,"",Base!$O:$O,"&lt;&gt;Finalizado",Base!$O:$O,"&lt;&gt;Congelado")</f>
        <v>23</v>
      </c>
      <c r="M160" s="133">
        <f t="shared" ref="M160:P160" si="257">C160/H160</f>
        <v>0.5384615385</v>
      </c>
      <c r="N160" s="133">
        <f t="shared" si="257"/>
        <v>0.3</v>
      </c>
      <c r="O160" s="133">
        <f t="shared" si="257"/>
        <v>0.1904761905</v>
      </c>
      <c r="P160" s="133">
        <f t="shared" si="257"/>
        <v>0.3043478261</v>
      </c>
      <c r="Q160" s="133">
        <f t="shared" si="9"/>
        <v>0.3116883117</v>
      </c>
      <c r="S160" s="93">
        <f t="shared" ref="S160:V160" si="258">S159+C160</f>
        <v>490</v>
      </c>
      <c r="T160" s="93">
        <f t="shared" si="258"/>
        <v>785</v>
      </c>
      <c r="U160" s="93">
        <f t="shared" si="258"/>
        <v>598</v>
      </c>
      <c r="V160" s="93">
        <f t="shared" si="258"/>
        <v>655</v>
      </c>
      <c r="W160" s="93">
        <f t="shared" si="11"/>
        <v>2528</v>
      </c>
      <c r="Y160" s="133">
        <f>(COUNTIFS(Base!$B:$B,C$11,Base!$S:$S,"&gt;8",Base!$N:$N,"&lt;="&amp;$B160) - COUNTIFS(Base!$B:$B,C$11,Base!$S:$S,"&lt;7",Base!$N:$N,"&lt;="&amp;$B160) - COUNTIFS(Base!$B:$B,C$11,Base!$S:$S,"&lt;7",Base!$K:$K,"&lt;="&amp;$B160,Base!$O:$O,"Finalizado"))/(COUNTIFS(Base!$B:$B,C$11,Base!$S:$S,"&lt;&gt;",Base!$N:$N,"&lt;="&amp;$B160)+COUNTIFS(Base!$B:$B,C$11,Base!$S:$S,"&lt;7",Base!$K:$K,"&lt;="&amp;$B160,Base!$O:$O,"Finalizado"))</f>
        <v>0.7142857143</v>
      </c>
      <c r="Z160" s="133">
        <f>(COUNTIFS(Base!$B:$B,D$11,Base!$S:$S,"&gt;8",Base!$N:$N,"&lt;="&amp;$B160) - COUNTIFS(Base!$B:$B,D$11,Base!$S:$S,"&lt;7",Base!$N:$N,"&lt;="&amp;$B160) - COUNTIFS(Base!$B:$B,D$11,Base!$S:$S,"&lt;7",Base!$K:$K,"&lt;="&amp;$B160,Base!$O:$O,"Finalizado"))/(COUNTIFS(Base!$B:$B,D$11,Base!$S:$S,"&lt;&gt;",Base!$N:$N,"&lt;="&amp;$B160)+COUNTIFS(Base!$B:$B,D$11,Base!$S:$S,"&lt;7",Base!$K:$K,"&lt;="&amp;$B160,Base!$O:$O,"Finalizado"))</f>
        <v>0.7142857143</v>
      </c>
      <c r="AA160" s="133">
        <f>(COUNTIFS(Base!$B:$B,E$11,Base!$S:$S,"&gt;8",Base!$N:$N,"&lt;="&amp;$B160) - COUNTIFS(Base!$B:$B,E$11,Base!$S:$S,"&lt;7",Base!$N:$N,"&lt;="&amp;$B160) - COUNTIFS(Base!$B:$B,E$11,Base!$S:$S,"&lt;7",Base!$K:$K,"&lt;="&amp;$B160,Base!$O:$O,"Finalizado"))/(COUNTIFS(Base!$B:$B,E$11,Base!$S:$S,"&lt;&gt;",Base!$N:$N,"&lt;="&amp;$B160)+COUNTIFS(Base!$B:$B,E$11,Base!$S:$S,"&lt;7",Base!$K:$K,"&lt;="&amp;$B160,Base!$O:$O,"Finalizado"))</f>
        <v>0.5625</v>
      </c>
      <c r="AB160" s="133">
        <f t="shared" si="12"/>
        <v>0.8</v>
      </c>
      <c r="AD160" s="93">
        <f>(COUNTIFS(Base!$B:$B,F$11,Base!$S:$S,"&gt;8",Base!$N:$N,"&lt;="&amp;$B160)+(COUNTIFS(Base!$B:$B,F$11,Base!$AG:$AG,"&gt;8",Base!$K:$K,"&lt;="&amp;$B160)))</f>
        <v>8</v>
      </c>
      <c r="AE160" s="93">
        <f>(COUNTIFS(Base!$B:$B,F$11,Base!$S:$S,"&lt;&gt;",Base!$N:$N,"&lt;="&amp;$B160)+(COUNTIFS(Base!$B:$B,F$11,Base!$AG:$AG,"&lt;&gt;",Base!$K:$K,"&lt;="&amp;$B160)+COUNTIFS(Base!$B:$B,F$11,Base!$S:$S,"&lt;7",Base!$K:$K,"&lt;="&amp;$B160,Base!$O:$O,"Finalizado")))</f>
        <v>10</v>
      </c>
      <c r="AF160" s="93">
        <f>COUNTIFS(Base!$B:$B,F$11,Base!$S:$S,"&lt;7",Base!$N:$N,"&lt;="&amp;$B160) +COUNTIFS(Base!$B:$B,F$11,Base!$AG:$AG,"&lt;7",Base!$K:$K,"&lt;="&amp;$B160) + COUNTIFS(Base!$B:$B,F$11,Base!$S:$S,"&lt;7",Base!$K:$K,"&lt;="&amp;$B160,Base!$O:$O,"Finalizado")</f>
        <v>0</v>
      </c>
    </row>
    <row r="161">
      <c r="B161" s="151">
        <f t="shared" si="180"/>
        <v>45416</v>
      </c>
      <c r="C161" s="93">
        <f>COUNTIFS(Base!$B:$B,C$11,Base!$M:$M,"&lt;"&amp;$B161,Base!$N:$N,"&gt;="&amp;$B161,Base!$O:$O,"&lt;&gt;Finalizado",Base!$O:$O,"&lt;&gt;Congelado",Base!$O:$O,"&lt;&gt;Concluindo pendências") + COUNTIFS(Base!$B:$B,C$11,Base!$M:$M,"&lt;"&amp;$B161,Base!$N:$N,"",Base!$O:$O,"&lt;&gt;Finalizado",Base!$O:$O,"&lt;&gt;Congelado",Base!$O:$O,"&lt;&gt;Concluindo pendências")</f>
        <v>7</v>
      </c>
      <c r="D161" s="93">
        <f>COUNTIFS(Base!$B:$B,D$11,Base!$M:$M,"&lt;"&amp;$B161,Base!$N:$N,"&gt;="&amp;$B161,Base!$O:$O,"&lt;&gt;Finalizado",Base!$O:$O,"&lt;&gt;Congelado",Base!$O:$O,"&lt;&gt;Concluindo pendências") + COUNTIFS(Base!$B:$B,D$11,Base!$M:$M,"&lt;"&amp;$B161,Base!$N:$N,"",Base!$O:$O,"&lt;&gt;Finalizado",Base!$O:$O,"&lt;&gt;Congelado",Base!$O:$O,"&lt;&gt;Concluindo pendências")</f>
        <v>6</v>
      </c>
      <c r="E161" s="93">
        <f>COUNTIFS(Base!$B:$B,E$11,Base!$M:$M,"&lt;"&amp;$B161,Base!$N:$N,"&gt;="&amp;$B161,Base!$O:$O,"&lt;&gt;Finalizado",Base!$O:$O,"&lt;&gt;Congelado",Base!$O:$O,"&lt;&gt;Concluindo pendências") + COUNTIFS(Base!$B:$B,E$11,Base!$M:$M,"&lt;"&amp;$B161,Base!$N:$N,"",Base!$O:$O,"&lt;&gt;Finalizado",Base!$O:$O,"&lt;&gt;Congelado",Base!$O:$O,"&lt;&gt;Concluindo pendências")</f>
        <v>2</v>
      </c>
      <c r="F161" s="93">
        <f>COUNTIFS(Base!$B:$B,F$11,Base!$M:$M,"&lt;"&amp;$B161,Base!$N:$N,"&gt;="&amp;$B161,Base!$O:$O,"&lt;&gt;Finalizado",Base!$O:$O,"&lt;&gt;Congelado",Base!$O:$O,"&lt;&gt;Concluindo pendências") + COUNTIFS(Base!$B:$B,F$11,Base!$M:$M,"&lt;"&amp;$B161,Base!$N:$N,"",Base!$O:$O,"&lt;&gt;Finalizado",Base!$O:$O,"&lt;&gt;Congelado",Base!$O:$O,"&lt;&gt;Concluindo pendências")</f>
        <v>8</v>
      </c>
      <c r="H161" s="93">
        <f>COUNTIFS(Base!$B:$B,C$11,Base!$K:$K,"&lt;"&amp;$B161,Base!$N:$N,"&gt;="&amp;$B161,Base!$O:$O,"&lt;&gt;Finalizado",Base!$O:$O,"&lt;&gt;Congelado") + COUNTIFS(Base!$B:$B,C$11,Base!$K:$K,"&lt;"&amp;$B161,Base!$N:$N,"",Base!$O:$O,"&lt;&gt;Finalizado",Base!$O:$O,"&lt;&gt;Congelado")</f>
        <v>13</v>
      </c>
      <c r="I161" s="93">
        <f>COUNTIFS(Base!$B:$B,D$11,Base!$K:$K,"&lt;"&amp;$B161,Base!$N:$N,"&gt;="&amp;$B161,Base!$O:$O,"&lt;&gt;Finalizado",Base!$O:$O,"&lt;&gt;Congelado") + COUNTIFS(Base!$B:$B,D$11,Base!$K:$K,"&lt;"&amp;$B161,Base!$N:$N,"",Base!$O:$O,"&lt;&gt;Finalizado",Base!$O:$O,"&lt;&gt;Congelado")</f>
        <v>20</v>
      </c>
      <c r="J161" s="93">
        <f>COUNTIFS(Base!$B:$B,E$11,Base!$K:$K,"&lt;"&amp;$B161,Base!$N:$N,"&gt;="&amp;$B161,Base!$O:$O,"&lt;&gt;Finalizado",Base!$O:$O,"&lt;&gt;Congelado") + COUNTIFS(Base!$B:$B,E$11,Base!$K:$K,"&lt;"&amp;$B161,Base!$N:$N,"",Base!$O:$O,"&lt;&gt;Finalizado",Base!$O:$O,"&lt;&gt;Congelado")</f>
        <v>19</v>
      </c>
      <c r="K161" s="93">
        <f>COUNTIFS(Base!$B:$B,F$11,Base!$K:$K,"&lt;"&amp;$B161,Base!$N:$N,"&gt;="&amp;$B161,Base!$O:$O,"&lt;&gt;Finalizado",Base!$O:$O,"&lt;&gt;Congelado") + COUNTIFS(Base!$B:$B,F$11,Base!$K:$K,"&lt;"&amp;$B161,Base!$N:$N,"",Base!$O:$O,"&lt;&gt;Finalizado",Base!$O:$O,"&lt;&gt;Congelado")</f>
        <v>24</v>
      </c>
      <c r="M161" s="133">
        <f t="shared" ref="M161:P161" si="259">C161/H161</f>
        <v>0.5384615385</v>
      </c>
      <c r="N161" s="133">
        <f t="shared" si="259"/>
        <v>0.3</v>
      </c>
      <c r="O161" s="133">
        <f t="shared" si="259"/>
        <v>0.1052631579</v>
      </c>
      <c r="P161" s="133">
        <f t="shared" si="259"/>
        <v>0.3333333333</v>
      </c>
      <c r="Q161" s="133">
        <f t="shared" si="9"/>
        <v>0.3026315789</v>
      </c>
      <c r="S161" s="93">
        <f t="shared" ref="S161:V161" si="260">S160+C161</f>
        <v>497</v>
      </c>
      <c r="T161" s="93">
        <f t="shared" si="260"/>
        <v>791</v>
      </c>
      <c r="U161" s="93">
        <f t="shared" si="260"/>
        <v>600</v>
      </c>
      <c r="V161" s="93">
        <f t="shared" si="260"/>
        <v>663</v>
      </c>
      <c r="W161" s="93">
        <f t="shared" si="11"/>
        <v>2551</v>
      </c>
      <c r="Y161" s="133">
        <f>(COUNTIFS(Base!$B:$B,C$11,Base!$S:$S,"&gt;8",Base!$N:$N,"&lt;="&amp;$B161) - COUNTIFS(Base!$B:$B,C$11,Base!$S:$S,"&lt;7",Base!$N:$N,"&lt;="&amp;$B161) - COUNTIFS(Base!$B:$B,C$11,Base!$S:$S,"&lt;7",Base!$K:$K,"&lt;="&amp;$B161,Base!$O:$O,"Finalizado"))/(COUNTIFS(Base!$B:$B,C$11,Base!$S:$S,"&lt;&gt;",Base!$N:$N,"&lt;="&amp;$B161)+COUNTIFS(Base!$B:$B,C$11,Base!$S:$S,"&lt;7",Base!$K:$K,"&lt;="&amp;$B161,Base!$O:$O,"Finalizado"))</f>
        <v>0.7142857143</v>
      </c>
      <c r="Z161" s="133">
        <f>(COUNTIFS(Base!$B:$B,D$11,Base!$S:$S,"&gt;8",Base!$N:$N,"&lt;="&amp;$B161) - COUNTIFS(Base!$B:$B,D$11,Base!$S:$S,"&lt;7",Base!$N:$N,"&lt;="&amp;$B161) - COUNTIFS(Base!$B:$B,D$11,Base!$S:$S,"&lt;7",Base!$K:$K,"&lt;="&amp;$B161,Base!$O:$O,"Finalizado"))/(COUNTIFS(Base!$B:$B,D$11,Base!$S:$S,"&lt;&gt;",Base!$N:$N,"&lt;="&amp;$B161)+COUNTIFS(Base!$B:$B,D$11,Base!$S:$S,"&lt;7",Base!$K:$K,"&lt;="&amp;$B161,Base!$O:$O,"Finalizado"))</f>
        <v>0.7142857143</v>
      </c>
      <c r="AA161" s="133">
        <f>(COUNTIFS(Base!$B:$B,E$11,Base!$S:$S,"&gt;8",Base!$N:$N,"&lt;="&amp;$B161) - COUNTIFS(Base!$B:$B,E$11,Base!$S:$S,"&lt;7",Base!$N:$N,"&lt;="&amp;$B161) - COUNTIFS(Base!$B:$B,E$11,Base!$S:$S,"&lt;7",Base!$K:$K,"&lt;="&amp;$B161,Base!$O:$O,"Finalizado"))/(COUNTIFS(Base!$B:$B,E$11,Base!$S:$S,"&lt;&gt;",Base!$N:$N,"&lt;="&amp;$B161)+COUNTIFS(Base!$B:$B,E$11,Base!$S:$S,"&lt;7",Base!$K:$K,"&lt;="&amp;$B161,Base!$O:$O,"Finalizado"))</f>
        <v>0.5625</v>
      </c>
      <c r="AB161" s="133">
        <f t="shared" si="12"/>
        <v>0.8</v>
      </c>
      <c r="AD161" s="93">
        <f>(COUNTIFS(Base!$B:$B,F$11,Base!$S:$S,"&gt;8",Base!$N:$N,"&lt;="&amp;$B161)+(COUNTIFS(Base!$B:$B,F$11,Base!$AG:$AG,"&gt;8",Base!$K:$K,"&lt;="&amp;$B161)))</f>
        <v>8</v>
      </c>
      <c r="AE161" s="93">
        <f>(COUNTIFS(Base!$B:$B,F$11,Base!$S:$S,"&lt;&gt;",Base!$N:$N,"&lt;="&amp;$B161)+(COUNTIFS(Base!$B:$B,F$11,Base!$AG:$AG,"&lt;&gt;",Base!$K:$K,"&lt;="&amp;$B161)+COUNTIFS(Base!$B:$B,F$11,Base!$S:$S,"&lt;7",Base!$K:$K,"&lt;="&amp;$B161,Base!$O:$O,"Finalizado")))</f>
        <v>10</v>
      </c>
      <c r="AF161" s="93">
        <f>COUNTIFS(Base!$B:$B,F$11,Base!$S:$S,"&lt;7",Base!$N:$N,"&lt;="&amp;$B161) +COUNTIFS(Base!$B:$B,F$11,Base!$AG:$AG,"&lt;7",Base!$K:$K,"&lt;="&amp;$B161) + COUNTIFS(Base!$B:$B,F$11,Base!$S:$S,"&lt;7",Base!$K:$K,"&lt;="&amp;$B161,Base!$O:$O,"Finalizado")</f>
        <v>0</v>
      </c>
    </row>
    <row r="162">
      <c r="B162" s="151">
        <f t="shared" si="180"/>
        <v>45417</v>
      </c>
      <c r="C162" s="93">
        <f>COUNTIFS(Base!$B:$B,C$11,Base!$M:$M,"&lt;"&amp;$B162,Base!$N:$N,"&gt;="&amp;$B162,Base!$O:$O,"&lt;&gt;Finalizado",Base!$O:$O,"&lt;&gt;Congelado",Base!$O:$O,"&lt;&gt;Concluindo pendências") + COUNTIFS(Base!$B:$B,C$11,Base!$M:$M,"&lt;"&amp;$B162,Base!$N:$N,"",Base!$O:$O,"&lt;&gt;Finalizado",Base!$O:$O,"&lt;&gt;Congelado",Base!$O:$O,"&lt;&gt;Concluindo pendências")</f>
        <v>7</v>
      </c>
      <c r="D162" s="93">
        <f>COUNTIFS(Base!$B:$B,D$11,Base!$M:$M,"&lt;"&amp;$B162,Base!$N:$N,"&gt;="&amp;$B162,Base!$O:$O,"&lt;&gt;Finalizado",Base!$O:$O,"&lt;&gt;Congelado",Base!$O:$O,"&lt;&gt;Concluindo pendências") + COUNTIFS(Base!$B:$B,D$11,Base!$M:$M,"&lt;"&amp;$B162,Base!$N:$N,"",Base!$O:$O,"&lt;&gt;Finalizado",Base!$O:$O,"&lt;&gt;Congelado",Base!$O:$O,"&lt;&gt;Concluindo pendências")</f>
        <v>6</v>
      </c>
      <c r="E162" s="93">
        <f>COUNTIFS(Base!$B:$B,E$11,Base!$M:$M,"&lt;"&amp;$B162,Base!$N:$N,"&gt;="&amp;$B162,Base!$O:$O,"&lt;&gt;Finalizado",Base!$O:$O,"&lt;&gt;Congelado",Base!$O:$O,"&lt;&gt;Concluindo pendências") + COUNTIFS(Base!$B:$B,E$11,Base!$M:$M,"&lt;"&amp;$B162,Base!$N:$N,"",Base!$O:$O,"&lt;&gt;Finalizado",Base!$O:$O,"&lt;&gt;Congelado",Base!$O:$O,"&lt;&gt;Concluindo pendências")</f>
        <v>2</v>
      </c>
      <c r="F162" s="93">
        <f>COUNTIFS(Base!$B:$B,F$11,Base!$M:$M,"&lt;"&amp;$B162,Base!$N:$N,"&gt;="&amp;$B162,Base!$O:$O,"&lt;&gt;Finalizado",Base!$O:$O,"&lt;&gt;Congelado",Base!$O:$O,"&lt;&gt;Concluindo pendências") + COUNTIFS(Base!$B:$B,F$11,Base!$M:$M,"&lt;"&amp;$B162,Base!$N:$N,"",Base!$O:$O,"&lt;&gt;Finalizado",Base!$O:$O,"&lt;&gt;Congelado",Base!$O:$O,"&lt;&gt;Concluindo pendências")</f>
        <v>8</v>
      </c>
      <c r="H162" s="93">
        <f>COUNTIFS(Base!$B:$B,C$11,Base!$K:$K,"&lt;"&amp;$B162,Base!$N:$N,"&gt;="&amp;$B162,Base!$O:$O,"&lt;&gt;Finalizado",Base!$O:$O,"&lt;&gt;Congelado") + COUNTIFS(Base!$B:$B,C$11,Base!$K:$K,"&lt;"&amp;$B162,Base!$N:$N,"",Base!$O:$O,"&lt;&gt;Finalizado",Base!$O:$O,"&lt;&gt;Congelado")</f>
        <v>13</v>
      </c>
      <c r="I162" s="93">
        <f>COUNTIFS(Base!$B:$B,D$11,Base!$K:$K,"&lt;"&amp;$B162,Base!$N:$N,"&gt;="&amp;$B162,Base!$O:$O,"&lt;&gt;Finalizado",Base!$O:$O,"&lt;&gt;Congelado") + COUNTIFS(Base!$B:$B,D$11,Base!$K:$K,"&lt;"&amp;$B162,Base!$N:$N,"",Base!$O:$O,"&lt;&gt;Finalizado",Base!$O:$O,"&lt;&gt;Congelado")</f>
        <v>20</v>
      </c>
      <c r="J162" s="93">
        <f>COUNTIFS(Base!$B:$B,E$11,Base!$K:$K,"&lt;"&amp;$B162,Base!$N:$N,"&gt;="&amp;$B162,Base!$O:$O,"&lt;&gt;Finalizado",Base!$O:$O,"&lt;&gt;Congelado") + COUNTIFS(Base!$B:$B,E$11,Base!$K:$K,"&lt;"&amp;$B162,Base!$N:$N,"",Base!$O:$O,"&lt;&gt;Finalizado",Base!$O:$O,"&lt;&gt;Congelado")</f>
        <v>20</v>
      </c>
      <c r="K162" s="93">
        <f>COUNTIFS(Base!$B:$B,F$11,Base!$K:$K,"&lt;"&amp;$B162,Base!$N:$N,"&gt;="&amp;$B162,Base!$O:$O,"&lt;&gt;Finalizado",Base!$O:$O,"&lt;&gt;Congelado") + COUNTIFS(Base!$B:$B,F$11,Base!$K:$K,"&lt;"&amp;$B162,Base!$N:$N,"",Base!$O:$O,"&lt;&gt;Finalizado",Base!$O:$O,"&lt;&gt;Congelado")</f>
        <v>24</v>
      </c>
      <c r="M162" s="133">
        <f t="shared" ref="M162:P162" si="261">C162/H162</f>
        <v>0.5384615385</v>
      </c>
      <c r="N162" s="133">
        <f t="shared" si="261"/>
        <v>0.3</v>
      </c>
      <c r="O162" s="133">
        <f t="shared" si="261"/>
        <v>0.1</v>
      </c>
      <c r="P162" s="133">
        <f t="shared" si="261"/>
        <v>0.3333333333</v>
      </c>
      <c r="Q162" s="133">
        <f t="shared" si="9"/>
        <v>0.2987012987</v>
      </c>
      <c r="S162" s="93">
        <f t="shared" ref="S162:V162" si="262">S161+C162</f>
        <v>504</v>
      </c>
      <c r="T162" s="93">
        <f t="shared" si="262"/>
        <v>797</v>
      </c>
      <c r="U162" s="93">
        <f t="shared" si="262"/>
        <v>602</v>
      </c>
      <c r="V162" s="93">
        <f t="shared" si="262"/>
        <v>671</v>
      </c>
      <c r="W162" s="93">
        <f t="shared" si="11"/>
        <v>2574</v>
      </c>
      <c r="Y162" s="133">
        <f>(COUNTIFS(Base!$B:$B,C$11,Base!$S:$S,"&gt;8",Base!$N:$N,"&lt;="&amp;$B162) - COUNTIFS(Base!$B:$B,C$11,Base!$S:$S,"&lt;7",Base!$N:$N,"&lt;="&amp;$B162) - COUNTIFS(Base!$B:$B,C$11,Base!$S:$S,"&lt;7",Base!$K:$K,"&lt;="&amp;$B162,Base!$O:$O,"Finalizado"))/(COUNTIFS(Base!$B:$B,C$11,Base!$S:$S,"&lt;&gt;",Base!$N:$N,"&lt;="&amp;$B162)+COUNTIFS(Base!$B:$B,C$11,Base!$S:$S,"&lt;7",Base!$K:$K,"&lt;="&amp;$B162,Base!$O:$O,"Finalizado"))</f>
        <v>0.7142857143</v>
      </c>
      <c r="Z162" s="133">
        <f>(COUNTIFS(Base!$B:$B,D$11,Base!$S:$S,"&gt;8",Base!$N:$N,"&lt;="&amp;$B162) - COUNTIFS(Base!$B:$B,D$11,Base!$S:$S,"&lt;7",Base!$N:$N,"&lt;="&amp;$B162) - COUNTIFS(Base!$B:$B,D$11,Base!$S:$S,"&lt;7",Base!$K:$K,"&lt;="&amp;$B162,Base!$O:$O,"Finalizado"))/(COUNTIFS(Base!$B:$B,D$11,Base!$S:$S,"&lt;&gt;",Base!$N:$N,"&lt;="&amp;$B162)+COUNTIFS(Base!$B:$B,D$11,Base!$S:$S,"&lt;7",Base!$K:$K,"&lt;="&amp;$B162,Base!$O:$O,"Finalizado"))</f>
        <v>0.7142857143</v>
      </c>
      <c r="AA162" s="133">
        <f>(COUNTIFS(Base!$B:$B,E$11,Base!$S:$S,"&gt;8",Base!$N:$N,"&lt;="&amp;$B162) - COUNTIFS(Base!$B:$B,E$11,Base!$S:$S,"&lt;7",Base!$N:$N,"&lt;="&amp;$B162) - COUNTIFS(Base!$B:$B,E$11,Base!$S:$S,"&lt;7",Base!$K:$K,"&lt;="&amp;$B162,Base!$O:$O,"Finalizado"))/(COUNTIFS(Base!$B:$B,E$11,Base!$S:$S,"&lt;&gt;",Base!$N:$N,"&lt;="&amp;$B162)+COUNTIFS(Base!$B:$B,E$11,Base!$S:$S,"&lt;7",Base!$K:$K,"&lt;="&amp;$B162,Base!$O:$O,"Finalizado"))</f>
        <v>0.5625</v>
      </c>
      <c r="AB162" s="133">
        <f t="shared" si="12"/>
        <v>0.8</v>
      </c>
      <c r="AD162" s="93">
        <f>(COUNTIFS(Base!$B:$B,F$11,Base!$S:$S,"&gt;8",Base!$N:$N,"&lt;="&amp;$B162)+(COUNTIFS(Base!$B:$B,F$11,Base!$AG:$AG,"&gt;8",Base!$K:$K,"&lt;="&amp;$B162)))</f>
        <v>8</v>
      </c>
      <c r="AE162" s="93">
        <f>(COUNTIFS(Base!$B:$B,F$11,Base!$S:$S,"&lt;&gt;",Base!$N:$N,"&lt;="&amp;$B162)+(COUNTIFS(Base!$B:$B,F$11,Base!$AG:$AG,"&lt;&gt;",Base!$K:$K,"&lt;="&amp;$B162)+COUNTIFS(Base!$B:$B,F$11,Base!$S:$S,"&lt;7",Base!$K:$K,"&lt;="&amp;$B162,Base!$O:$O,"Finalizado")))</f>
        <v>10</v>
      </c>
      <c r="AF162" s="93">
        <f>COUNTIFS(Base!$B:$B,F$11,Base!$S:$S,"&lt;7",Base!$N:$N,"&lt;="&amp;$B162) +COUNTIFS(Base!$B:$B,F$11,Base!$AG:$AG,"&lt;7",Base!$K:$K,"&lt;="&amp;$B162) + COUNTIFS(Base!$B:$B,F$11,Base!$S:$S,"&lt;7",Base!$K:$K,"&lt;="&amp;$B162,Base!$O:$O,"Finalizado")</f>
        <v>0</v>
      </c>
    </row>
    <row r="163">
      <c r="B163" s="151">
        <f t="shared" si="180"/>
        <v>45418</v>
      </c>
      <c r="C163" s="93">
        <f>COUNTIFS(Base!$B:$B,C$11,Base!$M:$M,"&lt;"&amp;$B163,Base!$N:$N,"&gt;="&amp;$B163,Base!$O:$O,"&lt;&gt;Finalizado",Base!$O:$O,"&lt;&gt;Congelado",Base!$O:$O,"&lt;&gt;Concluindo pendências") + COUNTIFS(Base!$B:$B,C$11,Base!$M:$M,"&lt;"&amp;$B163,Base!$N:$N,"",Base!$O:$O,"&lt;&gt;Finalizado",Base!$O:$O,"&lt;&gt;Congelado",Base!$O:$O,"&lt;&gt;Concluindo pendências")</f>
        <v>7</v>
      </c>
      <c r="D163" s="93">
        <f>COUNTIFS(Base!$B:$B,D$11,Base!$M:$M,"&lt;"&amp;$B163,Base!$N:$N,"&gt;="&amp;$B163,Base!$O:$O,"&lt;&gt;Finalizado",Base!$O:$O,"&lt;&gt;Congelado",Base!$O:$O,"&lt;&gt;Concluindo pendências") + COUNTIFS(Base!$B:$B,D$11,Base!$M:$M,"&lt;"&amp;$B163,Base!$N:$N,"",Base!$O:$O,"&lt;&gt;Finalizado",Base!$O:$O,"&lt;&gt;Congelado",Base!$O:$O,"&lt;&gt;Concluindo pendências")</f>
        <v>6</v>
      </c>
      <c r="E163" s="93">
        <f>COUNTIFS(Base!$B:$B,E$11,Base!$M:$M,"&lt;"&amp;$B163,Base!$N:$N,"&gt;="&amp;$B163,Base!$O:$O,"&lt;&gt;Finalizado",Base!$O:$O,"&lt;&gt;Congelado",Base!$O:$O,"&lt;&gt;Concluindo pendências") + COUNTIFS(Base!$B:$B,E$11,Base!$M:$M,"&lt;"&amp;$B163,Base!$N:$N,"",Base!$O:$O,"&lt;&gt;Finalizado",Base!$O:$O,"&lt;&gt;Congelado",Base!$O:$O,"&lt;&gt;Concluindo pendências")</f>
        <v>2</v>
      </c>
      <c r="F163" s="93">
        <f>COUNTIFS(Base!$B:$B,F$11,Base!$M:$M,"&lt;"&amp;$B163,Base!$N:$N,"&gt;="&amp;$B163,Base!$O:$O,"&lt;&gt;Finalizado",Base!$O:$O,"&lt;&gt;Congelado",Base!$O:$O,"&lt;&gt;Concluindo pendências") + COUNTIFS(Base!$B:$B,F$11,Base!$M:$M,"&lt;"&amp;$B163,Base!$N:$N,"",Base!$O:$O,"&lt;&gt;Finalizado",Base!$O:$O,"&lt;&gt;Congelado",Base!$O:$O,"&lt;&gt;Concluindo pendências")</f>
        <v>8</v>
      </c>
      <c r="H163" s="93">
        <f>COUNTIFS(Base!$B:$B,C$11,Base!$K:$K,"&lt;"&amp;$B163,Base!$N:$N,"&gt;="&amp;$B163,Base!$O:$O,"&lt;&gt;Finalizado",Base!$O:$O,"&lt;&gt;Congelado") + COUNTIFS(Base!$B:$B,C$11,Base!$K:$K,"&lt;"&amp;$B163,Base!$N:$N,"",Base!$O:$O,"&lt;&gt;Finalizado",Base!$O:$O,"&lt;&gt;Congelado")</f>
        <v>14</v>
      </c>
      <c r="I163" s="93">
        <f>COUNTIFS(Base!$B:$B,D$11,Base!$K:$K,"&lt;"&amp;$B163,Base!$N:$N,"&gt;="&amp;$B163,Base!$O:$O,"&lt;&gt;Finalizado",Base!$O:$O,"&lt;&gt;Congelado") + COUNTIFS(Base!$B:$B,D$11,Base!$K:$K,"&lt;"&amp;$B163,Base!$N:$N,"",Base!$O:$O,"&lt;&gt;Finalizado",Base!$O:$O,"&lt;&gt;Congelado")</f>
        <v>20</v>
      </c>
      <c r="J163" s="93">
        <f>COUNTIFS(Base!$B:$B,E$11,Base!$K:$K,"&lt;"&amp;$B163,Base!$N:$N,"&gt;="&amp;$B163,Base!$O:$O,"&lt;&gt;Finalizado",Base!$O:$O,"&lt;&gt;Congelado") + COUNTIFS(Base!$B:$B,E$11,Base!$K:$K,"&lt;"&amp;$B163,Base!$N:$N,"",Base!$O:$O,"&lt;&gt;Finalizado",Base!$O:$O,"&lt;&gt;Congelado")</f>
        <v>20</v>
      </c>
      <c r="K163" s="93">
        <f>COUNTIFS(Base!$B:$B,F$11,Base!$K:$K,"&lt;"&amp;$B163,Base!$N:$N,"&gt;="&amp;$B163,Base!$O:$O,"&lt;&gt;Finalizado",Base!$O:$O,"&lt;&gt;Congelado") + COUNTIFS(Base!$B:$B,F$11,Base!$K:$K,"&lt;"&amp;$B163,Base!$N:$N,"",Base!$O:$O,"&lt;&gt;Finalizado",Base!$O:$O,"&lt;&gt;Congelado")</f>
        <v>24</v>
      </c>
      <c r="M163" s="133">
        <f t="shared" ref="M163:P163" si="263">C163/H163</f>
        <v>0.5</v>
      </c>
      <c r="N163" s="133">
        <f t="shared" si="263"/>
        <v>0.3</v>
      </c>
      <c r="O163" s="133">
        <f t="shared" si="263"/>
        <v>0.1</v>
      </c>
      <c r="P163" s="133">
        <f t="shared" si="263"/>
        <v>0.3333333333</v>
      </c>
      <c r="Q163" s="133">
        <f t="shared" si="9"/>
        <v>0.2948717949</v>
      </c>
      <c r="S163" s="93">
        <f t="shared" ref="S163:V163" si="264">S162+C163</f>
        <v>511</v>
      </c>
      <c r="T163" s="93">
        <f t="shared" si="264"/>
        <v>803</v>
      </c>
      <c r="U163" s="93">
        <f t="shared" si="264"/>
        <v>604</v>
      </c>
      <c r="V163" s="93">
        <f t="shared" si="264"/>
        <v>679</v>
      </c>
      <c r="W163" s="93">
        <f t="shared" si="11"/>
        <v>2597</v>
      </c>
      <c r="Y163" s="133">
        <f>(COUNTIFS(Base!$B:$B,C$11,Base!$S:$S,"&gt;8",Base!$N:$N,"&lt;="&amp;$B163) - COUNTIFS(Base!$B:$B,C$11,Base!$S:$S,"&lt;7",Base!$N:$N,"&lt;="&amp;$B163) - COUNTIFS(Base!$B:$B,C$11,Base!$S:$S,"&lt;7",Base!$K:$K,"&lt;="&amp;$B163,Base!$O:$O,"Finalizado"))/(COUNTIFS(Base!$B:$B,C$11,Base!$S:$S,"&lt;&gt;",Base!$N:$N,"&lt;="&amp;$B163)+COUNTIFS(Base!$B:$B,C$11,Base!$S:$S,"&lt;7",Base!$K:$K,"&lt;="&amp;$B163,Base!$O:$O,"Finalizado"))</f>
        <v>0.625</v>
      </c>
      <c r="Z163" s="133">
        <f>(COUNTIFS(Base!$B:$B,D$11,Base!$S:$S,"&gt;8",Base!$N:$N,"&lt;="&amp;$B163) - COUNTIFS(Base!$B:$B,D$11,Base!$S:$S,"&lt;7",Base!$N:$N,"&lt;="&amp;$B163) - COUNTIFS(Base!$B:$B,D$11,Base!$S:$S,"&lt;7",Base!$K:$K,"&lt;="&amp;$B163,Base!$O:$O,"Finalizado"))/(COUNTIFS(Base!$B:$B,D$11,Base!$S:$S,"&lt;&gt;",Base!$N:$N,"&lt;="&amp;$B163)+COUNTIFS(Base!$B:$B,D$11,Base!$S:$S,"&lt;7",Base!$K:$K,"&lt;="&amp;$B163,Base!$O:$O,"Finalizado"))</f>
        <v>0.7142857143</v>
      </c>
      <c r="AA163" s="133">
        <f>(COUNTIFS(Base!$B:$B,E$11,Base!$S:$S,"&gt;8",Base!$N:$N,"&lt;="&amp;$B163) - COUNTIFS(Base!$B:$B,E$11,Base!$S:$S,"&lt;7",Base!$N:$N,"&lt;="&amp;$B163) - COUNTIFS(Base!$B:$B,E$11,Base!$S:$S,"&lt;7",Base!$K:$K,"&lt;="&amp;$B163,Base!$O:$O,"Finalizado"))/(COUNTIFS(Base!$B:$B,E$11,Base!$S:$S,"&lt;&gt;",Base!$N:$N,"&lt;="&amp;$B163)+COUNTIFS(Base!$B:$B,E$11,Base!$S:$S,"&lt;7",Base!$K:$K,"&lt;="&amp;$B163,Base!$O:$O,"Finalizado"))</f>
        <v>0.5625</v>
      </c>
      <c r="AB163" s="133">
        <f t="shared" si="12"/>
        <v>0.8</v>
      </c>
      <c r="AD163" s="93">
        <f>(COUNTIFS(Base!$B:$B,F$11,Base!$S:$S,"&gt;8",Base!$N:$N,"&lt;="&amp;$B163)+(COUNTIFS(Base!$B:$B,F$11,Base!$AG:$AG,"&gt;8",Base!$K:$K,"&lt;="&amp;$B163)))</f>
        <v>8</v>
      </c>
      <c r="AE163" s="93">
        <f>(COUNTIFS(Base!$B:$B,F$11,Base!$S:$S,"&lt;&gt;",Base!$N:$N,"&lt;="&amp;$B163)+(COUNTIFS(Base!$B:$B,F$11,Base!$AG:$AG,"&lt;&gt;",Base!$K:$K,"&lt;="&amp;$B163)+COUNTIFS(Base!$B:$B,F$11,Base!$S:$S,"&lt;7",Base!$K:$K,"&lt;="&amp;$B163,Base!$O:$O,"Finalizado")))</f>
        <v>10</v>
      </c>
      <c r="AF163" s="93">
        <f>COUNTIFS(Base!$B:$B,F$11,Base!$S:$S,"&lt;7",Base!$N:$N,"&lt;="&amp;$B163) +COUNTIFS(Base!$B:$B,F$11,Base!$AG:$AG,"&lt;7",Base!$K:$K,"&lt;="&amp;$B163) + COUNTIFS(Base!$B:$B,F$11,Base!$S:$S,"&lt;7",Base!$K:$K,"&lt;="&amp;$B163,Base!$O:$O,"Finalizado")</f>
        <v>0</v>
      </c>
    </row>
    <row r="164">
      <c r="B164" s="151">
        <f t="shared" si="180"/>
        <v>45419</v>
      </c>
      <c r="C164" s="93">
        <f>COUNTIFS(Base!$B:$B,C$11,Base!$M:$M,"&lt;"&amp;$B164,Base!$N:$N,"&gt;="&amp;$B164,Base!$O:$O,"&lt;&gt;Finalizado",Base!$O:$O,"&lt;&gt;Congelado",Base!$O:$O,"&lt;&gt;Concluindo pendências") + COUNTIFS(Base!$B:$B,C$11,Base!$M:$M,"&lt;"&amp;$B164,Base!$N:$N,"",Base!$O:$O,"&lt;&gt;Finalizado",Base!$O:$O,"&lt;&gt;Congelado",Base!$O:$O,"&lt;&gt;Concluindo pendências")</f>
        <v>7</v>
      </c>
      <c r="D164" s="93">
        <f>COUNTIFS(Base!$B:$B,D$11,Base!$M:$M,"&lt;"&amp;$B164,Base!$N:$N,"&gt;="&amp;$B164,Base!$O:$O,"&lt;&gt;Finalizado",Base!$O:$O,"&lt;&gt;Congelado",Base!$O:$O,"&lt;&gt;Concluindo pendências") + COUNTIFS(Base!$B:$B,D$11,Base!$M:$M,"&lt;"&amp;$B164,Base!$N:$N,"",Base!$O:$O,"&lt;&gt;Finalizado",Base!$O:$O,"&lt;&gt;Congelado",Base!$O:$O,"&lt;&gt;Concluindo pendências")</f>
        <v>6</v>
      </c>
      <c r="E164" s="93">
        <f>COUNTIFS(Base!$B:$B,E$11,Base!$M:$M,"&lt;"&amp;$B164,Base!$N:$N,"&gt;="&amp;$B164,Base!$O:$O,"&lt;&gt;Finalizado",Base!$O:$O,"&lt;&gt;Congelado",Base!$O:$O,"&lt;&gt;Concluindo pendências") + COUNTIFS(Base!$B:$B,E$11,Base!$M:$M,"&lt;"&amp;$B164,Base!$N:$N,"",Base!$O:$O,"&lt;&gt;Finalizado",Base!$O:$O,"&lt;&gt;Congelado",Base!$O:$O,"&lt;&gt;Concluindo pendências")</f>
        <v>4</v>
      </c>
      <c r="F164" s="93">
        <f>COUNTIFS(Base!$B:$B,F$11,Base!$M:$M,"&lt;"&amp;$B164,Base!$N:$N,"&gt;="&amp;$B164,Base!$O:$O,"&lt;&gt;Finalizado",Base!$O:$O,"&lt;&gt;Congelado",Base!$O:$O,"&lt;&gt;Concluindo pendências") + COUNTIFS(Base!$B:$B,F$11,Base!$M:$M,"&lt;"&amp;$B164,Base!$N:$N,"",Base!$O:$O,"&lt;&gt;Finalizado",Base!$O:$O,"&lt;&gt;Congelado",Base!$O:$O,"&lt;&gt;Concluindo pendências")</f>
        <v>8</v>
      </c>
      <c r="H164" s="93">
        <f>COUNTIFS(Base!$B:$B,C$11,Base!$K:$K,"&lt;"&amp;$B164,Base!$N:$N,"&gt;="&amp;$B164,Base!$O:$O,"&lt;&gt;Finalizado",Base!$O:$O,"&lt;&gt;Congelado") + COUNTIFS(Base!$B:$B,C$11,Base!$K:$K,"&lt;"&amp;$B164,Base!$N:$N,"",Base!$O:$O,"&lt;&gt;Finalizado",Base!$O:$O,"&lt;&gt;Congelado")</f>
        <v>13</v>
      </c>
      <c r="I164" s="93">
        <f>COUNTIFS(Base!$B:$B,D$11,Base!$K:$K,"&lt;"&amp;$B164,Base!$N:$N,"&gt;="&amp;$B164,Base!$O:$O,"&lt;&gt;Finalizado",Base!$O:$O,"&lt;&gt;Congelado") + COUNTIFS(Base!$B:$B,D$11,Base!$K:$K,"&lt;"&amp;$B164,Base!$N:$N,"",Base!$O:$O,"&lt;&gt;Finalizado",Base!$O:$O,"&lt;&gt;Congelado")</f>
        <v>20</v>
      </c>
      <c r="J164" s="93">
        <f>COUNTIFS(Base!$B:$B,E$11,Base!$K:$K,"&lt;"&amp;$B164,Base!$N:$N,"&gt;="&amp;$B164,Base!$O:$O,"&lt;&gt;Finalizado",Base!$O:$O,"&lt;&gt;Congelado") + COUNTIFS(Base!$B:$B,E$11,Base!$K:$K,"&lt;"&amp;$B164,Base!$N:$N,"",Base!$O:$O,"&lt;&gt;Finalizado",Base!$O:$O,"&lt;&gt;Congelado")</f>
        <v>20</v>
      </c>
      <c r="K164" s="93">
        <f>COUNTIFS(Base!$B:$B,F$11,Base!$K:$K,"&lt;"&amp;$B164,Base!$N:$N,"&gt;="&amp;$B164,Base!$O:$O,"&lt;&gt;Finalizado",Base!$O:$O,"&lt;&gt;Congelado") + COUNTIFS(Base!$B:$B,F$11,Base!$K:$K,"&lt;"&amp;$B164,Base!$N:$N,"",Base!$O:$O,"&lt;&gt;Finalizado",Base!$O:$O,"&lt;&gt;Congelado")</f>
        <v>24</v>
      </c>
      <c r="M164" s="133">
        <f t="shared" ref="M164:P164" si="265">C164/H164</f>
        <v>0.5384615385</v>
      </c>
      <c r="N164" s="133">
        <f t="shared" si="265"/>
        <v>0.3</v>
      </c>
      <c r="O164" s="133">
        <f t="shared" si="265"/>
        <v>0.2</v>
      </c>
      <c r="P164" s="133">
        <f t="shared" si="265"/>
        <v>0.3333333333</v>
      </c>
      <c r="Q164" s="133">
        <f t="shared" si="9"/>
        <v>0.3246753247</v>
      </c>
      <c r="S164" s="93">
        <f t="shared" ref="S164:V164" si="266">S163+C164</f>
        <v>518</v>
      </c>
      <c r="T164" s="93">
        <f t="shared" si="266"/>
        <v>809</v>
      </c>
      <c r="U164" s="93">
        <f t="shared" si="266"/>
        <v>608</v>
      </c>
      <c r="V164" s="93">
        <f t="shared" si="266"/>
        <v>687</v>
      </c>
      <c r="W164" s="93">
        <f t="shared" si="11"/>
        <v>2622</v>
      </c>
      <c r="Y164" s="133">
        <f>(COUNTIFS(Base!$B:$B,C$11,Base!$S:$S,"&gt;8",Base!$N:$N,"&lt;="&amp;$B164) - COUNTIFS(Base!$B:$B,C$11,Base!$S:$S,"&lt;7",Base!$N:$N,"&lt;="&amp;$B164) - COUNTIFS(Base!$B:$B,C$11,Base!$S:$S,"&lt;7",Base!$K:$K,"&lt;="&amp;$B164,Base!$O:$O,"Finalizado"))/(COUNTIFS(Base!$B:$B,C$11,Base!$S:$S,"&lt;&gt;",Base!$N:$N,"&lt;="&amp;$B164)+COUNTIFS(Base!$B:$B,C$11,Base!$S:$S,"&lt;7",Base!$K:$K,"&lt;="&amp;$B164,Base!$O:$O,"Finalizado"))</f>
        <v>0.625</v>
      </c>
      <c r="Z164" s="133">
        <f>(COUNTIFS(Base!$B:$B,D$11,Base!$S:$S,"&gt;8",Base!$N:$N,"&lt;="&amp;$B164) - COUNTIFS(Base!$B:$B,D$11,Base!$S:$S,"&lt;7",Base!$N:$N,"&lt;="&amp;$B164) - COUNTIFS(Base!$B:$B,D$11,Base!$S:$S,"&lt;7",Base!$K:$K,"&lt;="&amp;$B164,Base!$O:$O,"Finalizado"))/(COUNTIFS(Base!$B:$B,D$11,Base!$S:$S,"&lt;&gt;",Base!$N:$N,"&lt;="&amp;$B164)+COUNTIFS(Base!$B:$B,D$11,Base!$S:$S,"&lt;7",Base!$K:$K,"&lt;="&amp;$B164,Base!$O:$O,"Finalizado"))</f>
        <v>0.7142857143</v>
      </c>
      <c r="AA164" s="133">
        <f>(COUNTIFS(Base!$B:$B,E$11,Base!$S:$S,"&gt;8",Base!$N:$N,"&lt;="&amp;$B164) - COUNTIFS(Base!$B:$B,E$11,Base!$S:$S,"&lt;7",Base!$N:$N,"&lt;="&amp;$B164) - COUNTIFS(Base!$B:$B,E$11,Base!$S:$S,"&lt;7",Base!$K:$K,"&lt;="&amp;$B164,Base!$O:$O,"Finalizado"))/(COUNTIFS(Base!$B:$B,E$11,Base!$S:$S,"&lt;&gt;",Base!$N:$N,"&lt;="&amp;$B164)+COUNTIFS(Base!$B:$B,E$11,Base!$S:$S,"&lt;7",Base!$K:$K,"&lt;="&amp;$B164,Base!$O:$O,"Finalizado"))</f>
        <v>0.5625</v>
      </c>
      <c r="AB164" s="133">
        <f t="shared" si="12"/>
        <v>0.8</v>
      </c>
      <c r="AD164" s="93">
        <f>(COUNTIFS(Base!$B:$B,F$11,Base!$S:$S,"&gt;8",Base!$N:$N,"&lt;="&amp;$B164)+(COUNTIFS(Base!$B:$B,F$11,Base!$AG:$AG,"&gt;8",Base!$K:$K,"&lt;="&amp;$B164)))</f>
        <v>8</v>
      </c>
      <c r="AE164" s="93">
        <f>(COUNTIFS(Base!$B:$B,F$11,Base!$S:$S,"&lt;&gt;",Base!$N:$N,"&lt;="&amp;$B164)+(COUNTIFS(Base!$B:$B,F$11,Base!$AG:$AG,"&lt;&gt;",Base!$K:$K,"&lt;="&amp;$B164)+COUNTIFS(Base!$B:$B,F$11,Base!$S:$S,"&lt;7",Base!$K:$K,"&lt;="&amp;$B164,Base!$O:$O,"Finalizado")))</f>
        <v>10</v>
      </c>
      <c r="AF164" s="93">
        <f>COUNTIFS(Base!$B:$B,F$11,Base!$S:$S,"&lt;7",Base!$N:$N,"&lt;="&amp;$B164) +COUNTIFS(Base!$B:$B,F$11,Base!$AG:$AG,"&lt;7",Base!$K:$K,"&lt;="&amp;$B164) + COUNTIFS(Base!$B:$B,F$11,Base!$S:$S,"&lt;7",Base!$K:$K,"&lt;="&amp;$B164,Base!$O:$O,"Finalizado")</f>
        <v>0</v>
      </c>
    </row>
    <row r="165">
      <c r="B165" s="151">
        <f t="shared" si="180"/>
        <v>45420</v>
      </c>
      <c r="C165" s="93">
        <f>COUNTIFS(Base!$B:$B,C$11,Base!$M:$M,"&lt;"&amp;$B165,Base!$N:$N,"&gt;="&amp;$B165,Base!$O:$O,"&lt;&gt;Finalizado",Base!$O:$O,"&lt;&gt;Congelado",Base!$O:$O,"&lt;&gt;Concluindo pendências") + COUNTIFS(Base!$B:$B,C$11,Base!$M:$M,"&lt;"&amp;$B165,Base!$N:$N,"",Base!$O:$O,"&lt;&gt;Finalizado",Base!$O:$O,"&lt;&gt;Congelado",Base!$O:$O,"&lt;&gt;Concluindo pendências")</f>
        <v>7</v>
      </c>
      <c r="D165" s="93">
        <f>COUNTIFS(Base!$B:$B,D$11,Base!$M:$M,"&lt;"&amp;$B165,Base!$N:$N,"&gt;="&amp;$B165,Base!$O:$O,"&lt;&gt;Finalizado",Base!$O:$O,"&lt;&gt;Congelado",Base!$O:$O,"&lt;&gt;Concluindo pendências") + COUNTIFS(Base!$B:$B,D$11,Base!$M:$M,"&lt;"&amp;$B165,Base!$N:$N,"",Base!$O:$O,"&lt;&gt;Finalizado",Base!$O:$O,"&lt;&gt;Congelado",Base!$O:$O,"&lt;&gt;Concluindo pendências")</f>
        <v>7</v>
      </c>
      <c r="E165" s="93">
        <f>COUNTIFS(Base!$B:$B,E$11,Base!$M:$M,"&lt;"&amp;$B165,Base!$N:$N,"&gt;="&amp;$B165,Base!$O:$O,"&lt;&gt;Finalizado",Base!$O:$O,"&lt;&gt;Congelado",Base!$O:$O,"&lt;&gt;Concluindo pendências") + COUNTIFS(Base!$B:$B,E$11,Base!$M:$M,"&lt;"&amp;$B165,Base!$N:$N,"",Base!$O:$O,"&lt;&gt;Finalizado",Base!$O:$O,"&lt;&gt;Congelado",Base!$O:$O,"&lt;&gt;Concluindo pendências")</f>
        <v>5</v>
      </c>
      <c r="F165" s="93">
        <f>COUNTIFS(Base!$B:$B,F$11,Base!$M:$M,"&lt;"&amp;$B165,Base!$N:$N,"&gt;="&amp;$B165,Base!$O:$O,"&lt;&gt;Finalizado",Base!$O:$O,"&lt;&gt;Congelado",Base!$O:$O,"&lt;&gt;Concluindo pendências") + COUNTIFS(Base!$B:$B,F$11,Base!$M:$M,"&lt;"&amp;$B165,Base!$N:$N,"",Base!$O:$O,"&lt;&gt;Finalizado",Base!$O:$O,"&lt;&gt;Congelado",Base!$O:$O,"&lt;&gt;Concluindo pendências")</f>
        <v>6</v>
      </c>
      <c r="H165" s="93">
        <f>COUNTIFS(Base!$B:$B,C$11,Base!$K:$K,"&lt;"&amp;$B165,Base!$N:$N,"&gt;="&amp;$B165,Base!$O:$O,"&lt;&gt;Finalizado",Base!$O:$O,"&lt;&gt;Congelado") + COUNTIFS(Base!$B:$B,C$11,Base!$K:$K,"&lt;"&amp;$B165,Base!$N:$N,"",Base!$O:$O,"&lt;&gt;Finalizado",Base!$O:$O,"&lt;&gt;Congelado")</f>
        <v>13</v>
      </c>
      <c r="I165" s="93">
        <f>COUNTIFS(Base!$B:$B,D$11,Base!$K:$K,"&lt;"&amp;$B165,Base!$N:$N,"&gt;="&amp;$B165,Base!$O:$O,"&lt;&gt;Finalizado",Base!$O:$O,"&lt;&gt;Congelado") + COUNTIFS(Base!$B:$B,D$11,Base!$K:$K,"&lt;"&amp;$B165,Base!$N:$N,"",Base!$O:$O,"&lt;&gt;Finalizado",Base!$O:$O,"&lt;&gt;Congelado")</f>
        <v>21</v>
      </c>
      <c r="J165" s="93">
        <f>COUNTIFS(Base!$B:$B,E$11,Base!$K:$K,"&lt;"&amp;$B165,Base!$N:$N,"&gt;="&amp;$B165,Base!$O:$O,"&lt;&gt;Finalizado",Base!$O:$O,"&lt;&gt;Congelado") + COUNTIFS(Base!$B:$B,E$11,Base!$K:$K,"&lt;"&amp;$B165,Base!$N:$N,"",Base!$O:$O,"&lt;&gt;Finalizado",Base!$O:$O,"&lt;&gt;Congelado")</f>
        <v>20</v>
      </c>
      <c r="K165" s="93">
        <f>COUNTIFS(Base!$B:$B,F$11,Base!$K:$K,"&lt;"&amp;$B165,Base!$N:$N,"&gt;="&amp;$B165,Base!$O:$O,"&lt;&gt;Finalizado",Base!$O:$O,"&lt;&gt;Congelado") + COUNTIFS(Base!$B:$B,F$11,Base!$K:$K,"&lt;"&amp;$B165,Base!$N:$N,"",Base!$O:$O,"&lt;&gt;Finalizado",Base!$O:$O,"&lt;&gt;Congelado")</f>
        <v>22</v>
      </c>
      <c r="M165" s="133">
        <f t="shared" ref="M165:P165" si="267">C165/H165</f>
        <v>0.5384615385</v>
      </c>
      <c r="N165" s="133">
        <f t="shared" si="267"/>
        <v>0.3333333333</v>
      </c>
      <c r="O165" s="133">
        <f t="shared" si="267"/>
        <v>0.25</v>
      </c>
      <c r="P165" s="133">
        <f t="shared" si="267"/>
        <v>0.2727272727</v>
      </c>
      <c r="Q165" s="133">
        <f t="shared" si="9"/>
        <v>0.3289473684</v>
      </c>
      <c r="S165" s="93">
        <f t="shared" ref="S165:V165" si="268">S164+C165</f>
        <v>525</v>
      </c>
      <c r="T165" s="93">
        <f t="shared" si="268"/>
        <v>816</v>
      </c>
      <c r="U165" s="93">
        <f t="shared" si="268"/>
        <v>613</v>
      </c>
      <c r="V165" s="93">
        <f t="shared" si="268"/>
        <v>693</v>
      </c>
      <c r="W165" s="93">
        <f t="shared" si="11"/>
        <v>2647</v>
      </c>
      <c r="Y165" s="133">
        <f>(COUNTIFS(Base!$B:$B,C$11,Base!$S:$S,"&gt;8",Base!$N:$N,"&lt;="&amp;$B165) - COUNTIFS(Base!$B:$B,C$11,Base!$S:$S,"&lt;7",Base!$N:$N,"&lt;="&amp;$B165) - COUNTIFS(Base!$B:$B,C$11,Base!$S:$S,"&lt;7",Base!$K:$K,"&lt;="&amp;$B165,Base!$O:$O,"Finalizado"))/(COUNTIFS(Base!$B:$B,C$11,Base!$S:$S,"&lt;&gt;",Base!$N:$N,"&lt;="&amp;$B165)+COUNTIFS(Base!$B:$B,C$11,Base!$S:$S,"&lt;7",Base!$K:$K,"&lt;="&amp;$B165,Base!$O:$O,"Finalizado"))</f>
        <v>0.625</v>
      </c>
      <c r="Z165" s="133">
        <f>(COUNTIFS(Base!$B:$B,D$11,Base!$S:$S,"&gt;8",Base!$N:$N,"&lt;="&amp;$B165) - COUNTIFS(Base!$B:$B,D$11,Base!$S:$S,"&lt;7",Base!$N:$N,"&lt;="&amp;$B165) - COUNTIFS(Base!$B:$B,D$11,Base!$S:$S,"&lt;7",Base!$K:$K,"&lt;="&amp;$B165,Base!$O:$O,"Finalizado"))/(COUNTIFS(Base!$B:$B,D$11,Base!$S:$S,"&lt;&gt;",Base!$N:$N,"&lt;="&amp;$B165)+COUNTIFS(Base!$B:$B,D$11,Base!$S:$S,"&lt;7",Base!$K:$K,"&lt;="&amp;$B165,Base!$O:$O,"Finalizado"))</f>
        <v>0.7142857143</v>
      </c>
      <c r="AA165" s="133">
        <f>(COUNTIFS(Base!$B:$B,E$11,Base!$S:$S,"&gt;8",Base!$N:$N,"&lt;="&amp;$B165) - COUNTIFS(Base!$B:$B,E$11,Base!$S:$S,"&lt;7",Base!$N:$N,"&lt;="&amp;$B165) - COUNTIFS(Base!$B:$B,E$11,Base!$S:$S,"&lt;7",Base!$K:$K,"&lt;="&amp;$B165,Base!$O:$O,"Finalizado"))/(COUNTIFS(Base!$B:$B,E$11,Base!$S:$S,"&lt;&gt;",Base!$N:$N,"&lt;="&amp;$B165)+COUNTIFS(Base!$B:$B,E$11,Base!$S:$S,"&lt;7",Base!$K:$K,"&lt;="&amp;$B165,Base!$O:$O,"Finalizado"))</f>
        <v>0.5625</v>
      </c>
      <c r="AB165" s="133">
        <f t="shared" si="12"/>
        <v>0.8</v>
      </c>
      <c r="AD165" s="93">
        <f>(COUNTIFS(Base!$B:$B,F$11,Base!$S:$S,"&gt;8",Base!$N:$N,"&lt;="&amp;$B165)+(COUNTIFS(Base!$B:$B,F$11,Base!$AG:$AG,"&gt;8",Base!$K:$K,"&lt;="&amp;$B165)))</f>
        <v>8</v>
      </c>
      <c r="AE165" s="93">
        <f>(COUNTIFS(Base!$B:$B,F$11,Base!$S:$S,"&lt;&gt;",Base!$N:$N,"&lt;="&amp;$B165)+(COUNTIFS(Base!$B:$B,F$11,Base!$AG:$AG,"&lt;&gt;",Base!$K:$K,"&lt;="&amp;$B165)+COUNTIFS(Base!$B:$B,F$11,Base!$S:$S,"&lt;7",Base!$K:$K,"&lt;="&amp;$B165,Base!$O:$O,"Finalizado")))</f>
        <v>10</v>
      </c>
      <c r="AF165" s="93">
        <f>COUNTIFS(Base!$B:$B,F$11,Base!$S:$S,"&lt;7",Base!$N:$N,"&lt;="&amp;$B165) +COUNTIFS(Base!$B:$B,F$11,Base!$AG:$AG,"&lt;7",Base!$K:$K,"&lt;="&amp;$B165) + COUNTIFS(Base!$B:$B,F$11,Base!$S:$S,"&lt;7",Base!$K:$K,"&lt;="&amp;$B165,Base!$O:$O,"Finalizado")</f>
        <v>0</v>
      </c>
    </row>
    <row r="166">
      <c r="B166" s="151">
        <f t="shared" si="180"/>
        <v>45421</v>
      </c>
      <c r="C166" s="93">
        <f>COUNTIFS(Base!$B:$B,C$11,Base!$M:$M,"&lt;"&amp;$B166,Base!$N:$N,"&gt;="&amp;$B166,Base!$O:$O,"&lt;&gt;Finalizado",Base!$O:$O,"&lt;&gt;Congelado",Base!$O:$O,"&lt;&gt;Concluindo pendências") + COUNTIFS(Base!$B:$B,C$11,Base!$M:$M,"&lt;"&amp;$B166,Base!$N:$N,"",Base!$O:$O,"&lt;&gt;Finalizado",Base!$O:$O,"&lt;&gt;Congelado",Base!$O:$O,"&lt;&gt;Concluindo pendências")</f>
        <v>7</v>
      </c>
      <c r="D166" s="93">
        <f>COUNTIFS(Base!$B:$B,D$11,Base!$M:$M,"&lt;"&amp;$B166,Base!$N:$N,"&gt;="&amp;$B166,Base!$O:$O,"&lt;&gt;Finalizado",Base!$O:$O,"&lt;&gt;Congelado",Base!$O:$O,"&lt;&gt;Concluindo pendências") + COUNTIFS(Base!$B:$B,D$11,Base!$M:$M,"&lt;"&amp;$B166,Base!$N:$N,"",Base!$O:$O,"&lt;&gt;Finalizado",Base!$O:$O,"&lt;&gt;Congelado",Base!$O:$O,"&lt;&gt;Concluindo pendências")</f>
        <v>8</v>
      </c>
      <c r="E166" s="93">
        <f>COUNTIFS(Base!$B:$B,E$11,Base!$M:$M,"&lt;"&amp;$B166,Base!$N:$N,"&gt;="&amp;$B166,Base!$O:$O,"&lt;&gt;Finalizado",Base!$O:$O,"&lt;&gt;Congelado",Base!$O:$O,"&lt;&gt;Concluindo pendências") + COUNTIFS(Base!$B:$B,E$11,Base!$M:$M,"&lt;"&amp;$B166,Base!$N:$N,"",Base!$O:$O,"&lt;&gt;Finalizado",Base!$O:$O,"&lt;&gt;Congelado",Base!$O:$O,"&lt;&gt;Concluindo pendências")</f>
        <v>6</v>
      </c>
      <c r="F166" s="93">
        <f>COUNTIFS(Base!$B:$B,F$11,Base!$M:$M,"&lt;"&amp;$B166,Base!$N:$N,"&gt;="&amp;$B166,Base!$O:$O,"&lt;&gt;Finalizado",Base!$O:$O,"&lt;&gt;Congelado",Base!$O:$O,"&lt;&gt;Concluindo pendências") + COUNTIFS(Base!$B:$B,F$11,Base!$M:$M,"&lt;"&amp;$B166,Base!$N:$N,"",Base!$O:$O,"&lt;&gt;Finalizado",Base!$O:$O,"&lt;&gt;Congelado",Base!$O:$O,"&lt;&gt;Concluindo pendências")</f>
        <v>6</v>
      </c>
      <c r="H166" s="93">
        <f>COUNTIFS(Base!$B:$B,C$11,Base!$K:$K,"&lt;"&amp;$B166,Base!$N:$N,"&gt;="&amp;$B166,Base!$O:$O,"&lt;&gt;Finalizado",Base!$O:$O,"&lt;&gt;Congelado") + COUNTIFS(Base!$B:$B,C$11,Base!$K:$K,"&lt;"&amp;$B166,Base!$N:$N,"",Base!$O:$O,"&lt;&gt;Finalizado",Base!$O:$O,"&lt;&gt;Congelado")</f>
        <v>13</v>
      </c>
      <c r="I166" s="93">
        <f>COUNTIFS(Base!$B:$B,D$11,Base!$K:$K,"&lt;"&amp;$B166,Base!$N:$N,"&gt;="&amp;$B166,Base!$O:$O,"&lt;&gt;Finalizado",Base!$O:$O,"&lt;&gt;Congelado") + COUNTIFS(Base!$B:$B,D$11,Base!$K:$K,"&lt;"&amp;$B166,Base!$N:$N,"",Base!$O:$O,"&lt;&gt;Finalizado",Base!$O:$O,"&lt;&gt;Congelado")</f>
        <v>22</v>
      </c>
      <c r="J166" s="93">
        <f>COUNTIFS(Base!$B:$B,E$11,Base!$K:$K,"&lt;"&amp;$B166,Base!$N:$N,"&gt;="&amp;$B166,Base!$O:$O,"&lt;&gt;Finalizado",Base!$O:$O,"&lt;&gt;Congelado") + COUNTIFS(Base!$B:$B,E$11,Base!$K:$K,"&lt;"&amp;$B166,Base!$N:$N,"",Base!$O:$O,"&lt;&gt;Finalizado",Base!$O:$O,"&lt;&gt;Congelado")</f>
        <v>20</v>
      </c>
      <c r="K166" s="93">
        <f>COUNTIFS(Base!$B:$B,F$11,Base!$K:$K,"&lt;"&amp;$B166,Base!$N:$N,"&gt;="&amp;$B166,Base!$O:$O,"&lt;&gt;Finalizado",Base!$O:$O,"&lt;&gt;Congelado") + COUNTIFS(Base!$B:$B,F$11,Base!$K:$K,"&lt;"&amp;$B166,Base!$N:$N,"",Base!$O:$O,"&lt;&gt;Finalizado",Base!$O:$O,"&lt;&gt;Congelado")</f>
        <v>22</v>
      </c>
      <c r="M166" s="133">
        <f t="shared" ref="M166:P166" si="269">C166/H166</f>
        <v>0.5384615385</v>
      </c>
      <c r="N166" s="133">
        <f t="shared" si="269"/>
        <v>0.3636363636</v>
      </c>
      <c r="O166" s="133">
        <f t="shared" si="269"/>
        <v>0.3</v>
      </c>
      <c r="P166" s="133">
        <f t="shared" si="269"/>
        <v>0.2727272727</v>
      </c>
      <c r="Q166" s="133">
        <f t="shared" si="9"/>
        <v>0.3506493506</v>
      </c>
      <c r="S166" s="93">
        <f t="shared" ref="S166:V166" si="270">S165+C166</f>
        <v>532</v>
      </c>
      <c r="T166" s="93">
        <f t="shared" si="270"/>
        <v>824</v>
      </c>
      <c r="U166" s="93">
        <f t="shared" si="270"/>
        <v>619</v>
      </c>
      <c r="V166" s="93">
        <f t="shared" si="270"/>
        <v>699</v>
      </c>
      <c r="W166" s="93">
        <f t="shared" si="11"/>
        <v>2674</v>
      </c>
      <c r="Y166" s="133">
        <f>(COUNTIFS(Base!$B:$B,C$11,Base!$S:$S,"&gt;8",Base!$N:$N,"&lt;="&amp;$B166) - COUNTIFS(Base!$B:$B,C$11,Base!$S:$S,"&lt;7",Base!$N:$N,"&lt;="&amp;$B166) - COUNTIFS(Base!$B:$B,C$11,Base!$S:$S,"&lt;7",Base!$K:$K,"&lt;="&amp;$B166,Base!$O:$O,"Finalizado"))/(COUNTIFS(Base!$B:$B,C$11,Base!$S:$S,"&lt;&gt;",Base!$N:$N,"&lt;="&amp;$B166)+COUNTIFS(Base!$B:$B,C$11,Base!$S:$S,"&lt;7",Base!$K:$K,"&lt;="&amp;$B166,Base!$O:$O,"Finalizado"))</f>
        <v>0.625</v>
      </c>
      <c r="Z166" s="133">
        <f>(COUNTIFS(Base!$B:$B,D$11,Base!$S:$S,"&gt;8",Base!$N:$N,"&lt;="&amp;$B166) - COUNTIFS(Base!$B:$B,D$11,Base!$S:$S,"&lt;7",Base!$N:$N,"&lt;="&amp;$B166) - COUNTIFS(Base!$B:$B,D$11,Base!$S:$S,"&lt;7",Base!$K:$K,"&lt;="&amp;$B166,Base!$O:$O,"Finalizado"))/(COUNTIFS(Base!$B:$B,D$11,Base!$S:$S,"&lt;&gt;",Base!$N:$N,"&lt;="&amp;$B166)+COUNTIFS(Base!$B:$B,D$11,Base!$S:$S,"&lt;7",Base!$K:$K,"&lt;="&amp;$B166,Base!$O:$O,"Finalizado"))</f>
        <v>0.7142857143</v>
      </c>
      <c r="AA166" s="133">
        <f>(COUNTIFS(Base!$B:$B,E$11,Base!$S:$S,"&gt;8",Base!$N:$N,"&lt;="&amp;$B166) - COUNTIFS(Base!$B:$B,E$11,Base!$S:$S,"&lt;7",Base!$N:$N,"&lt;="&amp;$B166) - COUNTIFS(Base!$B:$B,E$11,Base!$S:$S,"&lt;7",Base!$K:$K,"&lt;="&amp;$B166,Base!$O:$O,"Finalizado"))/(COUNTIFS(Base!$B:$B,E$11,Base!$S:$S,"&lt;&gt;",Base!$N:$N,"&lt;="&amp;$B166)+COUNTIFS(Base!$B:$B,E$11,Base!$S:$S,"&lt;7",Base!$K:$K,"&lt;="&amp;$B166,Base!$O:$O,"Finalizado"))</f>
        <v>0.5625</v>
      </c>
      <c r="AB166" s="133">
        <f t="shared" si="12"/>
        <v>0.8</v>
      </c>
      <c r="AD166" s="93">
        <f>(COUNTIFS(Base!$B:$B,F$11,Base!$S:$S,"&gt;8",Base!$N:$N,"&lt;="&amp;$B166)+(COUNTIFS(Base!$B:$B,F$11,Base!$AG:$AG,"&gt;8",Base!$K:$K,"&lt;="&amp;$B166)))</f>
        <v>8</v>
      </c>
      <c r="AE166" s="93">
        <f>(COUNTIFS(Base!$B:$B,F$11,Base!$S:$S,"&lt;&gt;",Base!$N:$N,"&lt;="&amp;$B166)+(COUNTIFS(Base!$B:$B,F$11,Base!$AG:$AG,"&lt;&gt;",Base!$K:$K,"&lt;="&amp;$B166)+COUNTIFS(Base!$B:$B,F$11,Base!$S:$S,"&lt;7",Base!$K:$K,"&lt;="&amp;$B166,Base!$O:$O,"Finalizado")))</f>
        <v>10</v>
      </c>
      <c r="AF166" s="93">
        <f>COUNTIFS(Base!$B:$B,F$11,Base!$S:$S,"&lt;7",Base!$N:$N,"&lt;="&amp;$B166) +COUNTIFS(Base!$B:$B,F$11,Base!$AG:$AG,"&lt;7",Base!$K:$K,"&lt;="&amp;$B166) + COUNTIFS(Base!$B:$B,F$11,Base!$S:$S,"&lt;7",Base!$K:$K,"&lt;="&amp;$B166,Base!$O:$O,"Finalizado")</f>
        <v>0</v>
      </c>
    </row>
    <row r="167">
      <c r="B167" s="151">
        <f t="shared" si="180"/>
        <v>45422</v>
      </c>
      <c r="C167" s="93">
        <f>COUNTIFS(Base!$B:$B,C$11,Base!$M:$M,"&lt;"&amp;$B167,Base!$N:$N,"&gt;="&amp;$B167,Base!$O:$O,"&lt;&gt;Finalizado",Base!$O:$O,"&lt;&gt;Congelado",Base!$O:$O,"&lt;&gt;Concluindo pendências") + COUNTIFS(Base!$B:$B,C$11,Base!$M:$M,"&lt;"&amp;$B167,Base!$N:$N,"",Base!$O:$O,"&lt;&gt;Finalizado",Base!$O:$O,"&lt;&gt;Congelado",Base!$O:$O,"&lt;&gt;Concluindo pendências")</f>
        <v>7</v>
      </c>
      <c r="D167" s="93">
        <f>COUNTIFS(Base!$B:$B,D$11,Base!$M:$M,"&lt;"&amp;$B167,Base!$N:$N,"&gt;="&amp;$B167,Base!$O:$O,"&lt;&gt;Finalizado",Base!$O:$O,"&lt;&gt;Congelado",Base!$O:$O,"&lt;&gt;Concluindo pendências") + COUNTIFS(Base!$B:$B,D$11,Base!$M:$M,"&lt;"&amp;$B167,Base!$N:$N,"",Base!$O:$O,"&lt;&gt;Finalizado",Base!$O:$O,"&lt;&gt;Congelado",Base!$O:$O,"&lt;&gt;Concluindo pendências")</f>
        <v>8</v>
      </c>
      <c r="E167" s="93">
        <f>COUNTIFS(Base!$B:$B,E$11,Base!$M:$M,"&lt;"&amp;$B167,Base!$N:$N,"&gt;="&amp;$B167,Base!$O:$O,"&lt;&gt;Finalizado",Base!$O:$O,"&lt;&gt;Congelado",Base!$O:$O,"&lt;&gt;Concluindo pendências") + COUNTIFS(Base!$B:$B,E$11,Base!$M:$M,"&lt;"&amp;$B167,Base!$N:$N,"",Base!$O:$O,"&lt;&gt;Finalizado",Base!$O:$O,"&lt;&gt;Congelado",Base!$O:$O,"&lt;&gt;Concluindo pendências")</f>
        <v>6</v>
      </c>
      <c r="F167" s="93">
        <f>COUNTIFS(Base!$B:$B,F$11,Base!$M:$M,"&lt;"&amp;$B167,Base!$N:$N,"&gt;="&amp;$B167,Base!$O:$O,"&lt;&gt;Finalizado",Base!$O:$O,"&lt;&gt;Congelado",Base!$O:$O,"&lt;&gt;Concluindo pendências") + COUNTIFS(Base!$B:$B,F$11,Base!$M:$M,"&lt;"&amp;$B167,Base!$N:$N,"",Base!$O:$O,"&lt;&gt;Finalizado",Base!$O:$O,"&lt;&gt;Congelado",Base!$O:$O,"&lt;&gt;Concluindo pendências")</f>
        <v>6</v>
      </c>
      <c r="H167" s="93">
        <f>COUNTIFS(Base!$B:$B,C$11,Base!$K:$K,"&lt;"&amp;$B167,Base!$N:$N,"&gt;="&amp;$B167,Base!$O:$O,"&lt;&gt;Finalizado",Base!$O:$O,"&lt;&gt;Congelado") + COUNTIFS(Base!$B:$B,C$11,Base!$K:$K,"&lt;"&amp;$B167,Base!$N:$N,"",Base!$O:$O,"&lt;&gt;Finalizado",Base!$O:$O,"&lt;&gt;Congelado")</f>
        <v>13</v>
      </c>
      <c r="I167" s="93">
        <f>COUNTIFS(Base!$B:$B,D$11,Base!$K:$K,"&lt;"&amp;$B167,Base!$N:$N,"&gt;="&amp;$B167,Base!$O:$O,"&lt;&gt;Finalizado",Base!$O:$O,"&lt;&gt;Congelado") + COUNTIFS(Base!$B:$B,D$11,Base!$K:$K,"&lt;"&amp;$B167,Base!$N:$N,"",Base!$O:$O,"&lt;&gt;Finalizado",Base!$O:$O,"&lt;&gt;Congelado")</f>
        <v>22</v>
      </c>
      <c r="J167" s="93">
        <f>COUNTIFS(Base!$B:$B,E$11,Base!$K:$K,"&lt;"&amp;$B167,Base!$N:$N,"&gt;="&amp;$B167,Base!$O:$O,"&lt;&gt;Finalizado",Base!$O:$O,"&lt;&gt;Congelado") + COUNTIFS(Base!$B:$B,E$11,Base!$K:$K,"&lt;"&amp;$B167,Base!$N:$N,"",Base!$O:$O,"&lt;&gt;Finalizado",Base!$O:$O,"&lt;&gt;Congelado")</f>
        <v>20</v>
      </c>
      <c r="K167" s="93">
        <f>COUNTIFS(Base!$B:$B,F$11,Base!$K:$K,"&lt;"&amp;$B167,Base!$N:$N,"&gt;="&amp;$B167,Base!$O:$O,"&lt;&gt;Finalizado",Base!$O:$O,"&lt;&gt;Congelado") + COUNTIFS(Base!$B:$B,F$11,Base!$K:$K,"&lt;"&amp;$B167,Base!$N:$N,"",Base!$O:$O,"&lt;&gt;Finalizado",Base!$O:$O,"&lt;&gt;Congelado")</f>
        <v>22</v>
      </c>
      <c r="M167" s="133">
        <f t="shared" ref="M167:P167" si="271">C167/H167</f>
        <v>0.5384615385</v>
      </c>
      <c r="N167" s="133">
        <f t="shared" si="271"/>
        <v>0.3636363636</v>
      </c>
      <c r="O167" s="133">
        <f t="shared" si="271"/>
        <v>0.3</v>
      </c>
      <c r="P167" s="133">
        <f t="shared" si="271"/>
        <v>0.2727272727</v>
      </c>
      <c r="Q167" s="133">
        <f t="shared" si="9"/>
        <v>0.3506493506</v>
      </c>
      <c r="S167" s="93">
        <f t="shared" ref="S167:V167" si="272">S166+C167</f>
        <v>539</v>
      </c>
      <c r="T167" s="93">
        <f t="shared" si="272"/>
        <v>832</v>
      </c>
      <c r="U167" s="93">
        <f t="shared" si="272"/>
        <v>625</v>
      </c>
      <c r="V167" s="93">
        <f t="shared" si="272"/>
        <v>705</v>
      </c>
      <c r="W167" s="93">
        <f t="shared" si="11"/>
        <v>2701</v>
      </c>
      <c r="Y167" s="133">
        <f>(COUNTIFS(Base!$B:$B,C$11,Base!$S:$S,"&gt;8",Base!$N:$N,"&lt;="&amp;$B167) - COUNTIFS(Base!$B:$B,C$11,Base!$S:$S,"&lt;7",Base!$N:$N,"&lt;="&amp;$B167) - COUNTIFS(Base!$B:$B,C$11,Base!$S:$S,"&lt;7",Base!$K:$K,"&lt;="&amp;$B167,Base!$O:$O,"Finalizado"))/(COUNTIFS(Base!$B:$B,C$11,Base!$S:$S,"&lt;&gt;",Base!$N:$N,"&lt;="&amp;$B167)+COUNTIFS(Base!$B:$B,C$11,Base!$S:$S,"&lt;7",Base!$K:$K,"&lt;="&amp;$B167,Base!$O:$O,"Finalizado"))</f>
        <v>0.5555555556</v>
      </c>
      <c r="Z167" s="133">
        <f>(COUNTIFS(Base!$B:$B,D$11,Base!$S:$S,"&gt;8",Base!$N:$N,"&lt;="&amp;$B167) - COUNTIFS(Base!$B:$B,D$11,Base!$S:$S,"&lt;7",Base!$N:$N,"&lt;="&amp;$B167) - COUNTIFS(Base!$B:$B,D$11,Base!$S:$S,"&lt;7",Base!$K:$K,"&lt;="&amp;$B167,Base!$O:$O,"Finalizado"))/(COUNTIFS(Base!$B:$B,D$11,Base!$S:$S,"&lt;&gt;",Base!$N:$N,"&lt;="&amp;$B167)+COUNTIFS(Base!$B:$B,D$11,Base!$S:$S,"&lt;7",Base!$K:$K,"&lt;="&amp;$B167,Base!$O:$O,"Finalizado"))</f>
        <v>0.7333333333</v>
      </c>
      <c r="AA167" s="133">
        <f>(COUNTIFS(Base!$B:$B,E$11,Base!$S:$S,"&gt;8",Base!$N:$N,"&lt;="&amp;$B167) - COUNTIFS(Base!$B:$B,E$11,Base!$S:$S,"&lt;7",Base!$N:$N,"&lt;="&amp;$B167) - COUNTIFS(Base!$B:$B,E$11,Base!$S:$S,"&lt;7",Base!$K:$K,"&lt;="&amp;$B167,Base!$O:$O,"Finalizado"))/(COUNTIFS(Base!$B:$B,E$11,Base!$S:$S,"&lt;&gt;",Base!$N:$N,"&lt;="&amp;$B167)+COUNTIFS(Base!$B:$B,E$11,Base!$S:$S,"&lt;7",Base!$K:$K,"&lt;="&amp;$B167,Base!$O:$O,"Finalizado"))</f>
        <v>0.5625</v>
      </c>
      <c r="AB167" s="133">
        <f t="shared" si="12"/>
        <v>0.8</v>
      </c>
      <c r="AD167" s="93">
        <f>(COUNTIFS(Base!$B:$B,F$11,Base!$S:$S,"&gt;8",Base!$N:$N,"&lt;="&amp;$B167)+(COUNTIFS(Base!$B:$B,F$11,Base!$AG:$AG,"&gt;8",Base!$K:$K,"&lt;="&amp;$B167)))</f>
        <v>8</v>
      </c>
      <c r="AE167" s="93">
        <f>(COUNTIFS(Base!$B:$B,F$11,Base!$S:$S,"&lt;&gt;",Base!$N:$N,"&lt;="&amp;$B167)+(COUNTIFS(Base!$B:$B,F$11,Base!$AG:$AG,"&lt;&gt;",Base!$K:$K,"&lt;="&amp;$B167)+COUNTIFS(Base!$B:$B,F$11,Base!$S:$S,"&lt;7",Base!$K:$K,"&lt;="&amp;$B167,Base!$O:$O,"Finalizado")))</f>
        <v>10</v>
      </c>
      <c r="AF167" s="93">
        <f>COUNTIFS(Base!$B:$B,F$11,Base!$S:$S,"&lt;7",Base!$N:$N,"&lt;="&amp;$B167) +COUNTIFS(Base!$B:$B,F$11,Base!$AG:$AG,"&lt;7",Base!$K:$K,"&lt;="&amp;$B167) + COUNTIFS(Base!$B:$B,F$11,Base!$S:$S,"&lt;7",Base!$K:$K,"&lt;="&amp;$B167,Base!$O:$O,"Finalizado")</f>
        <v>0</v>
      </c>
    </row>
    <row r="168">
      <c r="B168" s="151">
        <f t="shared" si="180"/>
        <v>45423</v>
      </c>
      <c r="C168" s="93">
        <f>COUNTIFS(Base!$B:$B,C$11,Base!$M:$M,"&lt;"&amp;$B168,Base!$N:$N,"&gt;="&amp;$B168,Base!$O:$O,"&lt;&gt;Finalizado",Base!$O:$O,"&lt;&gt;Congelado",Base!$O:$O,"&lt;&gt;Concluindo pendências") + COUNTIFS(Base!$B:$B,C$11,Base!$M:$M,"&lt;"&amp;$B168,Base!$N:$N,"",Base!$O:$O,"&lt;&gt;Finalizado",Base!$O:$O,"&lt;&gt;Congelado",Base!$O:$O,"&lt;&gt;Concluindo pendências")</f>
        <v>5</v>
      </c>
      <c r="D168" s="93">
        <f>COUNTIFS(Base!$B:$B,D$11,Base!$M:$M,"&lt;"&amp;$B168,Base!$N:$N,"&gt;="&amp;$B168,Base!$O:$O,"&lt;&gt;Finalizado",Base!$O:$O,"&lt;&gt;Congelado",Base!$O:$O,"&lt;&gt;Concluindo pendências") + COUNTIFS(Base!$B:$B,D$11,Base!$M:$M,"&lt;"&amp;$B168,Base!$N:$N,"",Base!$O:$O,"&lt;&gt;Finalizado",Base!$O:$O,"&lt;&gt;Congelado",Base!$O:$O,"&lt;&gt;Concluindo pendências")</f>
        <v>6</v>
      </c>
      <c r="E168" s="93">
        <f>COUNTIFS(Base!$B:$B,E$11,Base!$M:$M,"&lt;"&amp;$B168,Base!$N:$N,"&gt;="&amp;$B168,Base!$O:$O,"&lt;&gt;Finalizado",Base!$O:$O,"&lt;&gt;Congelado",Base!$O:$O,"&lt;&gt;Concluindo pendências") + COUNTIFS(Base!$B:$B,E$11,Base!$M:$M,"&lt;"&amp;$B168,Base!$N:$N,"",Base!$O:$O,"&lt;&gt;Finalizado",Base!$O:$O,"&lt;&gt;Congelado",Base!$O:$O,"&lt;&gt;Concluindo pendências")</f>
        <v>6</v>
      </c>
      <c r="F168" s="93">
        <f>COUNTIFS(Base!$B:$B,F$11,Base!$M:$M,"&lt;"&amp;$B168,Base!$N:$N,"&gt;="&amp;$B168,Base!$O:$O,"&lt;&gt;Finalizado",Base!$O:$O,"&lt;&gt;Congelado",Base!$O:$O,"&lt;&gt;Concluindo pendências") + COUNTIFS(Base!$B:$B,F$11,Base!$M:$M,"&lt;"&amp;$B168,Base!$N:$N,"",Base!$O:$O,"&lt;&gt;Finalizado",Base!$O:$O,"&lt;&gt;Congelado",Base!$O:$O,"&lt;&gt;Concluindo pendências")</f>
        <v>6</v>
      </c>
      <c r="H168" s="93">
        <f>COUNTIFS(Base!$B:$B,C$11,Base!$K:$K,"&lt;"&amp;$B168,Base!$N:$N,"&gt;="&amp;$B168,Base!$O:$O,"&lt;&gt;Finalizado",Base!$O:$O,"&lt;&gt;Congelado") + COUNTIFS(Base!$B:$B,C$11,Base!$K:$K,"&lt;"&amp;$B168,Base!$N:$N,"",Base!$O:$O,"&lt;&gt;Finalizado",Base!$O:$O,"&lt;&gt;Congelado")</f>
        <v>11</v>
      </c>
      <c r="I168" s="93">
        <f>COUNTIFS(Base!$B:$B,D$11,Base!$K:$K,"&lt;"&amp;$B168,Base!$N:$N,"&gt;="&amp;$B168,Base!$O:$O,"&lt;&gt;Finalizado",Base!$O:$O,"&lt;&gt;Congelado") + COUNTIFS(Base!$B:$B,D$11,Base!$K:$K,"&lt;"&amp;$B168,Base!$N:$N,"",Base!$O:$O,"&lt;&gt;Finalizado",Base!$O:$O,"&lt;&gt;Congelado")</f>
        <v>19</v>
      </c>
      <c r="J168" s="93">
        <f>COUNTIFS(Base!$B:$B,E$11,Base!$K:$K,"&lt;"&amp;$B168,Base!$N:$N,"&gt;="&amp;$B168,Base!$O:$O,"&lt;&gt;Finalizado",Base!$O:$O,"&lt;&gt;Congelado") + COUNTIFS(Base!$B:$B,E$11,Base!$K:$K,"&lt;"&amp;$B168,Base!$N:$N,"",Base!$O:$O,"&lt;&gt;Finalizado",Base!$O:$O,"&lt;&gt;Congelado")</f>
        <v>20</v>
      </c>
      <c r="K168" s="93">
        <f>COUNTIFS(Base!$B:$B,F$11,Base!$K:$K,"&lt;"&amp;$B168,Base!$N:$N,"&gt;="&amp;$B168,Base!$O:$O,"&lt;&gt;Finalizado",Base!$O:$O,"&lt;&gt;Congelado") + COUNTIFS(Base!$B:$B,F$11,Base!$K:$K,"&lt;"&amp;$B168,Base!$N:$N,"",Base!$O:$O,"&lt;&gt;Finalizado",Base!$O:$O,"&lt;&gt;Congelado")</f>
        <v>22</v>
      </c>
      <c r="M168" s="133">
        <f t="shared" ref="M168:P168" si="273">C168/H168</f>
        <v>0.4545454545</v>
      </c>
      <c r="N168" s="133">
        <f t="shared" si="273"/>
        <v>0.3157894737</v>
      </c>
      <c r="O168" s="133">
        <f t="shared" si="273"/>
        <v>0.3</v>
      </c>
      <c r="P168" s="133">
        <f t="shared" si="273"/>
        <v>0.2727272727</v>
      </c>
      <c r="Q168" s="133">
        <f t="shared" si="9"/>
        <v>0.3194444444</v>
      </c>
      <c r="S168" s="93">
        <f t="shared" ref="S168:V168" si="274">S167+C168</f>
        <v>544</v>
      </c>
      <c r="T168" s="93">
        <f t="shared" si="274"/>
        <v>838</v>
      </c>
      <c r="U168" s="93">
        <f t="shared" si="274"/>
        <v>631</v>
      </c>
      <c r="V168" s="93">
        <f t="shared" si="274"/>
        <v>711</v>
      </c>
      <c r="W168" s="93">
        <f t="shared" si="11"/>
        <v>2724</v>
      </c>
      <c r="Y168" s="133">
        <f>(COUNTIFS(Base!$B:$B,C$11,Base!$S:$S,"&gt;8",Base!$N:$N,"&lt;="&amp;$B168) - COUNTIFS(Base!$B:$B,C$11,Base!$S:$S,"&lt;7",Base!$N:$N,"&lt;="&amp;$B168) - COUNTIFS(Base!$B:$B,C$11,Base!$S:$S,"&lt;7",Base!$K:$K,"&lt;="&amp;$B168,Base!$O:$O,"Finalizado"))/(COUNTIFS(Base!$B:$B,C$11,Base!$S:$S,"&lt;&gt;",Base!$N:$N,"&lt;="&amp;$B168)+COUNTIFS(Base!$B:$B,C$11,Base!$S:$S,"&lt;7",Base!$K:$K,"&lt;="&amp;$B168,Base!$O:$O,"Finalizado"))</f>
        <v>0.5555555556</v>
      </c>
      <c r="Z168" s="133">
        <f>(COUNTIFS(Base!$B:$B,D$11,Base!$S:$S,"&gt;8",Base!$N:$N,"&lt;="&amp;$B168) - COUNTIFS(Base!$B:$B,D$11,Base!$S:$S,"&lt;7",Base!$N:$N,"&lt;="&amp;$B168) - COUNTIFS(Base!$B:$B,D$11,Base!$S:$S,"&lt;7",Base!$K:$K,"&lt;="&amp;$B168,Base!$O:$O,"Finalizado"))/(COUNTIFS(Base!$B:$B,D$11,Base!$S:$S,"&lt;&gt;",Base!$N:$N,"&lt;="&amp;$B168)+COUNTIFS(Base!$B:$B,D$11,Base!$S:$S,"&lt;7",Base!$K:$K,"&lt;="&amp;$B168,Base!$O:$O,"Finalizado"))</f>
        <v>0.7333333333</v>
      </c>
      <c r="AA168" s="133">
        <f>(COUNTIFS(Base!$B:$B,E$11,Base!$S:$S,"&gt;8",Base!$N:$N,"&lt;="&amp;$B168) - COUNTIFS(Base!$B:$B,E$11,Base!$S:$S,"&lt;7",Base!$N:$N,"&lt;="&amp;$B168) - COUNTIFS(Base!$B:$B,E$11,Base!$S:$S,"&lt;7",Base!$K:$K,"&lt;="&amp;$B168,Base!$O:$O,"Finalizado"))/(COUNTIFS(Base!$B:$B,E$11,Base!$S:$S,"&lt;&gt;",Base!$N:$N,"&lt;="&amp;$B168)+COUNTIFS(Base!$B:$B,E$11,Base!$S:$S,"&lt;7",Base!$K:$K,"&lt;="&amp;$B168,Base!$O:$O,"Finalizado"))</f>
        <v>0.5625</v>
      </c>
      <c r="AB168" s="133">
        <f t="shared" si="12"/>
        <v>0.8</v>
      </c>
      <c r="AD168" s="93">
        <f>(COUNTIFS(Base!$B:$B,F$11,Base!$S:$S,"&gt;8",Base!$N:$N,"&lt;="&amp;$B168)+(COUNTIFS(Base!$B:$B,F$11,Base!$AG:$AG,"&gt;8",Base!$K:$K,"&lt;="&amp;$B168)))</f>
        <v>8</v>
      </c>
      <c r="AE168" s="93">
        <f>(COUNTIFS(Base!$B:$B,F$11,Base!$S:$S,"&lt;&gt;",Base!$N:$N,"&lt;="&amp;$B168)+(COUNTIFS(Base!$B:$B,F$11,Base!$AG:$AG,"&lt;&gt;",Base!$K:$K,"&lt;="&amp;$B168)+COUNTIFS(Base!$B:$B,F$11,Base!$S:$S,"&lt;7",Base!$K:$K,"&lt;="&amp;$B168,Base!$O:$O,"Finalizado")))</f>
        <v>10</v>
      </c>
      <c r="AF168" s="93">
        <f>COUNTIFS(Base!$B:$B,F$11,Base!$S:$S,"&lt;7",Base!$N:$N,"&lt;="&amp;$B168) +COUNTIFS(Base!$B:$B,F$11,Base!$AG:$AG,"&lt;7",Base!$K:$K,"&lt;="&amp;$B168) + COUNTIFS(Base!$B:$B,F$11,Base!$S:$S,"&lt;7",Base!$K:$K,"&lt;="&amp;$B168,Base!$O:$O,"Finalizado")</f>
        <v>0</v>
      </c>
    </row>
    <row r="169">
      <c r="B169" s="151">
        <f t="shared" si="180"/>
        <v>45424</v>
      </c>
      <c r="C169" s="93">
        <f>COUNTIFS(Base!$B:$B,C$11,Base!$M:$M,"&lt;"&amp;$B169,Base!$N:$N,"&gt;="&amp;$B169,Base!$O:$O,"&lt;&gt;Finalizado",Base!$O:$O,"&lt;&gt;Congelado",Base!$O:$O,"&lt;&gt;Concluindo pendências") + COUNTIFS(Base!$B:$B,C$11,Base!$M:$M,"&lt;"&amp;$B169,Base!$N:$N,"",Base!$O:$O,"&lt;&gt;Finalizado",Base!$O:$O,"&lt;&gt;Congelado",Base!$O:$O,"&lt;&gt;Concluindo pendências")</f>
        <v>5</v>
      </c>
      <c r="D169" s="93">
        <f>COUNTIFS(Base!$B:$B,D$11,Base!$M:$M,"&lt;"&amp;$B169,Base!$N:$N,"&gt;="&amp;$B169,Base!$O:$O,"&lt;&gt;Finalizado",Base!$O:$O,"&lt;&gt;Congelado",Base!$O:$O,"&lt;&gt;Concluindo pendências") + COUNTIFS(Base!$B:$B,D$11,Base!$M:$M,"&lt;"&amp;$B169,Base!$N:$N,"",Base!$O:$O,"&lt;&gt;Finalizado",Base!$O:$O,"&lt;&gt;Congelado",Base!$O:$O,"&lt;&gt;Concluindo pendências")</f>
        <v>6</v>
      </c>
      <c r="E169" s="93">
        <f>COUNTIFS(Base!$B:$B,E$11,Base!$M:$M,"&lt;"&amp;$B169,Base!$N:$N,"&gt;="&amp;$B169,Base!$O:$O,"&lt;&gt;Finalizado",Base!$O:$O,"&lt;&gt;Congelado",Base!$O:$O,"&lt;&gt;Concluindo pendências") + COUNTIFS(Base!$B:$B,E$11,Base!$M:$M,"&lt;"&amp;$B169,Base!$N:$N,"",Base!$O:$O,"&lt;&gt;Finalizado",Base!$O:$O,"&lt;&gt;Congelado",Base!$O:$O,"&lt;&gt;Concluindo pendências")</f>
        <v>6</v>
      </c>
      <c r="F169" s="93">
        <f>COUNTIFS(Base!$B:$B,F$11,Base!$M:$M,"&lt;"&amp;$B169,Base!$N:$N,"&gt;="&amp;$B169,Base!$O:$O,"&lt;&gt;Finalizado",Base!$O:$O,"&lt;&gt;Congelado",Base!$O:$O,"&lt;&gt;Concluindo pendências") + COUNTIFS(Base!$B:$B,F$11,Base!$M:$M,"&lt;"&amp;$B169,Base!$N:$N,"",Base!$O:$O,"&lt;&gt;Finalizado",Base!$O:$O,"&lt;&gt;Congelado",Base!$O:$O,"&lt;&gt;Concluindo pendências")</f>
        <v>6</v>
      </c>
      <c r="H169" s="93">
        <f>COUNTIFS(Base!$B:$B,C$11,Base!$K:$K,"&lt;"&amp;$B169,Base!$N:$N,"&gt;="&amp;$B169,Base!$O:$O,"&lt;&gt;Finalizado",Base!$O:$O,"&lt;&gt;Congelado") + COUNTIFS(Base!$B:$B,C$11,Base!$K:$K,"&lt;"&amp;$B169,Base!$N:$N,"",Base!$O:$O,"&lt;&gt;Finalizado",Base!$O:$O,"&lt;&gt;Congelado")</f>
        <v>11</v>
      </c>
      <c r="I169" s="93">
        <f>COUNTIFS(Base!$B:$B,D$11,Base!$K:$K,"&lt;"&amp;$B169,Base!$N:$N,"&gt;="&amp;$B169,Base!$O:$O,"&lt;&gt;Finalizado",Base!$O:$O,"&lt;&gt;Congelado") + COUNTIFS(Base!$B:$B,D$11,Base!$K:$K,"&lt;"&amp;$B169,Base!$N:$N,"",Base!$O:$O,"&lt;&gt;Finalizado",Base!$O:$O,"&lt;&gt;Congelado")</f>
        <v>19</v>
      </c>
      <c r="J169" s="93">
        <f>COUNTIFS(Base!$B:$B,E$11,Base!$K:$K,"&lt;"&amp;$B169,Base!$N:$N,"&gt;="&amp;$B169,Base!$O:$O,"&lt;&gt;Finalizado",Base!$O:$O,"&lt;&gt;Congelado") + COUNTIFS(Base!$B:$B,E$11,Base!$K:$K,"&lt;"&amp;$B169,Base!$N:$N,"",Base!$O:$O,"&lt;&gt;Finalizado",Base!$O:$O,"&lt;&gt;Congelado")</f>
        <v>20</v>
      </c>
      <c r="K169" s="93">
        <f>COUNTIFS(Base!$B:$B,F$11,Base!$K:$K,"&lt;"&amp;$B169,Base!$N:$N,"&gt;="&amp;$B169,Base!$O:$O,"&lt;&gt;Finalizado",Base!$O:$O,"&lt;&gt;Congelado") + COUNTIFS(Base!$B:$B,F$11,Base!$K:$K,"&lt;"&amp;$B169,Base!$N:$N,"",Base!$O:$O,"&lt;&gt;Finalizado",Base!$O:$O,"&lt;&gt;Congelado")</f>
        <v>22</v>
      </c>
      <c r="M169" s="133">
        <f t="shared" ref="M169:P169" si="275">C169/H169</f>
        <v>0.4545454545</v>
      </c>
      <c r="N169" s="133">
        <f t="shared" si="275"/>
        <v>0.3157894737</v>
      </c>
      <c r="O169" s="133">
        <f t="shared" si="275"/>
        <v>0.3</v>
      </c>
      <c r="P169" s="133">
        <f t="shared" si="275"/>
        <v>0.2727272727</v>
      </c>
      <c r="Q169" s="133">
        <f t="shared" si="9"/>
        <v>0.3194444444</v>
      </c>
      <c r="S169" s="93">
        <f t="shared" ref="S169:V169" si="276">S168+C169</f>
        <v>549</v>
      </c>
      <c r="T169" s="93">
        <f t="shared" si="276"/>
        <v>844</v>
      </c>
      <c r="U169" s="93">
        <f t="shared" si="276"/>
        <v>637</v>
      </c>
      <c r="V169" s="93">
        <f t="shared" si="276"/>
        <v>717</v>
      </c>
      <c r="W169" s="93">
        <f t="shared" si="11"/>
        <v>2747</v>
      </c>
      <c r="Y169" s="133">
        <f>(COUNTIFS(Base!$B:$B,C$11,Base!$S:$S,"&gt;8",Base!$N:$N,"&lt;="&amp;$B169) - COUNTIFS(Base!$B:$B,C$11,Base!$S:$S,"&lt;7",Base!$N:$N,"&lt;="&amp;$B169) - COUNTIFS(Base!$B:$B,C$11,Base!$S:$S,"&lt;7",Base!$K:$K,"&lt;="&amp;$B169,Base!$O:$O,"Finalizado"))/(COUNTIFS(Base!$B:$B,C$11,Base!$S:$S,"&lt;&gt;",Base!$N:$N,"&lt;="&amp;$B169)+COUNTIFS(Base!$B:$B,C$11,Base!$S:$S,"&lt;7",Base!$K:$K,"&lt;="&amp;$B169,Base!$O:$O,"Finalizado"))</f>
        <v>0.5555555556</v>
      </c>
      <c r="Z169" s="133">
        <f>(COUNTIFS(Base!$B:$B,D$11,Base!$S:$S,"&gt;8",Base!$N:$N,"&lt;="&amp;$B169) - COUNTIFS(Base!$B:$B,D$11,Base!$S:$S,"&lt;7",Base!$N:$N,"&lt;="&amp;$B169) - COUNTIFS(Base!$B:$B,D$11,Base!$S:$S,"&lt;7",Base!$K:$K,"&lt;="&amp;$B169,Base!$O:$O,"Finalizado"))/(COUNTIFS(Base!$B:$B,D$11,Base!$S:$S,"&lt;&gt;",Base!$N:$N,"&lt;="&amp;$B169)+COUNTIFS(Base!$B:$B,D$11,Base!$S:$S,"&lt;7",Base!$K:$K,"&lt;="&amp;$B169,Base!$O:$O,"Finalizado"))</f>
        <v>0.7333333333</v>
      </c>
      <c r="AA169" s="133">
        <f>(COUNTIFS(Base!$B:$B,E$11,Base!$S:$S,"&gt;8",Base!$N:$N,"&lt;="&amp;$B169) - COUNTIFS(Base!$B:$B,E$11,Base!$S:$S,"&lt;7",Base!$N:$N,"&lt;="&amp;$B169) - COUNTIFS(Base!$B:$B,E$11,Base!$S:$S,"&lt;7",Base!$K:$K,"&lt;="&amp;$B169,Base!$O:$O,"Finalizado"))/(COUNTIFS(Base!$B:$B,E$11,Base!$S:$S,"&lt;&gt;",Base!$N:$N,"&lt;="&amp;$B169)+COUNTIFS(Base!$B:$B,E$11,Base!$S:$S,"&lt;7",Base!$K:$K,"&lt;="&amp;$B169,Base!$O:$O,"Finalizado"))</f>
        <v>0.5625</v>
      </c>
      <c r="AB169" s="133">
        <f t="shared" si="12"/>
        <v>0.8</v>
      </c>
      <c r="AD169" s="93">
        <f>(COUNTIFS(Base!$B:$B,F$11,Base!$S:$S,"&gt;8",Base!$N:$N,"&lt;="&amp;$B169)+(COUNTIFS(Base!$B:$B,F$11,Base!$AG:$AG,"&gt;8",Base!$K:$K,"&lt;="&amp;$B169)))</f>
        <v>8</v>
      </c>
      <c r="AE169" s="93">
        <f>(COUNTIFS(Base!$B:$B,F$11,Base!$S:$S,"&lt;&gt;",Base!$N:$N,"&lt;="&amp;$B169)+(COUNTIFS(Base!$B:$B,F$11,Base!$AG:$AG,"&lt;&gt;",Base!$K:$K,"&lt;="&amp;$B169)+COUNTIFS(Base!$B:$B,F$11,Base!$S:$S,"&lt;7",Base!$K:$K,"&lt;="&amp;$B169,Base!$O:$O,"Finalizado")))</f>
        <v>10</v>
      </c>
      <c r="AF169" s="93">
        <f>COUNTIFS(Base!$B:$B,F$11,Base!$S:$S,"&lt;7",Base!$N:$N,"&lt;="&amp;$B169) +COUNTIFS(Base!$B:$B,F$11,Base!$AG:$AG,"&lt;7",Base!$K:$K,"&lt;="&amp;$B169) + COUNTIFS(Base!$B:$B,F$11,Base!$S:$S,"&lt;7",Base!$K:$K,"&lt;="&amp;$B169,Base!$O:$O,"Finalizado")</f>
        <v>0</v>
      </c>
    </row>
    <row r="170">
      <c r="B170" s="151">
        <f t="shared" si="180"/>
        <v>45425</v>
      </c>
      <c r="C170" s="93">
        <f>COUNTIFS(Base!$B:$B,C$11,Base!$M:$M,"&lt;"&amp;$B170,Base!$N:$N,"&gt;="&amp;$B170,Base!$O:$O,"&lt;&gt;Finalizado",Base!$O:$O,"&lt;&gt;Congelado",Base!$O:$O,"&lt;&gt;Concluindo pendências") + COUNTIFS(Base!$B:$B,C$11,Base!$M:$M,"&lt;"&amp;$B170,Base!$N:$N,"",Base!$O:$O,"&lt;&gt;Finalizado",Base!$O:$O,"&lt;&gt;Congelado",Base!$O:$O,"&lt;&gt;Concluindo pendências")</f>
        <v>5</v>
      </c>
      <c r="D170" s="93">
        <f>COUNTIFS(Base!$B:$B,D$11,Base!$M:$M,"&lt;"&amp;$B170,Base!$N:$N,"&gt;="&amp;$B170,Base!$O:$O,"&lt;&gt;Finalizado",Base!$O:$O,"&lt;&gt;Congelado",Base!$O:$O,"&lt;&gt;Concluindo pendências") + COUNTIFS(Base!$B:$B,D$11,Base!$M:$M,"&lt;"&amp;$B170,Base!$N:$N,"",Base!$O:$O,"&lt;&gt;Finalizado",Base!$O:$O,"&lt;&gt;Congelado",Base!$O:$O,"&lt;&gt;Concluindo pendências")</f>
        <v>6</v>
      </c>
      <c r="E170" s="93">
        <f>COUNTIFS(Base!$B:$B,E$11,Base!$M:$M,"&lt;"&amp;$B170,Base!$N:$N,"&gt;="&amp;$B170,Base!$O:$O,"&lt;&gt;Finalizado",Base!$O:$O,"&lt;&gt;Congelado",Base!$O:$O,"&lt;&gt;Concluindo pendências") + COUNTIFS(Base!$B:$B,E$11,Base!$M:$M,"&lt;"&amp;$B170,Base!$N:$N,"",Base!$O:$O,"&lt;&gt;Finalizado",Base!$O:$O,"&lt;&gt;Congelado",Base!$O:$O,"&lt;&gt;Concluindo pendências")</f>
        <v>7</v>
      </c>
      <c r="F170" s="93">
        <f>COUNTIFS(Base!$B:$B,F$11,Base!$M:$M,"&lt;"&amp;$B170,Base!$N:$N,"&gt;="&amp;$B170,Base!$O:$O,"&lt;&gt;Finalizado",Base!$O:$O,"&lt;&gt;Congelado",Base!$O:$O,"&lt;&gt;Concluindo pendências") + COUNTIFS(Base!$B:$B,F$11,Base!$M:$M,"&lt;"&amp;$B170,Base!$N:$N,"",Base!$O:$O,"&lt;&gt;Finalizado",Base!$O:$O,"&lt;&gt;Congelado",Base!$O:$O,"&lt;&gt;Concluindo pendências")</f>
        <v>6</v>
      </c>
      <c r="H170" s="93">
        <f>COUNTIFS(Base!$B:$B,C$11,Base!$K:$K,"&lt;"&amp;$B170,Base!$N:$N,"&gt;="&amp;$B170,Base!$O:$O,"&lt;&gt;Finalizado",Base!$O:$O,"&lt;&gt;Congelado") + COUNTIFS(Base!$B:$B,C$11,Base!$K:$K,"&lt;"&amp;$B170,Base!$N:$N,"",Base!$O:$O,"&lt;&gt;Finalizado",Base!$O:$O,"&lt;&gt;Congelado")</f>
        <v>11</v>
      </c>
      <c r="I170" s="93">
        <f>COUNTIFS(Base!$B:$B,D$11,Base!$K:$K,"&lt;"&amp;$B170,Base!$N:$N,"&gt;="&amp;$B170,Base!$O:$O,"&lt;&gt;Finalizado",Base!$O:$O,"&lt;&gt;Congelado") + COUNTIFS(Base!$B:$B,D$11,Base!$K:$K,"&lt;"&amp;$B170,Base!$N:$N,"",Base!$O:$O,"&lt;&gt;Finalizado",Base!$O:$O,"&lt;&gt;Congelado")</f>
        <v>19</v>
      </c>
      <c r="J170" s="93">
        <f>COUNTIFS(Base!$B:$B,E$11,Base!$K:$K,"&lt;"&amp;$B170,Base!$N:$N,"&gt;="&amp;$B170,Base!$O:$O,"&lt;&gt;Finalizado",Base!$O:$O,"&lt;&gt;Congelado") + COUNTIFS(Base!$B:$B,E$11,Base!$K:$K,"&lt;"&amp;$B170,Base!$N:$N,"",Base!$O:$O,"&lt;&gt;Finalizado",Base!$O:$O,"&lt;&gt;Congelado")</f>
        <v>20</v>
      </c>
      <c r="K170" s="93">
        <f>COUNTIFS(Base!$B:$B,F$11,Base!$K:$K,"&lt;"&amp;$B170,Base!$N:$N,"&gt;="&amp;$B170,Base!$O:$O,"&lt;&gt;Finalizado",Base!$O:$O,"&lt;&gt;Congelado") + COUNTIFS(Base!$B:$B,F$11,Base!$K:$K,"&lt;"&amp;$B170,Base!$N:$N,"",Base!$O:$O,"&lt;&gt;Finalizado",Base!$O:$O,"&lt;&gt;Congelado")</f>
        <v>22</v>
      </c>
      <c r="M170" s="133">
        <f t="shared" ref="M170:P170" si="277">C170/H170</f>
        <v>0.4545454545</v>
      </c>
      <c r="N170" s="133">
        <f t="shared" si="277"/>
        <v>0.3157894737</v>
      </c>
      <c r="O170" s="133">
        <f t="shared" si="277"/>
        <v>0.35</v>
      </c>
      <c r="P170" s="133">
        <f t="shared" si="277"/>
        <v>0.2727272727</v>
      </c>
      <c r="Q170" s="133">
        <f t="shared" si="9"/>
        <v>0.3333333333</v>
      </c>
      <c r="S170" s="93">
        <f t="shared" ref="S170:V170" si="278">S169+C170</f>
        <v>554</v>
      </c>
      <c r="T170" s="93">
        <f t="shared" si="278"/>
        <v>850</v>
      </c>
      <c r="U170" s="93">
        <f t="shared" si="278"/>
        <v>644</v>
      </c>
      <c r="V170" s="93">
        <f t="shared" si="278"/>
        <v>723</v>
      </c>
      <c r="W170" s="93">
        <f t="shared" si="11"/>
        <v>2771</v>
      </c>
      <c r="Y170" s="133">
        <f>(COUNTIFS(Base!$B:$B,C$11,Base!$S:$S,"&gt;8",Base!$N:$N,"&lt;="&amp;$B170) - COUNTIFS(Base!$B:$B,C$11,Base!$S:$S,"&lt;7",Base!$N:$N,"&lt;="&amp;$B170) - COUNTIFS(Base!$B:$B,C$11,Base!$S:$S,"&lt;7",Base!$K:$K,"&lt;="&amp;$B170,Base!$O:$O,"Finalizado"))/(COUNTIFS(Base!$B:$B,C$11,Base!$S:$S,"&lt;&gt;",Base!$N:$N,"&lt;="&amp;$B170)+COUNTIFS(Base!$B:$B,C$11,Base!$S:$S,"&lt;7",Base!$K:$K,"&lt;="&amp;$B170,Base!$O:$O,"Finalizado"))</f>
        <v>0.5555555556</v>
      </c>
      <c r="Z170" s="133">
        <f>(COUNTIFS(Base!$B:$B,D$11,Base!$S:$S,"&gt;8",Base!$N:$N,"&lt;="&amp;$B170) - COUNTIFS(Base!$B:$B,D$11,Base!$S:$S,"&lt;7",Base!$N:$N,"&lt;="&amp;$B170) - COUNTIFS(Base!$B:$B,D$11,Base!$S:$S,"&lt;7",Base!$K:$K,"&lt;="&amp;$B170,Base!$O:$O,"Finalizado"))/(COUNTIFS(Base!$B:$B,D$11,Base!$S:$S,"&lt;&gt;",Base!$N:$N,"&lt;="&amp;$B170)+COUNTIFS(Base!$B:$B,D$11,Base!$S:$S,"&lt;7",Base!$K:$K,"&lt;="&amp;$B170,Base!$O:$O,"Finalizado"))</f>
        <v>0.7333333333</v>
      </c>
      <c r="AA170" s="133">
        <f>(COUNTIFS(Base!$B:$B,E$11,Base!$S:$S,"&gt;8",Base!$N:$N,"&lt;="&amp;$B170) - COUNTIFS(Base!$B:$B,E$11,Base!$S:$S,"&lt;7",Base!$N:$N,"&lt;="&amp;$B170) - COUNTIFS(Base!$B:$B,E$11,Base!$S:$S,"&lt;7",Base!$K:$K,"&lt;="&amp;$B170,Base!$O:$O,"Finalizado"))/(COUNTIFS(Base!$B:$B,E$11,Base!$S:$S,"&lt;&gt;",Base!$N:$N,"&lt;="&amp;$B170)+COUNTIFS(Base!$B:$B,E$11,Base!$S:$S,"&lt;7",Base!$K:$K,"&lt;="&amp;$B170,Base!$O:$O,"Finalizado"))</f>
        <v>0.5625</v>
      </c>
      <c r="AB170" s="133">
        <f t="shared" si="12"/>
        <v>0.8</v>
      </c>
      <c r="AD170" s="93">
        <f>(COUNTIFS(Base!$B:$B,F$11,Base!$S:$S,"&gt;8",Base!$N:$N,"&lt;="&amp;$B170)+(COUNTIFS(Base!$B:$B,F$11,Base!$AG:$AG,"&gt;8",Base!$K:$K,"&lt;="&amp;$B170)))</f>
        <v>8</v>
      </c>
      <c r="AE170" s="93">
        <f>(COUNTIFS(Base!$B:$B,F$11,Base!$S:$S,"&lt;&gt;",Base!$N:$N,"&lt;="&amp;$B170)+(COUNTIFS(Base!$B:$B,F$11,Base!$AG:$AG,"&lt;&gt;",Base!$K:$K,"&lt;="&amp;$B170)+COUNTIFS(Base!$B:$B,F$11,Base!$S:$S,"&lt;7",Base!$K:$K,"&lt;="&amp;$B170,Base!$O:$O,"Finalizado")))</f>
        <v>10</v>
      </c>
      <c r="AF170" s="93">
        <f>COUNTIFS(Base!$B:$B,F$11,Base!$S:$S,"&lt;7",Base!$N:$N,"&lt;="&amp;$B170) +COUNTIFS(Base!$B:$B,F$11,Base!$AG:$AG,"&lt;7",Base!$K:$K,"&lt;="&amp;$B170) + COUNTIFS(Base!$B:$B,F$11,Base!$S:$S,"&lt;7",Base!$K:$K,"&lt;="&amp;$B170,Base!$O:$O,"Finalizado")</f>
        <v>0</v>
      </c>
    </row>
    <row r="171">
      <c r="B171" s="151">
        <f t="shared" si="180"/>
        <v>45426</v>
      </c>
      <c r="C171" s="93">
        <f>COUNTIFS(Base!$B:$B,C$11,Base!$M:$M,"&lt;"&amp;$B171,Base!$N:$N,"&gt;="&amp;$B171,Base!$O:$O,"&lt;&gt;Finalizado",Base!$O:$O,"&lt;&gt;Congelado",Base!$O:$O,"&lt;&gt;Concluindo pendências") + COUNTIFS(Base!$B:$B,C$11,Base!$M:$M,"&lt;"&amp;$B171,Base!$N:$N,"",Base!$O:$O,"&lt;&gt;Finalizado",Base!$O:$O,"&lt;&gt;Congelado",Base!$O:$O,"&lt;&gt;Concluindo pendências")</f>
        <v>5</v>
      </c>
      <c r="D171" s="93">
        <f>COUNTIFS(Base!$B:$B,D$11,Base!$M:$M,"&lt;"&amp;$B171,Base!$N:$N,"&gt;="&amp;$B171,Base!$O:$O,"&lt;&gt;Finalizado",Base!$O:$O,"&lt;&gt;Congelado",Base!$O:$O,"&lt;&gt;Concluindo pendências") + COUNTIFS(Base!$B:$B,D$11,Base!$M:$M,"&lt;"&amp;$B171,Base!$N:$N,"",Base!$O:$O,"&lt;&gt;Finalizado",Base!$O:$O,"&lt;&gt;Congelado",Base!$O:$O,"&lt;&gt;Concluindo pendências")</f>
        <v>6</v>
      </c>
      <c r="E171" s="93">
        <f>COUNTIFS(Base!$B:$B,E$11,Base!$M:$M,"&lt;"&amp;$B171,Base!$N:$N,"&gt;="&amp;$B171,Base!$O:$O,"&lt;&gt;Finalizado",Base!$O:$O,"&lt;&gt;Congelado",Base!$O:$O,"&lt;&gt;Concluindo pendências") + COUNTIFS(Base!$B:$B,E$11,Base!$M:$M,"&lt;"&amp;$B171,Base!$N:$N,"",Base!$O:$O,"&lt;&gt;Finalizado",Base!$O:$O,"&lt;&gt;Congelado",Base!$O:$O,"&lt;&gt;Concluindo pendências")</f>
        <v>8</v>
      </c>
      <c r="F171" s="93">
        <f>COUNTIFS(Base!$B:$B,F$11,Base!$M:$M,"&lt;"&amp;$B171,Base!$N:$N,"&gt;="&amp;$B171,Base!$O:$O,"&lt;&gt;Finalizado",Base!$O:$O,"&lt;&gt;Congelado",Base!$O:$O,"&lt;&gt;Concluindo pendências") + COUNTIFS(Base!$B:$B,F$11,Base!$M:$M,"&lt;"&amp;$B171,Base!$N:$N,"",Base!$O:$O,"&lt;&gt;Finalizado",Base!$O:$O,"&lt;&gt;Congelado",Base!$O:$O,"&lt;&gt;Concluindo pendências")</f>
        <v>7</v>
      </c>
      <c r="H171" s="93">
        <f>COUNTIFS(Base!$B:$B,C$11,Base!$K:$K,"&lt;"&amp;$B171,Base!$N:$N,"&gt;="&amp;$B171,Base!$O:$O,"&lt;&gt;Finalizado",Base!$O:$O,"&lt;&gt;Congelado") + COUNTIFS(Base!$B:$B,C$11,Base!$K:$K,"&lt;"&amp;$B171,Base!$N:$N,"",Base!$O:$O,"&lt;&gt;Finalizado",Base!$O:$O,"&lt;&gt;Congelado")</f>
        <v>12</v>
      </c>
      <c r="I171" s="93">
        <f>COUNTIFS(Base!$B:$B,D$11,Base!$K:$K,"&lt;"&amp;$B171,Base!$N:$N,"&gt;="&amp;$B171,Base!$O:$O,"&lt;&gt;Finalizado",Base!$O:$O,"&lt;&gt;Congelado") + COUNTIFS(Base!$B:$B,D$11,Base!$K:$K,"&lt;"&amp;$B171,Base!$N:$N,"",Base!$O:$O,"&lt;&gt;Finalizado",Base!$O:$O,"&lt;&gt;Congelado")</f>
        <v>19</v>
      </c>
      <c r="J171" s="93">
        <f>COUNTIFS(Base!$B:$B,E$11,Base!$K:$K,"&lt;"&amp;$B171,Base!$N:$N,"&gt;="&amp;$B171,Base!$O:$O,"&lt;&gt;Finalizado",Base!$O:$O,"&lt;&gt;Congelado") + COUNTIFS(Base!$B:$B,E$11,Base!$K:$K,"&lt;"&amp;$B171,Base!$N:$N,"",Base!$O:$O,"&lt;&gt;Finalizado",Base!$O:$O,"&lt;&gt;Congelado")</f>
        <v>20</v>
      </c>
      <c r="K171" s="93">
        <f>COUNTIFS(Base!$B:$B,F$11,Base!$K:$K,"&lt;"&amp;$B171,Base!$N:$N,"&gt;="&amp;$B171,Base!$O:$O,"&lt;&gt;Finalizado",Base!$O:$O,"&lt;&gt;Congelado") + COUNTIFS(Base!$B:$B,F$11,Base!$K:$K,"&lt;"&amp;$B171,Base!$N:$N,"",Base!$O:$O,"&lt;&gt;Finalizado",Base!$O:$O,"&lt;&gt;Congelado")</f>
        <v>23</v>
      </c>
      <c r="M171" s="133">
        <f t="shared" ref="M171:P171" si="279">C171/H171</f>
        <v>0.4166666667</v>
      </c>
      <c r="N171" s="133">
        <f t="shared" si="279"/>
        <v>0.3157894737</v>
      </c>
      <c r="O171" s="133">
        <f t="shared" si="279"/>
        <v>0.4</v>
      </c>
      <c r="P171" s="133">
        <f t="shared" si="279"/>
        <v>0.3043478261</v>
      </c>
      <c r="Q171" s="133">
        <f t="shared" si="9"/>
        <v>0.3513513514</v>
      </c>
      <c r="S171" s="93">
        <f t="shared" ref="S171:V171" si="280">S170+C171</f>
        <v>559</v>
      </c>
      <c r="T171" s="93">
        <f t="shared" si="280"/>
        <v>856</v>
      </c>
      <c r="U171" s="93">
        <f t="shared" si="280"/>
        <v>652</v>
      </c>
      <c r="V171" s="93">
        <f t="shared" si="280"/>
        <v>730</v>
      </c>
      <c r="W171" s="93">
        <f t="shared" si="11"/>
        <v>2797</v>
      </c>
      <c r="Y171" s="133">
        <f>(COUNTIFS(Base!$B:$B,C$11,Base!$S:$S,"&gt;8",Base!$N:$N,"&lt;="&amp;$B171) - COUNTIFS(Base!$B:$B,C$11,Base!$S:$S,"&lt;7",Base!$N:$N,"&lt;="&amp;$B171) - COUNTIFS(Base!$B:$B,C$11,Base!$S:$S,"&lt;7",Base!$K:$K,"&lt;="&amp;$B171,Base!$O:$O,"Finalizado"))/(COUNTIFS(Base!$B:$B,C$11,Base!$S:$S,"&lt;&gt;",Base!$N:$N,"&lt;="&amp;$B171)+COUNTIFS(Base!$B:$B,C$11,Base!$S:$S,"&lt;7",Base!$K:$K,"&lt;="&amp;$B171,Base!$O:$O,"Finalizado"))</f>
        <v>0.5555555556</v>
      </c>
      <c r="Z171" s="133">
        <f>(COUNTIFS(Base!$B:$B,D$11,Base!$S:$S,"&gt;8",Base!$N:$N,"&lt;="&amp;$B171) - COUNTIFS(Base!$B:$B,D$11,Base!$S:$S,"&lt;7",Base!$N:$N,"&lt;="&amp;$B171) - COUNTIFS(Base!$B:$B,D$11,Base!$S:$S,"&lt;7",Base!$K:$K,"&lt;="&amp;$B171,Base!$O:$O,"Finalizado"))/(COUNTIFS(Base!$B:$B,D$11,Base!$S:$S,"&lt;&gt;",Base!$N:$N,"&lt;="&amp;$B171)+COUNTIFS(Base!$B:$B,D$11,Base!$S:$S,"&lt;7",Base!$K:$K,"&lt;="&amp;$B171,Base!$O:$O,"Finalizado"))</f>
        <v>0.7333333333</v>
      </c>
      <c r="AA171" s="133">
        <f>(COUNTIFS(Base!$B:$B,E$11,Base!$S:$S,"&gt;8",Base!$N:$N,"&lt;="&amp;$B171) - COUNTIFS(Base!$B:$B,E$11,Base!$S:$S,"&lt;7",Base!$N:$N,"&lt;="&amp;$B171) - COUNTIFS(Base!$B:$B,E$11,Base!$S:$S,"&lt;7",Base!$K:$K,"&lt;="&amp;$B171,Base!$O:$O,"Finalizado"))/(COUNTIFS(Base!$B:$B,E$11,Base!$S:$S,"&lt;&gt;",Base!$N:$N,"&lt;="&amp;$B171)+COUNTIFS(Base!$B:$B,E$11,Base!$S:$S,"&lt;7",Base!$K:$K,"&lt;="&amp;$B171,Base!$O:$O,"Finalizado"))</f>
        <v>0.5625</v>
      </c>
      <c r="AB171" s="133">
        <f t="shared" si="12"/>
        <v>0.8</v>
      </c>
      <c r="AD171" s="93">
        <f>(COUNTIFS(Base!$B:$B,F$11,Base!$S:$S,"&gt;8",Base!$N:$N,"&lt;="&amp;$B171)+(COUNTIFS(Base!$B:$B,F$11,Base!$AG:$AG,"&gt;8",Base!$K:$K,"&lt;="&amp;$B171)))</f>
        <v>8</v>
      </c>
      <c r="AE171" s="93">
        <f>(COUNTIFS(Base!$B:$B,F$11,Base!$S:$S,"&lt;&gt;",Base!$N:$N,"&lt;="&amp;$B171)+(COUNTIFS(Base!$B:$B,F$11,Base!$AG:$AG,"&lt;&gt;",Base!$K:$K,"&lt;="&amp;$B171)+COUNTIFS(Base!$B:$B,F$11,Base!$S:$S,"&lt;7",Base!$K:$K,"&lt;="&amp;$B171,Base!$O:$O,"Finalizado")))</f>
        <v>10</v>
      </c>
      <c r="AF171" s="93">
        <f>COUNTIFS(Base!$B:$B,F$11,Base!$S:$S,"&lt;7",Base!$N:$N,"&lt;="&amp;$B171) +COUNTIFS(Base!$B:$B,F$11,Base!$AG:$AG,"&lt;7",Base!$K:$K,"&lt;="&amp;$B171) + COUNTIFS(Base!$B:$B,F$11,Base!$S:$S,"&lt;7",Base!$K:$K,"&lt;="&amp;$B171,Base!$O:$O,"Finalizado")</f>
        <v>0</v>
      </c>
    </row>
    <row r="172">
      <c r="B172" s="151">
        <f t="shared" si="180"/>
        <v>45427</v>
      </c>
      <c r="C172" s="93">
        <f>COUNTIFS(Base!$B:$B,C$11,Base!$M:$M,"&lt;"&amp;$B172,Base!$N:$N,"&gt;="&amp;$B172,Base!$O:$O,"&lt;&gt;Finalizado",Base!$O:$O,"&lt;&gt;Congelado",Base!$O:$O,"&lt;&gt;Concluindo pendências") + COUNTIFS(Base!$B:$B,C$11,Base!$M:$M,"&lt;"&amp;$B172,Base!$N:$N,"",Base!$O:$O,"&lt;&gt;Finalizado",Base!$O:$O,"&lt;&gt;Congelado",Base!$O:$O,"&lt;&gt;Concluindo pendências")</f>
        <v>5</v>
      </c>
      <c r="D172" s="93">
        <f>COUNTIFS(Base!$B:$B,D$11,Base!$M:$M,"&lt;"&amp;$B172,Base!$N:$N,"&gt;="&amp;$B172,Base!$O:$O,"&lt;&gt;Finalizado",Base!$O:$O,"&lt;&gt;Congelado",Base!$O:$O,"&lt;&gt;Concluindo pendências") + COUNTIFS(Base!$B:$B,D$11,Base!$M:$M,"&lt;"&amp;$B172,Base!$N:$N,"",Base!$O:$O,"&lt;&gt;Finalizado",Base!$O:$O,"&lt;&gt;Congelado",Base!$O:$O,"&lt;&gt;Concluindo pendências")</f>
        <v>6</v>
      </c>
      <c r="E172" s="93">
        <f>COUNTIFS(Base!$B:$B,E$11,Base!$M:$M,"&lt;"&amp;$B172,Base!$N:$N,"&gt;="&amp;$B172,Base!$O:$O,"&lt;&gt;Finalizado",Base!$O:$O,"&lt;&gt;Congelado",Base!$O:$O,"&lt;&gt;Concluindo pendências") + COUNTIFS(Base!$B:$B,E$11,Base!$M:$M,"&lt;"&amp;$B172,Base!$N:$N,"",Base!$O:$O,"&lt;&gt;Finalizado",Base!$O:$O,"&lt;&gt;Congelado",Base!$O:$O,"&lt;&gt;Concluindo pendências")</f>
        <v>8</v>
      </c>
      <c r="F172" s="93">
        <f>COUNTIFS(Base!$B:$B,F$11,Base!$M:$M,"&lt;"&amp;$B172,Base!$N:$N,"&gt;="&amp;$B172,Base!$O:$O,"&lt;&gt;Finalizado",Base!$O:$O,"&lt;&gt;Congelado",Base!$O:$O,"&lt;&gt;Concluindo pendências") + COUNTIFS(Base!$B:$B,F$11,Base!$M:$M,"&lt;"&amp;$B172,Base!$N:$N,"",Base!$O:$O,"&lt;&gt;Finalizado",Base!$O:$O,"&lt;&gt;Congelado",Base!$O:$O,"&lt;&gt;Concluindo pendências")</f>
        <v>7</v>
      </c>
      <c r="H172" s="93">
        <f>COUNTIFS(Base!$B:$B,C$11,Base!$K:$K,"&lt;"&amp;$B172,Base!$N:$N,"&gt;="&amp;$B172,Base!$O:$O,"&lt;&gt;Finalizado",Base!$O:$O,"&lt;&gt;Congelado") + COUNTIFS(Base!$B:$B,C$11,Base!$K:$K,"&lt;"&amp;$B172,Base!$N:$N,"",Base!$O:$O,"&lt;&gt;Finalizado",Base!$O:$O,"&lt;&gt;Congelado")</f>
        <v>12</v>
      </c>
      <c r="I172" s="93">
        <f>COUNTIFS(Base!$B:$B,D$11,Base!$K:$K,"&lt;"&amp;$B172,Base!$N:$N,"&gt;="&amp;$B172,Base!$O:$O,"&lt;&gt;Finalizado",Base!$O:$O,"&lt;&gt;Congelado") + COUNTIFS(Base!$B:$B,D$11,Base!$K:$K,"&lt;"&amp;$B172,Base!$N:$N,"",Base!$O:$O,"&lt;&gt;Finalizado",Base!$O:$O,"&lt;&gt;Congelado")</f>
        <v>19</v>
      </c>
      <c r="J172" s="93">
        <f>COUNTIFS(Base!$B:$B,E$11,Base!$K:$K,"&lt;"&amp;$B172,Base!$N:$N,"&gt;="&amp;$B172,Base!$O:$O,"&lt;&gt;Finalizado",Base!$O:$O,"&lt;&gt;Congelado") + COUNTIFS(Base!$B:$B,E$11,Base!$K:$K,"&lt;"&amp;$B172,Base!$N:$N,"",Base!$O:$O,"&lt;&gt;Finalizado",Base!$O:$O,"&lt;&gt;Congelado")</f>
        <v>20</v>
      </c>
      <c r="K172" s="93">
        <f>COUNTIFS(Base!$B:$B,F$11,Base!$K:$K,"&lt;"&amp;$B172,Base!$N:$N,"&gt;="&amp;$B172,Base!$O:$O,"&lt;&gt;Finalizado",Base!$O:$O,"&lt;&gt;Congelado") + COUNTIFS(Base!$B:$B,F$11,Base!$K:$K,"&lt;"&amp;$B172,Base!$N:$N,"",Base!$O:$O,"&lt;&gt;Finalizado",Base!$O:$O,"&lt;&gt;Congelado")</f>
        <v>23</v>
      </c>
      <c r="M172" s="133">
        <f t="shared" ref="M172:P172" si="281">C172/H172</f>
        <v>0.4166666667</v>
      </c>
      <c r="N172" s="133">
        <f t="shared" si="281"/>
        <v>0.3157894737</v>
      </c>
      <c r="O172" s="133">
        <f t="shared" si="281"/>
        <v>0.4</v>
      </c>
      <c r="P172" s="133">
        <f t="shared" si="281"/>
        <v>0.3043478261</v>
      </c>
      <c r="Q172" s="133">
        <f t="shared" si="9"/>
        <v>0.3513513514</v>
      </c>
      <c r="S172" s="93">
        <f t="shared" ref="S172:V172" si="282">S171+C172</f>
        <v>564</v>
      </c>
      <c r="T172" s="93">
        <f t="shared" si="282"/>
        <v>862</v>
      </c>
      <c r="U172" s="93">
        <f t="shared" si="282"/>
        <v>660</v>
      </c>
      <c r="V172" s="93">
        <f t="shared" si="282"/>
        <v>737</v>
      </c>
      <c r="W172" s="93">
        <f t="shared" si="11"/>
        <v>2823</v>
      </c>
      <c r="Y172" s="133">
        <f>(COUNTIFS(Base!$B:$B,C$11,Base!$S:$S,"&gt;8",Base!$N:$N,"&lt;="&amp;$B172) - COUNTIFS(Base!$B:$B,C$11,Base!$S:$S,"&lt;7",Base!$N:$N,"&lt;="&amp;$B172) - COUNTIFS(Base!$B:$B,C$11,Base!$S:$S,"&lt;7",Base!$K:$K,"&lt;="&amp;$B172,Base!$O:$O,"Finalizado"))/(COUNTIFS(Base!$B:$B,C$11,Base!$S:$S,"&lt;&gt;",Base!$N:$N,"&lt;="&amp;$B172)+COUNTIFS(Base!$B:$B,C$11,Base!$S:$S,"&lt;7",Base!$K:$K,"&lt;="&amp;$B172,Base!$O:$O,"Finalizado"))</f>
        <v>0.5555555556</v>
      </c>
      <c r="Z172" s="133">
        <f>(COUNTIFS(Base!$B:$B,D$11,Base!$S:$S,"&gt;8",Base!$N:$N,"&lt;="&amp;$B172) - COUNTIFS(Base!$B:$B,D$11,Base!$S:$S,"&lt;7",Base!$N:$N,"&lt;="&amp;$B172) - COUNTIFS(Base!$B:$B,D$11,Base!$S:$S,"&lt;7",Base!$K:$K,"&lt;="&amp;$B172,Base!$O:$O,"Finalizado"))/(COUNTIFS(Base!$B:$B,D$11,Base!$S:$S,"&lt;&gt;",Base!$N:$N,"&lt;="&amp;$B172)+COUNTIFS(Base!$B:$B,D$11,Base!$S:$S,"&lt;7",Base!$K:$K,"&lt;="&amp;$B172,Base!$O:$O,"Finalizado"))</f>
        <v>0.7333333333</v>
      </c>
      <c r="AA172" s="133">
        <f>(COUNTIFS(Base!$B:$B,E$11,Base!$S:$S,"&gt;8",Base!$N:$N,"&lt;="&amp;$B172) - COUNTIFS(Base!$B:$B,E$11,Base!$S:$S,"&lt;7",Base!$N:$N,"&lt;="&amp;$B172) - COUNTIFS(Base!$B:$B,E$11,Base!$S:$S,"&lt;7",Base!$K:$K,"&lt;="&amp;$B172,Base!$O:$O,"Finalizado"))/(COUNTIFS(Base!$B:$B,E$11,Base!$S:$S,"&lt;&gt;",Base!$N:$N,"&lt;="&amp;$B172)+COUNTIFS(Base!$B:$B,E$11,Base!$S:$S,"&lt;7",Base!$K:$K,"&lt;="&amp;$B172,Base!$O:$O,"Finalizado"))</f>
        <v>0.5625</v>
      </c>
      <c r="AB172" s="133">
        <f t="shared" si="12"/>
        <v>0.8</v>
      </c>
      <c r="AD172" s="93">
        <f>(COUNTIFS(Base!$B:$B,F$11,Base!$S:$S,"&gt;8",Base!$N:$N,"&lt;="&amp;$B172)+(COUNTIFS(Base!$B:$B,F$11,Base!$AG:$AG,"&gt;8",Base!$K:$K,"&lt;="&amp;$B172)))</f>
        <v>8</v>
      </c>
      <c r="AE172" s="93">
        <f>(COUNTIFS(Base!$B:$B,F$11,Base!$S:$S,"&lt;&gt;",Base!$N:$N,"&lt;="&amp;$B172)+(COUNTIFS(Base!$B:$B,F$11,Base!$AG:$AG,"&lt;&gt;",Base!$K:$K,"&lt;="&amp;$B172)+COUNTIFS(Base!$B:$B,F$11,Base!$S:$S,"&lt;7",Base!$K:$K,"&lt;="&amp;$B172,Base!$O:$O,"Finalizado")))</f>
        <v>10</v>
      </c>
      <c r="AF172" s="93">
        <f>COUNTIFS(Base!$B:$B,F$11,Base!$S:$S,"&lt;7",Base!$N:$N,"&lt;="&amp;$B172) +COUNTIFS(Base!$B:$B,F$11,Base!$AG:$AG,"&lt;7",Base!$K:$K,"&lt;="&amp;$B172) + COUNTIFS(Base!$B:$B,F$11,Base!$S:$S,"&lt;7",Base!$K:$K,"&lt;="&amp;$B172,Base!$O:$O,"Finalizado")</f>
        <v>0</v>
      </c>
    </row>
    <row r="173">
      <c r="B173" s="151">
        <f t="shared" si="180"/>
        <v>45428</v>
      </c>
      <c r="C173" s="93">
        <f>COUNTIFS(Base!$B:$B,C$11,Base!$M:$M,"&lt;"&amp;$B173,Base!$N:$N,"&gt;="&amp;$B173,Base!$O:$O,"&lt;&gt;Finalizado",Base!$O:$O,"&lt;&gt;Congelado",Base!$O:$O,"&lt;&gt;Concluindo pendências") + COUNTIFS(Base!$B:$B,C$11,Base!$M:$M,"&lt;"&amp;$B173,Base!$N:$N,"",Base!$O:$O,"&lt;&gt;Finalizado",Base!$O:$O,"&lt;&gt;Congelado",Base!$O:$O,"&lt;&gt;Concluindo pendências")</f>
        <v>5</v>
      </c>
      <c r="D173" s="93">
        <f>COUNTIFS(Base!$B:$B,D$11,Base!$M:$M,"&lt;"&amp;$B173,Base!$N:$N,"&gt;="&amp;$B173,Base!$O:$O,"&lt;&gt;Finalizado",Base!$O:$O,"&lt;&gt;Congelado",Base!$O:$O,"&lt;&gt;Concluindo pendências") + COUNTIFS(Base!$B:$B,D$11,Base!$M:$M,"&lt;"&amp;$B173,Base!$N:$N,"",Base!$O:$O,"&lt;&gt;Finalizado",Base!$O:$O,"&lt;&gt;Congelado",Base!$O:$O,"&lt;&gt;Concluindo pendências")</f>
        <v>6</v>
      </c>
      <c r="E173" s="93">
        <f>COUNTIFS(Base!$B:$B,E$11,Base!$M:$M,"&lt;"&amp;$B173,Base!$N:$N,"&gt;="&amp;$B173,Base!$O:$O,"&lt;&gt;Finalizado",Base!$O:$O,"&lt;&gt;Congelado",Base!$O:$O,"&lt;&gt;Concluindo pendências") + COUNTIFS(Base!$B:$B,E$11,Base!$M:$M,"&lt;"&amp;$B173,Base!$N:$N,"",Base!$O:$O,"&lt;&gt;Finalizado",Base!$O:$O,"&lt;&gt;Congelado",Base!$O:$O,"&lt;&gt;Concluindo pendências")</f>
        <v>9</v>
      </c>
      <c r="F173" s="93">
        <f>COUNTIFS(Base!$B:$B,F$11,Base!$M:$M,"&lt;"&amp;$B173,Base!$N:$N,"&gt;="&amp;$B173,Base!$O:$O,"&lt;&gt;Finalizado",Base!$O:$O,"&lt;&gt;Congelado",Base!$O:$O,"&lt;&gt;Concluindo pendências") + COUNTIFS(Base!$B:$B,F$11,Base!$M:$M,"&lt;"&amp;$B173,Base!$N:$N,"",Base!$O:$O,"&lt;&gt;Finalizado",Base!$O:$O,"&lt;&gt;Congelado",Base!$O:$O,"&lt;&gt;Concluindo pendências")</f>
        <v>8</v>
      </c>
      <c r="H173" s="93">
        <f>COUNTIFS(Base!$B:$B,C$11,Base!$K:$K,"&lt;"&amp;$B173,Base!$N:$N,"&gt;="&amp;$B173,Base!$O:$O,"&lt;&gt;Finalizado",Base!$O:$O,"&lt;&gt;Congelado") + COUNTIFS(Base!$B:$B,C$11,Base!$K:$K,"&lt;"&amp;$B173,Base!$N:$N,"",Base!$O:$O,"&lt;&gt;Finalizado",Base!$O:$O,"&lt;&gt;Congelado")</f>
        <v>12</v>
      </c>
      <c r="I173" s="93">
        <f>COUNTIFS(Base!$B:$B,D$11,Base!$K:$K,"&lt;"&amp;$B173,Base!$N:$N,"&gt;="&amp;$B173,Base!$O:$O,"&lt;&gt;Finalizado",Base!$O:$O,"&lt;&gt;Congelado") + COUNTIFS(Base!$B:$B,D$11,Base!$K:$K,"&lt;"&amp;$B173,Base!$N:$N,"",Base!$O:$O,"&lt;&gt;Finalizado",Base!$O:$O,"&lt;&gt;Congelado")</f>
        <v>19</v>
      </c>
      <c r="J173" s="93">
        <f>COUNTIFS(Base!$B:$B,E$11,Base!$K:$K,"&lt;"&amp;$B173,Base!$N:$N,"&gt;="&amp;$B173,Base!$O:$O,"&lt;&gt;Finalizado",Base!$O:$O,"&lt;&gt;Congelado") + COUNTIFS(Base!$B:$B,E$11,Base!$K:$K,"&lt;"&amp;$B173,Base!$N:$N,"",Base!$O:$O,"&lt;&gt;Finalizado",Base!$O:$O,"&lt;&gt;Congelado")</f>
        <v>20</v>
      </c>
      <c r="K173" s="93">
        <f>COUNTIFS(Base!$B:$B,F$11,Base!$K:$K,"&lt;"&amp;$B173,Base!$N:$N,"&gt;="&amp;$B173,Base!$O:$O,"&lt;&gt;Finalizado",Base!$O:$O,"&lt;&gt;Congelado") + COUNTIFS(Base!$B:$B,F$11,Base!$K:$K,"&lt;"&amp;$B173,Base!$N:$N,"",Base!$O:$O,"&lt;&gt;Finalizado",Base!$O:$O,"&lt;&gt;Congelado")</f>
        <v>23</v>
      </c>
      <c r="M173" s="133">
        <f t="shared" ref="M173:P173" si="283">C173/H173</f>
        <v>0.4166666667</v>
      </c>
      <c r="N173" s="133">
        <f t="shared" si="283"/>
        <v>0.3157894737</v>
      </c>
      <c r="O173" s="133">
        <f t="shared" si="283"/>
        <v>0.45</v>
      </c>
      <c r="P173" s="133">
        <f t="shared" si="283"/>
        <v>0.347826087</v>
      </c>
      <c r="Q173" s="133">
        <f t="shared" si="9"/>
        <v>0.3783783784</v>
      </c>
      <c r="S173" s="93">
        <f t="shared" ref="S173:V173" si="284">S172+C173</f>
        <v>569</v>
      </c>
      <c r="T173" s="93">
        <f t="shared" si="284"/>
        <v>868</v>
      </c>
      <c r="U173" s="93">
        <f t="shared" si="284"/>
        <v>669</v>
      </c>
      <c r="V173" s="93">
        <f t="shared" si="284"/>
        <v>745</v>
      </c>
      <c r="W173" s="93">
        <f t="shared" si="11"/>
        <v>2851</v>
      </c>
      <c r="Y173" s="133">
        <f>(COUNTIFS(Base!$B:$B,C$11,Base!$S:$S,"&gt;8",Base!$N:$N,"&lt;="&amp;$B173) - COUNTIFS(Base!$B:$B,C$11,Base!$S:$S,"&lt;7",Base!$N:$N,"&lt;="&amp;$B173) - COUNTIFS(Base!$B:$B,C$11,Base!$S:$S,"&lt;7",Base!$K:$K,"&lt;="&amp;$B173,Base!$O:$O,"Finalizado"))/(COUNTIFS(Base!$B:$B,C$11,Base!$S:$S,"&lt;&gt;",Base!$N:$N,"&lt;="&amp;$B173)+COUNTIFS(Base!$B:$B,C$11,Base!$S:$S,"&lt;7",Base!$K:$K,"&lt;="&amp;$B173,Base!$O:$O,"Finalizado"))</f>
        <v>0.5555555556</v>
      </c>
      <c r="Z173" s="133">
        <f>(COUNTIFS(Base!$B:$B,D$11,Base!$S:$S,"&gt;8",Base!$N:$N,"&lt;="&amp;$B173) - COUNTIFS(Base!$B:$B,D$11,Base!$S:$S,"&lt;7",Base!$N:$N,"&lt;="&amp;$B173) - COUNTIFS(Base!$B:$B,D$11,Base!$S:$S,"&lt;7",Base!$K:$K,"&lt;="&amp;$B173,Base!$O:$O,"Finalizado"))/(COUNTIFS(Base!$B:$B,D$11,Base!$S:$S,"&lt;&gt;",Base!$N:$N,"&lt;="&amp;$B173)+COUNTIFS(Base!$B:$B,D$11,Base!$S:$S,"&lt;7",Base!$K:$K,"&lt;="&amp;$B173,Base!$O:$O,"Finalizado"))</f>
        <v>0.7333333333</v>
      </c>
      <c r="AA173" s="133">
        <f>(COUNTIFS(Base!$B:$B,E$11,Base!$S:$S,"&gt;8",Base!$N:$N,"&lt;="&amp;$B173) - COUNTIFS(Base!$B:$B,E$11,Base!$S:$S,"&lt;7",Base!$N:$N,"&lt;="&amp;$B173) - COUNTIFS(Base!$B:$B,E$11,Base!$S:$S,"&lt;7",Base!$K:$K,"&lt;="&amp;$B173,Base!$O:$O,"Finalizado"))/(COUNTIFS(Base!$B:$B,E$11,Base!$S:$S,"&lt;&gt;",Base!$N:$N,"&lt;="&amp;$B173)+COUNTIFS(Base!$B:$B,E$11,Base!$S:$S,"&lt;7",Base!$K:$K,"&lt;="&amp;$B173,Base!$O:$O,"Finalizado"))</f>
        <v>0.5625</v>
      </c>
      <c r="AB173" s="133">
        <f t="shared" si="12"/>
        <v>0.8</v>
      </c>
      <c r="AD173" s="93">
        <f>(COUNTIFS(Base!$B:$B,F$11,Base!$S:$S,"&gt;8",Base!$N:$N,"&lt;="&amp;$B173)+(COUNTIFS(Base!$B:$B,F$11,Base!$AG:$AG,"&gt;8",Base!$K:$K,"&lt;="&amp;$B173)))</f>
        <v>8</v>
      </c>
      <c r="AE173" s="93">
        <f>(COUNTIFS(Base!$B:$B,F$11,Base!$S:$S,"&lt;&gt;",Base!$N:$N,"&lt;="&amp;$B173)+(COUNTIFS(Base!$B:$B,F$11,Base!$AG:$AG,"&lt;&gt;",Base!$K:$K,"&lt;="&amp;$B173)+COUNTIFS(Base!$B:$B,F$11,Base!$S:$S,"&lt;7",Base!$K:$K,"&lt;="&amp;$B173,Base!$O:$O,"Finalizado")))</f>
        <v>10</v>
      </c>
      <c r="AF173" s="93">
        <f>COUNTIFS(Base!$B:$B,F$11,Base!$S:$S,"&lt;7",Base!$N:$N,"&lt;="&amp;$B173) +COUNTIFS(Base!$B:$B,F$11,Base!$AG:$AG,"&lt;7",Base!$K:$K,"&lt;="&amp;$B173) + COUNTIFS(Base!$B:$B,F$11,Base!$S:$S,"&lt;7",Base!$K:$K,"&lt;="&amp;$B173,Base!$O:$O,"Finalizado")</f>
        <v>0</v>
      </c>
    </row>
    <row r="174">
      <c r="B174" s="151">
        <f t="shared" si="180"/>
        <v>45429</v>
      </c>
      <c r="C174" s="93">
        <f>COUNTIFS(Base!$B:$B,C$11,Base!$M:$M,"&lt;"&amp;$B174,Base!$N:$N,"&gt;="&amp;$B174,Base!$O:$O,"&lt;&gt;Finalizado",Base!$O:$O,"&lt;&gt;Congelado",Base!$O:$O,"&lt;&gt;Concluindo pendências") + COUNTIFS(Base!$B:$B,C$11,Base!$M:$M,"&lt;"&amp;$B174,Base!$N:$N,"",Base!$O:$O,"&lt;&gt;Finalizado",Base!$O:$O,"&lt;&gt;Congelado",Base!$O:$O,"&lt;&gt;Concluindo pendências")</f>
        <v>5</v>
      </c>
      <c r="D174" s="93">
        <f>COUNTIFS(Base!$B:$B,D$11,Base!$M:$M,"&lt;"&amp;$B174,Base!$N:$N,"&gt;="&amp;$B174,Base!$O:$O,"&lt;&gt;Finalizado",Base!$O:$O,"&lt;&gt;Congelado",Base!$O:$O,"&lt;&gt;Concluindo pendências") + COUNTIFS(Base!$B:$B,D$11,Base!$M:$M,"&lt;"&amp;$B174,Base!$N:$N,"",Base!$O:$O,"&lt;&gt;Finalizado",Base!$O:$O,"&lt;&gt;Congelado",Base!$O:$O,"&lt;&gt;Concluindo pendências")</f>
        <v>6</v>
      </c>
      <c r="E174" s="93">
        <f>COUNTIFS(Base!$B:$B,E$11,Base!$M:$M,"&lt;"&amp;$B174,Base!$N:$N,"&gt;="&amp;$B174,Base!$O:$O,"&lt;&gt;Finalizado",Base!$O:$O,"&lt;&gt;Congelado",Base!$O:$O,"&lt;&gt;Concluindo pendências") + COUNTIFS(Base!$B:$B,E$11,Base!$M:$M,"&lt;"&amp;$B174,Base!$N:$N,"",Base!$O:$O,"&lt;&gt;Finalizado",Base!$O:$O,"&lt;&gt;Congelado",Base!$O:$O,"&lt;&gt;Concluindo pendências")</f>
        <v>9</v>
      </c>
      <c r="F174" s="93">
        <f>COUNTIFS(Base!$B:$B,F$11,Base!$M:$M,"&lt;"&amp;$B174,Base!$N:$N,"&gt;="&amp;$B174,Base!$O:$O,"&lt;&gt;Finalizado",Base!$O:$O,"&lt;&gt;Congelado",Base!$O:$O,"&lt;&gt;Concluindo pendências") + COUNTIFS(Base!$B:$B,F$11,Base!$M:$M,"&lt;"&amp;$B174,Base!$N:$N,"",Base!$O:$O,"&lt;&gt;Finalizado",Base!$O:$O,"&lt;&gt;Congelado",Base!$O:$O,"&lt;&gt;Concluindo pendências")</f>
        <v>8</v>
      </c>
      <c r="H174" s="93">
        <f>COUNTIFS(Base!$B:$B,C$11,Base!$K:$K,"&lt;"&amp;$B174,Base!$N:$N,"&gt;="&amp;$B174,Base!$O:$O,"&lt;&gt;Finalizado",Base!$O:$O,"&lt;&gt;Congelado") + COUNTIFS(Base!$B:$B,C$11,Base!$K:$K,"&lt;"&amp;$B174,Base!$N:$N,"",Base!$O:$O,"&lt;&gt;Finalizado",Base!$O:$O,"&lt;&gt;Congelado")</f>
        <v>12</v>
      </c>
      <c r="I174" s="93">
        <f>COUNTIFS(Base!$B:$B,D$11,Base!$K:$K,"&lt;"&amp;$B174,Base!$N:$N,"&gt;="&amp;$B174,Base!$O:$O,"&lt;&gt;Finalizado",Base!$O:$O,"&lt;&gt;Congelado") + COUNTIFS(Base!$B:$B,D$11,Base!$K:$K,"&lt;"&amp;$B174,Base!$N:$N,"",Base!$O:$O,"&lt;&gt;Finalizado",Base!$O:$O,"&lt;&gt;Congelado")</f>
        <v>19</v>
      </c>
      <c r="J174" s="93">
        <f>COUNTIFS(Base!$B:$B,E$11,Base!$K:$K,"&lt;"&amp;$B174,Base!$N:$N,"&gt;="&amp;$B174,Base!$O:$O,"&lt;&gt;Finalizado",Base!$O:$O,"&lt;&gt;Congelado") + COUNTIFS(Base!$B:$B,E$11,Base!$K:$K,"&lt;"&amp;$B174,Base!$N:$N,"",Base!$O:$O,"&lt;&gt;Finalizado",Base!$O:$O,"&lt;&gt;Congelado")</f>
        <v>20</v>
      </c>
      <c r="K174" s="93">
        <f>COUNTIFS(Base!$B:$B,F$11,Base!$K:$K,"&lt;"&amp;$B174,Base!$N:$N,"&gt;="&amp;$B174,Base!$O:$O,"&lt;&gt;Finalizado",Base!$O:$O,"&lt;&gt;Congelado") + COUNTIFS(Base!$B:$B,F$11,Base!$K:$K,"&lt;"&amp;$B174,Base!$N:$N,"",Base!$O:$O,"&lt;&gt;Finalizado",Base!$O:$O,"&lt;&gt;Congelado")</f>
        <v>23</v>
      </c>
      <c r="M174" s="133">
        <f t="shared" ref="M174:P174" si="285">C174/H174</f>
        <v>0.4166666667</v>
      </c>
      <c r="N174" s="133">
        <f t="shared" si="285"/>
        <v>0.3157894737</v>
      </c>
      <c r="O174" s="133">
        <f t="shared" si="285"/>
        <v>0.45</v>
      </c>
      <c r="P174" s="133">
        <f t="shared" si="285"/>
        <v>0.347826087</v>
      </c>
      <c r="Q174" s="133">
        <f t="shared" si="9"/>
        <v>0.3783783784</v>
      </c>
      <c r="S174" s="93">
        <f t="shared" ref="S174:V174" si="286">S173+C174</f>
        <v>574</v>
      </c>
      <c r="T174" s="93">
        <f t="shared" si="286"/>
        <v>874</v>
      </c>
      <c r="U174" s="93">
        <f t="shared" si="286"/>
        <v>678</v>
      </c>
      <c r="V174" s="93">
        <f t="shared" si="286"/>
        <v>753</v>
      </c>
      <c r="W174" s="93">
        <f t="shared" si="11"/>
        <v>2879</v>
      </c>
      <c r="Y174" s="133">
        <f>(COUNTIFS(Base!$B:$B,C$11,Base!$S:$S,"&gt;8",Base!$N:$N,"&lt;="&amp;$B174) - COUNTIFS(Base!$B:$B,C$11,Base!$S:$S,"&lt;7",Base!$N:$N,"&lt;="&amp;$B174) - COUNTIFS(Base!$B:$B,C$11,Base!$S:$S,"&lt;7",Base!$K:$K,"&lt;="&amp;$B174,Base!$O:$O,"Finalizado"))/(COUNTIFS(Base!$B:$B,C$11,Base!$S:$S,"&lt;&gt;",Base!$N:$N,"&lt;="&amp;$B174)+COUNTIFS(Base!$B:$B,C$11,Base!$S:$S,"&lt;7",Base!$K:$K,"&lt;="&amp;$B174,Base!$O:$O,"Finalizado"))</f>
        <v>0.5555555556</v>
      </c>
      <c r="Z174" s="133">
        <f>(COUNTIFS(Base!$B:$B,D$11,Base!$S:$S,"&gt;8",Base!$N:$N,"&lt;="&amp;$B174) - COUNTIFS(Base!$B:$B,D$11,Base!$S:$S,"&lt;7",Base!$N:$N,"&lt;="&amp;$B174) - COUNTIFS(Base!$B:$B,D$11,Base!$S:$S,"&lt;7",Base!$K:$K,"&lt;="&amp;$B174,Base!$O:$O,"Finalizado"))/(COUNTIFS(Base!$B:$B,D$11,Base!$S:$S,"&lt;&gt;",Base!$N:$N,"&lt;="&amp;$B174)+COUNTIFS(Base!$B:$B,D$11,Base!$S:$S,"&lt;7",Base!$K:$K,"&lt;="&amp;$B174,Base!$O:$O,"Finalizado"))</f>
        <v>0.7333333333</v>
      </c>
      <c r="AA174" s="133">
        <f>(COUNTIFS(Base!$B:$B,E$11,Base!$S:$S,"&gt;8",Base!$N:$N,"&lt;="&amp;$B174) - COUNTIFS(Base!$B:$B,E$11,Base!$S:$S,"&lt;7",Base!$N:$N,"&lt;="&amp;$B174) - COUNTIFS(Base!$B:$B,E$11,Base!$S:$S,"&lt;7",Base!$K:$K,"&lt;="&amp;$B174,Base!$O:$O,"Finalizado"))/(COUNTIFS(Base!$B:$B,E$11,Base!$S:$S,"&lt;&gt;",Base!$N:$N,"&lt;="&amp;$B174)+COUNTIFS(Base!$B:$B,E$11,Base!$S:$S,"&lt;7",Base!$K:$K,"&lt;="&amp;$B174,Base!$O:$O,"Finalizado"))</f>
        <v>0.5625</v>
      </c>
      <c r="AB174" s="133">
        <f t="shared" si="12"/>
        <v>0.8</v>
      </c>
      <c r="AD174" s="93">
        <f>(COUNTIFS(Base!$B:$B,F$11,Base!$S:$S,"&gt;8",Base!$N:$N,"&lt;="&amp;$B174)+(COUNTIFS(Base!$B:$B,F$11,Base!$AG:$AG,"&gt;8",Base!$K:$K,"&lt;="&amp;$B174)))</f>
        <v>8</v>
      </c>
      <c r="AE174" s="93">
        <f>(COUNTIFS(Base!$B:$B,F$11,Base!$S:$S,"&lt;&gt;",Base!$N:$N,"&lt;="&amp;$B174)+(COUNTIFS(Base!$B:$B,F$11,Base!$AG:$AG,"&lt;&gt;",Base!$K:$K,"&lt;="&amp;$B174)+COUNTIFS(Base!$B:$B,F$11,Base!$S:$S,"&lt;7",Base!$K:$K,"&lt;="&amp;$B174,Base!$O:$O,"Finalizado")))</f>
        <v>10</v>
      </c>
      <c r="AF174" s="93">
        <f>COUNTIFS(Base!$B:$B,F$11,Base!$S:$S,"&lt;7",Base!$N:$N,"&lt;="&amp;$B174) +COUNTIFS(Base!$B:$B,F$11,Base!$AG:$AG,"&lt;7",Base!$K:$K,"&lt;="&amp;$B174) + COUNTIFS(Base!$B:$B,F$11,Base!$S:$S,"&lt;7",Base!$K:$K,"&lt;="&amp;$B174,Base!$O:$O,"Finalizado")</f>
        <v>0</v>
      </c>
    </row>
    <row r="175">
      <c r="B175" s="151">
        <f t="shared" si="180"/>
        <v>45430</v>
      </c>
      <c r="C175" s="93">
        <f>COUNTIFS(Base!$B:$B,C$11,Base!$M:$M,"&lt;"&amp;$B175,Base!$N:$N,"&gt;="&amp;$B175,Base!$O:$O,"&lt;&gt;Finalizado",Base!$O:$O,"&lt;&gt;Congelado",Base!$O:$O,"&lt;&gt;Concluindo pendências") + COUNTIFS(Base!$B:$B,C$11,Base!$M:$M,"&lt;"&amp;$B175,Base!$N:$N,"",Base!$O:$O,"&lt;&gt;Finalizado",Base!$O:$O,"&lt;&gt;Congelado",Base!$O:$O,"&lt;&gt;Concluindo pendências")</f>
        <v>5</v>
      </c>
      <c r="D175" s="93">
        <f>COUNTIFS(Base!$B:$B,D$11,Base!$M:$M,"&lt;"&amp;$B175,Base!$N:$N,"&gt;="&amp;$B175,Base!$O:$O,"&lt;&gt;Finalizado",Base!$O:$O,"&lt;&gt;Congelado",Base!$O:$O,"&lt;&gt;Concluindo pendências") + COUNTIFS(Base!$B:$B,D$11,Base!$M:$M,"&lt;"&amp;$B175,Base!$N:$N,"",Base!$O:$O,"&lt;&gt;Finalizado",Base!$O:$O,"&lt;&gt;Congelado",Base!$O:$O,"&lt;&gt;Concluindo pendências")</f>
        <v>5</v>
      </c>
      <c r="E175" s="93">
        <f>COUNTIFS(Base!$B:$B,E$11,Base!$M:$M,"&lt;"&amp;$B175,Base!$N:$N,"&gt;="&amp;$B175,Base!$O:$O,"&lt;&gt;Finalizado",Base!$O:$O,"&lt;&gt;Congelado",Base!$O:$O,"&lt;&gt;Concluindo pendências") + COUNTIFS(Base!$B:$B,E$11,Base!$M:$M,"&lt;"&amp;$B175,Base!$N:$N,"",Base!$O:$O,"&lt;&gt;Finalizado",Base!$O:$O,"&lt;&gt;Congelado",Base!$O:$O,"&lt;&gt;Concluindo pendências")</f>
        <v>9</v>
      </c>
      <c r="F175" s="93">
        <f>COUNTIFS(Base!$B:$B,F$11,Base!$M:$M,"&lt;"&amp;$B175,Base!$N:$N,"&gt;="&amp;$B175,Base!$O:$O,"&lt;&gt;Finalizado",Base!$O:$O,"&lt;&gt;Congelado",Base!$O:$O,"&lt;&gt;Concluindo pendências") + COUNTIFS(Base!$B:$B,F$11,Base!$M:$M,"&lt;"&amp;$B175,Base!$N:$N,"",Base!$O:$O,"&lt;&gt;Finalizado",Base!$O:$O,"&lt;&gt;Congelado",Base!$O:$O,"&lt;&gt;Concluindo pendências")</f>
        <v>8</v>
      </c>
      <c r="H175" s="93">
        <f>COUNTIFS(Base!$B:$B,C$11,Base!$K:$K,"&lt;"&amp;$B175,Base!$N:$N,"&gt;="&amp;$B175,Base!$O:$O,"&lt;&gt;Finalizado",Base!$O:$O,"&lt;&gt;Congelado") + COUNTIFS(Base!$B:$B,C$11,Base!$K:$K,"&lt;"&amp;$B175,Base!$N:$N,"",Base!$O:$O,"&lt;&gt;Finalizado",Base!$O:$O,"&lt;&gt;Congelado")</f>
        <v>12</v>
      </c>
      <c r="I175" s="93">
        <f>COUNTIFS(Base!$B:$B,D$11,Base!$K:$K,"&lt;"&amp;$B175,Base!$N:$N,"&gt;="&amp;$B175,Base!$O:$O,"&lt;&gt;Finalizado",Base!$O:$O,"&lt;&gt;Congelado") + COUNTIFS(Base!$B:$B,D$11,Base!$K:$K,"&lt;"&amp;$B175,Base!$N:$N,"",Base!$O:$O,"&lt;&gt;Finalizado",Base!$O:$O,"&lt;&gt;Congelado")</f>
        <v>18</v>
      </c>
      <c r="J175" s="93">
        <f>COUNTIFS(Base!$B:$B,E$11,Base!$K:$K,"&lt;"&amp;$B175,Base!$N:$N,"&gt;="&amp;$B175,Base!$O:$O,"&lt;&gt;Finalizado",Base!$O:$O,"&lt;&gt;Congelado") + COUNTIFS(Base!$B:$B,E$11,Base!$K:$K,"&lt;"&amp;$B175,Base!$N:$N,"",Base!$O:$O,"&lt;&gt;Finalizado",Base!$O:$O,"&lt;&gt;Congelado")</f>
        <v>20</v>
      </c>
      <c r="K175" s="93">
        <f>COUNTIFS(Base!$B:$B,F$11,Base!$K:$K,"&lt;"&amp;$B175,Base!$N:$N,"&gt;="&amp;$B175,Base!$O:$O,"&lt;&gt;Finalizado",Base!$O:$O,"&lt;&gt;Congelado") + COUNTIFS(Base!$B:$B,F$11,Base!$K:$K,"&lt;"&amp;$B175,Base!$N:$N,"",Base!$O:$O,"&lt;&gt;Finalizado",Base!$O:$O,"&lt;&gt;Congelado")</f>
        <v>23</v>
      </c>
      <c r="M175" s="133">
        <f t="shared" ref="M175:P175" si="287">C175/H175</f>
        <v>0.4166666667</v>
      </c>
      <c r="N175" s="133">
        <f t="shared" si="287"/>
        <v>0.2777777778</v>
      </c>
      <c r="O175" s="133">
        <f t="shared" si="287"/>
        <v>0.45</v>
      </c>
      <c r="P175" s="133">
        <f t="shared" si="287"/>
        <v>0.347826087</v>
      </c>
      <c r="Q175" s="133">
        <f t="shared" si="9"/>
        <v>0.3698630137</v>
      </c>
      <c r="S175" s="93">
        <f t="shared" ref="S175:V175" si="288">S174+C175</f>
        <v>579</v>
      </c>
      <c r="T175" s="93">
        <f t="shared" si="288"/>
        <v>879</v>
      </c>
      <c r="U175" s="93">
        <f t="shared" si="288"/>
        <v>687</v>
      </c>
      <c r="V175" s="93">
        <f t="shared" si="288"/>
        <v>761</v>
      </c>
      <c r="W175" s="93">
        <f t="shared" si="11"/>
        <v>2906</v>
      </c>
      <c r="Y175" s="133">
        <f>(COUNTIFS(Base!$B:$B,C$11,Base!$S:$S,"&gt;8",Base!$N:$N,"&lt;="&amp;$B175) - COUNTIFS(Base!$B:$B,C$11,Base!$S:$S,"&lt;7",Base!$N:$N,"&lt;="&amp;$B175) - COUNTIFS(Base!$B:$B,C$11,Base!$S:$S,"&lt;7",Base!$K:$K,"&lt;="&amp;$B175,Base!$O:$O,"Finalizado"))/(COUNTIFS(Base!$B:$B,C$11,Base!$S:$S,"&lt;&gt;",Base!$N:$N,"&lt;="&amp;$B175)+COUNTIFS(Base!$B:$B,C$11,Base!$S:$S,"&lt;7",Base!$K:$K,"&lt;="&amp;$B175,Base!$O:$O,"Finalizado"))</f>
        <v>0.5555555556</v>
      </c>
      <c r="Z175" s="133">
        <f>(COUNTIFS(Base!$B:$B,D$11,Base!$S:$S,"&gt;8",Base!$N:$N,"&lt;="&amp;$B175) - COUNTIFS(Base!$B:$B,D$11,Base!$S:$S,"&lt;7",Base!$N:$N,"&lt;="&amp;$B175) - COUNTIFS(Base!$B:$B,D$11,Base!$S:$S,"&lt;7",Base!$K:$K,"&lt;="&amp;$B175,Base!$O:$O,"Finalizado"))/(COUNTIFS(Base!$B:$B,D$11,Base!$S:$S,"&lt;&gt;",Base!$N:$N,"&lt;="&amp;$B175)+COUNTIFS(Base!$B:$B,D$11,Base!$S:$S,"&lt;7",Base!$K:$K,"&lt;="&amp;$B175,Base!$O:$O,"Finalizado"))</f>
        <v>0.7333333333</v>
      </c>
      <c r="AA175" s="133">
        <f>(COUNTIFS(Base!$B:$B,E$11,Base!$S:$S,"&gt;8",Base!$N:$N,"&lt;="&amp;$B175) - COUNTIFS(Base!$B:$B,E$11,Base!$S:$S,"&lt;7",Base!$N:$N,"&lt;="&amp;$B175) - COUNTIFS(Base!$B:$B,E$11,Base!$S:$S,"&lt;7",Base!$K:$K,"&lt;="&amp;$B175,Base!$O:$O,"Finalizado"))/(COUNTIFS(Base!$B:$B,E$11,Base!$S:$S,"&lt;&gt;",Base!$N:$N,"&lt;="&amp;$B175)+COUNTIFS(Base!$B:$B,E$11,Base!$S:$S,"&lt;7",Base!$K:$K,"&lt;="&amp;$B175,Base!$O:$O,"Finalizado"))</f>
        <v>0.5625</v>
      </c>
      <c r="AB175" s="133">
        <f t="shared" si="12"/>
        <v>0.8</v>
      </c>
      <c r="AD175" s="93">
        <f>(COUNTIFS(Base!$B:$B,F$11,Base!$S:$S,"&gt;8",Base!$N:$N,"&lt;="&amp;$B175)+(COUNTIFS(Base!$B:$B,F$11,Base!$AG:$AG,"&gt;8",Base!$K:$K,"&lt;="&amp;$B175)))</f>
        <v>8</v>
      </c>
      <c r="AE175" s="93">
        <f>(COUNTIFS(Base!$B:$B,F$11,Base!$S:$S,"&lt;&gt;",Base!$N:$N,"&lt;="&amp;$B175)+(COUNTIFS(Base!$B:$B,F$11,Base!$AG:$AG,"&lt;&gt;",Base!$K:$K,"&lt;="&amp;$B175)+COUNTIFS(Base!$B:$B,F$11,Base!$S:$S,"&lt;7",Base!$K:$K,"&lt;="&amp;$B175,Base!$O:$O,"Finalizado")))</f>
        <v>10</v>
      </c>
      <c r="AF175" s="93">
        <f>COUNTIFS(Base!$B:$B,F$11,Base!$S:$S,"&lt;7",Base!$N:$N,"&lt;="&amp;$B175) +COUNTIFS(Base!$B:$B,F$11,Base!$AG:$AG,"&lt;7",Base!$K:$K,"&lt;="&amp;$B175) + COUNTIFS(Base!$B:$B,F$11,Base!$S:$S,"&lt;7",Base!$K:$K,"&lt;="&amp;$B175,Base!$O:$O,"Finalizado")</f>
        <v>0</v>
      </c>
    </row>
    <row r="176">
      <c r="B176" s="151">
        <f t="shared" si="180"/>
        <v>45431</v>
      </c>
      <c r="C176" s="93">
        <f>COUNTIFS(Base!$B:$B,C$11,Base!$M:$M,"&lt;"&amp;$B176,Base!$N:$N,"&gt;="&amp;$B176,Base!$O:$O,"&lt;&gt;Finalizado",Base!$O:$O,"&lt;&gt;Congelado",Base!$O:$O,"&lt;&gt;Concluindo pendências") + COUNTIFS(Base!$B:$B,C$11,Base!$M:$M,"&lt;"&amp;$B176,Base!$N:$N,"",Base!$O:$O,"&lt;&gt;Finalizado",Base!$O:$O,"&lt;&gt;Congelado",Base!$O:$O,"&lt;&gt;Concluindo pendências")</f>
        <v>5</v>
      </c>
      <c r="D176" s="93">
        <f>COUNTIFS(Base!$B:$B,D$11,Base!$M:$M,"&lt;"&amp;$B176,Base!$N:$N,"&gt;="&amp;$B176,Base!$O:$O,"&lt;&gt;Finalizado",Base!$O:$O,"&lt;&gt;Congelado",Base!$O:$O,"&lt;&gt;Concluindo pendências") + COUNTIFS(Base!$B:$B,D$11,Base!$M:$M,"&lt;"&amp;$B176,Base!$N:$N,"",Base!$O:$O,"&lt;&gt;Finalizado",Base!$O:$O,"&lt;&gt;Congelado",Base!$O:$O,"&lt;&gt;Concluindo pendências")</f>
        <v>5</v>
      </c>
      <c r="E176" s="93">
        <f>COUNTIFS(Base!$B:$B,E$11,Base!$M:$M,"&lt;"&amp;$B176,Base!$N:$N,"&gt;="&amp;$B176,Base!$O:$O,"&lt;&gt;Finalizado",Base!$O:$O,"&lt;&gt;Congelado",Base!$O:$O,"&lt;&gt;Concluindo pendências") + COUNTIFS(Base!$B:$B,E$11,Base!$M:$M,"&lt;"&amp;$B176,Base!$N:$N,"",Base!$O:$O,"&lt;&gt;Finalizado",Base!$O:$O,"&lt;&gt;Congelado",Base!$O:$O,"&lt;&gt;Concluindo pendências")</f>
        <v>9</v>
      </c>
      <c r="F176" s="93">
        <f>COUNTIFS(Base!$B:$B,F$11,Base!$M:$M,"&lt;"&amp;$B176,Base!$N:$N,"&gt;="&amp;$B176,Base!$O:$O,"&lt;&gt;Finalizado",Base!$O:$O,"&lt;&gt;Congelado",Base!$O:$O,"&lt;&gt;Concluindo pendências") + COUNTIFS(Base!$B:$B,F$11,Base!$M:$M,"&lt;"&amp;$B176,Base!$N:$N,"",Base!$O:$O,"&lt;&gt;Finalizado",Base!$O:$O,"&lt;&gt;Congelado",Base!$O:$O,"&lt;&gt;Concluindo pendências")</f>
        <v>8</v>
      </c>
    </row>
    <row r="177">
      <c r="B177" s="151">
        <f t="shared" si="180"/>
        <v>45432</v>
      </c>
      <c r="C177" s="93">
        <f>COUNTIFS(Base!$B:$B,C$11,Base!$M:$M,"&lt;"&amp;$B177,Base!$N:$N,"&gt;="&amp;$B177,Base!$O:$O,"&lt;&gt;Finalizado",Base!$O:$O,"&lt;&gt;Congelado",Base!$O:$O,"&lt;&gt;Concluindo pendências") + COUNTIFS(Base!$B:$B,C$11,Base!$M:$M,"&lt;"&amp;$B177,Base!$N:$N,"",Base!$O:$O,"&lt;&gt;Finalizado",Base!$O:$O,"&lt;&gt;Congelado",Base!$O:$O,"&lt;&gt;Concluindo pendências")</f>
        <v>5</v>
      </c>
      <c r="D177" s="93">
        <f>COUNTIFS(Base!$B:$B,D$11,Base!$M:$M,"&lt;"&amp;$B177,Base!$N:$N,"&gt;="&amp;$B177,Base!$O:$O,"&lt;&gt;Finalizado",Base!$O:$O,"&lt;&gt;Congelado",Base!$O:$O,"&lt;&gt;Concluindo pendências") + COUNTIFS(Base!$B:$B,D$11,Base!$M:$M,"&lt;"&amp;$B177,Base!$N:$N,"",Base!$O:$O,"&lt;&gt;Finalizado",Base!$O:$O,"&lt;&gt;Congelado",Base!$O:$O,"&lt;&gt;Concluindo pendências")</f>
        <v>5</v>
      </c>
      <c r="E177" s="93">
        <f>COUNTIFS(Base!$B:$B,E$11,Base!$M:$M,"&lt;"&amp;$B177,Base!$N:$N,"&gt;="&amp;$B177,Base!$O:$O,"&lt;&gt;Finalizado",Base!$O:$O,"&lt;&gt;Congelado",Base!$O:$O,"&lt;&gt;Concluindo pendências") + COUNTIFS(Base!$B:$B,E$11,Base!$M:$M,"&lt;"&amp;$B177,Base!$N:$N,"",Base!$O:$O,"&lt;&gt;Finalizado",Base!$O:$O,"&lt;&gt;Congelado",Base!$O:$O,"&lt;&gt;Concluindo pendências")</f>
        <v>9</v>
      </c>
      <c r="F177" s="93">
        <f>COUNTIFS(Base!$B:$B,F$11,Base!$M:$M,"&lt;"&amp;$B177,Base!$N:$N,"&gt;="&amp;$B177,Base!$O:$O,"&lt;&gt;Finalizado",Base!$O:$O,"&lt;&gt;Congelado",Base!$O:$O,"&lt;&gt;Concluindo pendências") + COUNTIFS(Base!$B:$B,F$11,Base!$M:$M,"&lt;"&amp;$B177,Base!$N:$N,"",Base!$O:$O,"&lt;&gt;Finalizado",Base!$O:$O,"&lt;&gt;Congelado",Base!$O:$O,"&lt;&gt;Concluindo pendências")</f>
        <v>8</v>
      </c>
    </row>
    <row r="178">
      <c r="B178" s="151">
        <f t="shared" si="180"/>
        <v>45433</v>
      </c>
      <c r="C178" s="93">
        <f>COUNTIFS(Base!$B:$B,C$11,Base!$M:$M,"&lt;"&amp;$B178,Base!$N:$N,"&gt;="&amp;$B178,Base!$O:$O,"&lt;&gt;Finalizado",Base!$O:$O,"&lt;&gt;Congelado",Base!$O:$O,"&lt;&gt;Concluindo pendências") + COUNTIFS(Base!$B:$B,C$11,Base!$M:$M,"&lt;"&amp;$B178,Base!$N:$N,"",Base!$O:$O,"&lt;&gt;Finalizado",Base!$O:$O,"&lt;&gt;Congelado",Base!$O:$O,"&lt;&gt;Concluindo pendências")</f>
        <v>5</v>
      </c>
      <c r="D178" s="93">
        <f>COUNTIFS(Base!$B:$B,D$11,Base!$M:$M,"&lt;"&amp;$B178,Base!$N:$N,"&gt;="&amp;$B178,Base!$O:$O,"&lt;&gt;Finalizado",Base!$O:$O,"&lt;&gt;Congelado",Base!$O:$O,"&lt;&gt;Concluindo pendências") + COUNTIFS(Base!$B:$B,D$11,Base!$M:$M,"&lt;"&amp;$B178,Base!$N:$N,"",Base!$O:$O,"&lt;&gt;Finalizado",Base!$O:$O,"&lt;&gt;Congelado",Base!$O:$O,"&lt;&gt;Concluindo pendências")</f>
        <v>5</v>
      </c>
      <c r="E178" s="93">
        <f>COUNTIFS(Base!$B:$B,E$11,Base!$M:$M,"&lt;"&amp;$B178,Base!$N:$N,"&gt;="&amp;$B178,Base!$O:$O,"&lt;&gt;Finalizado",Base!$O:$O,"&lt;&gt;Congelado",Base!$O:$O,"&lt;&gt;Concluindo pendências") + COUNTIFS(Base!$B:$B,E$11,Base!$M:$M,"&lt;"&amp;$B178,Base!$N:$N,"",Base!$O:$O,"&lt;&gt;Finalizado",Base!$O:$O,"&lt;&gt;Congelado",Base!$O:$O,"&lt;&gt;Concluindo pendências")</f>
        <v>10</v>
      </c>
      <c r="F178" s="93">
        <f>COUNTIFS(Base!$B:$B,F$11,Base!$M:$M,"&lt;"&amp;$B178,Base!$N:$N,"&gt;="&amp;$B178,Base!$O:$O,"&lt;&gt;Finalizado",Base!$O:$O,"&lt;&gt;Congelado",Base!$O:$O,"&lt;&gt;Concluindo pendências") + COUNTIFS(Base!$B:$B,F$11,Base!$M:$M,"&lt;"&amp;$B178,Base!$N:$N,"",Base!$O:$O,"&lt;&gt;Finalizado",Base!$O:$O,"&lt;&gt;Congelado",Base!$O:$O,"&lt;&gt;Concluindo pendências")</f>
        <v>9</v>
      </c>
    </row>
    <row r="179">
      <c r="B179" s="151">
        <f t="shared" si="180"/>
        <v>45434</v>
      </c>
      <c r="C179" s="93">
        <f>COUNTIFS(Base!$B:$B,C$11,Base!$M:$M,"&lt;"&amp;$B179,Base!$N:$N,"&gt;="&amp;$B179,Base!$O:$O,"&lt;&gt;Finalizado",Base!$O:$O,"&lt;&gt;Congelado",Base!$O:$O,"&lt;&gt;Concluindo pendências") + COUNTIFS(Base!$B:$B,C$11,Base!$M:$M,"&lt;"&amp;$B179,Base!$N:$N,"",Base!$O:$O,"&lt;&gt;Finalizado",Base!$O:$O,"&lt;&gt;Congelado",Base!$O:$O,"&lt;&gt;Concluindo pendências")</f>
        <v>5</v>
      </c>
      <c r="D179" s="93">
        <f>COUNTIFS(Base!$B:$B,D$11,Base!$M:$M,"&lt;"&amp;$B179,Base!$N:$N,"&gt;="&amp;$B179,Base!$O:$O,"&lt;&gt;Finalizado",Base!$O:$O,"&lt;&gt;Congelado",Base!$O:$O,"&lt;&gt;Concluindo pendências") + COUNTIFS(Base!$B:$B,D$11,Base!$M:$M,"&lt;"&amp;$B179,Base!$N:$N,"",Base!$O:$O,"&lt;&gt;Finalizado",Base!$O:$O,"&lt;&gt;Congelado",Base!$O:$O,"&lt;&gt;Concluindo pendências")</f>
        <v>5</v>
      </c>
      <c r="E179" s="93">
        <f>COUNTIFS(Base!$B:$B,E$11,Base!$M:$M,"&lt;"&amp;$B179,Base!$N:$N,"&gt;="&amp;$B179,Base!$O:$O,"&lt;&gt;Finalizado",Base!$O:$O,"&lt;&gt;Congelado",Base!$O:$O,"&lt;&gt;Concluindo pendências") + COUNTIFS(Base!$B:$B,E$11,Base!$M:$M,"&lt;"&amp;$B179,Base!$N:$N,"",Base!$O:$O,"&lt;&gt;Finalizado",Base!$O:$O,"&lt;&gt;Congelado",Base!$O:$O,"&lt;&gt;Concluindo pendências")</f>
        <v>10</v>
      </c>
      <c r="F179" s="93">
        <f>COUNTIFS(Base!$B:$B,F$11,Base!$M:$M,"&lt;"&amp;$B179,Base!$N:$N,"&gt;="&amp;$B179,Base!$O:$O,"&lt;&gt;Finalizado",Base!$O:$O,"&lt;&gt;Congelado",Base!$O:$O,"&lt;&gt;Concluindo pendências") + COUNTIFS(Base!$B:$B,F$11,Base!$M:$M,"&lt;"&amp;$B179,Base!$N:$N,"",Base!$O:$O,"&lt;&gt;Finalizado",Base!$O:$O,"&lt;&gt;Congelado",Base!$O:$O,"&lt;&gt;Concluindo pendências")</f>
        <v>9</v>
      </c>
    </row>
    <row r="180">
      <c r="B180" s="151">
        <f t="shared" si="180"/>
        <v>45435</v>
      </c>
      <c r="C180" s="93">
        <f>COUNTIFS(Base!$B:$B,C$11,Base!$M:$M,"&lt;"&amp;$B180,Base!$N:$N,"&gt;="&amp;$B180,Base!$O:$O,"&lt;&gt;Finalizado",Base!$O:$O,"&lt;&gt;Congelado",Base!$O:$O,"&lt;&gt;Concluindo pendências") + COUNTIFS(Base!$B:$B,C$11,Base!$M:$M,"&lt;"&amp;$B180,Base!$N:$N,"",Base!$O:$O,"&lt;&gt;Finalizado",Base!$O:$O,"&lt;&gt;Congelado",Base!$O:$O,"&lt;&gt;Concluindo pendências")</f>
        <v>5</v>
      </c>
      <c r="D180" s="93">
        <f>COUNTIFS(Base!$B:$B,D$11,Base!$M:$M,"&lt;"&amp;$B180,Base!$N:$N,"&gt;="&amp;$B180,Base!$O:$O,"&lt;&gt;Finalizado",Base!$O:$O,"&lt;&gt;Congelado",Base!$O:$O,"&lt;&gt;Concluindo pendências") + COUNTIFS(Base!$B:$B,D$11,Base!$M:$M,"&lt;"&amp;$B180,Base!$N:$N,"",Base!$O:$O,"&lt;&gt;Finalizado",Base!$O:$O,"&lt;&gt;Congelado",Base!$O:$O,"&lt;&gt;Concluindo pendências")</f>
        <v>5</v>
      </c>
      <c r="E180" s="93">
        <f>COUNTIFS(Base!$B:$B,E$11,Base!$M:$M,"&lt;"&amp;$B180,Base!$N:$N,"&gt;="&amp;$B180,Base!$O:$O,"&lt;&gt;Finalizado",Base!$O:$O,"&lt;&gt;Congelado",Base!$O:$O,"&lt;&gt;Concluindo pendências") + COUNTIFS(Base!$B:$B,E$11,Base!$M:$M,"&lt;"&amp;$B180,Base!$N:$N,"",Base!$O:$O,"&lt;&gt;Finalizado",Base!$O:$O,"&lt;&gt;Congelado",Base!$O:$O,"&lt;&gt;Concluindo pendências")</f>
        <v>10</v>
      </c>
      <c r="F180" s="93">
        <f>COUNTIFS(Base!$B:$B,F$11,Base!$M:$M,"&lt;"&amp;$B180,Base!$N:$N,"&gt;="&amp;$B180,Base!$O:$O,"&lt;&gt;Finalizado",Base!$O:$O,"&lt;&gt;Congelado",Base!$O:$O,"&lt;&gt;Concluindo pendências") + COUNTIFS(Base!$B:$B,F$11,Base!$M:$M,"&lt;"&amp;$B180,Base!$N:$N,"",Base!$O:$O,"&lt;&gt;Finalizado",Base!$O:$O,"&lt;&gt;Congelado",Base!$O:$O,"&lt;&gt;Concluindo pendências")</f>
        <v>9</v>
      </c>
    </row>
    <row r="181">
      <c r="B181" s="151">
        <f t="shared" si="180"/>
        <v>45436</v>
      </c>
      <c r="C181" s="93">
        <f>COUNTIFS(Base!$B:$B,C$11,Base!$M:$M,"&lt;"&amp;$B181,Base!$N:$N,"&gt;="&amp;$B181,Base!$O:$O,"&lt;&gt;Finalizado",Base!$O:$O,"&lt;&gt;Congelado",Base!$O:$O,"&lt;&gt;Concluindo pendências") + COUNTIFS(Base!$B:$B,C$11,Base!$M:$M,"&lt;"&amp;$B181,Base!$N:$N,"",Base!$O:$O,"&lt;&gt;Finalizado",Base!$O:$O,"&lt;&gt;Congelado",Base!$O:$O,"&lt;&gt;Concluindo pendências")</f>
        <v>5</v>
      </c>
      <c r="D181" s="93">
        <f>COUNTIFS(Base!$B:$B,D$11,Base!$M:$M,"&lt;"&amp;$B181,Base!$N:$N,"&gt;="&amp;$B181,Base!$O:$O,"&lt;&gt;Finalizado",Base!$O:$O,"&lt;&gt;Congelado",Base!$O:$O,"&lt;&gt;Concluindo pendências") + COUNTIFS(Base!$B:$B,D$11,Base!$M:$M,"&lt;"&amp;$B181,Base!$N:$N,"",Base!$O:$O,"&lt;&gt;Finalizado",Base!$O:$O,"&lt;&gt;Congelado",Base!$O:$O,"&lt;&gt;Concluindo pendências")</f>
        <v>5</v>
      </c>
      <c r="E181" s="93">
        <f>COUNTIFS(Base!$B:$B,E$11,Base!$M:$M,"&lt;"&amp;$B181,Base!$N:$N,"&gt;="&amp;$B181,Base!$O:$O,"&lt;&gt;Finalizado",Base!$O:$O,"&lt;&gt;Congelado",Base!$O:$O,"&lt;&gt;Concluindo pendências") + COUNTIFS(Base!$B:$B,E$11,Base!$M:$M,"&lt;"&amp;$B181,Base!$N:$N,"",Base!$O:$O,"&lt;&gt;Finalizado",Base!$O:$O,"&lt;&gt;Congelado",Base!$O:$O,"&lt;&gt;Concluindo pendências")</f>
        <v>10</v>
      </c>
      <c r="F181" s="93">
        <f>COUNTIFS(Base!$B:$B,F$11,Base!$M:$M,"&lt;"&amp;$B181,Base!$N:$N,"&gt;="&amp;$B181,Base!$O:$O,"&lt;&gt;Finalizado",Base!$O:$O,"&lt;&gt;Congelado",Base!$O:$O,"&lt;&gt;Concluindo pendências") + COUNTIFS(Base!$B:$B,F$11,Base!$M:$M,"&lt;"&amp;$B181,Base!$N:$N,"",Base!$O:$O,"&lt;&gt;Finalizado",Base!$O:$O,"&lt;&gt;Congelado",Base!$O:$O,"&lt;&gt;Concluindo pendências")</f>
        <v>9</v>
      </c>
    </row>
    <row r="182">
      <c r="B182" s="151">
        <f t="shared" si="180"/>
        <v>45437</v>
      </c>
      <c r="C182" s="93">
        <f>COUNTIFS(Base!$B:$B,C$11,Base!$M:$M,"&lt;"&amp;$B182,Base!$N:$N,"&gt;="&amp;$B182,Base!$O:$O,"&lt;&gt;Finalizado",Base!$O:$O,"&lt;&gt;Congelado",Base!$O:$O,"&lt;&gt;Concluindo pendências") + COUNTIFS(Base!$B:$B,C$11,Base!$M:$M,"&lt;"&amp;$B182,Base!$N:$N,"",Base!$O:$O,"&lt;&gt;Finalizado",Base!$O:$O,"&lt;&gt;Congelado",Base!$O:$O,"&lt;&gt;Concluindo pendências")</f>
        <v>5</v>
      </c>
      <c r="D182" s="93">
        <f>COUNTIFS(Base!$B:$B,D$11,Base!$M:$M,"&lt;"&amp;$B182,Base!$N:$N,"&gt;="&amp;$B182,Base!$O:$O,"&lt;&gt;Finalizado",Base!$O:$O,"&lt;&gt;Congelado",Base!$O:$O,"&lt;&gt;Concluindo pendências") + COUNTIFS(Base!$B:$B,D$11,Base!$M:$M,"&lt;"&amp;$B182,Base!$N:$N,"",Base!$O:$O,"&lt;&gt;Finalizado",Base!$O:$O,"&lt;&gt;Congelado",Base!$O:$O,"&lt;&gt;Concluindo pendências")</f>
        <v>6</v>
      </c>
      <c r="E182" s="93">
        <f>COUNTIFS(Base!$B:$B,E$11,Base!$M:$M,"&lt;"&amp;$B182,Base!$N:$N,"&gt;="&amp;$B182,Base!$O:$O,"&lt;&gt;Finalizado",Base!$O:$O,"&lt;&gt;Congelado",Base!$O:$O,"&lt;&gt;Concluindo pendências") + COUNTIFS(Base!$B:$B,E$11,Base!$M:$M,"&lt;"&amp;$B182,Base!$N:$N,"",Base!$O:$O,"&lt;&gt;Finalizado",Base!$O:$O,"&lt;&gt;Congelado",Base!$O:$O,"&lt;&gt;Concluindo pendências")</f>
        <v>10</v>
      </c>
      <c r="F182" s="93">
        <f>COUNTIFS(Base!$B:$B,F$11,Base!$M:$M,"&lt;"&amp;$B182,Base!$N:$N,"&gt;="&amp;$B182,Base!$O:$O,"&lt;&gt;Finalizado",Base!$O:$O,"&lt;&gt;Congelado",Base!$O:$O,"&lt;&gt;Concluindo pendências") + COUNTIFS(Base!$B:$B,F$11,Base!$M:$M,"&lt;"&amp;$B182,Base!$N:$N,"",Base!$O:$O,"&lt;&gt;Finalizado",Base!$O:$O,"&lt;&gt;Congelado",Base!$O:$O,"&lt;&gt;Concluindo pendências")</f>
        <v>9</v>
      </c>
    </row>
    <row r="183">
      <c r="B183" s="151">
        <f t="shared" si="180"/>
        <v>45438</v>
      </c>
      <c r="C183" s="93">
        <f>COUNTIFS(Base!$B:$B,C$11,Base!$M:$M,"&lt;"&amp;$B183,Base!$N:$N,"&gt;="&amp;$B183,Base!$O:$O,"&lt;&gt;Finalizado",Base!$O:$O,"&lt;&gt;Congelado",Base!$O:$O,"&lt;&gt;Concluindo pendências") + COUNTIFS(Base!$B:$B,C$11,Base!$M:$M,"&lt;"&amp;$B183,Base!$N:$N,"",Base!$O:$O,"&lt;&gt;Finalizado",Base!$O:$O,"&lt;&gt;Congelado",Base!$O:$O,"&lt;&gt;Concluindo pendências")</f>
        <v>5</v>
      </c>
      <c r="D183" s="93">
        <f>COUNTIFS(Base!$B:$B,D$11,Base!$M:$M,"&lt;"&amp;$B183,Base!$N:$N,"&gt;="&amp;$B183,Base!$O:$O,"&lt;&gt;Finalizado",Base!$O:$O,"&lt;&gt;Congelado",Base!$O:$O,"&lt;&gt;Concluindo pendências") + COUNTIFS(Base!$B:$B,D$11,Base!$M:$M,"&lt;"&amp;$B183,Base!$N:$N,"",Base!$O:$O,"&lt;&gt;Finalizado",Base!$O:$O,"&lt;&gt;Congelado",Base!$O:$O,"&lt;&gt;Concluindo pendências")</f>
        <v>6</v>
      </c>
      <c r="E183" s="93">
        <f>COUNTIFS(Base!$B:$B,E$11,Base!$M:$M,"&lt;"&amp;$B183,Base!$N:$N,"&gt;="&amp;$B183,Base!$O:$O,"&lt;&gt;Finalizado",Base!$O:$O,"&lt;&gt;Congelado",Base!$O:$O,"&lt;&gt;Concluindo pendências") + COUNTIFS(Base!$B:$B,E$11,Base!$M:$M,"&lt;"&amp;$B183,Base!$N:$N,"",Base!$O:$O,"&lt;&gt;Finalizado",Base!$O:$O,"&lt;&gt;Congelado",Base!$O:$O,"&lt;&gt;Concluindo pendências")</f>
        <v>10</v>
      </c>
      <c r="F183" s="93">
        <f>COUNTIFS(Base!$B:$B,F$11,Base!$M:$M,"&lt;"&amp;$B183,Base!$N:$N,"&gt;="&amp;$B183,Base!$O:$O,"&lt;&gt;Finalizado",Base!$O:$O,"&lt;&gt;Congelado",Base!$O:$O,"&lt;&gt;Concluindo pendências") + COUNTIFS(Base!$B:$B,F$11,Base!$M:$M,"&lt;"&amp;$B183,Base!$N:$N,"",Base!$O:$O,"&lt;&gt;Finalizado",Base!$O:$O,"&lt;&gt;Congelado",Base!$O:$O,"&lt;&gt;Concluindo pendências")</f>
        <v>9</v>
      </c>
    </row>
    <row r="184">
      <c r="B184" s="151">
        <f t="shared" si="180"/>
        <v>45439</v>
      </c>
      <c r="C184" s="93">
        <f>COUNTIFS(Base!$B:$B,C$11,Base!$M:$M,"&lt;"&amp;$B184,Base!$N:$N,"&gt;="&amp;$B184,Base!$O:$O,"&lt;&gt;Finalizado",Base!$O:$O,"&lt;&gt;Congelado",Base!$O:$O,"&lt;&gt;Concluindo pendências") + COUNTIFS(Base!$B:$B,C$11,Base!$M:$M,"&lt;"&amp;$B184,Base!$N:$N,"",Base!$O:$O,"&lt;&gt;Finalizado",Base!$O:$O,"&lt;&gt;Congelado",Base!$O:$O,"&lt;&gt;Concluindo pendências")</f>
        <v>5</v>
      </c>
      <c r="D184" s="93">
        <f>COUNTIFS(Base!$B:$B,D$11,Base!$M:$M,"&lt;"&amp;$B184,Base!$N:$N,"&gt;="&amp;$B184,Base!$O:$O,"&lt;&gt;Finalizado",Base!$O:$O,"&lt;&gt;Congelado",Base!$O:$O,"&lt;&gt;Concluindo pendências") + COUNTIFS(Base!$B:$B,D$11,Base!$M:$M,"&lt;"&amp;$B184,Base!$N:$N,"",Base!$O:$O,"&lt;&gt;Finalizado",Base!$O:$O,"&lt;&gt;Congelado",Base!$O:$O,"&lt;&gt;Concluindo pendências")</f>
        <v>6</v>
      </c>
      <c r="E184" s="93">
        <f>COUNTIFS(Base!$B:$B,E$11,Base!$M:$M,"&lt;"&amp;$B184,Base!$N:$N,"&gt;="&amp;$B184,Base!$O:$O,"&lt;&gt;Finalizado",Base!$O:$O,"&lt;&gt;Congelado",Base!$O:$O,"&lt;&gt;Concluindo pendências") + COUNTIFS(Base!$B:$B,E$11,Base!$M:$M,"&lt;"&amp;$B184,Base!$N:$N,"",Base!$O:$O,"&lt;&gt;Finalizado",Base!$O:$O,"&lt;&gt;Congelado",Base!$O:$O,"&lt;&gt;Concluindo pendências")</f>
        <v>10</v>
      </c>
      <c r="F184" s="93">
        <f>COUNTIFS(Base!$B:$B,F$11,Base!$M:$M,"&lt;"&amp;$B184,Base!$N:$N,"&gt;="&amp;$B184,Base!$O:$O,"&lt;&gt;Finalizado",Base!$O:$O,"&lt;&gt;Congelado",Base!$O:$O,"&lt;&gt;Concluindo pendências") + COUNTIFS(Base!$B:$B,F$11,Base!$M:$M,"&lt;"&amp;$B184,Base!$N:$N,"",Base!$O:$O,"&lt;&gt;Finalizado",Base!$O:$O,"&lt;&gt;Congelado",Base!$O:$O,"&lt;&gt;Concluindo pendências")</f>
        <v>9</v>
      </c>
    </row>
    <row r="185">
      <c r="B185" s="151">
        <f t="shared" si="180"/>
        <v>45440</v>
      </c>
      <c r="C185" s="93">
        <f>COUNTIFS(Base!$B:$B,C$11,Base!$M:$M,"&lt;"&amp;$B185,Base!$N:$N,"&gt;="&amp;$B185,Base!$O:$O,"&lt;&gt;Finalizado",Base!$O:$O,"&lt;&gt;Congelado",Base!$O:$O,"&lt;&gt;Concluindo pendências") + COUNTIFS(Base!$B:$B,C$11,Base!$M:$M,"&lt;"&amp;$B185,Base!$N:$N,"",Base!$O:$O,"&lt;&gt;Finalizado",Base!$O:$O,"&lt;&gt;Congelado",Base!$O:$O,"&lt;&gt;Concluindo pendências")</f>
        <v>5</v>
      </c>
      <c r="D185" s="93">
        <f>COUNTIFS(Base!$B:$B,D$11,Base!$M:$M,"&lt;"&amp;$B185,Base!$N:$N,"&gt;="&amp;$B185,Base!$O:$O,"&lt;&gt;Finalizado",Base!$O:$O,"&lt;&gt;Congelado",Base!$O:$O,"&lt;&gt;Concluindo pendências") + COUNTIFS(Base!$B:$B,D$11,Base!$M:$M,"&lt;"&amp;$B185,Base!$N:$N,"",Base!$O:$O,"&lt;&gt;Finalizado",Base!$O:$O,"&lt;&gt;Congelado",Base!$O:$O,"&lt;&gt;Concluindo pendências")</f>
        <v>7</v>
      </c>
      <c r="E185" s="93">
        <f>COUNTIFS(Base!$B:$B,E$11,Base!$M:$M,"&lt;"&amp;$B185,Base!$N:$N,"&gt;="&amp;$B185,Base!$O:$O,"&lt;&gt;Finalizado",Base!$O:$O,"&lt;&gt;Congelado",Base!$O:$O,"&lt;&gt;Concluindo pendências") + COUNTIFS(Base!$B:$B,E$11,Base!$M:$M,"&lt;"&amp;$B185,Base!$N:$N,"",Base!$O:$O,"&lt;&gt;Finalizado",Base!$O:$O,"&lt;&gt;Congelado",Base!$O:$O,"&lt;&gt;Concluindo pendências")</f>
        <v>9</v>
      </c>
      <c r="F185" s="93">
        <f>COUNTIFS(Base!$B:$B,F$11,Base!$M:$M,"&lt;"&amp;$B185,Base!$N:$N,"&gt;="&amp;$B185,Base!$O:$O,"&lt;&gt;Finalizado",Base!$O:$O,"&lt;&gt;Congelado",Base!$O:$O,"&lt;&gt;Concluindo pendências") + COUNTIFS(Base!$B:$B,F$11,Base!$M:$M,"&lt;"&amp;$B185,Base!$N:$N,"",Base!$O:$O,"&lt;&gt;Finalizado",Base!$O:$O,"&lt;&gt;Congelado",Base!$O:$O,"&lt;&gt;Concluindo pendências")</f>
        <v>9</v>
      </c>
    </row>
    <row r="186">
      <c r="B186" s="151">
        <f t="shared" si="180"/>
        <v>45441</v>
      </c>
      <c r="C186" s="93">
        <f>COUNTIFS(Base!$B:$B,C$11,Base!$M:$M,"&lt;"&amp;$B186,Base!$N:$N,"&gt;="&amp;$B186,Base!$O:$O,"&lt;&gt;Finalizado",Base!$O:$O,"&lt;&gt;Congelado",Base!$O:$O,"&lt;&gt;Concluindo pendências") + COUNTIFS(Base!$B:$B,C$11,Base!$M:$M,"&lt;"&amp;$B186,Base!$N:$N,"",Base!$O:$O,"&lt;&gt;Finalizado",Base!$O:$O,"&lt;&gt;Congelado",Base!$O:$O,"&lt;&gt;Concluindo pendências")</f>
        <v>6</v>
      </c>
      <c r="D186" s="93">
        <f>COUNTIFS(Base!$B:$B,D$11,Base!$M:$M,"&lt;"&amp;$B186,Base!$N:$N,"&gt;="&amp;$B186,Base!$O:$O,"&lt;&gt;Finalizado",Base!$O:$O,"&lt;&gt;Congelado",Base!$O:$O,"&lt;&gt;Concluindo pendências") + COUNTIFS(Base!$B:$B,D$11,Base!$M:$M,"&lt;"&amp;$B186,Base!$N:$N,"",Base!$O:$O,"&lt;&gt;Finalizado",Base!$O:$O,"&lt;&gt;Congelado",Base!$O:$O,"&lt;&gt;Concluindo pendências")</f>
        <v>7</v>
      </c>
      <c r="E186" s="93">
        <f>COUNTIFS(Base!$B:$B,E$11,Base!$M:$M,"&lt;"&amp;$B186,Base!$N:$N,"&gt;="&amp;$B186,Base!$O:$O,"&lt;&gt;Finalizado",Base!$O:$O,"&lt;&gt;Congelado",Base!$O:$O,"&lt;&gt;Concluindo pendências") + COUNTIFS(Base!$B:$B,E$11,Base!$M:$M,"&lt;"&amp;$B186,Base!$N:$N,"",Base!$O:$O,"&lt;&gt;Finalizado",Base!$O:$O,"&lt;&gt;Congelado",Base!$O:$O,"&lt;&gt;Concluindo pendências")</f>
        <v>10</v>
      </c>
      <c r="F186" s="93">
        <f>COUNTIFS(Base!$B:$B,F$11,Base!$M:$M,"&lt;"&amp;$B186,Base!$N:$N,"&gt;="&amp;$B186,Base!$O:$O,"&lt;&gt;Finalizado",Base!$O:$O,"&lt;&gt;Congelado",Base!$O:$O,"&lt;&gt;Concluindo pendências") + COUNTIFS(Base!$B:$B,F$11,Base!$M:$M,"&lt;"&amp;$B186,Base!$N:$N,"",Base!$O:$O,"&lt;&gt;Finalizado",Base!$O:$O,"&lt;&gt;Congelado",Base!$O:$O,"&lt;&gt;Concluindo pendências")</f>
        <v>9</v>
      </c>
    </row>
    <row r="187">
      <c r="B187" s="151">
        <f t="shared" si="180"/>
        <v>45442</v>
      </c>
      <c r="C187" s="93">
        <f>COUNTIFS(Base!$B:$B,C$11,Base!$M:$M,"&lt;"&amp;$B187,Base!$N:$N,"&gt;="&amp;$B187,Base!$O:$O,"&lt;&gt;Finalizado",Base!$O:$O,"&lt;&gt;Congelado",Base!$O:$O,"&lt;&gt;Concluindo pendências") + COUNTIFS(Base!$B:$B,C$11,Base!$M:$M,"&lt;"&amp;$B187,Base!$N:$N,"",Base!$O:$O,"&lt;&gt;Finalizado",Base!$O:$O,"&lt;&gt;Congelado",Base!$O:$O,"&lt;&gt;Concluindo pendências")</f>
        <v>6</v>
      </c>
      <c r="D187" s="93">
        <f>COUNTIFS(Base!$B:$B,D$11,Base!$M:$M,"&lt;"&amp;$B187,Base!$N:$N,"&gt;="&amp;$B187,Base!$O:$O,"&lt;&gt;Finalizado",Base!$O:$O,"&lt;&gt;Congelado",Base!$O:$O,"&lt;&gt;Concluindo pendências") + COUNTIFS(Base!$B:$B,D$11,Base!$M:$M,"&lt;"&amp;$B187,Base!$N:$N,"",Base!$O:$O,"&lt;&gt;Finalizado",Base!$O:$O,"&lt;&gt;Congelado",Base!$O:$O,"&lt;&gt;Concluindo pendências")</f>
        <v>7</v>
      </c>
      <c r="E187" s="93">
        <f>COUNTIFS(Base!$B:$B,E$11,Base!$M:$M,"&lt;"&amp;$B187,Base!$N:$N,"&gt;="&amp;$B187,Base!$O:$O,"&lt;&gt;Finalizado",Base!$O:$O,"&lt;&gt;Congelado",Base!$O:$O,"&lt;&gt;Concluindo pendências") + COUNTIFS(Base!$B:$B,E$11,Base!$M:$M,"&lt;"&amp;$B187,Base!$N:$N,"",Base!$O:$O,"&lt;&gt;Finalizado",Base!$O:$O,"&lt;&gt;Congelado",Base!$O:$O,"&lt;&gt;Concluindo pendências")</f>
        <v>10</v>
      </c>
      <c r="F187" s="93">
        <f>COUNTIFS(Base!$B:$B,F$11,Base!$M:$M,"&lt;"&amp;$B187,Base!$N:$N,"&gt;="&amp;$B187,Base!$O:$O,"&lt;&gt;Finalizado",Base!$O:$O,"&lt;&gt;Congelado",Base!$O:$O,"&lt;&gt;Concluindo pendências") + COUNTIFS(Base!$B:$B,F$11,Base!$M:$M,"&lt;"&amp;$B187,Base!$N:$N,"",Base!$O:$O,"&lt;&gt;Finalizado",Base!$O:$O,"&lt;&gt;Congelado",Base!$O:$O,"&lt;&gt;Concluindo pendências")</f>
        <v>9</v>
      </c>
    </row>
    <row r="188">
      <c r="B188" s="151">
        <f t="shared" si="180"/>
        <v>45443</v>
      </c>
      <c r="C188" s="93">
        <f>COUNTIFS(Base!$B:$B,C$11,Base!$M:$M,"&lt;"&amp;$B188,Base!$N:$N,"&gt;="&amp;$B188,Base!$O:$O,"&lt;&gt;Finalizado",Base!$O:$O,"&lt;&gt;Congelado",Base!$O:$O,"&lt;&gt;Concluindo pendências") + COUNTIFS(Base!$B:$B,C$11,Base!$M:$M,"&lt;"&amp;$B188,Base!$N:$N,"",Base!$O:$O,"&lt;&gt;Finalizado",Base!$O:$O,"&lt;&gt;Congelado",Base!$O:$O,"&lt;&gt;Concluindo pendências")</f>
        <v>6</v>
      </c>
      <c r="D188" s="93">
        <f>COUNTIFS(Base!$B:$B,D$11,Base!$M:$M,"&lt;"&amp;$B188,Base!$N:$N,"&gt;="&amp;$B188,Base!$O:$O,"&lt;&gt;Finalizado",Base!$O:$O,"&lt;&gt;Congelado",Base!$O:$O,"&lt;&gt;Concluindo pendências") + COUNTIFS(Base!$B:$B,D$11,Base!$M:$M,"&lt;"&amp;$B188,Base!$N:$N,"",Base!$O:$O,"&lt;&gt;Finalizado",Base!$O:$O,"&lt;&gt;Congelado",Base!$O:$O,"&lt;&gt;Concluindo pendências")</f>
        <v>7</v>
      </c>
      <c r="E188" s="93">
        <f>COUNTIFS(Base!$B:$B,E$11,Base!$M:$M,"&lt;"&amp;$B188,Base!$N:$N,"&gt;="&amp;$B188,Base!$O:$O,"&lt;&gt;Finalizado",Base!$O:$O,"&lt;&gt;Congelado",Base!$O:$O,"&lt;&gt;Concluindo pendências") + COUNTIFS(Base!$B:$B,E$11,Base!$M:$M,"&lt;"&amp;$B188,Base!$N:$N,"",Base!$O:$O,"&lt;&gt;Finalizado",Base!$O:$O,"&lt;&gt;Congelado",Base!$O:$O,"&lt;&gt;Concluindo pendências")</f>
        <v>10</v>
      </c>
      <c r="F188" s="93">
        <f>COUNTIFS(Base!$B:$B,F$11,Base!$M:$M,"&lt;"&amp;$B188,Base!$N:$N,"&gt;="&amp;$B188,Base!$O:$O,"&lt;&gt;Finalizado",Base!$O:$O,"&lt;&gt;Congelado",Base!$O:$O,"&lt;&gt;Concluindo pendências") + COUNTIFS(Base!$B:$B,F$11,Base!$M:$M,"&lt;"&amp;$B188,Base!$N:$N,"",Base!$O:$O,"&lt;&gt;Finalizado",Base!$O:$O,"&lt;&gt;Congelado",Base!$O:$O,"&lt;&gt;Concluindo pendências")</f>
        <v>9</v>
      </c>
    </row>
    <row r="189">
      <c r="B189" s="151">
        <f t="shared" si="180"/>
        <v>45444</v>
      </c>
      <c r="C189" s="93">
        <f>COUNTIFS(Base!$B:$B,C$11,Base!$M:$M,"&lt;"&amp;$B189,Base!$N:$N,"&gt;="&amp;$B189,Base!$O:$O,"&lt;&gt;Finalizado",Base!$O:$O,"&lt;&gt;Congelado",Base!$O:$O,"&lt;&gt;Concluindo pendências") + COUNTIFS(Base!$B:$B,C$11,Base!$M:$M,"&lt;"&amp;$B189,Base!$N:$N,"",Base!$O:$O,"&lt;&gt;Finalizado",Base!$O:$O,"&lt;&gt;Congelado",Base!$O:$O,"&lt;&gt;Concluindo pendências")</f>
        <v>6</v>
      </c>
      <c r="D189" s="93">
        <f>COUNTIFS(Base!$B:$B,D$11,Base!$M:$M,"&lt;"&amp;$B189,Base!$N:$N,"&gt;="&amp;$B189,Base!$O:$O,"&lt;&gt;Finalizado",Base!$O:$O,"&lt;&gt;Congelado",Base!$O:$O,"&lt;&gt;Concluindo pendências") + COUNTIFS(Base!$B:$B,D$11,Base!$M:$M,"&lt;"&amp;$B189,Base!$N:$N,"",Base!$O:$O,"&lt;&gt;Finalizado",Base!$O:$O,"&lt;&gt;Congelado",Base!$O:$O,"&lt;&gt;Concluindo pendências")</f>
        <v>7</v>
      </c>
      <c r="E189" s="93">
        <f>COUNTIFS(Base!$B:$B,E$11,Base!$M:$M,"&lt;"&amp;$B189,Base!$N:$N,"&gt;="&amp;$B189,Base!$O:$O,"&lt;&gt;Finalizado",Base!$O:$O,"&lt;&gt;Congelado",Base!$O:$O,"&lt;&gt;Concluindo pendências") + COUNTIFS(Base!$B:$B,E$11,Base!$M:$M,"&lt;"&amp;$B189,Base!$N:$N,"",Base!$O:$O,"&lt;&gt;Finalizado",Base!$O:$O,"&lt;&gt;Congelado",Base!$O:$O,"&lt;&gt;Concluindo pendências")</f>
        <v>10</v>
      </c>
      <c r="F189" s="93">
        <f>COUNTIFS(Base!$B:$B,F$11,Base!$M:$M,"&lt;"&amp;$B189,Base!$N:$N,"&gt;="&amp;$B189,Base!$O:$O,"&lt;&gt;Finalizado",Base!$O:$O,"&lt;&gt;Congelado",Base!$O:$O,"&lt;&gt;Concluindo pendências") + COUNTIFS(Base!$B:$B,F$11,Base!$M:$M,"&lt;"&amp;$B189,Base!$N:$N,"",Base!$O:$O,"&lt;&gt;Finalizado",Base!$O:$O,"&lt;&gt;Congelado",Base!$O:$O,"&lt;&gt;Concluindo pendências")</f>
        <v>9</v>
      </c>
    </row>
    <row r="190">
      <c r="B190" s="151">
        <f t="shared" si="180"/>
        <v>45445</v>
      </c>
      <c r="C190" s="93">
        <f>COUNTIFS(Base!$B:$B,C$11,Base!$M:$M,"&lt;"&amp;$B190,Base!$N:$N,"&gt;="&amp;$B190,Base!$O:$O,"&lt;&gt;Finalizado",Base!$O:$O,"&lt;&gt;Congelado",Base!$O:$O,"&lt;&gt;Concluindo pendências") + COUNTIFS(Base!$B:$B,C$11,Base!$M:$M,"&lt;"&amp;$B190,Base!$N:$N,"",Base!$O:$O,"&lt;&gt;Finalizado",Base!$O:$O,"&lt;&gt;Congelado",Base!$O:$O,"&lt;&gt;Concluindo pendências")</f>
        <v>6</v>
      </c>
      <c r="D190" s="93">
        <f>COUNTIFS(Base!$B:$B,D$11,Base!$M:$M,"&lt;"&amp;$B190,Base!$N:$N,"&gt;="&amp;$B190,Base!$O:$O,"&lt;&gt;Finalizado",Base!$O:$O,"&lt;&gt;Congelado",Base!$O:$O,"&lt;&gt;Concluindo pendências") + COUNTIFS(Base!$B:$B,D$11,Base!$M:$M,"&lt;"&amp;$B190,Base!$N:$N,"",Base!$O:$O,"&lt;&gt;Finalizado",Base!$O:$O,"&lt;&gt;Congelado",Base!$O:$O,"&lt;&gt;Concluindo pendências")</f>
        <v>5</v>
      </c>
      <c r="E190" s="93">
        <f>COUNTIFS(Base!$B:$B,E$11,Base!$M:$M,"&lt;"&amp;$B190,Base!$N:$N,"&gt;="&amp;$B190,Base!$O:$O,"&lt;&gt;Finalizado",Base!$O:$O,"&lt;&gt;Congelado",Base!$O:$O,"&lt;&gt;Concluindo pendências") + COUNTIFS(Base!$B:$B,E$11,Base!$M:$M,"&lt;"&amp;$B190,Base!$N:$N,"",Base!$O:$O,"&lt;&gt;Finalizado",Base!$O:$O,"&lt;&gt;Congelado",Base!$O:$O,"&lt;&gt;Concluindo pendências")</f>
        <v>10</v>
      </c>
      <c r="F190" s="93">
        <f>COUNTIFS(Base!$B:$B,F$11,Base!$M:$M,"&lt;"&amp;$B190,Base!$N:$N,"&gt;="&amp;$B190,Base!$O:$O,"&lt;&gt;Finalizado",Base!$O:$O,"&lt;&gt;Congelado",Base!$O:$O,"&lt;&gt;Concluindo pendências") + COUNTIFS(Base!$B:$B,F$11,Base!$M:$M,"&lt;"&amp;$B190,Base!$N:$N,"",Base!$O:$O,"&lt;&gt;Finalizado",Base!$O:$O,"&lt;&gt;Congelado",Base!$O:$O,"&lt;&gt;Concluindo pendências")</f>
        <v>9</v>
      </c>
    </row>
    <row r="191">
      <c r="B191" s="151">
        <f t="shared" si="180"/>
        <v>45446</v>
      </c>
      <c r="C191" s="93">
        <f>COUNTIFS(Base!$B:$B,C$11,Base!$M:$M,"&lt;"&amp;$B191,Base!$N:$N,"&gt;="&amp;$B191,Base!$O:$O,"&lt;&gt;Finalizado",Base!$O:$O,"&lt;&gt;Congelado",Base!$O:$O,"&lt;&gt;Concluindo pendências") + COUNTIFS(Base!$B:$B,C$11,Base!$M:$M,"&lt;"&amp;$B191,Base!$N:$N,"",Base!$O:$O,"&lt;&gt;Finalizado",Base!$O:$O,"&lt;&gt;Congelado",Base!$O:$O,"&lt;&gt;Concluindo pendências")</f>
        <v>6</v>
      </c>
      <c r="D191" s="93">
        <f>COUNTIFS(Base!$B:$B,D$11,Base!$M:$M,"&lt;"&amp;$B191,Base!$N:$N,"&gt;="&amp;$B191,Base!$O:$O,"&lt;&gt;Finalizado",Base!$O:$O,"&lt;&gt;Congelado",Base!$O:$O,"&lt;&gt;Concluindo pendências") + COUNTIFS(Base!$B:$B,D$11,Base!$M:$M,"&lt;"&amp;$B191,Base!$N:$N,"",Base!$O:$O,"&lt;&gt;Finalizado",Base!$O:$O,"&lt;&gt;Congelado",Base!$O:$O,"&lt;&gt;Concluindo pendências")</f>
        <v>5</v>
      </c>
      <c r="E191" s="93">
        <f>COUNTIFS(Base!$B:$B,E$11,Base!$M:$M,"&lt;"&amp;$B191,Base!$N:$N,"&gt;="&amp;$B191,Base!$O:$O,"&lt;&gt;Finalizado",Base!$O:$O,"&lt;&gt;Congelado",Base!$O:$O,"&lt;&gt;Concluindo pendências") + COUNTIFS(Base!$B:$B,E$11,Base!$M:$M,"&lt;"&amp;$B191,Base!$N:$N,"",Base!$O:$O,"&lt;&gt;Finalizado",Base!$O:$O,"&lt;&gt;Congelado",Base!$O:$O,"&lt;&gt;Concluindo pendências")</f>
        <v>10</v>
      </c>
      <c r="F191" s="93">
        <f>COUNTIFS(Base!$B:$B,F$11,Base!$M:$M,"&lt;"&amp;$B191,Base!$N:$N,"&gt;="&amp;$B191,Base!$O:$O,"&lt;&gt;Finalizado",Base!$O:$O,"&lt;&gt;Congelado",Base!$O:$O,"&lt;&gt;Concluindo pendências") + COUNTIFS(Base!$B:$B,F$11,Base!$M:$M,"&lt;"&amp;$B191,Base!$N:$N,"",Base!$O:$O,"&lt;&gt;Finalizado",Base!$O:$O,"&lt;&gt;Congelado",Base!$O:$O,"&lt;&gt;Concluindo pendências")</f>
        <v>9</v>
      </c>
    </row>
    <row r="192">
      <c r="B192" s="151">
        <f t="shared" si="180"/>
        <v>45447</v>
      </c>
      <c r="C192" s="93">
        <f>COUNTIFS(Base!$B:$B,C$11,Base!$M:$M,"&lt;"&amp;$B192,Base!$N:$N,"&gt;="&amp;$B192,Base!$O:$O,"&lt;&gt;Finalizado",Base!$O:$O,"&lt;&gt;Congelado",Base!$O:$O,"&lt;&gt;Concluindo pendências") + COUNTIFS(Base!$B:$B,C$11,Base!$M:$M,"&lt;"&amp;$B192,Base!$N:$N,"",Base!$O:$O,"&lt;&gt;Finalizado",Base!$O:$O,"&lt;&gt;Congelado",Base!$O:$O,"&lt;&gt;Concluindo pendências")</f>
        <v>6</v>
      </c>
      <c r="D192" s="93">
        <f>COUNTIFS(Base!$B:$B,D$11,Base!$M:$M,"&lt;"&amp;$B192,Base!$N:$N,"&gt;="&amp;$B192,Base!$O:$O,"&lt;&gt;Finalizado",Base!$O:$O,"&lt;&gt;Congelado",Base!$O:$O,"&lt;&gt;Concluindo pendências") + COUNTIFS(Base!$B:$B,D$11,Base!$M:$M,"&lt;"&amp;$B192,Base!$N:$N,"",Base!$O:$O,"&lt;&gt;Finalizado",Base!$O:$O,"&lt;&gt;Congelado",Base!$O:$O,"&lt;&gt;Concluindo pendências")</f>
        <v>5</v>
      </c>
      <c r="E192" s="93">
        <f>COUNTIFS(Base!$B:$B,E$11,Base!$M:$M,"&lt;"&amp;$B192,Base!$N:$N,"&gt;="&amp;$B192,Base!$O:$O,"&lt;&gt;Finalizado",Base!$O:$O,"&lt;&gt;Congelado",Base!$O:$O,"&lt;&gt;Concluindo pendências") + COUNTIFS(Base!$B:$B,E$11,Base!$M:$M,"&lt;"&amp;$B192,Base!$N:$N,"",Base!$O:$O,"&lt;&gt;Finalizado",Base!$O:$O,"&lt;&gt;Congelado",Base!$O:$O,"&lt;&gt;Concluindo pendências")</f>
        <v>10</v>
      </c>
      <c r="F192" s="93">
        <f>COUNTIFS(Base!$B:$B,F$11,Base!$M:$M,"&lt;"&amp;$B192,Base!$N:$N,"&gt;="&amp;$B192,Base!$O:$O,"&lt;&gt;Finalizado",Base!$O:$O,"&lt;&gt;Congelado",Base!$O:$O,"&lt;&gt;Concluindo pendências") + COUNTIFS(Base!$B:$B,F$11,Base!$M:$M,"&lt;"&amp;$B192,Base!$N:$N,"",Base!$O:$O,"&lt;&gt;Finalizado",Base!$O:$O,"&lt;&gt;Congelado",Base!$O:$O,"&lt;&gt;Concluindo pendências")</f>
        <v>9</v>
      </c>
    </row>
    <row r="193">
      <c r="B193" s="151">
        <f t="shared" si="180"/>
        <v>45448</v>
      </c>
      <c r="C193" s="93">
        <f>COUNTIFS(Base!$B:$B,C$11,Base!$M:$M,"&lt;"&amp;$B193,Base!$N:$N,"&gt;="&amp;$B193,Base!$O:$O,"&lt;&gt;Finalizado",Base!$O:$O,"&lt;&gt;Congelado",Base!$O:$O,"&lt;&gt;Concluindo pendências") + COUNTIFS(Base!$B:$B,C$11,Base!$M:$M,"&lt;"&amp;$B193,Base!$N:$N,"",Base!$O:$O,"&lt;&gt;Finalizado",Base!$O:$O,"&lt;&gt;Congelado",Base!$O:$O,"&lt;&gt;Concluindo pendências")</f>
        <v>6</v>
      </c>
      <c r="D193" s="93">
        <f>COUNTIFS(Base!$B:$B,D$11,Base!$M:$M,"&lt;"&amp;$B193,Base!$N:$N,"&gt;="&amp;$B193,Base!$O:$O,"&lt;&gt;Finalizado",Base!$O:$O,"&lt;&gt;Congelado",Base!$O:$O,"&lt;&gt;Concluindo pendências") + COUNTIFS(Base!$B:$B,D$11,Base!$M:$M,"&lt;"&amp;$B193,Base!$N:$N,"",Base!$O:$O,"&lt;&gt;Finalizado",Base!$O:$O,"&lt;&gt;Congelado",Base!$O:$O,"&lt;&gt;Concluindo pendências")</f>
        <v>5</v>
      </c>
      <c r="E193" s="93">
        <f>COUNTIFS(Base!$B:$B,E$11,Base!$M:$M,"&lt;"&amp;$B193,Base!$N:$N,"&gt;="&amp;$B193,Base!$O:$O,"&lt;&gt;Finalizado",Base!$O:$O,"&lt;&gt;Congelado",Base!$O:$O,"&lt;&gt;Concluindo pendências") + COUNTIFS(Base!$B:$B,E$11,Base!$M:$M,"&lt;"&amp;$B193,Base!$N:$N,"",Base!$O:$O,"&lt;&gt;Finalizado",Base!$O:$O,"&lt;&gt;Congelado",Base!$O:$O,"&lt;&gt;Concluindo pendências")</f>
        <v>10</v>
      </c>
      <c r="F193" s="93">
        <f>COUNTIFS(Base!$B:$B,F$11,Base!$M:$M,"&lt;"&amp;$B193,Base!$N:$N,"&gt;="&amp;$B193,Base!$O:$O,"&lt;&gt;Finalizado",Base!$O:$O,"&lt;&gt;Congelado",Base!$O:$O,"&lt;&gt;Concluindo pendências") + COUNTIFS(Base!$B:$B,F$11,Base!$M:$M,"&lt;"&amp;$B193,Base!$N:$N,"",Base!$O:$O,"&lt;&gt;Finalizado",Base!$O:$O,"&lt;&gt;Congelado",Base!$O:$O,"&lt;&gt;Concluindo pendências")</f>
        <v>9</v>
      </c>
    </row>
    <row r="194">
      <c r="B194" s="151">
        <f t="shared" si="180"/>
        <v>45449</v>
      </c>
      <c r="C194" s="93">
        <f>COUNTIFS(Base!$B:$B,C$11,Base!$M:$M,"&lt;"&amp;$B194,Base!$N:$N,"&gt;="&amp;$B194,Base!$O:$O,"&lt;&gt;Finalizado",Base!$O:$O,"&lt;&gt;Congelado",Base!$O:$O,"&lt;&gt;Concluindo pendências") + COUNTIFS(Base!$B:$B,C$11,Base!$M:$M,"&lt;"&amp;$B194,Base!$N:$N,"",Base!$O:$O,"&lt;&gt;Finalizado",Base!$O:$O,"&lt;&gt;Congelado",Base!$O:$O,"&lt;&gt;Concluindo pendências")</f>
        <v>6</v>
      </c>
      <c r="D194" s="93">
        <f>COUNTIFS(Base!$B:$B,D$11,Base!$M:$M,"&lt;"&amp;$B194,Base!$N:$N,"&gt;="&amp;$B194,Base!$O:$O,"&lt;&gt;Finalizado",Base!$O:$O,"&lt;&gt;Congelado",Base!$O:$O,"&lt;&gt;Concluindo pendências") + COUNTIFS(Base!$B:$B,D$11,Base!$M:$M,"&lt;"&amp;$B194,Base!$N:$N,"",Base!$O:$O,"&lt;&gt;Finalizado",Base!$O:$O,"&lt;&gt;Congelado",Base!$O:$O,"&lt;&gt;Concluindo pendências")</f>
        <v>5</v>
      </c>
      <c r="E194" s="93">
        <f>COUNTIFS(Base!$B:$B,E$11,Base!$M:$M,"&lt;"&amp;$B194,Base!$N:$N,"&gt;="&amp;$B194,Base!$O:$O,"&lt;&gt;Finalizado",Base!$O:$O,"&lt;&gt;Congelado",Base!$O:$O,"&lt;&gt;Concluindo pendências") + COUNTIFS(Base!$B:$B,E$11,Base!$M:$M,"&lt;"&amp;$B194,Base!$N:$N,"",Base!$O:$O,"&lt;&gt;Finalizado",Base!$O:$O,"&lt;&gt;Congelado",Base!$O:$O,"&lt;&gt;Concluindo pendências")</f>
        <v>10</v>
      </c>
      <c r="F194" s="93">
        <f>COUNTIFS(Base!$B:$B,F$11,Base!$M:$M,"&lt;"&amp;$B194,Base!$N:$N,"&gt;="&amp;$B194,Base!$O:$O,"&lt;&gt;Finalizado",Base!$O:$O,"&lt;&gt;Congelado",Base!$O:$O,"&lt;&gt;Concluindo pendências") + COUNTIFS(Base!$B:$B,F$11,Base!$M:$M,"&lt;"&amp;$B194,Base!$N:$N,"",Base!$O:$O,"&lt;&gt;Finalizado",Base!$O:$O,"&lt;&gt;Congelado",Base!$O:$O,"&lt;&gt;Concluindo pendências")</f>
        <v>9</v>
      </c>
    </row>
    <row r="195">
      <c r="B195" s="151">
        <f t="shared" si="180"/>
        <v>45450</v>
      </c>
      <c r="C195" s="93">
        <f>COUNTIFS(Base!$B:$B,C$11,Base!$M:$M,"&lt;"&amp;$B195,Base!$N:$N,"&gt;="&amp;$B195,Base!$O:$O,"&lt;&gt;Finalizado",Base!$O:$O,"&lt;&gt;Congelado",Base!$O:$O,"&lt;&gt;Concluindo pendências") + COUNTIFS(Base!$B:$B,C$11,Base!$M:$M,"&lt;"&amp;$B195,Base!$N:$N,"",Base!$O:$O,"&lt;&gt;Finalizado",Base!$O:$O,"&lt;&gt;Congelado",Base!$O:$O,"&lt;&gt;Concluindo pendências")</f>
        <v>6</v>
      </c>
      <c r="D195" s="93">
        <f>COUNTIFS(Base!$B:$B,D$11,Base!$M:$M,"&lt;"&amp;$B195,Base!$N:$N,"&gt;="&amp;$B195,Base!$O:$O,"&lt;&gt;Finalizado",Base!$O:$O,"&lt;&gt;Congelado",Base!$O:$O,"&lt;&gt;Concluindo pendências") + COUNTIFS(Base!$B:$B,D$11,Base!$M:$M,"&lt;"&amp;$B195,Base!$N:$N,"",Base!$O:$O,"&lt;&gt;Finalizado",Base!$O:$O,"&lt;&gt;Congelado",Base!$O:$O,"&lt;&gt;Concluindo pendências")</f>
        <v>5</v>
      </c>
      <c r="E195" s="93">
        <f>COUNTIFS(Base!$B:$B,E$11,Base!$M:$M,"&lt;"&amp;$B195,Base!$N:$N,"&gt;="&amp;$B195,Base!$O:$O,"&lt;&gt;Finalizado",Base!$O:$O,"&lt;&gt;Congelado",Base!$O:$O,"&lt;&gt;Concluindo pendências") + COUNTIFS(Base!$B:$B,E$11,Base!$M:$M,"&lt;"&amp;$B195,Base!$N:$N,"",Base!$O:$O,"&lt;&gt;Finalizado",Base!$O:$O,"&lt;&gt;Congelado",Base!$O:$O,"&lt;&gt;Concluindo pendências")</f>
        <v>10</v>
      </c>
      <c r="F195" s="93">
        <f>COUNTIFS(Base!$B:$B,F$11,Base!$M:$M,"&lt;"&amp;$B195,Base!$N:$N,"&gt;="&amp;$B195,Base!$O:$O,"&lt;&gt;Finalizado",Base!$O:$O,"&lt;&gt;Congelado",Base!$O:$O,"&lt;&gt;Concluindo pendências") + COUNTIFS(Base!$B:$B,F$11,Base!$M:$M,"&lt;"&amp;$B195,Base!$N:$N,"",Base!$O:$O,"&lt;&gt;Finalizado",Base!$O:$O,"&lt;&gt;Congelado",Base!$O:$O,"&lt;&gt;Concluindo pendências")</f>
        <v>9</v>
      </c>
    </row>
    <row r="196">
      <c r="B196" s="151">
        <f t="shared" si="180"/>
        <v>45451</v>
      </c>
      <c r="C196" s="93">
        <f>COUNTIFS(Base!$B:$B,C$11,Base!$M:$M,"&lt;"&amp;$B196,Base!$N:$N,"&gt;="&amp;$B196,Base!$O:$O,"&lt;&gt;Finalizado",Base!$O:$O,"&lt;&gt;Congelado",Base!$O:$O,"&lt;&gt;Concluindo pendências") + COUNTIFS(Base!$B:$B,C$11,Base!$M:$M,"&lt;"&amp;$B196,Base!$N:$N,"",Base!$O:$O,"&lt;&gt;Finalizado",Base!$O:$O,"&lt;&gt;Congelado",Base!$O:$O,"&lt;&gt;Concluindo pendências")</f>
        <v>6</v>
      </c>
      <c r="D196" s="93">
        <f>COUNTIFS(Base!$B:$B,D$11,Base!$M:$M,"&lt;"&amp;$B196,Base!$N:$N,"&gt;="&amp;$B196,Base!$O:$O,"&lt;&gt;Finalizado",Base!$O:$O,"&lt;&gt;Congelado",Base!$O:$O,"&lt;&gt;Concluindo pendências") + COUNTIFS(Base!$B:$B,D$11,Base!$M:$M,"&lt;"&amp;$B196,Base!$N:$N,"",Base!$O:$O,"&lt;&gt;Finalizado",Base!$O:$O,"&lt;&gt;Congelado",Base!$O:$O,"&lt;&gt;Concluindo pendências")</f>
        <v>5</v>
      </c>
      <c r="E196" s="93">
        <f>COUNTIFS(Base!$B:$B,E$11,Base!$M:$M,"&lt;"&amp;$B196,Base!$N:$N,"&gt;="&amp;$B196,Base!$O:$O,"&lt;&gt;Finalizado",Base!$O:$O,"&lt;&gt;Congelado",Base!$O:$O,"&lt;&gt;Concluindo pendências") + COUNTIFS(Base!$B:$B,E$11,Base!$M:$M,"&lt;"&amp;$B196,Base!$N:$N,"",Base!$O:$O,"&lt;&gt;Finalizado",Base!$O:$O,"&lt;&gt;Congelado",Base!$O:$O,"&lt;&gt;Concluindo pendências")</f>
        <v>10</v>
      </c>
      <c r="F196" s="93">
        <f>COUNTIFS(Base!$B:$B,F$11,Base!$M:$M,"&lt;"&amp;$B196,Base!$N:$N,"&gt;="&amp;$B196,Base!$O:$O,"&lt;&gt;Finalizado",Base!$O:$O,"&lt;&gt;Congelado",Base!$O:$O,"&lt;&gt;Concluindo pendências") + COUNTIFS(Base!$B:$B,F$11,Base!$M:$M,"&lt;"&amp;$B196,Base!$N:$N,"",Base!$O:$O,"&lt;&gt;Finalizado",Base!$O:$O,"&lt;&gt;Congelado",Base!$O:$O,"&lt;&gt;Concluindo pendências")</f>
        <v>9</v>
      </c>
    </row>
    <row r="197">
      <c r="B197" s="151">
        <f t="shared" si="180"/>
        <v>45452</v>
      </c>
      <c r="C197" s="93">
        <f>COUNTIFS(Base!$B:$B,C$11,Base!$M:$M,"&lt;"&amp;$B197,Base!$N:$N,"&gt;="&amp;$B197,Base!$O:$O,"&lt;&gt;Finalizado",Base!$O:$O,"&lt;&gt;Congelado",Base!$O:$O,"&lt;&gt;Concluindo pendências") + COUNTIFS(Base!$B:$B,C$11,Base!$M:$M,"&lt;"&amp;$B197,Base!$N:$N,"",Base!$O:$O,"&lt;&gt;Finalizado",Base!$O:$O,"&lt;&gt;Congelado",Base!$O:$O,"&lt;&gt;Concluindo pendências")</f>
        <v>6</v>
      </c>
      <c r="D197" s="93">
        <f>COUNTIFS(Base!$B:$B,D$11,Base!$M:$M,"&lt;"&amp;$B197,Base!$N:$N,"&gt;="&amp;$B197,Base!$O:$O,"&lt;&gt;Finalizado",Base!$O:$O,"&lt;&gt;Congelado",Base!$O:$O,"&lt;&gt;Concluindo pendências") + COUNTIFS(Base!$B:$B,D$11,Base!$M:$M,"&lt;"&amp;$B197,Base!$N:$N,"",Base!$O:$O,"&lt;&gt;Finalizado",Base!$O:$O,"&lt;&gt;Congelado",Base!$O:$O,"&lt;&gt;Concluindo pendências")</f>
        <v>5</v>
      </c>
      <c r="E197" s="93">
        <f>COUNTIFS(Base!$B:$B,E$11,Base!$M:$M,"&lt;"&amp;$B197,Base!$N:$N,"&gt;="&amp;$B197,Base!$O:$O,"&lt;&gt;Finalizado",Base!$O:$O,"&lt;&gt;Congelado",Base!$O:$O,"&lt;&gt;Concluindo pendências") + COUNTIFS(Base!$B:$B,E$11,Base!$M:$M,"&lt;"&amp;$B197,Base!$N:$N,"",Base!$O:$O,"&lt;&gt;Finalizado",Base!$O:$O,"&lt;&gt;Congelado",Base!$O:$O,"&lt;&gt;Concluindo pendências")</f>
        <v>10</v>
      </c>
      <c r="F197" s="93">
        <f>COUNTIFS(Base!$B:$B,F$11,Base!$M:$M,"&lt;"&amp;$B197,Base!$N:$N,"&gt;="&amp;$B197,Base!$O:$O,"&lt;&gt;Finalizado",Base!$O:$O,"&lt;&gt;Congelado",Base!$O:$O,"&lt;&gt;Concluindo pendências") + COUNTIFS(Base!$B:$B,F$11,Base!$M:$M,"&lt;"&amp;$B197,Base!$N:$N,"",Base!$O:$O,"&lt;&gt;Finalizado",Base!$O:$O,"&lt;&gt;Congelado",Base!$O:$O,"&lt;&gt;Concluindo pendências")</f>
        <v>9</v>
      </c>
    </row>
    <row r="198">
      <c r="B198" s="151">
        <f t="shared" si="180"/>
        <v>45453</v>
      </c>
      <c r="C198" s="93">
        <f>COUNTIFS(Base!$B:$B,C$11,Base!$M:$M,"&lt;"&amp;$B198,Base!$N:$N,"&gt;="&amp;$B198,Base!$O:$O,"&lt;&gt;Finalizado",Base!$O:$O,"&lt;&gt;Congelado",Base!$O:$O,"&lt;&gt;Concluindo pendências") + COUNTIFS(Base!$B:$B,C$11,Base!$M:$M,"&lt;"&amp;$B198,Base!$N:$N,"",Base!$O:$O,"&lt;&gt;Finalizado",Base!$O:$O,"&lt;&gt;Congelado",Base!$O:$O,"&lt;&gt;Concluindo pendências")</f>
        <v>6</v>
      </c>
      <c r="D198" s="93">
        <f>COUNTIFS(Base!$B:$B,D$11,Base!$M:$M,"&lt;"&amp;$B198,Base!$N:$N,"&gt;="&amp;$B198,Base!$O:$O,"&lt;&gt;Finalizado",Base!$O:$O,"&lt;&gt;Congelado",Base!$O:$O,"&lt;&gt;Concluindo pendências") + COUNTIFS(Base!$B:$B,D$11,Base!$M:$M,"&lt;"&amp;$B198,Base!$N:$N,"",Base!$O:$O,"&lt;&gt;Finalizado",Base!$O:$O,"&lt;&gt;Congelado",Base!$O:$O,"&lt;&gt;Concluindo pendências")</f>
        <v>5</v>
      </c>
      <c r="E198" s="93">
        <f>COUNTIFS(Base!$B:$B,E$11,Base!$M:$M,"&lt;"&amp;$B198,Base!$N:$N,"&gt;="&amp;$B198,Base!$O:$O,"&lt;&gt;Finalizado",Base!$O:$O,"&lt;&gt;Congelado",Base!$O:$O,"&lt;&gt;Concluindo pendências") + COUNTIFS(Base!$B:$B,E$11,Base!$M:$M,"&lt;"&amp;$B198,Base!$N:$N,"",Base!$O:$O,"&lt;&gt;Finalizado",Base!$O:$O,"&lt;&gt;Congelado",Base!$O:$O,"&lt;&gt;Concluindo pendências")</f>
        <v>10</v>
      </c>
      <c r="F198" s="93">
        <f>COUNTIFS(Base!$B:$B,F$11,Base!$M:$M,"&lt;"&amp;$B198,Base!$N:$N,"&gt;="&amp;$B198,Base!$O:$O,"&lt;&gt;Finalizado",Base!$O:$O,"&lt;&gt;Congelado",Base!$O:$O,"&lt;&gt;Concluindo pendências") + COUNTIFS(Base!$B:$B,F$11,Base!$M:$M,"&lt;"&amp;$B198,Base!$N:$N,"",Base!$O:$O,"&lt;&gt;Finalizado",Base!$O:$O,"&lt;&gt;Congelado",Base!$O:$O,"&lt;&gt;Concluindo pendências")</f>
        <v>9</v>
      </c>
    </row>
    <row r="199">
      <c r="B199" s="151">
        <f t="shared" si="180"/>
        <v>45454</v>
      </c>
      <c r="C199" s="93">
        <f>COUNTIFS(Base!$B:$B,C$11,Base!$M:$M,"&lt;"&amp;$B199,Base!$N:$N,"&gt;="&amp;$B199,Base!$O:$O,"&lt;&gt;Finalizado",Base!$O:$O,"&lt;&gt;Congelado",Base!$O:$O,"&lt;&gt;Concluindo pendências") + COUNTIFS(Base!$B:$B,C$11,Base!$M:$M,"&lt;"&amp;$B199,Base!$N:$N,"",Base!$O:$O,"&lt;&gt;Finalizado",Base!$O:$O,"&lt;&gt;Congelado",Base!$O:$O,"&lt;&gt;Concluindo pendências")</f>
        <v>5</v>
      </c>
      <c r="D199" s="93">
        <f>COUNTIFS(Base!$B:$B,D$11,Base!$M:$M,"&lt;"&amp;$B199,Base!$N:$N,"&gt;="&amp;$B199,Base!$O:$O,"&lt;&gt;Finalizado",Base!$O:$O,"&lt;&gt;Congelado",Base!$O:$O,"&lt;&gt;Concluindo pendências") + COUNTIFS(Base!$B:$B,D$11,Base!$M:$M,"&lt;"&amp;$B199,Base!$N:$N,"",Base!$O:$O,"&lt;&gt;Finalizado",Base!$O:$O,"&lt;&gt;Congelado",Base!$O:$O,"&lt;&gt;Concluindo pendências")</f>
        <v>5</v>
      </c>
      <c r="E199" s="93">
        <f>COUNTIFS(Base!$B:$B,E$11,Base!$M:$M,"&lt;"&amp;$B199,Base!$N:$N,"&gt;="&amp;$B199,Base!$O:$O,"&lt;&gt;Finalizado",Base!$O:$O,"&lt;&gt;Congelado",Base!$O:$O,"&lt;&gt;Concluindo pendências") + COUNTIFS(Base!$B:$B,E$11,Base!$M:$M,"&lt;"&amp;$B199,Base!$N:$N,"",Base!$O:$O,"&lt;&gt;Finalizado",Base!$O:$O,"&lt;&gt;Congelado",Base!$O:$O,"&lt;&gt;Concluindo pendências")</f>
        <v>9</v>
      </c>
      <c r="F199" s="93">
        <f>COUNTIFS(Base!$B:$B,F$11,Base!$M:$M,"&lt;"&amp;$B199,Base!$N:$N,"&gt;="&amp;$B199,Base!$O:$O,"&lt;&gt;Finalizado",Base!$O:$O,"&lt;&gt;Congelado",Base!$O:$O,"&lt;&gt;Concluindo pendências") + COUNTIFS(Base!$B:$B,F$11,Base!$M:$M,"&lt;"&amp;$B199,Base!$N:$N,"",Base!$O:$O,"&lt;&gt;Finalizado",Base!$O:$O,"&lt;&gt;Congelado",Base!$O:$O,"&lt;&gt;Concluindo pendências")</f>
        <v>9</v>
      </c>
    </row>
    <row r="200">
      <c r="B200" s="151">
        <f t="shared" si="180"/>
        <v>45455</v>
      </c>
      <c r="C200" s="93">
        <f>COUNTIFS(Base!$B:$B,C$11,Base!$M:$M,"&lt;"&amp;$B200,Base!$N:$N,"&gt;="&amp;$B200,Base!$O:$O,"&lt;&gt;Finalizado",Base!$O:$O,"&lt;&gt;Congelado",Base!$O:$O,"&lt;&gt;Concluindo pendências") + COUNTIFS(Base!$B:$B,C$11,Base!$M:$M,"&lt;"&amp;$B200,Base!$N:$N,"",Base!$O:$O,"&lt;&gt;Finalizado",Base!$O:$O,"&lt;&gt;Congelado",Base!$O:$O,"&lt;&gt;Concluindo pendências")</f>
        <v>5</v>
      </c>
      <c r="D200" s="93">
        <f>COUNTIFS(Base!$B:$B,D$11,Base!$M:$M,"&lt;"&amp;$B200,Base!$N:$N,"&gt;="&amp;$B200,Base!$O:$O,"&lt;&gt;Finalizado",Base!$O:$O,"&lt;&gt;Congelado",Base!$O:$O,"&lt;&gt;Concluindo pendências") + COUNTIFS(Base!$B:$B,D$11,Base!$M:$M,"&lt;"&amp;$B200,Base!$N:$N,"",Base!$O:$O,"&lt;&gt;Finalizado",Base!$O:$O,"&lt;&gt;Congelado",Base!$O:$O,"&lt;&gt;Concluindo pendências")</f>
        <v>5</v>
      </c>
      <c r="E200" s="93">
        <f>COUNTIFS(Base!$B:$B,E$11,Base!$M:$M,"&lt;"&amp;$B200,Base!$N:$N,"&gt;="&amp;$B200,Base!$O:$O,"&lt;&gt;Finalizado",Base!$O:$O,"&lt;&gt;Congelado",Base!$O:$O,"&lt;&gt;Concluindo pendências") + COUNTIFS(Base!$B:$B,E$11,Base!$M:$M,"&lt;"&amp;$B200,Base!$N:$N,"",Base!$O:$O,"&lt;&gt;Finalizado",Base!$O:$O,"&lt;&gt;Congelado",Base!$O:$O,"&lt;&gt;Concluindo pendências")</f>
        <v>9</v>
      </c>
      <c r="F200" s="93">
        <f>COUNTIFS(Base!$B:$B,F$11,Base!$M:$M,"&lt;"&amp;$B200,Base!$N:$N,"&gt;="&amp;$B200,Base!$O:$O,"&lt;&gt;Finalizado",Base!$O:$O,"&lt;&gt;Congelado",Base!$O:$O,"&lt;&gt;Concluindo pendências") + COUNTIFS(Base!$B:$B,F$11,Base!$M:$M,"&lt;"&amp;$B200,Base!$N:$N,"",Base!$O:$O,"&lt;&gt;Finalizado",Base!$O:$O,"&lt;&gt;Congelado",Base!$O:$O,"&lt;&gt;Concluindo pendências")</f>
        <v>10</v>
      </c>
    </row>
    <row r="201">
      <c r="B201" s="151">
        <f t="shared" si="180"/>
        <v>45456</v>
      </c>
      <c r="C201" s="93">
        <f>COUNTIFS(Base!$B:$B,C$11,Base!$M:$M,"&lt;"&amp;$B201,Base!$N:$N,"&gt;="&amp;$B201,Base!$O:$O,"&lt;&gt;Finalizado",Base!$O:$O,"&lt;&gt;Congelado",Base!$O:$O,"&lt;&gt;Concluindo pendências") + COUNTIFS(Base!$B:$B,C$11,Base!$M:$M,"&lt;"&amp;$B201,Base!$N:$N,"",Base!$O:$O,"&lt;&gt;Finalizado",Base!$O:$O,"&lt;&gt;Congelado",Base!$O:$O,"&lt;&gt;Concluindo pendências")</f>
        <v>5</v>
      </c>
      <c r="D201" s="93">
        <f>COUNTIFS(Base!$B:$B,D$11,Base!$M:$M,"&lt;"&amp;$B201,Base!$N:$N,"&gt;="&amp;$B201,Base!$O:$O,"&lt;&gt;Finalizado",Base!$O:$O,"&lt;&gt;Congelado",Base!$O:$O,"&lt;&gt;Concluindo pendências") + COUNTIFS(Base!$B:$B,D$11,Base!$M:$M,"&lt;"&amp;$B201,Base!$N:$N,"",Base!$O:$O,"&lt;&gt;Finalizado",Base!$O:$O,"&lt;&gt;Congelado",Base!$O:$O,"&lt;&gt;Concluindo pendências")</f>
        <v>4</v>
      </c>
      <c r="E201" s="93">
        <f>COUNTIFS(Base!$B:$B,E$11,Base!$M:$M,"&lt;"&amp;$B201,Base!$N:$N,"&gt;="&amp;$B201,Base!$O:$O,"&lt;&gt;Finalizado",Base!$O:$O,"&lt;&gt;Congelado",Base!$O:$O,"&lt;&gt;Concluindo pendências") + COUNTIFS(Base!$B:$B,E$11,Base!$M:$M,"&lt;"&amp;$B201,Base!$N:$N,"",Base!$O:$O,"&lt;&gt;Finalizado",Base!$O:$O,"&lt;&gt;Congelado",Base!$O:$O,"&lt;&gt;Concluindo pendências")</f>
        <v>9</v>
      </c>
      <c r="F201" s="93">
        <f>COUNTIFS(Base!$B:$B,F$11,Base!$M:$M,"&lt;"&amp;$B201,Base!$N:$N,"&gt;="&amp;$B201,Base!$O:$O,"&lt;&gt;Finalizado",Base!$O:$O,"&lt;&gt;Congelado",Base!$O:$O,"&lt;&gt;Concluindo pendências") + COUNTIFS(Base!$B:$B,F$11,Base!$M:$M,"&lt;"&amp;$B201,Base!$N:$N,"",Base!$O:$O,"&lt;&gt;Finalizado",Base!$O:$O,"&lt;&gt;Congelado",Base!$O:$O,"&lt;&gt;Concluindo pendências")</f>
        <v>10</v>
      </c>
    </row>
    <row r="202">
      <c r="B202" s="151">
        <f t="shared" si="180"/>
        <v>45457</v>
      </c>
      <c r="C202" s="93">
        <f>COUNTIFS(Base!$B:$B,C$11,Base!$M:$M,"&lt;"&amp;$B202,Base!$N:$N,"&gt;="&amp;$B202,Base!$O:$O,"&lt;&gt;Finalizado",Base!$O:$O,"&lt;&gt;Congelado",Base!$O:$O,"&lt;&gt;Concluindo pendências") + COUNTIFS(Base!$B:$B,C$11,Base!$M:$M,"&lt;"&amp;$B202,Base!$N:$N,"",Base!$O:$O,"&lt;&gt;Finalizado",Base!$O:$O,"&lt;&gt;Congelado",Base!$O:$O,"&lt;&gt;Concluindo pendências")</f>
        <v>5</v>
      </c>
      <c r="D202" s="93">
        <f>COUNTIFS(Base!$B:$B,D$11,Base!$M:$M,"&lt;"&amp;$B202,Base!$N:$N,"&gt;="&amp;$B202,Base!$O:$O,"&lt;&gt;Finalizado",Base!$O:$O,"&lt;&gt;Congelado",Base!$O:$O,"&lt;&gt;Concluindo pendências") + COUNTIFS(Base!$B:$B,D$11,Base!$M:$M,"&lt;"&amp;$B202,Base!$N:$N,"",Base!$O:$O,"&lt;&gt;Finalizado",Base!$O:$O,"&lt;&gt;Congelado",Base!$O:$O,"&lt;&gt;Concluindo pendências")</f>
        <v>4</v>
      </c>
      <c r="E202" s="93">
        <f>COUNTIFS(Base!$B:$B,E$11,Base!$M:$M,"&lt;"&amp;$B202,Base!$N:$N,"&gt;="&amp;$B202,Base!$O:$O,"&lt;&gt;Finalizado",Base!$O:$O,"&lt;&gt;Congelado",Base!$O:$O,"&lt;&gt;Concluindo pendências") + COUNTIFS(Base!$B:$B,E$11,Base!$M:$M,"&lt;"&amp;$B202,Base!$N:$N,"",Base!$O:$O,"&lt;&gt;Finalizado",Base!$O:$O,"&lt;&gt;Congelado",Base!$O:$O,"&lt;&gt;Concluindo pendências")</f>
        <v>9</v>
      </c>
      <c r="F202" s="93">
        <f>COUNTIFS(Base!$B:$B,F$11,Base!$M:$M,"&lt;"&amp;$B202,Base!$N:$N,"&gt;="&amp;$B202,Base!$O:$O,"&lt;&gt;Finalizado",Base!$O:$O,"&lt;&gt;Congelado",Base!$O:$O,"&lt;&gt;Concluindo pendências") + COUNTIFS(Base!$B:$B,F$11,Base!$M:$M,"&lt;"&amp;$B202,Base!$N:$N,"",Base!$O:$O,"&lt;&gt;Finalizado",Base!$O:$O,"&lt;&gt;Congelado",Base!$O:$O,"&lt;&gt;Concluindo pendências")</f>
        <v>10</v>
      </c>
    </row>
    <row r="203">
      <c r="B203" s="151">
        <f t="shared" si="180"/>
        <v>45458</v>
      </c>
      <c r="D203" s="93">
        <f>SUM(D128:D202)</f>
        <v>474</v>
      </c>
    </row>
    <row r="204">
      <c r="B204" s="151">
        <f t="shared" si="180"/>
        <v>45459</v>
      </c>
    </row>
    <row r="205">
      <c r="B205" s="151">
        <f t="shared" si="180"/>
        <v>45460</v>
      </c>
    </row>
    <row r="206">
      <c r="B206" s="151">
        <f t="shared" si="180"/>
        <v>45461</v>
      </c>
    </row>
    <row r="207">
      <c r="B207" s="151">
        <f t="shared" si="180"/>
        <v>45462</v>
      </c>
    </row>
    <row r="208">
      <c r="B208" s="151">
        <f t="shared" si="180"/>
        <v>45463</v>
      </c>
    </row>
    <row r="209">
      <c r="B209" s="151">
        <f t="shared" si="180"/>
        <v>45464</v>
      </c>
    </row>
    <row r="210">
      <c r="B210" s="151">
        <f t="shared" si="180"/>
        <v>45465</v>
      </c>
    </row>
    <row r="211">
      <c r="B211" s="151">
        <f t="shared" si="180"/>
        <v>45466</v>
      </c>
    </row>
    <row r="212">
      <c r="B212" s="151">
        <f t="shared" si="180"/>
        <v>45467</v>
      </c>
    </row>
    <row r="213">
      <c r="B213" s="151">
        <f t="shared" si="180"/>
        <v>45468</v>
      </c>
    </row>
    <row r="214">
      <c r="B214" s="151">
        <f t="shared" si="180"/>
        <v>45469</v>
      </c>
    </row>
    <row r="215">
      <c r="B215" s="93">
        <f t="shared" si="180"/>
        <v>0</v>
      </c>
    </row>
    <row r="216">
      <c r="B216" s="93">
        <f t="shared" si="180"/>
        <v>1</v>
      </c>
    </row>
    <row r="217">
      <c r="B217" s="93">
        <f t="shared" si="180"/>
        <v>2</v>
      </c>
    </row>
    <row r="218">
      <c r="B218" s="93">
        <f t="shared" si="180"/>
        <v>3</v>
      </c>
    </row>
    <row r="219">
      <c r="B219" s="93">
        <f t="shared" si="180"/>
        <v>4</v>
      </c>
    </row>
    <row r="220">
      <c r="B220" s="93">
        <f t="shared" si="180"/>
        <v>5</v>
      </c>
    </row>
    <row r="221">
      <c r="B221" s="93">
        <f t="shared" si="180"/>
        <v>6</v>
      </c>
    </row>
    <row r="222">
      <c r="B222" s="93">
        <f t="shared" si="180"/>
        <v>7</v>
      </c>
    </row>
    <row r="223">
      <c r="B223" s="93">
        <f t="shared" si="180"/>
        <v>8</v>
      </c>
    </row>
    <row r="224">
      <c r="B224" s="93">
        <f t="shared" si="180"/>
        <v>9</v>
      </c>
    </row>
    <row r="225">
      <c r="B225" s="93">
        <f t="shared" si="180"/>
        <v>10</v>
      </c>
    </row>
    <row r="226">
      <c r="B226" s="93">
        <f t="shared" si="180"/>
        <v>11</v>
      </c>
    </row>
    <row r="227">
      <c r="B227" s="93">
        <f t="shared" si="180"/>
        <v>12</v>
      </c>
    </row>
    <row r="228">
      <c r="B228" s="93">
        <f t="shared" si="180"/>
        <v>13</v>
      </c>
    </row>
    <row r="229">
      <c r="B229" s="93">
        <f t="shared" si="180"/>
        <v>14</v>
      </c>
    </row>
    <row r="230">
      <c r="B230" s="93">
        <f t="shared" si="180"/>
        <v>15</v>
      </c>
    </row>
    <row r="231">
      <c r="B231" s="93">
        <f t="shared" si="180"/>
        <v>16</v>
      </c>
    </row>
    <row r="232">
      <c r="B232" s="93">
        <f t="shared" si="180"/>
        <v>17</v>
      </c>
    </row>
    <row r="233">
      <c r="B233" s="93">
        <f t="shared" si="180"/>
        <v>18</v>
      </c>
    </row>
    <row r="234">
      <c r="B234" s="93">
        <f t="shared" si="180"/>
        <v>19</v>
      </c>
    </row>
    <row r="235">
      <c r="B235" s="93">
        <f t="shared" si="180"/>
        <v>20</v>
      </c>
    </row>
    <row r="236">
      <c r="B236" s="93">
        <f t="shared" si="180"/>
        <v>21</v>
      </c>
    </row>
    <row r="237">
      <c r="B237" s="93">
        <f t="shared" si="180"/>
        <v>22</v>
      </c>
    </row>
    <row r="238">
      <c r="B238" s="93">
        <f t="shared" si="180"/>
        <v>23</v>
      </c>
    </row>
    <row r="239">
      <c r="B239" s="93">
        <f t="shared" si="180"/>
        <v>24</v>
      </c>
    </row>
    <row r="240">
      <c r="B240" s="93">
        <f t="shared" si="180"/>
        <v>25</v>
      </c>
    </row>
    <row r="241">
      <c r="B241" s="93">
        <f t="shared" si="180"/>
        <v>26</v>
      </c>
    </row>
  </sheetData>
  <mergeCells count="3">
    <mergeCell ref="B2:F2"/>
    <mergeCell ref="P2:V2"/>
    <mergeCell ref="P10:V10"/>
  </mergeCells>
  <conditionalFormatting sqref="C4:D8 Q4:R8 Q12:R16">
    <cfRule type="expression" dxfId="6" priority="1">
      <formula>C4&lt;D4</formula>
    </cfRule>
  </conditionalFormatting>
  <conditionalFormatting sqref="C4:C8 Q4:Q8 Q12:Q16">
    <cfRule type="expression" dxfId="7" priority="2">
      <formula>C4&gt;=D4</formula>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8C01"/>
    <outlinePr summaryBelow="0" summaryRight="0"/>
  </sheetPr>
  <sheetViews>
    <sheetView workbookViewId="0"/>
  </sheetViews>
  <sheetFormatPr customHeight="1" defaultColWidth="12.63" defaultRowHeight="15.75"/>
  <cols>
    <col customWidth="1" min="1" max="1" width="5.75"/>
    <col customWidth="1" min="14" max="14" width="7.88"/>
    <col customWidth="1" min="25" max="25" width="9.63"/>
    <col customWidth="1" min="26" max="26" width="9.25"/>
  </cols>
  <sheetData>
    <row r="1">
      <c r="M1" s="152"/>
    </row>
    <row r="2">
      <c r="B2" s="153" t="s">
        <v>410</v>
      </c>
      <c r="C2" s="154"/>
      <c r="D2" s="154"/>
      <c r="E2" s="154"/>
      <c r="F2" s="154"/>
      <c r="G2" s="154"/>
      <c r="H2" s="154"/>
      <c r="I2" s="154"/>
      <c r="J2" s="154"/>
      <c r="K2" s="154"/>
      <c r="L2" s="155"/>
      <c r="M2" s="156"/>
      <c r="N2" s="157"/>
      <c r="O2" s="157"/>
      <c r="P2" s="158" t="s">
        <v>411</v>
      </c>
      <c r="Q2" s="159"/>
      <c r="R2" s="159"/>
      <c r="S2" s="159"/>
      <c r="T2" s="159"/>
      <c r="U2" s="159"/>
      <c r="V2" s="159"/>
      <c r="W2" s="159"/>
      <c r="X2" s="160"/>
    </row>
    <row r="3">
      <c r="B3" s="161"/>
      <c r="C3" s="162"/>
      <c r="D3" s="162"/>
      <c r="E3" s="162"/>
      <c r="F3" s="162"/>
      <c r="G3" s="162"/>
      <c r="H3" s="162"/>
      <c r="I3" s="162"/>
      <c r="J3" s="162"/>
      <c r="K3" s="162"/>
      <c r="L3" s="163"/>
      <c r="M3" s="156"/>
      <c r="N3" s="157"/>
      <c r="O3" s="157"/>
      <c r="P3" s="164"/>
      <c r="Q3" s="165"/>
      <c r="R3" s="165"/>
      <c r="S3" s="165"/>
      <c r="T3" s="165"/>
      <c r="U3" s="165"/>
      <c r="V3" s="165"/>
      <c r="W3" s="165"/>
      <c r="X3" s="166"/>
    </row>
    <row r="4">
      <c r="M4" s="152"/>
    </row>
    <row r="5">
      <c r="M5" s="152"/>
    </row>
    <row r="6">
      <c r="M6" s="152"/>
    </row>
    <row r="7">
      <c r="M7" s="152"/>
    </row>
    <row r="8">
      <c r="M8" s="152"/>
      <c r="R8" s="144"/>
      <c r="S8" s="144"/>
      <c r="T8" s="144"/>
      <c r="U8" s="144"/>
    </row>
    <row r="9">
      <c r="M9" s="152"/>
      <c r="R9" s="144"/>
      <c r="S9" s="144"/>
      <c r="T9" s="144"/>
      <c r="U9" s="144"/>
    </row>
    <row r="10">
      <c r="M10" s="152"/>
    </row>
    <row r="11">
      <c r="M11" s="152"/>
    </row>
    <row r="12">
      <c r="M12" s="152"/>
    </row>
    <row r="13">
      <c r="M13" s="152"/>
    </row>
    <row r="14">
      <c r="M14" s="152"/>
    </row>
    <row r="15">
      <c r="M15" s="152"/>
    </row>
    <row r="16">
      <c r="M16" s="152"/>
    </row>
    <row r="17">
      <c r="M17" s="152"/>
    </row>
    <row r="18">
      <c r="M18" s="152"/>
      <c r="N18" s="167"/>
      <c r="O18" s="167"/>
      <c r="P18" s="167"/>
      <c r="Q18" s="167"/>
      <c r="R18" s="167"/>
      <c r="S18" s="167"/>
      <c r="T18" s="167"/>
      <c r="U18" s="167"/>
      <c r="V18" s="167"/>
      <c r="W18" s="167"/>
      <c r="X18" s="167"/>
      <c r="Y18" s="167"/>
      <c r="Z18" s="167"/>
    </row>
    <row r="19">
      <c r="M19" s="152"/>
    </row>
    <row r="20">
      <c r="M20" s="152"/>
      <c r="P20" s="168" t="s">
        <v>412</v>
      </c>
      <c r="Q20" s="169"/>
      <c r="R20" s="169"/>
      <c r="S20" s="169"/>
      <c r="T20" s="169"/>
      <c r="U20" s="169"/>
      <c r="V20" s="169"/>
      <c r="W20" s="169"/>
      <c r="X20" s="170"/>
    </row>
    <row r="21">
      <c r="M21" s="152"/>
      <c r="P21" s="171"/>
      <c r="Q21" s="172"/>
      <c r="R21" s="172"/>
      <c r="S21" s="172"/>
      <c r="T21" s="172"/>
      <c r="U21" s="172"/>
      <c r="V21" s="172"/>
      <c r="W21" s="172"/>
      <c r="X21" s="173"/>
    </row>
    <row r="22">
      <c r="M22" s="152"/>
    </row>
    <row r="23">
      <c r="M23" s="152"/>
    </row>
    <row r="24">
      <c r="M24" s="152"/>
    </row>
    <row r="25">
      <c r="M25" s="152"/>
    </row>
    <row r="26">
      <c r="M26" s="152"/>
    </row>
    <row r="27">
      <c r="M27" s="152"/>
    </row>
    <row r="28">
      <c r="M28" s="152"/>
    </row>
    <row r="29">
      <c r="M29" s="152"/>
    </row>
    <row r="30">
      <c r="K30" s="157"/>
      <c r="L30" s="157"/>
      <c r="M30" s="156"/>
      <c r="N30" s="157"/>
      <c r="O30" s="157"/>
      <c r="P30" s="157"/>
      <c r="Q30" s="157"/>
      <c r="R30" s="157"/>
    </row>
    <row r="31">
      <c r="K31" s="157"/>
      <c r="L31" s="157"/>
      <c r="M31" s="156"/>
      <c r="N31" s="157"/>
      <c r="O31" s="157"/>
      <c r="P31" s="157"/>
      <c r="Q31" s="157"/>
      <c r="R31" s="157"/>
    </row>
    <row r="32">
      <c r="M32" s="152"/>
    </row>
    <row r="33">
      <c r="M33" s="152"/>
    </row>
    <row r="34">
      <c r="M34" s="152"/>
    </row>
    <row r="35">
      <c r="M35" s="152"/>
    </row>
    <row r="36">
      <c r="M36" s="152"/>
    </row>
    <row r="37">
      <c r="M37" s="152"/>
    </row>
    <row r="38">
      <c r="M38" s="152"/>
    </row>
    <row r="39">
      <c r="M39" s="152"/>
    </row>
    <row r="40">
      <c r="M40" s="152"/>
    </row>
    <row r="41">
      <c r="A41" s="167"/>
      <c r="B41" s="167"/>
      <c r="C41" s="174"/>
      <c r="D41" s="167"/>
      <c r="E41" s="167"/>
      <c r="F41" s="167"/>
      <c r="G41" s="167"/>
      <c r="H41" s="167"/>
      <c r="I41" s="167"/>
      <c r="J41" s="167"/>
      <c r="K41" s="167"/>
      <c r="L41" s="167"/>
      <c r="M41" s="175"/>
    </row>
    <row r="42">
      <c r="B42" s="157"/>
      <c r="C42" s="157"/>
      <c r="D42" s="157"/>
      <c r="E42" s="157"/>
      <c r="F42" s="157"/>
      <c r="G42" s="157"/>
      <c r="H42" s="157"/>
      <c r="I42" s="157"/>
    </row>
    <row r="43">
      <c r="B43" s="157"/>
      <c r="C43" s="157"/>
      <c r="D43" s="157"/>
      <c r="E43" s="157"/>
      <c r="F43" s="157"/>
      <c r="G43" s="157"/>
      <c r="H43" s="157"/>
      <c r="I43" s="157"/>
    </row>
    <row r="44">
      <c r="B44" s="158" t="s">
        <v>413</v>
      </c>
      <c r="C44" s="159"/>
      <c r="D44" s="159"/>
      <c r="E44" s="159"/>
      <c r="F44" s="159"/>
      <c r="G44" s="159"/>
      <c r="H44" s="159"/>
      <c r="I44" s="159"/>
      <c r="J44" s="159"/>
      <c r="K44" s="159"/>
      <c r="L44" s="160"/>
    </row>
    <row r="45">
      <c r="B45" s="164"/>
      <c r="C45" s="165"/>
      <c r="D45" s="165"/>
      <c r="E45" s="165"/>
      <c r="F45" s="165"/>
      <c r="G45" s="165"/>
      <c r="H45" s="165"/>
      <c r="I45" s="165"/>
      <c r="J45" s="165"/>
      <c r="K45" s="165"/>
      <c r="L45" s="166"/>
    </row>
  </sheetData>
  <mergeCells count="4">
    <mergeCell ref="B2:L3"/>
    <mergeCell ref="P2:X3"/>
    <mergeCell ref="P20:X21"/>
    <mergeCell ref="B44:L45"/>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8C01"/>
    <outlinePr summaryBelow="0" summaryRight="0"/>
  </sheetPr>
  <sheetViews>
    <sheetView workbookViewId="0"/>
  </sheetViews>
  <sheetFormatPr customHeight="1" defaultColWidth="12.63" defaultRowHeight="15.75"/>
  <cols>
    <col customWidth="1" min="1" max="1" width="3.88"/>
    <col customWidth="1" min="2" max="2" width="20.13"/>
    <col customWidth="1" min="3" max="4" width="13.25"/>
    <col customWidth="1" min="9" max="9" width="12.63"/>
    <col customWidth="1" min="10" max="10" width="11.75"/>
    <col customWidth="1" min="15" max="15" width="5.63"/>
    <col customWidth="1" min="16" max="16" width="20.13"/>
    <col customWidth="1" min="17" max="18" width="11.75"/>
    <col customWidth="1" min="23" max="23" width="13.5"/>
    <col customWidth="1" min="24" max="24" width="12.0"/>
    <col customWidth="1" min="25" max="26" width="12.25"/>
    <col customWidth="1" min="29" max="29" width="4.75"/>
    <col customWidth="1" min="30" max="30" width="18.0"/>
    <col customWidth="1" min="31" max="32" width="11.63"/>
    <col customWidth="1" min="37" max="37" width="14.63"/>
    <col customWidth="1" min="38" max="38" width="11.25"/>
    <col customWidth="1" min="43" max="43" width="4.13"/>
    <col customWidth="1" min="44" max="44" width="16.38"/>
    <col customWidth="1" min="45" max="46" width="12.88"/>
    <col customWidth="1" min="47" max="47" width="12.63"/>
    <col customWidth="1" min="51" max="51" width="14.38"/>
    <col customWidth="1" min="52" max="52" width="11.0"/>
    <col customWidth="1" min="57" max="57" width="5.5"/>
  </cols>
  <sheetData>
    <row r="1">
      <c r="A1" s="176"/>
      <c r="B1" s="177"/>
      <c r="C1" s="177"/>
      <c r="D1" s="177"/>
      <c r="E1" s="178"/>
      <c r="F1" s="179"/>
      <c r="G1" s="179"/>
      <c r="H1" s="180"/>
      <c r="I1" s="180"/>
      <c r="J1" s="180"/>
      <c r="K1" s="180"/>
      <c r="L1" s="180"/>
      <c r="M1" s="177"/>
      <c r="N1" s="177"/>
      <c r="O1" s="176"/>
      <c r="P1" s="177"/>
      <c r="Q1" s="177"/>
      <c r="R1" s="177"/>
      <c r="S1" s="178"/>
      <c r="T1" s="179"/>
      <c r="U1" s="179"/>
      <c r="V1" s="179"/>
      <c r="W1" s="179"/>
      <c r="X1" s="179"/>
      <c r="Y1" s="179"/>
      <c r="Z1" s="179"/>
      <c r="AA1" s="177"/>
      <c r="AB1" s="177"/>
      <c r="AC1" s="176"/>
      <c r="AD1" s="177"/>
      <c r="AE1" s="177"/>
      <c r="AF1" s="177"/>
      <c r="AG1" s="178"/>
      <c r="AH1" s="179"/>
      <c r="AI1" s="179"/>
      <c r="AJ1" s="179"/>
      <c r="AK1" s="179"/>
      <c r="AL1" s="179"/>
      <c r="AM1" s="179"/>
      <c r="AN1" s="179"/>
      <c r="AO1" s="177"/>
      <c r="AP1" s="177"/>
      <c r="AQ1" s="176"/>
      <c r="AR1" s="177"/>
      <c r="AS1" s="177"/>
      <c r="AT1" s="177"/>
      <c r="AU1" s="178"/>
      <c r="AV1" s="179"/>
      <c r="AW1" s="179"/>
      <c r="AX1" s="179"/>
      <c r="AY1" s="179"/>
      <c r="AZ1" s="179"/>
      <c r="BA1" s="179"/>
      <c r="BB1" s="179"/>
      <c r="BC1" s="177"/>
      <c r="BD1" s="177"/>
      <c r="BE1" s="176"/>
    </row>
    <row r="2">
      <c r="A2" s="181"/>
      <c r="B2" s="182" t="s">
        <v>44</v>
      </c>
      <c r="N2" s="183"/>
      <c r="O2" s="181"/>
      <c r="P2" s="184" t="s">
        <v>116</v>
      </c>
      <c r="AB2" s="183"/>
      <c r="AC2" s="181"/>
      <c r="AD2" s="185" t="s">
        <v>187</v>
      </c>
      <c r="AP2" s="183"/>
      <c r="AQ2" s="181"/>
      <c r="AR2" s="186" t="s">
        <v>36</v>
      </c>
      <c r="BD2" s="183"/>
      <c r="BE2" s="186"/>
    </row>
    <row r="3">
      <c r="A3" s="181"/>
      <c r="N3" s="183"/>
      <c r="O3" s="181"/>
      <c r="AB3" s="183"/>
      <c r="AC3" s="181"/>
      <c r="AP3" s="183"/>
      <c r="AQ3" s="181"/>
      <c r="BD3" s="183"/>
      <c r="BE3" s="186"/>
    </row>
    <row r="4">
      <c r="A4" s="181"/>
      <c r="B4" s="187"/>
      <c r="C4" s="187"/>
      <c r="D4" s="187"/>
      <c r="E4" s="187"/>
      <c r="F4" s="187"/>
      <c r="G4" s="187"/>
      <c r="H4" s="187"/>
      <c r="I4" s="187"/>
      <c r="J4" s="187"/>
      <c r="K4" s="187"/>
      <c r="L4" s="187"/>
      <c r="M4" s="187"/>
      <c r="N4" s="188"/>
      <c r="O4" s="181"/>
      <c r="P4" s="187"/>
      <c r="Q4" s="187"/>
      <c r="R4" s="187"/>
      <c r="S4" s="187"/>
      <c r="T4" s="187"/>
      <c r="U4" s="187"/>
      <c r="V4" s="187"/>
      <c r="W4" s="187"/>
      <c r="X4" s="187"/>
      <c r="Y4" s="187"/>
      <c r="Z4" s="187"/>
      <c r="AA4" s="187"/>
      <c r="AB4" s="188"/>
      <c r="AC4" s="181"/>
      <c r="AD4" s="187"/>
      <c r="AE4" s="187"/>
      <c r="AF4" s="187"/>
      <c r="AG4" s="187"/>
      <c r="AH4" s="187"/>
      <c r="AI4" s="187"/>
      <c r="AJ4" s="187"/>
      <c r="AK4" s="187"/>
      <c r="AL4" s="187"/>
      <c r="AM4" s="187"/>
      <c r="AN4" s="187"/>
      <c r="AO4" s="187"/>
      <c r="AP4" s="188"/>
      <c r="AQ4" s="181"/>
      <c r="AR4" s="187"/>
      <c r="AS4" s="187"/>
      <c r="AT4" s="187"/>
      <c r="AU4" s="187"/>
      <c r="AV4" s="187"/>
      <c r="AW4" s="187"/>
      <c r="AX4" s="187"/>
      <c r="AY4" s="187"/>
      <c r="AZ4" s="187"/>
      <c r="BA4" s="187"/>
      <c r="BB4" s="187"/>
      <c r="BC4" s="187"/>
      <c r="BD4" s="188"/>
      <c r="BE4" s="186"/>
    </row>
    <row r="5">
      <c r="A5" s="176"/>
      <c r="B5" s="177"/>
      <c r="C5" s="177"/>
      <c r="D5" s="177"/>
      <c r="E5" s="178"/>
      <c r="F5" s="179"/>
      <c r="G5" s="179"/>
      <c r="H5" s="180"/>
      <c r="I5" s="180"/>
      <c r="J5" s="189"/>
      <c r="K5" s="180"/>
      <c r="L5" s="180"/>
      <c r="M5" s="177"/>
      <c r="N5" s="177"/>
      <c r="O5" s="176"/>
      <c r="P5" s="177"/>
      <c r="Q5" s="177"/>
      <c r="R5" s="177"/>
      <c r="S5" s="178"/>
      <c r="T5" s="179"/>
      <c r="U5" s="179"/>
      <c r="V5" s="179"/>
      <c r="W5" s="190"/>
      <c r="X5" s="190"/>
      <c r="Y5" s="179"/>
      <c r="Z5" s="179"/>
      <c r="AA5" s="177"/>
      <c r="AB5" s="177"/>
      <c r="AC5" s="176"/>
      <c r="AD5" s="177"/>
      <c r="AE5" s="177"/>
      <c r="AF5" s="177"/>
      <c r="AG5" s="178"/>
      <c r="AH5" s="179"/>
      <c r="AI5" s="179"/>
      <c r="AJ5" s="179"/>
      <c r="AK5" s="179"/>
      <c r="AL5" s="190"/>
      <c r="AM5" s="179"/>
      <c r="AN5" s="179"/>
      <c r="AO5" s="177"/>
      <c r="AP5" s="177"/>
      <c r="AQ5" s="176"/>
      <c r="AR5" s="177"/>
      <c r="AS5" s="177"/>
      <c r="AT5" s="177"/>
      <c r="AU5" s="178"/>
      <c r="AV5" s="179"/>
      <c r="AW5" s="179"/>
      <c r="AX5" s="179"/>
      <c r="AY5" s="179"/>
      <c r="AZ5" s="190"/>
      <c r="BA5" s="179"/>
      <c r="BB5" s="179"/>
      <c r="BC5" s="177"/>
      <c r="BD5" s="177"/>
      <c r="BE5" s="176"/>
    </row>
    <row r="6" ht="30.75" customHeight="1">
      <c r="A6" s="181"/>
      <c r="B6" s="191" t="s">
        <v>414</v>
      </c>
      <c r="C6" s="192" t="s">
        <v>415</v>
      </c>
      <c r="D6" s="192" t="s">
        <v>416</v>
      </c>
      <c r="E6" s="193" t="s">
        <v>417</v>
      </c>
      <c r="F6" s="194" t="s">
        <v>392</v>
      </c>
      <c r="G6" s="194" t="s">
        <v>418</v>
      </c>
      <c r="H6" s="195" t="s">
        <v>419</v>
      </c>
      <c r="I6" s="192" t="s">
        <v>380</v>
      </c>
      <c r="J6" s="196" t="s">
        <v>372</v>
      </c>
      <c r="K6" s="195" t="s">
        <v>386</v>
      </c>
      <c r="L6" s="195" t="s">
        <v>420</v>
      </c>
      <c r="M6" s="195" t="s">
        <v>421</v>
      </c>
      <c r="N6" s="197" t="s">
        <v>422</v>
      </c>
      <c r="O6" s="181"/>
      <c r="P6" s="191" t="s">
        <v>414</v>
      </c>
      <c r="Q6" s="192" t="s">
        <v>415</v>
      </c>
      <c r="R6" s="192" t="s">
        <v>416</v>
      </c>
      <c r="S6" s="193" t="s">
        <v>417</v>
      </c>
      <c r="T6" s="194" t="s">
        <v>392</v>
      </c>
      <c r="U6" s="194" t="s">
        <v>418</v>
      </c>
      <c r="V6" s="194" t="s">
        <v>394</v>
      </c>
      <c r="W6" s="198" t="s">
        <v>380</v>
      </c>
      <c r="X6" s="196" t="s">
        <v>372</v>
      </c>
      <c r="Y6" s="195" t="s">
        <v>386</v>
      </c>
      <c r="Z6" s="195" t="s">
        <v>420</v>
      </c>
      <c r="AA6" s="195" t="s">
        <v>421</v>
      </c>
      <c r="AB6" s="197" t="s">
        <v>422</v>
      </c>
      <c r="AC6" s="181"/>
      <c r="AD6" s="191" t="s">
        <v>414</v>
      </c>
      <c r="AE6" s="192" t="s">
        <v>415</v>
      </c>
      <c r="AF6" s="192" t="s">
        <v>416</v>
      </c>
      <c r="AG6" s="193" t="s">
        <v>417</v>
      </c>
      <c r="AH6" s="194" t="s">
        <v>392</v>
      </c>
      <c r="AI6" s="194" t="s">
        <v>418</v>
      </c>
      <c r="AJ6" s="194" t="s">
        <v>394</v>
      </c>
      <c r="AK6" s="192" t="s">
        <v>380</v>
      </c>
      <c r="AL6" s="196" t="s">
        <v>372</v>
      </c>
      <c r="AM6" s="195" t="s">
        <v>386</v>
      </c>
      <c r="AN6" s="195" t="s">
        <v>420</v>
      </c>
      <c r="AO6" s="195" t="s">
        <v>421</v>
      </c>
      <c r="AP6" s="197" t="s">
        <v>422</v>
      </c>
      <c r="AQ6" s="181"/>
      <c r="AR6" s="191" t="s">
        <v>414</v>
      </c>
      <c r="AS6" s="192" t="s">
        <v>415</v>
      </c>
      <c r="AT6" s="192" t="s">
        <v>416</v>
      </c>
      <c r="AU6" s="193" t="s">
        <v>417</v>
      </c>
      <c r="AV6" s="194" t="s">
        <v>392</v>
      </c>
      <c r="AW6" s="194" t="s">
        <v>418</v>
      </c>
      <c r="AX6" s="194" t="s">
        <v>394</v>
      </c>
      <c r="AY6" s="192" t="s">
        <v>380</v>
      </c>
      <c r="AZ6" s="196" t="s">
        <v>372</v>
      </c>
      <c r="BA6" s="195" t="s">
        <v>423</v>
      </c>
      <c r="BB6" s="195" t="s">
        <v>424</v>
      </c>
      <c r="BC6" s="195" t="s">
        <v>421</v>
      </c>
      <c r="BD6" s="197" t="s">
        <v>422</v>
      </c>
      <c r="BE6" s="199"/>
    </row>
    <row r="7">
      <c r="A7" s="181"/>
      <c r="B7" s="200" t="s">
        <v>109</v>
      </c>
      <c r="C7" s="201">
        <f>SUMPRODUCT((Base!$C:$C=B7)*(Base!$O:$O="Executando"))
</f>
        <v>1</v>
      </c>
      <c r="D7" s="201">
        <f>COUNTIF(Base!$C:$C,B7)</f>
        <v>1</v>
      </c>
      <c r="E7" s="202">
        <f>IFERROR(COUNTIFS(Base!C:C, B7, Base!O:O, "Executando", Base!AC:AC, "Sim") )
</f>
        <v>1</v>
      </c>
      <c r="F7" s="203">
        <f>SUMIFS(Base!$N:$N,Base!$C:$C,B7,Base!$N:$N,"&lt;&gt;")
-SUMIFS(Base!$K:$K,Base!$C:$C,B7,Base!$N:$N,"&lt;&gt;")
-(SUMIFS(Base!$L:$L,Base!$C:$C,B7,Base!$N:$N,"&lt;&gt;")*7)</f>
        <v>0</v>
      </c>
      <c r="G7" s="203">
        <f>SUMIFS(Base!$F:$F,Base!$C:$C,B7,Base!$N:$N,"&lt;&gt;")*7</f>
        <v>0</v>
      </c>
      <c r="H7" s="204">
        <f t="shared" ref="H7:H21" si="1">IF(AND(F7=0, G7=0), 0, IF(G7=0, 0, F7/G7))
</f>
        <v>0</v>
      </c>
      <c r="I7" s="204">
        <f>IFERROR((COUNTIFS(Base!$C:$C,B7,Base!$S:$S,"&gt;8") - COUNTIFS(Base!$C:$C,B7,Base!$S:$S,"&lt;7"))/COUNTIFS(Base!$C:$C,B7,Base!$S:$S,"&lt;&gt;"),0)</f>
        <v>0</v>
      </c>
      <c r="J7" s="204">
        <f>IFERROR(COUNTIFS(Base!C:C, B7, Base!O:O, "Concluído", Base!U:U, TRUE) / COUNTIFS(Base!C:C, B7, Base!O:O, "Concluído"), 0)</f>
        <v>0</v>
      </c>
      <c r="K7" s="205">
        <f>IFERROR(SUMIF(Base!$C$4:$C1000,B7,Base!$E$4:$E1000)/(SUMPRODUCT(IF(Base!$C$4:$C1000 = B7,1,0),Base!$F$4:$F1000,Base!$G$4:$G1000)), 0)
</f>
        <v>557.1428571</v>
      </c>
      <c r="L7" s="205">
        <f>IFERROR( SUMIFS(Base!$E$4:$E1000,Base!$C$4:$C1000,B7,Base!$N$4:$N1000,"&lt;&gt;")/(SUMIF(Base!$C$4:$C1000,B7,Base!$AA$4:$AA1000)), 0 )</f>
        <v>0</v>
      </c>
      <c r="M7" s="206">
        <f>IF(D7&lt;&gt;0, SUMIF(Base!$C:$C, B7, Base!$E:$E)/D7, 0)
</f>
        <v>7800</v>
      </c>
      <c r="N7" s="207">
        <f>SUMIF(Base!$C:$C, B7, Base!$E:$E) / SUMIF(Base!$B:$B, "NCIV", Base!$E:$E)</f>
        <v>0.0130475147</v>
      </c>
      <c r="O7" s="181"/>
      <c r="P7" s="208" t="s">
        <v>127</v>
      </c>
      <c r="Q7" s="201">
        <f>SUMPRODUCT((Base!$C:$C=P7)*(Base!$O:$O="Executando"))
</f>
        <v>0</v>
      </c>
      <c r="R7" s="201">
        <f>COUNTIF(Base!$C:$C,P7)</f>
        <v>2</v>
      </c>
      <c r="S7" s="202">
        <f>IFERROR(COUNTIFS(Base!C:C, P7, Base!O:O, "Executando", Base!AC:AC, "Sim") )
</f>
        <v>0</v>
      </c>
      <c r="T7" s="203">
        <f>SUMIFS(Base!$N:$N,Base!$C:$C,P7,Base!$N:$N,"&lt;&gt;")
-SUMIFS(Base!$K:$K,Base!$C:$C,P7,Base!$N:$N,"&lt;&gt;")
-(SUMIFS(Base!$L:$L,Base!$C:$C,P7,Base!$N:$N,"&lt;&gt;")*7)</f>
        <v>267</v>
      </c>
      <c r="U7" s="203">
        <f>SUMIFS(Base!$F:$F,Base!$C:$C,P7,Base!$N:$N,"&lt;&gt;")*7</f>
        <v>133</v>
      </c>
      <c r="V7" s="204">
        <f t="shared" ref="V7:V10" si="2">IF(AND(T7=0, U7=0), "-", IF(U7=0, "-", T7/U7))
</f>
        <v>2.007518797</v>
      </c>
      <c r="W7" s="209">
        <f>IFERROR((COUNTIFS(Base!$C:$C,P7,Base!$S:$S,"&gt;8") - COUNTIFS(Base!$C:$C,P7,Base!$S:$S,"&lt;7"))/COUNTIFS(Base!$C:$C,P7,Base!$S:$S,"&lt;&gt;"),"-")</f>
        <v>1</v>
      </c>
      <c r="X7" s="204">
        <f>IFERROR(COUNTIFS(Base!C:C, P7, Base!O:O, "Concluído", Base!U:U, TRUE) / COUNTIFS(Base!C:C, P7, Base!O:O, "Concluído"), "-")</f>
        <v>0.5</v>
      </c>
      <c r="Y7" s="205">
        <f>IFERROR(SUMIF(Base!$C$4:$C1000,P7,Base!$E$4:$E1000)/(SUMPRODUCT(IF(Base!$C$4:$C1000 = P7,1,0),Base!$F$4:$F1000,Base!$G$4:$G1000)), "-")
</f>
        <v>1500</v>
      </c>
      <c r="Z7" s="205">
        <f>IFERROR( SUMIFS(Base!$E$4:$E1000,Base!$C$4:$C1000,P7,Base!$N$4:$N1000,"&lt;&gt;")/(SUMIF(Base!$C$4:$C1000,P7,Base!$AA$4:$AA1000)), "-" )</f>
        <v>747.1910112</v>
      </c>
      <c r="AA7" s="210">
        <f>IF(R7&lt;&gt;0, SUMIF(Base!$C:$C, P7, Base!$E:$E)/R7, "-")
</f>
        <v>14250</v>
      </c>
      <c r="AB7" s="207">
        <f>SUMIF(Base!$C:$C, P7, Base!$E:$E) / SUMIF(Base!$B:$B, "NCON", Base!$E:$E)</f>
        <v>0.01412955963</v>
      </c>
      <c r="AC7" s="181"/>
      <c r="AD7" s="200" t="s">
        <v>197</v>
      </c>
      <c r="AE7" s="201">
        <f>SUMPRODUCT((Base!$C:$C=AD7)*(Base!$O:$O="Executando"))
</f>
        <v>0</v>
      </c>
      <c r="AF7" s="201">
        <f>COUNTIF(Base!$C:$C,AD7)</f>
        <v>3</v>
      </c>
      <c r="AG7" s="202">
        <f>IFERROR(COUNTIFS(Base!C:C, AD7, Base!O:O, "Executando", Base!AC:AC, "Sim") )
</f>
        <v>0</v>
      </c>
      <c r="AH7" s="203">
        <f>SUMIFS(Base!$N:$N,Base!$C:$C,AD7,Base!$N:$N,"&lt;&gt;")
-SUMIFS(Base!$K:$K,Base!$C:$C,AD7,Base!$N:$N,"&lt;&gt;")
-(SUMIFS(Base!$L:$L,Base!$C:$C,AD7,Base!$N:$N,"&lt;&gt;")*7)</f>
        <v>256</v>
      </c>
      <c r="AI7" s="203">
        <f>SUMIFS(Base!$F:$F,Base!$C:$C,AD7,Base!$N:$N,"&lt;&gt;")*7</f>
        <v>56</v>
      </c>
      <c r="AJ7" s="204">
        <f t="shared" ref="AJ7:AJ14" si="3">IF(AND(AH7=0, AI7=0), 0, IF(AI7=0, 0, AH7/AI7))
</f>
        <v>4.571428571</v>
      </c>
      <c r="AK7" s="204">
        <f>IFERROR((COUNTIFS(Base!$C:$C,AD7,Base!$S:$S,"&gt;8") - COUNTIFS(Base!$C:$C,AD7,Base!$S:$S,"&lt;7"))/COUNTIFS(Base!$C:$C,AD7,Base!$S:$S,"&lt;&gt;"),0)</f>
        <v>-0.5</v>
      </c>
      <c r="AL7" s="204">
        <f>IFERROR(COUNTIFS(Base!C:C, AD7, Base!O:O, "Concluído", Base!U:U, TRUE) / COUNTIFS(Base!C:C, AD7, Base!O:O, "Concluído"), 0)</f>
        <v>0</v>
      </c>
      <c r="AM7" s="205">
        <f>IFERROR(SUMIF(Base!$C$4:$C1000,AD7,Base!$E$4:$E1000)/(SUMPRODUCT(IF(Base!$C$4:$C1000 = AD7,1,0),Base!$F$4:$F1000,Base!$G$4:$G1000)), "-")
</f>
        <v>1400</v>
      </c>
      <c r="AN7" s="205">
        <f>IFERROR( SUMIFS(Base!$E$4:$E1000,Base!$C$4:$C1000,AD7,Base!$N$4:$N1000,"&lt;&gt;")/(SUMIF(Base!$C$4:$C1000,AD7,Base!$AA$4:$AA1000)), 0 )</f>
        <v>300.78125</v>
      </c>
      <c r="AO7" s="206">
        <f>IF(AF7&lt;&gt;0, SUMIF(Base!$C:$C, AD7, Base!$E:$E)/AF7, "-")
</f>
        <v>9333.333333</v>
      </c>
      <c r="AP7" s="207">
        <f>SUMIF(Base!$C:$C, AD7, Base!$E:$E) / SUMIF(Base!$B:$B, "NDADOS", Base!$E:$E)</f>
        <v>0.01807801049</v>
      </c>
      <c r="AQ7" s="181"/>
      <c r="AR7" s="211" t="s">
        <v>258</v>
      </c>
      <c r="AS7" s="201">
        <f>SUMPRODUCT((Base!$C:$C=AR7)*(Base!$O:$O="Executando"))
</f>
        <v>0</v>
      </c>
      <c r="AT7" s="201">
        <f>COUNTIF(Base!$C:$C,AR7)</f>
        <v>5</v>
      </c>
      <c r="AU7" s="202">
        <f>IFERROR(COUNTIFS(Base!C:C, AR7, Base!O:O, "Executando", Base!AC:AC, "Sim") )
</f>
        <v>0</v>
      </c>
      <c r="AV7" s="203">
        <f>SUMIFS(Base!$N:$N,Base!$C:$C,AR7,Base!$N:$N,"&lt;&gt;")
-SUMIFS(Base!$K:$K,Base!$C:$C,AR7,Base!$N:$N,"&lt;&gt;")
-(SUMIFS(Base!$L:$L,Base!$C:$C,AR7,Base!$N:$N,"&lt;&gt;")*7)</f>
        <v>42</v>
      </c>
      <c r="AW7" s="203">
        <f>SUMIFS(Base!$F:$F,Base!$C:$C,AR7,Base!$N:$N,"&lt;&gt;")*7</f>
        <v>35</v>
      </c>
      <c r="AX7" s="204">
        <f t="shared" ref="AX7:AX10" si="4">IF(AND(AV7=0, AW7=0), 0, IF(AW7=0, 0, AV7/AW7))
</f>
        <v>1.2</v>
      </c>
      <c r="AY7" s="204">
        <f>IFERROR(
    (
        COUNTIFS(Base!$C:$C, AR7, Base!$S:$S, "&gt;8") +
        COUNTIFS(Base!$C:$C, AR7, Base!$AG:$AG, "&gt;8") -
        COUNTIFS(Base!$C:$C, AR7, Base!$S:$S, "&lt;7") -
        COUNTIFS(Base!$C:$C, AR7, Base!$AG:$AG, "&lt;7")
    ) /
    (
        COUNTIFS(Base!$C:$C, AR7, Base!$S:$S, "&lt;&gt;") +
        COUNTIFS(Base!$C:$C, AR7, Base!$AG:$AG, "&lt;&gt;")
    ),
    0
)
</f>
        <v>1</v>
      </c>
      <c r="AZ7" s="204">
        <f>IFERROR(COUNTIFS(Base!C:C, AR7, Base!O:O, "Concluído", Base!U:U, TRUE) / COUNTIFS(Base!C:C, AR7, Base!O:O, "Concluído"), 0)</f>
        <v>0</v>
      </c>
      <c r="BA7" s="205">
        <f>IFERROR(SUMIF(Base!$C$4:$C1000,AR7,Base!$E$4:$E1000)/(SUMPRODUCT(IF(Base!$C$4:$C1000 = AR7,1,0),Base!$F$4:$F1000,Base!$G$4:$G1000)), "-")
</f>
        <v>1093.617021</v>
      </c>
      <c r="BB7" s="205">
        <f>IFERROR( SUMIFS(Base!$E$4:$E1000,Base!$C$4:$C1000,AR7,Base!$N$4:$N1000,"&lt;&gt;")/(SUMIF(Base!$C$4:$C1000,AR7,Base!$AA$4:$AA1000)), "-" )</f>
        <v>929.4117647</v>
      </c>
      <c r="BC7" s="210">
        <f>IF(AT7&lt;&gt;0, SUMIF(Base!$C:$C, AR7, Base!$E:$E)/AT7, "-")
</f>
        <v>10280</v>
      </c>
      <c r="BD7" s="212">
        <f>SUMIF(Base!$C:$C, AR7, Base!$E:$E) / SUMIF(Base!$B:$B, "NTEC", Base!$E:$E)</f>
        <v>0.01659242043</v>
      </c>
      <c r="BE7" s="204"/>
    </row>
    <row r="8">
      <c r="A8" s="181"/>
      <c r="B8" s="211" t="s">
        <v>80</v>
      </c>
      <c r="C8" s="201">
        <f>SUMPRODUCT((Base!$C:$C=B8)*(Base!$O:$O="Executando"))
</f>
        <v>1</v>
      </c>
      <c r="D8" s="201">
        <f>COUNTIF(Base!$C:$C,B8)</f>
        <v>2</v>
      </c>
      <c r="E8" s="202">
        <f>IFERROR(COUNTIFS(Base!C:C, B8, Base!O:O, "Executando", Base!AC:AC, "Sim") )
</f>
        <v>1</v>
      </c>
      <c r="F8" s="203">
        <f>SUMIFS(Base!$N:$N,Base!$C:$C,B8,Base!$N:$N,"&lt;&gt;")
-SUMIFS(Base!$K:$K,Base!$C:$C,B8,Base!$N:$N,"&lt;&gt;")
-(SUMIFS(Base!$L:$L,Base!$C:$C,B8,Base!$N:$N,"&lt;&gt;")*7)</f>
        <v>21</v>
      </c>
      <c r="G8" s="203">
        <f>SUMIFS(Base!$F:$F,Base!$C:$C,B8,Base!$N:$N,"&lt;&gt;")*7</f>
        <v>21</v>
      </c>
      <c r="H8" s="204">
        <f t="shared" si="1"/>
        <v>1</v>
      </c>
      <c r="I8" s="204">
        <f>IFERROR((COUNTIFS(Base!$C:$C,B8,Base!$S:$S,"&gt;8") - COUNTIFS(Base!$C:$C,B8,Base!$S:$S,"&lt;7"))/COUNTIFS(Base!$C:$C,B8,Base!$S:$S,"&lt;&gt;"),0)</f>
        <v>0</v>
      </c>
      <c r="J8" s="204">
        <f>IFERROR(COUNTIFS(Base!C:C, B8, Base!O:O, "Concluído", Base!U:U, TRUE) / COUNTIFS(Base!C:C, B8, Base!O:O, "Concluído"), 0)</f>
        <v>0</v>
      </c>
      <c r="K8" s="205">
        <f>IFERROR(SUMIF(Base!$C$4:$C1000,B8,Base!$E$4:$E1000)/(SUMPRODUCT(IF(Base!$C$4:$C1000 = B8,1,0),Base!$F$4:$F1000,Base!$G$4:$G1000)), 0)
</f>
        <v>481.4285714</v>
      </c>
      <c r="L8" s="205">
        <f>IFERROR( SUMIFS(Base!$E$4:$E1000,Base!$C$4:$C1000,B8,Base!$N$4:$N1000,"&lt;&gt;")/(SUMIF(Base!$C$4:$C1000,B8,Base!$AA$4:$AA1000)), 0 )</f>
        <v>600</v>
      </c>
      <c r="M8" s="206">
        <f>IF(D8&lt;&gt;0, SUMIF(Base!$C:$C, B8, Base!$E:$E)/D8, 0)
</f>
        <v>5055</v>
      </c>
      <c r="N8" s="207">
        <f>SUMIF(Base!$C:$C, B8, Base!$E:$E) / SUMIF(Base!$B:$B, "NCIV", Base!$E:$E)</f>
        <v>0.01691158636</v>
      </c>
      <c r="O8" s="181"/>
      <c r="P8" s="213" t="s">
        <v>117</v>
      </c>
      <c r="Q8" s="201">
        <f>SUMPRODUCT((Base!$C:$C=P8)*(Base!$O:$O="Executando"))
</f>
        <v>14</v>
      </c>
      <c r="R8" s="201">
        <f>COUNTIF(Base!$C:$C,P8)</f>
        <v>37</v>
      </c>
      <c r="S8" s="202">
        <f>IFERROR(COUNTIFS(Base!C:C, P8, Base!O:O, "Executando", Base!AC:AC, "Sim") )
</f>
        <v>4</v>
      </c>
      <c r="T8" s="203">
        <f>SUMIFS(Base!$N:$N,Base!$C:$C,P8,Base!$N:$N,"&lt;&gt;")
-SUMIFS(Base!$K:$K,Base!$C:$C,P8,Base!$N:$N,"&lt;&gt;")
-(SUMIFS(Base!$L:$L,Base!$C:$C,P8,Base!$N:$N,"&lt;&gt;")*7)</f>
        <v>1446</v>
      </c>
      <c r="U8" s="203">
        <f>SUMIFS(Base!$F:$F,Base!$C:$C,P8,Base!$N:$N,"&lt;&gt;")*7</f>
        <v>980</v>
      </c>
      <c r="V8" s="204">
        <f t="shared" si="2"/>
        <v>1.475510204</v>
      </c>
      <c r="W8" s="204">
        <f>IFERROR((COUNTIFS(Base!$C:$C,P8,Base!$S:$S,"&gt;8") - COUNTIFS(Base!$C:$C,P8,Base!$S:$S,"&lt;7"))/COUNTIFS(Base!$C:$C,P8,Base!$S:$S,"&lt;&gt;"),"-")</f>
        <v>0.8</v>
      </c>
      <c r="X8" s="204">
        <f>IFERROR(COUNTIFS(Base!C:C, P8, Base!O:O, "Concluído", Base!U:U, TRUE) / COUNTIFS(Base!C:C, P8, Base!O:O, "Concluído"), "-")</f>
        <v>0.1764705882</v>
      </c>
      <c r="Y8" s="205">
        <f>IFERROR(SUMIF(Base!$C$4:$C1000,P8,Base!$E$4:$E1000)/(SUMPRODUCT(IF(Base!$C$4:$C1000 = P8,1,0),Base!$F$4:$F1000,Base!$G$4:$G1000)), "-")
</f>
        <v>1419.481159</v>
      </c>
      <c r="Z8" s="205">
        <f>IFERROR( SUMIFS(Base!$E$4:$E1000,Base!$C$4:$C1000,P8,Base!$N$4:$N1000,"&lt;&gt;")/(SUMIF(Base!$C$4:$C1000,P8,Base!$AA$4:$AA1000)), "-" )</f>
        <v>1022.345195</v>
      </c>
      <c r="AA8" s="210">
        <f>IF(R8&lt;&gt;0, SUMIF(Base!$C:$C, P8, Base!$E:$E)/R8, "-")
</f>
        <v>39707.10811</v>
      </c>
      <c r="AB8" s="207">
        <f>SUMIF(Base!$C:$C, P8, Base!$E:$E) / SUMIF(Base!$B:$B, "NCON", Base!$E:$E)</f>
        <v>0.7283728498</v>
      </c>
      <c r="AC8" s="181"/>
      <c r="AD8" s="200" t="s">
        <v>425</v>
      </c>
      <c r="AE8" s="201">
        <f>SUMPRODUCT((Base!$C:$C=AD8)*(Base!$O:$O="Executando"))
</f>
        <v>2</v>
      </c>
      <c r="AF8" s="201">
        <f>COUNTIF(Base!$C:$C,AD8)</f>
        <v>2</v>
      </c>
      <c r="AG8" s="202">
        <f>IFERROR(COUNTIFS(Base!C:C, AD8, Base!O:O, "Executando", Base!AC:AC, "Sim") )
</f>
        <v>0</v>
      </c>
      <c r="AH8" s="203">
        <f>SUMIFS(Base!$N:$N,Base!$C:$C,AD8,Base!$N:$N,"&lt;&gt;")
-SUMIFS(Base!$K:$K,Base!$C:$C,AD8,Base!$N:$N,"&lt;&gt;")
-(SUMIFS(Base!$L:$L,Base!$C:$C,AD8,Base!$N:$N,"&lt;&gt;")*7)</f>
        <v>0</v>
      </c>
      <c r="AI8" s="203">
        <f>SUMIFS(Base!$F:$F,Base!$C:$C,AD8,Base!$N:$N,"&lt;&gt;")*7</f>
        <v>0</v>
      </c>
      <c r="AJ8" s="204">
        <f t="shared" si="3"/>
        <v>0</v>
      </c>
      <c r="AK8" s="204">
        <f>IFERROR((COUNTIFS(Base!$C:$C,AD8,Base!$S:$S,"&gt;8") - COUNTIFS(Base!$C:$C,AD8,Base!$S:$S,"&lt;7"))/COUNTIFS(Base!$C:$C,AD8,Base!$S:$S,"&lt;&gt;"),0)</f>
        <v>0</v>
      </c>
      <c r="AL8" s="204">
        <f>IFERROR(COUNTIFS(Base!C:C, AD8, Base!O:O, "Concluído", Base!U:U, TRUE) / COUNTIFS(Base!C:C, AD8, Base!O:O, "Concluído"), 0)</f>
        <v>0</v>
      </c>
      <c r="AM8" s="205">
        <f>IFERROR(SUMIF(Base!$C$4:$C1000,AD8,Base!$E$4:$E1000)/(SUMPRODUCT(IF(Base!$C$4:$C1000 = AD8,1,0),Base!$F$4:$F1000,Base!$G$4:$G1000)), "-")
</f>
        <v>2118.055556</v>
      </c>
      <c r="AN8" s="205">
        <f>IFERROR( SUMIFS(Base!$E$4:$E1000,Base!$C$4:$C1000,AD8,Base!$N$4:$N1000,"&lt;&gt;")/(SUMIF(Base!$C$4:$C1000,AD8,Base!$AA$4:$AA1000)), 0 )</f>
        <v>0</v>
      </c>
      <c r="AO8" s="206">
        <f>IF(AF8&lt;&gt;0, SUMIF(Base!$C:$C, AD8, Base!$E:$E)/AF8, "-")
</f>
        <v>38125</v>
      </c>
      <c r="AP8" s="207">
        <f>SUMIF(Base!$C:$C, AD8, Base!$E:$E) / SUMIF(Base!$B:$B, "NDADOS", Base!$E:$E)</f>
        <v>0.04923029642</v>
      </c>
      <c r="AQ8" s="181"/>
      <c r="AR8" s="200" t="s">
        <v>261</v>
      </c>
      <c r="AS8" s="201">
        <f>SUMPRODUCT((Base!$C:$C=AR8)*(Base!$O:$O="Executando"))
</f>
        <v>14</v>
      </c>
      <c r="AT8" s="201">
        <f>COUNTIF(Base!$C:$C,AR8)</f>
        <v>30</v>
      </c>
      <c r="AU8" s="202">
        <f>IFERROR(COUNTIFS(Base!C:C, AR8, Base!O:O, "Executando", Base!AC:AC, "Sim") )
</f>
        <v>6</v>
      </c>
      <c r="AV8" s="203">
        <f>SUMIFS(Base!$N:$N,Base!$C:$C,AR8,Base!$N:$N,"&lt;&gt;")
-SUMIFS(Base!$K:$K,Base!$C:$C,AR8,Base!$N:$N,"&lt;&gt;")
-(SUMIFS(Base!$L:$L,Base!$C:$C,AR8,Base!$N:$N,"&lt;&gt;")*7)</f>
        <v>781</v>
      </c>
      <c r="AW8" s="203">
        <f>SUMIFS(Base!$F:$F,Base!$C:$C,AR8,Base!$N:$N,"&lt;&gt;")*7</f>
        <v>518</v>
      </c>
      <c r="AX8" s="204">
        <f t="shared" si="4"/>
        <v>1.507722008</v>
      </c>
      <c r="AY8" s="204">
        <f>IFERROR((COUNTIFS(Base!$C:$C,AR8,Base!$S:$S,"&gt;8") - COUNTIFS(Base!$C:$C,AR8,Base!$S:$S,"&lt;7"))/COUNTIFS(Base!$C:$C,AR8,Base!$S:$S,"&lt;&gt;"),0)</f>
        <v>0.6666666667</v>
      </c>
      <c r="AZ8" s="204">
        <f>IFERROR(COUNTIFS(Base!C:C, AR8, Base!O:O, "Concluído", Base!U:U, TRUE) / COUNTIFS(Base!C:C, AR8, Base!O:O, "Concluído"), 0)</f>
        <v>0</v>
      </c>
      <c r="BA8" s="205">
        <f>IFERROR(SUMIF(Base!$C$4:$C1000,AR8,Base!$E$4:$E1000)/(SUMPRODUCT(IF(Base!$C$4:$C1000 = AR8,1,0),Base!$F$4:$F1000,Base!$G$4:$G1000)), "-")
</f>
        <v>1100.81091</v>
      </c>
      <c r="BB8" s="205">
        <f>IFERROR( SUMIFS(Base!$E$4:$E1000,Base!$C$4:$C1000,AR8,Base!$N$4:$N1000,"&lt;&gt;")/(SUMIF(Base!$C$4:$C1000,AR8,Base!$AA$4:$AA1000)), "-" )</f>
        <v>651.8992744</v>
      </c>
      <c r="BC8" s="210">
        <f>IF(AT8&lt;&gt;0, SUMIF(Base!$C:$C, AR8, Base!$E:$E)/AT8, "-")
</f>
        <v>79640</v>
      </c>
      <c r="BD8" s="212">
        <f>SUMIF(Base!$C:$C, AR8, Base!$E:$E) / SUMIF(Base!$B:$B, "NTEC", Base!$E:$E)</f>
        <v>0.7712570211</v>
      </c>
      <c r="BE8" s="204"/>
    </row>
    <row r="9">
      <c r="A9" s="181"/>
      <c r="B9" s="211" t="s">
        <v>87</v>
      </c>
      <c r="C9" s="201">
        <f>SUMPRODUCT((Base!$C:$C=B9)*(Base!$O:$O="Executando"))
</f>
        <v>1</v>
      </c>
      <c r="D9" s="201">
        <f>COUNTIF(Base!$C:$C,B9)</f>
        <v>11</v>
      </c>
      <c r="E9" s="202">
        <f>IFERROR(COUNTIFS(Base!C:C, B9, Base!O:O, "Executando", Base!AC:AC, "Sim") )
</f>
        <v>0</v>
      </c>
      <c r="F9" s="203">
        <f>SUMIFS(Base!$N:$N,Base!$C:$C,B9,Base!$N:$N,"&lt;&gt;")
-SUMIFS(Base!$K:$K,Base!$C:$C,B9,Base!$N:$N,"&lt;&gt;")
-(SUMIFS(Base!$L:$L,Base!$C:$C,B9,Base!$N:$N,"&lt;&gt;")*7)</f>
        <v>101</v>
      </c>
      <c r="G9" s="203">
        <f>SUMIFS(Base!$F:$F,Base!$C:$C,B9,Base!$N:$N,"&lt;&gt;")*7</f>
        <v>42</v>
      </c>
      <c r="H9" s="204">
        <f t="shared" si="1"/>
        <v>2.404761905</v>
      </c>
      <c r="I9" s="204">
        <f>IFERROR((COUNTIFS(Base!$C:$C,B9,Base!$S:$S,"&gt;8") - COUNTIFS(Base!$C:$C,B9,Base!$S:$S,"&lt;7"))/COUNTIFS(Base!$C:$C,B9,Base!$S:$S,"&lt;&gt;"),0)</f>
        <v>0</v>
      </c>
      <c r="J9" s="204">
        <f>IFERROR(COUNTIFS(Base!C:C, B9, Base!O:O, "Concluído", Base!U:U, TRUE) / COUNTIFS(Base!C:C, B9, Base!O:O, "Concluído"), 0)</f>
        <v>0</v>
      </c>
      <c r="K9" s="205">
        <f>IFERROR(SUMIF(Base!$C$4:$C1000,B9,Base!$E$4:$E1000)/(SUMPRODUCT(IF(Base!$C$4:$C1000 = B9,1,0),Base!$F$4:$F1000,Base!$G$4:$G1000)), 0)
</f>
        <v>923.3333333</v>
      </c>
      <c r="L9" s="205">
        <f>IFERROR( SUMIFS(Base!$E$4:$E1000,Base!$C$4:$C1000,B9,Base!$N$4:$N1000,"&lt;&gt;")/(SUMIF(Base!$C$4:$C1000,B9,Base!$AA$4:$AA1000)), 0 )</f>
        <v>277.2277228</v>
      </c>
      <c r="M9" s="206">
        <f>IF(D9&lt;&gt;0, SUMIF(Base!$C:$C, B9, Base!$E:$E)/D9, 0)
</f>
        <v>3525.454545</v>
      </c>
      <c r="N9" s="207">
        <f>SUMIF(Base!$C:$C, B9, Base!$E:$E) / SUMIF(Base!$B:$B, "NCIV", Base!$E:$E)</f>
        <v>0.06486956667</v>
      </c>
      <c r="O9" s="181"/>
      <c r="P9" s="211" t="s">
        <v>148</v>
      </c>
      <c r="Q9" s="201">
        <f>SUMPRODUCT((Base!$C:$C=P9)*(Base!$O:$O="Executando"))
</f>
        <v>6</v>
      </c>
      <c r="R9" s="201">
        <f>COUNTIF(Base!$C:$C,P9)</f>
        <v>29</v>
      </c>
      <c r="S9" s="202">
        <f>IFERROR(COUNTIFS(Base!C:C, P9, Base!O:O, "Executando", Base!AC:AC, "Sim") )
</f>
        <v>4</v>
      </c>
      <c r="T9" s="203">
        <f>SUMIFS(Base!$N:$N,Base!$C:$C,P9,Base!$N:$N,"&lt;&gt;")
-SUMIFS(Base!$K:$K,Base!$C:$C,P9,Base!$N:$N,"&lt;&gt;")
-(SUMIFS(Base!$L:$L,Base!$C:$C,P9,Base!$N:$N,"&lt;&gt;")*7)</f>
        <v>46259</v>
      </c>
      <c r="U9" s="203">
        <f>SUMIFS(Base!$F:$F,Base!$C:$C,P9,Base!$N:$N,"&lt;&gt;")*7</f>
        <v>532</v>
      </c>
      <c r="V9" s="204">
        <f t="shared" si="2"/>
        <v>86.95300752</v>
      </c>
      <c r="W9" s="204">
        <f>IFERROR((COUNTIFS(Base!$C:$C,P9,Base!$S:$S,"&gt;8") - COUNTIFS(Base!$C:$C,P9,Base!$S:$S,"&lt;7"))/COUNTIFS(Base!$C:$C,P9,Base!$S:$S,"&lt;&gt;"),"-")</f>
        <v>0.8181818182</v>
      </c>
      <c r="X9" s="204">
        <f>IFERROR(COUNTIFS(Base!C:C, P9, Base!O:O, "Concluído", Base!U:U, TRUE) / COUNTIFS(Base!C:C, P9, Base!O:O, "Concluído"), "-")</f>
        <v>0.2666666667</v>
      </c>
      <c r="Y9" s="205">
        <f>IFERROR(SUMIF(Base!$C$4:$C1000,P9,Base!$E$4:$E1000)/(SUMPRODUCT(IF(Base!$C$4:$C1000 = P9,1,0),Base!$F$4:$F1000,Base!$G$4:$G1000)), "-")
</f>
        <v>1682.085427</v>
      </c>
      <c r="Z9" s="205">
        <f>IFERROR( SUMIFS(Base!$E$4:$E1000,Base!$C$4:$C1000,P9,Base!$N$4:$N1000,"&lt;&gt;")/(SUMIF(Base!$C$4:$C1000,P9,Base!$AA$4:$AA1000)), "-" )</f>
        <v>20.42240429</v>
      </c>
      <c r="AA9" s="210">
        <f>IF(R9&lt;&gt;0, SUMIF(Base!$C:$C, P9, Base!$E:$E)/R9, "-")
</f>
        <v>11542.58621</v>
      </c>
      <c r="AB9" s="207">
        <f>SUMIF(Base!$C:$C, P9, Base!$E:$E) / SUMIF(Base!$B:$B, "NCON", Base!$E:$E)</f>
        <v>0.1659529173</v>
      </c>
      <c r="AC9" s="181"/>
      <c r="AD9" s="211" t="s">
        <v>212</v>
      </c>
      <c r="AE9" s="201">
        <f>SUMPRODUCT((Base!$C:$C=AD9)*(Base!$O:$O="Executando"))
</f>
        <v>2</v>
      </c>
      <c r="AF9" s="201">
        <f>COUNTIF(Base!$C:$C,AD9)</f>
        <v>6</v>
      </c>
      <c r="AG9" s="202">
        <f>IFERROR(COUNTIFS(Base!C:C, AD9, Base!O:O, "Executando", Base!AC:AC, "Sim") )
</f>
        <v>0</v>
      </c>
      <c r="AH9" s="203">
        <f>SUMIFS(Base!$N:$N,Base!$C:$C,AD9,Base!$N:$N,"&lt;&gt;")
-SUMIFS(Base!$K:$K,Base!$C:$C,AD9,Base!$N:$N,"&lt;&gt;")
-(SUMIFS(Base!$L:$L,Base!$C:$C,AD9,Base!$N:$N,"&lt;&gt;")*7)</f>
        <v>131</v>
      </c>
      <c r="AI9" s="203">
        <f>SUMIFS(Base!$F:$F,Base!$C:$C,AD9,Base!$N:$N,"&lt;&gt;")*7</f>
        <v>77</v>
      </c>
      <c r="AJ9" s="204">
        <f t="shared" si="3"/>
        <v>1.701298701</v>
      </c>
      <c r="AK9" s="204">
        <f>IFERROR((COUNTIFS(Base!$C:$C,AD9,Base!$S:$S,"&gt;8") - COUNTIFS(Base!$C:$C,AD9,Base!$S:$S,"&lt;7"))/COUNTIFS(Base!$C:$C,AD9,Base!$S:$S,"&lt;&gt;"),0)</f>
        <v>1</v>
      </c>
      <c r="AL9" s="204">
        <f>IFERROR(COUNTIFS(Base!C:C, AD9, Base!O:O, "Concluído", Base!U:U, TRUE) / COUNTIFS(Base!C:C, AD9, Base!O:O, "Concluído"), 0)</f>
        <v>0.5</v>
      </c>
      <c r="AM9" s="205">
        <f>IFERROR(SUMIF(Base!$C$4:$C1000,AD9,Base!$E$4:$E1000)/(SUMPRODUCT(IF(Base!$C$4:$C1000 = AD9,1,0),Base!$F$4:$F1000,Base!$G$4:$G1000)), "-")
</f>
        <v>1446.188119</v>
      </c>
      <c r="AN9" s="205">
        <f>IFERROR( SUMIFS(Base!$E$4:$E1000,Base!$C$4:$C1000,AD9,Base!$N$4:$N1000,"&lt;&gt;")/(SUMIF(Base!$C$4:$C1000,AD9,Base!$AA$4:$AA1000)), 0 )</f>
        <v>681.2977099</v>
      </c>
      <c r="AO9" s="206">
        <f>IF(AF9&lt;&gt;0, SUMIF(Base!$C:$C, AD9, Base!$E:$E)/AF9, "-")
</f>
        <v>24344.16667</v>
      </c>
      <c r="AP9" s="207">
        <f>SUMIF(Base!$C:$C, AD9, Base!$E:$E) / SUMIF(Base!$B:$B, "NDADOS", Base!$E:$E)</f>
        <v>0.09430587865</v>
      </c>
      <c r="AQ9" s="181"/>
      <c r="AR9" s="211" t="s">
        <v>37</v>
      </c>
      <c r="AS9" s="201">
        <f>SUMPRODUCT((Base!$C:$C=AR9)*(Base!$O:$O="Executando"))
</f>
        <v>9</v>
      </c>
      <c r="AT9" s="201">
        <f>COUNTIF(Base!$C:$C,AR9)</f>
        <v>20</v>
      </c>
      <c r="AU9" s="202">
        <f>IFERROR(COUNTIFS(Base!C:C, AR9, Base!O:O, "Executando", Base!AC:AC, "Sim") )
</f>
        <v>6</v>
      </c>
      <c r="AV9" s="203">
        <f>SUMIFS(Base!$N:$N,Base!$C:$C,AR9,Base!$N:$N,"&lt;&gt;")
-SUMIFS(Base!$K:$K,Base!$C:$C,AR9,Base!$N:$N,"&lt;&gt;")
-(SUMIFS(Base!$L:$L,Base!$C:$C,AR9,Base!$N:$N,"&lt;&gt;")*7)</f>
        <v>395</v>
      </c>
      <c r="AW9" s="203">
        <f>SUMIFS(Base!$F:$F,Base!$C:$C,AR9,Base!$N:$N,"&lt;&gt;")*7</f>
        <v>182</v>
      </c>
      <c r="AX9" s="204">
        <f t="shared" si="4"/>
        <v>2.17032967</v>
      </c>
      <c r="AY9" s="204">
        <f>IFERROR((COUNTIFS(Base!$C:$C,AR9,Base!$S:$S,"&gt;8") - COUNTIFS(Base!$C:$C,AR9,Base!$S:$S,"&lt;7"))/COUNTIFS(Base!$C:$C,AR9,Base!$S:$S,"&lt;&gt;"),0)</f>
        <v>0</v>
      </c>
      <c r="AZ9" s="204">
        <f>IFERROR(COUNTIFS(Base!C:C, AR9, Base!O:O, "Concluído", Base!U:U, TRUE) / COUNTIFS(Base!C:C, AR9, Base!O:O, "Concluído"), 0)</f>
        <v>0</v>
      </c>
      <c r="BA9" s="205">
        <f>IFERROR(SUMIF(Base!$C$4:$C1000,AR9,Base!$E$4:$E1000)/(SUMPRODUCT(IF(Base!$C$4:$C1000 = AR9,1,0),Base!$F$4:$F1000,Base!$G$4:$G1000)), "-")
</f>
        <v>1044.883774</v>
      </c>
      <c r="BB9" s="205">
        <f>IFERROR( SUMIFS(Base!$E$4:$E1000,Base!$C$4:$C1000,AR9,Base!$N$4:$N1000,"&lt;&gt;")/(SUMIF(Base!$C$4:$C1000,AR9,Base!$AA$4:$AA1000)), "-" )</f>
        <v>450.1265823</v>
      </c>
      <c r="BC9" s="210">
        <f>IF(AT9&lt;&gt;0, SUMIF(Base!$C:$C, AR9, Base!$E:$E)/AT9, "-")
</f>
        <v>31870</v>
      </c>
      <c r="BD9" s="212">
        <f>SUMIF(Base!$C:$C, AR9, Base!$E:$E) / SUMIF(Base!$B:$B, "NTEC", Base!$E:$E)</f>
        <v>0.2057589257</v>
      </c>
      <c r="BE9" s="204"/>
    </row>
    <row r="10">
      <c r="A10" s="181"/>
      <c r="B10" s="211" t="s">
        <v>426</v>
      </c>
      <c r="C10" s="201">
        <f>SUMPRODUCT((Base!$C:$C=B10)*(Base!$O:$O="Executando"))
</f>
        <v>0</v>
      </c>
      <c r="D10" s="201">
        <f>COUNTIF(Base!$C:$C,B10)</f>
        <v>0</v>
      </c>
      <c r="E10" s="202">
        <f>IFERROR(COUNTIFS(Base!C:C, B10, Base!O:O, "Executando", Base!AC:AC, "Sim") )
</f>
        <v>0</v>
      </c>
      <c r="F10" s="203">
        <f>SUMIFS(Base!$N:$N,Base!$C:$C,B10,Base!$N:$N,"&lt;&gt;")
-SUMIFS(Base!$K:$K,Base!$C:$C,B10,Base!$N:$N,"&lt;&gt;")
-(SUMIFS(Base!$L:$L,Base!$C:$C,B10,Base!$N:$N,"&lt;&gt;")*7)</f>
        <v>0</v>
      </c>
      <c r="G10" s="203">
        <f>SUMIFS(Base!$F:$F,Base!$C:$C,B10,Base!$N:$N,"&lt;&gt;")*7</f>
        <v>0</v>
      </c>
      <c r="H10" s="204">
        <f t="shared" si="1"/>
        <v>0</v>
      </c>
      <c r="I10" s="204">
        <f>IFERROR((COUNTIFS(Base!$C:$C,B10,Base!$S:$S,"&gt;8") - COUNTIFS(Base!$C:$C,B10,Base!$S:$S,"&lt;7"))/COUNTIFS(Base!$C:$C,B10,Base!$S:$S,"&lt;&gt;"),0)</f>
        <v>0</v>
      </c>
      <c r="J10" s="204">
        <f>IFERROR(COUNTIFS(Base!C:C, B10, Base!O:O, "Concluído", Base!U:U, TRUE) / COUNTIFS(Base!C:C, B10, Base!O:O, "Concluído"), 0)</f>
        <v>0</v>
      </c>
      <c r="K10" s="205">
        <f>IFERROR(SUMIF(Base!$C$4:$C1000,B10,Base!$E$4:$E1000)/(SUMPRODUCT(IF(Base!$C$4:$C1000 = B10,1,0),Base!$F$4:$F1000,Base!$G$4:$G1000)), 0)
</f>
        <v>0</v>
      </c>
      <c r="L10" s="205">
        <f>IFERROR( SUMIFS(Base!$E$4:$E1000,Base!$C$4:$C1000,B10,Base!$N$4:$N1000,"&lt;&gt;")/(SUMIF(Base!$C$4:$C1000,B10,Base!$AA$4:$AA1000)), 0 )</f>
        <v>0</v>
      </c>
      <c r="M10" s="206">
        <f>IF(D10&lt;&gt;0, SUMIF(Base!$C:$C, B10, Base!$E:$E)/D10, 0)
</f>
        <v>0</v>
      </c>
      <c r="N10" s="207">
        <f>SUMIF(Base!$C:$C, B10, Base!$E:$E) / SUMIF(Base!$B:$B, "NCIV", Base!$E:$E)</f>
        <v>0</v>
      </c>
      <c r="O10" s="181"/>
      <c r="P10" s="214" t="s">
        <v>145</v>
      </c>
      <c r="Q10" s="215">
        <f>SUMPRODUCT((Base!$C:$C=P10)*(Base!$O:$O="Executando"))
</f>
        <v>2</v>
      </c>
      <c r="R10" s="215">
        <f>COUNTIF(Base!$C:$C,P10)</f>
        <v>14</v>
      </c>
      <c r="S10" s="216">
        <f>IFERROR(COUNTIFS(Base!C:C, P10, Base!O:O, "Executando", Base!AC:AC, "Sim") )
</f>
        <v>2</v>
      </c>
      <c r="T10" s="217">
        <f>SUMIFS(Base!$N:$N,Base!$C:$C,P10,Base!$N:$N,"&lt;&gt;")
-SUMIFS(Base!$K:$K,Base!$C:$C,P10,Base!$N:$N,"&lt;&gt;")
-(SUMIFS(Base!$L:$L,Base!$C:$C,P10,Base!$N:$N,"&lt;&gt;")*7)</f>
        <v>754</v>
      </c>
      <c r="U10" s="217">
        <f>SUMIFS(Base!$F:$F,Base!$C:$C,P10,Base!$N:$N,"&lt;&gt;")*7</f>
        <v>595</v>
      </c>
      <c r="V10" s="218">
        <f t="shared" si="2"/>
        <v>1.267226891</v>
      </c>
      <c r="W10" s="218">
        <f>IFERROR((COUNTIFS(Base!$C:$C,P10,Base!$S:$S,"&gt;8") - COUNTIFS(Base!$C:$C,P10,Base!$S:$S,"&lt;7"))/COUNTIFS(Base!$C:$C,P10,Base!$S:$S,"&lt;&gt;"),"-")</f>
        <v>0.5</v>
      </c>
      <c r="X10" s="218">
        <f>IFERROR(COUNTIFS(Base!C:C, P10, Base!O:O, "Concluído", Base!U:U, TRUE) / COUNTIFS(Base!C:C, P10, Base!O:O, "Concluído"), "-")</f>
        <v>0.3636363636</v>
      </c>
      <c r="Y10" s="219">
        <f>IFERROR(SUMIF(Base!$C$4:$C1000,P10,Base!$E$4:$E1000)/(SUMPRODUCT(IF(Base!$C$4:$C1000 = P10,1,0),Base!$F$4:$F1000,Base!$G$4:$G1000)), "-")
</f>
        <v>1453.937008</v>
      </c>
      <c r="Z10" s="219">
        <f>IFERROR( SUMIFS(Base!$E$4:$E1000,Base!$C$4:$C1000,P10,Base!$N$4:$N1000,"&lt;&gt;")/(SUMIF(Base!$C$4:$C1000,P10,Base!$AA$4:$AA1000)), "-" )</f>
        <v>1159.084881</v>
      </c>
      <c r="AA10" s="220">
        <f>IF(R10&lt;&gt;0, SUMIF(Base!$C:$C, P10, Base!$E:$E)/R10, "-")
</f>
        <v>13189.28571</v>
      </c>
      <c r="AB10" s="221">
        <f>SUMIF(Base!$C:$C, P10, Base!$E:$E) / SUMIF(Base!$B:$B, "NCON", Base!$E:$E)</f>
        <v>0.09154467321</v>
      </c>
      <c r="AC10" s="181"/>
      <c r="AD10" s="211" t="s">
        <v>218</v>
      </c>
      <c r="AE10" s="201">
        <f>SUMPRODUCT((Base!$C:$C=AD10)*(Base!$O:$O="Executando"))
</f>
        <v>3</v>
      </c>
      <c r="AF10" s="201">
        <f>COUNTIF(Base!$C:$C,AD10)</f>
        <v>7</v>
      </c>
      <c r="AG10" s="202">
        <f>IFERROR(COUNTIFS(Base!C:C, AD10, Base!O:O, "Executando", Base!AC:AC, "Sim") )
</f>
        <v>2</v>
      </c>
      <c r="AH10" s="203">
        <f>SUMIFS(Base!$N:$N,Base!$C:$C,AD10,Base!$N:$N,"&lt;&gt;")
-SUMIFS(Base!$K:$K,Base!$C:$C,AD10,Base!$N:$N,"&lt;&gt;")
-(SUMIFS(Base!$L:$L,Base!$C:$C,AD10,Base!$N:$N,"&lt;&gt;")*7)</f>
        <v>132</v>
      </c>
      <c r="AI10" s="203">
        <f>SUMIFS(Base!$F:$F,Base!$C:$C,AD10,Base!$N:$N,"&lt;&gt;")*7</f>
        <v>133</v>
      </c>
      <c r="AJ10" s="204">
        <f t="shared" si="3"/>
        <v>0.992481203</v>
      </c>
      <c r="AK10" s="204">
        <f>IFERROR((COUNTIFS(Base!$C:$C,AD10,Base!$S:$S,"&gt;8") - COUNTIFS(Base!$C:$C,AD10,Base!$S:$S,"&lt;7"))/COUNTIFS(Base!$C:$C,AD10,Base!$S:$S,"&lt;&gt;"),0)</f>
        <v>0.5</v>
      </c>
      <c r="AL10" s="204">
        <f>IFERROR(COUNTIFS(Base!C:C, AD10, Base!O:O, "Concluído", Base!U:U, TRUE) / COUNTIFS(Base!C:C, AD10, Base!O:O, "Concluído"), 0)</f>
        <v>0.5</v>
      </c>
      <c r="AM10" s="205">
        <f>IFERROR(SUMIF(Base!$C$4:$C1000,AD10,Base!$E$4:$E1000)/(SUMPRODUCT(IF(Base!$C$4:$C1000 = AD10,1,0),Base!$F$4:$F1000,Base!$G$4:$G1000)), "-")
</f>
        <v>1422.368421</v>
      </c>
      <c r="AN10" s="205">
        <f>IFERROR( SUMIFS(Base!$E$4:$E1000,Base!$C$4:$C1000,AD10,Base!$N$4:$N1000,"&lt;&gt;")/(SUMIF(Base!$C$4:$C1000,AD10,Base!$AA$4:$AA1000)), 0 )</f>
        <v>1590.909091</v>
      </c>
      <c r="AO10" s="206">
        <f>IF(AF10&lt;&gt;0, SUMIF(Base!$C:$C, AD10, Base!$E:$E)/AF10, "-")
</f>
        <v>15442.85714</v>
      </c>
      <c r="AP10" s="207">
        <f>SUMIF(Base!$C:$C, AD10, Base!$E:$E) / SUMIF(Base!$B:$B, "NDADOS", Base!$E:$E)</f>
        <v>0.06979403335</v>
      </c>
      <c r="AQ10" s="181"/>
      <c r="AR10" s="211" t="s">
        <v>296</v>
      </c>
      <c r="AS10" s="201">
        <f>SUMPRODUCT((Base!$C:$C=AR10)*(Base!$O:$O="Executando"))
</f>
        <v>0</v>
      </c>
      <c r="AT10" s="201">
        <f>COUNTIF(Base!$C:$C,AR10)</f>
        <v>1</v>
      </c>
      <c r="AU10" s="202">
        <f>IFERROR(COUNTIFS(Base!C:C, AR10, Base!O:O, "Executando", Base!AC:AC, "Sim") )
</f>
        <v>0</v>
      </c>
      <c r="AV10" s="203">
        <f>SUMIFS(Base!$N:$N,Base!$C:$C,AR10,Base!$N:$N,"&lt;&gt;")
-SUMIFS(Base!$K:$K,Base!$C:$C,AR10,Base!$N:$N,"&lt;&gt;")
-(SUMIFS(Base!$L:$L,Base!$C:$C,AR10,Base!$N:$N,"&lt;&gt;")*7)</f>
        <v>0</v>
      </c>
      <c r="AW10" s="203">
        <f>SUMIFS(Base!$F:$F,Base!$C:$C,AR10,Base!$N:$N,"&lt;&gt;")*7</f>
        <v>0</v>
      </c>
      <c r="AX10" s="204">
        <f t="shared" si="4"/>
        <v>0</v>
      </c>
      <c r="AY10" s="204">
        <f>IFERROR((COUNTIFS(Base!$C:$C,AR10,Base!$S:$S,"&gt;8") - COUNTIFS(Base!$C:$C,AR10,Base!$S:$S,"&lt;7"))/COUNTIFS(Base!$C:$C,AR10,Base!$S:$S,"&lt;&gt;"),0)</f>
        <v>0</v>
      </c>
      <c r="AZ10" s="204">
        <f>IFERROR(COUNTIFS(Base!C:C, AR10, Base!O:O, "Concluído", Base!U:U, TRUE) / COUNTIFS(Base!C:C, AR10, Base!O:O, "Concluído"), 0)</f>
        <v>0</v>
      </c>
      <c r="BA10" s="205">
        <f>IFERROR(SUMIF(Base!$C$4:$C1000,AR10,Base!$E$4:$E1000)/(SUMPRODUCT(IF(Base!$C$4:$C1000 = AR10,1,0),Base!$F$4:$F1000,Base!$G$4:$G1000)), "-")
</f>
        <v>1100</v>
      </c>
      <c r="BB10" s="219" t="str">
        <f>IFERROR( SUMIFS(Base!$E$4:$E1000,Base!$C$4:$C1000,AR10,Base!$N$4:$N1000,"&lt;&gt;")/(SUMIF(Base!$C$4:$C1000,AR10,Base!$AA$4:$AA1000)), "-" )</f>
        <v>-</v>
      </c>
      <c r="BC10" s="220">
        <f>IF(AT10&lt;&gt;0, SUMIF(Base!$C:$C, AR10, Base!$E:$E)/AT10, "-")
</f>
        <v>19800</v>
      </c>
      <c r="BD10" s="222">
        <f>SUMIF(Base!$C:$C, AR10, Base!$E:$E) / SUMIF(Base!$B:$B, "NTEC", Base!$E:$E)</f>
        <v>0.006391632772</v>
      </c>
      <c r="BE10" s="204"/>
    </row>
    <row r="11">
      <c r="A11" s="181"/>
      <c r="B11" s="211" t="s">
        <v>45</v>
      </c>
      <c r="C11" s="201">
        <f>SUMPRODUCT((Base!$C:$C=B11)*(Base!$O:$O="Executando"))
</f>
        <v>4</v>
      </c>
      <c r="D11" s="201">
        <f>COUNTIF(Base!$C:$C,B11)</f>
        <v>21</v>
      </c>
      <c r="E11" s="202">
        <f>IFERROR(COUNTIFS(Base!C:C, B11, Base!O:O, "Executando", Base!AC:AC, "Sim") )
</f>
        <v>2</v>
      </c>
      <c r="F11" s="203">
        <f>SUMIFS(Base!$N:$N,Base!$C:$C,B11,Base!$N:$N,"&lt;&gt;")
-SUMIFS(Base!$K:$K,Base!$C:$C,B11,Base!$N:$N,"&lt;&gt;")
-(SUMIFS(Base!$L:$L,Base!$C:$C,B11,Base!$N:$N,"&lt;&gt;")*7)</f>
        <v>490</v>
      </c>
      <c r="G11" s="203">
        <f>SUMIFS(Base!$F:$F,Base!$C:$C,B11,Base!$N:$N,"&lt;&gt;")*7</f>
        <v>308</v>
      </c>
      <c r="H11" s="204">
        <f t="shared" si="1"/>
        <v>1.590909091</v>
      </c>
      <c r="I11" s="204">
        <f>IFERROR((COUNTIFS(Base!$C:$C,B11,Base!$S:$S,"&gt;8") - COUNTIFS(Base!$C:$C,B11,Base!$S:$S,"&lt;7"))/COUNTIFS(Base!$C:$C,B11,Base!$S:$S,"&lt;&gt;"),0)</f>
        <v>0.75</v>
      </c>
      <c r="J11" s="204">
        <f>IFERROR(COUNTIFS(Base!C:C, B11, Base!O:O, "Concluído", Base!U:U, TRUE) / COUNTIFS(Base!C:C, B11, Base!O:O, "Concluído"), 0)</f>
        <v>0.2</v>
      </c>
      <c r="K11" s="205">
        <f>IFERROR(SUMIF(Base!$C$4:$C1000,B11,Base!$E$4:$E1000)/(SUMPRODUCT(IF(Base!$C$4:$C1000 = B11,1,0),Base!$F$4:$F1000,Base!$G$4:$G1000)), 0)
</f>
        <v>611.3649852</v>
      </c>
      <c r="L11" s="205">
        <f>IFERROR( SUMIFS(Base!$E$4:$E1000,Base!$C$4:$C1000,B11,Base!$N$4:$N1000,"&lt;&gt;")/(SUMIF(Base!$C$4:$C1000,B11,Base!$AA$4:$AA1000)), 0 )</f>
        <v>218.9784595</v>
      </c>
      <c r="M11" s="206">
        <f>IF(D11&lt;&gt;0, SUMIF(Base!$C:$C, B11, Base!$E:$E)/D11, 0)
</f>
        <v>20675.47619</v>
      </c>
      <c r="N11" s="207">
        <f>SUMIF(Base!$C:$C, B11, Base!$E:$E) / SUMIF(Base!$B:$B, "NCIV", Base!$E:$E)</f>
        <v>0.7262865602</v>
      </c>
      <c r="O11" s="176"/>
      <c r="P11" s="223"/>
      <c r="Q11" s="201"/>
      <c r="R11" s="201"/>
      <c r="S11" s="204"/>
      <c r="T11" s="203"/>
      <c r="U11" s="203"/>
      <c r="V11" s="203"/>
      <c r="W11" s="203"/>
      <c r="X11" s="203"/>
      <c r="Y11" s="203"/>
      <c r="Z11" s="203"/>
      <c r="AA11" s="204"/>
      <c r="AB11" s="204"/>
      <c r="AC11" s="181"/>
      <c r="AD11" s="211" t="s">
        <v>249</v>
      </c>
      <c r="AE11" s="201">
        <f>SUMPRODUCT((Base!$C:$C=AD11)*(Base!$O:$O="Executando"))
</f>
        <v>2</v>
      </c>
      <c r="AF11" s="201">
        <f>COUNTIF(Base!$C:$C,AD11)</f>
        <v>7</v>
      </c>
      <c r="AG11" s="202">
        <f>IFERROR(COUNTIFS(Base!C:C, AD11, Base!O:O, "Executando", Base!AC:AC, "Sim") )
</f>
        <v>1</v>
      </c>
      <c r="AH11" s="203">
        <f>SUMIFS(Base!$N:$N,Base!$C:$C,AD11,Base!$N:$N,"&lt;&gt;")
-SUMIFS(Base!$K:$K,Base!$C:$C,AD11,Base!$N:$N,"&lt;&gt;")
-(SUMIFS(Base!$L:$L,Base!$C:$C,AD11,Base!$N:$N,"&lt;&gt;")*7)</f>
        <v>224</v>
      </c>
      <c r="AI11" s="203">
        <f>SUMIFS(Base!$F:$F,Base!$C:$C,AD11,Base!$N:$N,"&lt;&gt;")*7</f>
        <v>182</v>
      </c>
      <c r="AJ11" s="204">
        <f t="shared" si="3"/>
        <v>1.230769231</v>
      </c>
      <c r="AK11" s="204">
        <f>IFERROR((COUNTIFS(Base!$C:$C,AD11,Base!$S:$S,"&gt;8") - COUNTIFS(Base!$C:$C,AD11,Base!$S:$S,"&lt;7"))/COUNTIFS(Base!$C:$C,AD11,Base!$S:$S,"&lt;&gt;"),0)</f>
        <v>0.5</v>
      </c>
      <c r="AL11" s="204">
        <f>IFERROR(COUNTIFS(Base!C:C, AD11, Base!O:O, "Concluído", Base!U:U, TRUE) / COUNTIFS(Base!C:C, AD11, Base!O:O, "Concluído"), 0)</f>
        <v>0</v>
      </c>
      <c r="AM11" s="205">
        <f>IFERROR(SUMIF(Base!$C$4:$C1000,AD11,Base!$E$4:$E1000)/(SUMPRODUCT(IF(Base!$C$4:$C1000 = AD11,1,0),Base!$F$4:$F1000,Base!$G$4:$G1000)), "-")
</f>
        <v>1474.753571</v>
      </c>
      <c r="AN11" s="205">
        <f>IFERROR( SUMIFS(Base!$E$4:$E1000,Base!$C$4:$C1000,AD11,Base!$N$4:$N1000,"&lt;&gt;")/(SUMIF(Base!$C$4:$C1000,AD11,Base!$AA$4:$AA1000)), 0 )</f>
        <v>1919.329889</v>
      </c>
      <c r="AO11" s="206">
        <f>IF(AF11&lt;&gt;0, SUMIF(Base!$C:$C, AD11, Base!$E:$E)/AF11, "-")
</f>
        <v>29495.07143</v>
      </c>
      <c r="AP11" s="207">
        <f>SUMIF(Base!$C:$C, AD11, Base!$E:$E) / SUMIF(Base!$B:$B, "NDADOS", Base!$E:$E)</f>
        <v>0.1333030527</v>
      </c>
      <c r="AQ11" s="176"/>
      <c r="AR11" s="224"/>
      <c r="AS11" s="225"/>
      <c r="AT11" s="225"/>
      <c r="AU11" s="209"/>
      <c r="AV11" s="226"/>
      <c r="AW11" s="226"/>
      <c r="AX11" s="226"/>
      <c r="AY11" s="226"/>
      <c r="AZ11" s="226"/>
      <c r="BA11" s="226"/>
      <c r="BB11" s="203"/>
      <c r="BC11" s="204"/>
      <c r="BD11" s="204"/>
      <c r="BE11" s="204"/>
    </row>
    <row r="12">
      <c r="A12" s="181"/>
      <c r="B12" s="211" t="s">
        <v>427</v>
      </c>
      <c r="C12" s="201">
        <f>SUMPRODUCT((Base!$C:$C=B12)*(Base!$O:$O="Executando"))
</f>
        <v>0</v>
      </c>
      <c r="D12" s="201">
        <f>COUNTIF(Base!$C:$C,B12)</f>
        <v>0</v>
      </c>
      <c r="E12" s="202">
        <f>IFERROR(COUNTIFS(Base!C:C, B12, Base!O:O, "Executando", Base!AC:AC, "Sim") )
</f>
        <v>0</v>
      </c>
      <c r="F12" s="203">
        <f>SUMIFS(Base!$N:$N,Base!$C:$C,B12,Base!$N:$N,"&lt;&gt;")
-SUMIFS(Base!$K:$K,Base!$C:$C,B12,Base!$N:$N,"&lt;&gt;")
-(SUMIFS(Base!$L:$L,Base!$C:$C,B12,Base!$N:$N,"&lt;&gt;")*7)</f>
        <v>0</v>
      </c>
      <c r="G12" s="203">
        <f>SUMIFS(Base!$F:$F,Base!$C:$C,B12,Base!$N:$N,"&lt;&gt;")*7</f>
        <v>0</v>
      </c>
      <c r="H12" s="204">
        <f t="shared" si="1"/>
        <v>0</v>
      </c>
      <c r="I12" s="204">
        <f>IFERROR((COUNTIFS(Base!$C:$C,B12,Base!$S:$S,"&gt;8") - COUNTIFS(Base!$C:$C,B12,Base!$S:$S,"&lt;7"))/COUNTIFS(Base!$C:$C,B12,Base!$S:$S,"&lt;&gt;"),0)</f>
        <v>0</v>
      </c>
      <c r="J12" s="204">
        <f>IFERROR(COUNTIFS(Base!C:C, B12, Base!O:O, "Concluído", Base!U:U, TRUE) / COUNTIFS(Base!C:C, B12, Base!O:O, "Concluído"), 0)</f>
        <v>0</v>
      </c>
      <c r="K12" s="205">
        <f>IFERROR(SUMIF(Base!$C$4:$C1000,B12,Base!$E$4:$E1000)/(SUMPRODUCT(IF(Base!$C$4:$C1000 = B12,1,0),Base!$F$4:$F1000,Base!$G$4:$G1000)), 0)
</f>
        <v>0</v>
      </c>
      <c r="L12" s="205">
        <f>IFERROR( SUMIFS(Base!$E$4:$E1000,Base!$C$4:$C1000,B12,Base!$N$4:$N1000,"&lt;&gt;")/(SUMIF(Base!$C$4:$C1000,B12,Base!$AA$4:$AA1000)), 0 )</f>
        <v>0</v>
      </c>
      <c r="M12" s="206">
        <f>IF(D12&lt;&gt;0, SUMIF(Base!$C:$C, B12, Base!$E:$E)/D12, 0)
</f>
        <v>0</v>
      </c>
      <c r="N12" s="207">
        <f>SUMIF(Base!$C:$C, B12, Base!$E:$E) / SUMIF(Base!$B:$B, "NCIV", Base!$E:$E)</f>
        <v>0</v>
      </c>
      <c r="O12" s="176"/>
      <c r="P12" s="227"/>
      <c r="Q12" s="201"/>
      <c r="R12" s="201"/>
      <c r="S12" s="204"/>
      <c r="T12" s="203"/>
      <c r="U12" s="203"/>
      <c r="V12" s="203"/>
      <c r="W12" s="203"/>
      <c r="X12" s="203"/>
      <c r="Y12" s="203"/>
      <c r="Z12" s="203"/>
      <c r="AA12" s="204"/>
      <c r="AB12" s="204"/>
      <c r="AC12" s="181"/>
      <c r="AD12" s="211" t="s">
        <v>221</v>
      </c>
      <c r="AE12" s="201">
        <f>SUMPRODUCT((Base!$C:$C=AD12)*(Base!$O:$O="Executando"))
</f>
        <v>2</v>
      </c>
      <c r="AF12" s="201">
        <f>COUNTIF(Base!$C:$C,AD12)</f>
        <v>6</v>
      </c>
      <c r="AG12" s="202">
        <f>IFERROR(COUNTIFS(Base!C:C, AD12, Base!O:O, "Executando", Base!AC:AC, "Sim") )
</f>
        <v>1</v>
      </c>
      <c r="AH12" s="203">
        <f>SUMIFS(Base!$N:$N,Base!$C:$C,AD12,Base!$N:$N,"&lt;&gt;")
-SUMIFS(Base!$K:$K,Base!$C:$C,AD12,Base!$N:$N,"&lt;&gt;")
-(SUMIFS(Base!$L:$L,Base!$C:$C,AD12,Base!$N:$N,"&lt;&gt;")*7)</f>
        <v>206</v>
      </c>
      <c r="AI12" s="203">
        <f>SUMIFS(Base!$F:$F,Base!$C:$C,AD12,Base!$N:$N,"&lt;&gt;")*7</f>
        <v>112</v>
      </c>
      <c r="AJ12" s="204">
        <f t="shared" si="3"/>
        <v>1.839285714</v>
      </c>
      <c r="AK12" s="204">
        <f>IFERROR((COUNTIFS(Base!$C:$C,AD12,Base!$S:$S,"&gt;8") - COUNTIFS(Base!$C:$C,AD12,Base!$S:$S,"&lt;7"))/COUNTIFS(Base!$C:$C,AD12,Base!$S:$S,"&lt;&gt;"),0)</f>
        <v>0</v>
      </c>
      <c r="AL12" s="204">
        <f>IFERROR(COUNTIFS(Base!C:C, AD12, Base!O:O, "Concluído", Base!U:U, TRUE) / COUNTIFS(Base!C:C, AD12, Base!O:O, "Concluído"), 0)</f>
        <v>0</v>
      </c>
      <c r="AM12" s="205">
        <f>IFERROR(SUMIF(Base!$C$4:$C1000,AD12,Base!$E$4:$E1000)/(SUMPRODUCT(IF(Base!$C$4:$C1000 = AD12,1,0),Base!$F$4:$F1000,Base!$G$4:$G1000)), "-")
</f>
        <v>1627.55102</v>
      </c>
      <c r="AN12" s="205">
        <f>IFERROR( SUMIFS(Base!$E$4:$E1000,Base!$C$4:$C1000,AD12,Base!$N$4:$N1000,"&lt;&gt;")/(SUMIF(Base!$C$4:$C1000,AD12,Base!$AA$4:$AA1000)), 0 )</f>
        <v>815.5339806</v>
      </c>
      <c r="AO12" s="206">
        <f>IF(AF12&lt;&gt;0, SUMIF(Base!$C:$C, AD12, Base!$E:$E)/AF12, "-")
</f>
        <v>26583.33333</v>
      </c>
      <c r="AP12" s="207">
        <f>SUMIF(Base!$C:$C, AD12, Base!$E:$E) / SUMIF(Base!$B:$B, "NDADOS", Base!$E:$E)</f>
        <v>0.1029800955</v>
      </c>
      <c r="AQ12" s="176"/>
      <c r="AR12" s="228"/>
      <c r="AS12" s="201"/>
      <c r="AT12" s="201"/>
      <c r="AU12" s="204"/>
      <c r="AV12" s="203"/>
      <c r="AW12" s="203"/>
      <c r="AX12" s="203"/>
      <c r="AY12" s="203"/>
      <c r="AZ12" s="203"/>
      <c r="BA12" s="203"/>
      <c r="BB12" s="203"/>
      <c r="BC12" s="204"/>
      <c r="BD12" s="204"/>
      <c r="BE12" s="204"/>
    </row>
    <row r="13">
      <c r="A13" s="181"/>
      <c r="B13" s="200" t="s">
        <v>97</v>
      </c>
      <c r="C13" s="201">
        <f>SUMPRODUCT((Base!$C:$C=B13)*(Base!$O:$O="Executando"))
</f>
        <v>0</v>
      </c>
      <c r="D13" s="201">
        <f>COUNTIF(Base!$C:$C,B13)</f>
        <v>1</v>
      </c>
      <c r="E13" s="202">
        <f>IFERROR(COUNTIFS(Base!C:C, B13, Base!O:O, "Executando", Base!AC:AC, "Sim") )
</f>
        <v>0</v>
      </c>
      <c r="F13" s="203">
        <f>SUMIFS(Base!$N:$N,Base!$C:$C,B13,Base!$N:$N,"&lt;&gt;")
-SUMIFS(Base!$K:$K,Base!$C:$C,B13,Base!$N:$N,"&lt;&gt;")
-(SUMIFS(Base!$L:$L,Base!$C:$C,B13,Base!$N:$N,"&lt;&gt;")*7)</f>
        <v>49</v>
      </c>
      <c r="G13" s="203">
        <f>SUMIFS(Base!$F:$F,Base!$C:$C,B13,Base!$N:$N,"&lt;&gt;")*7</f>
        <v>42</v>
      </c>
      <c r="H13" s="204">
        <f t="shared" si="1"/>
        <v>1.166666667</v>
      </c>
      <c r="I13" s="204">
        <f>IFERROR((COUNTIFS(Base!$C:$C,B13,Base!$S:$S,"&gt;8") - COUNTIFS(Base!$C:$C,B13,Base!$S:$S,"&lt;7"))/COUNTIFS(Base!$C:$C,B13,Base!$S:$S,"&lt;&gt;"),0)</f>
        <v>0</v>
      </c>
      <c r="J13" s="204">
        <f>IFERROR(COUNTIFS(Base!C:C, B13, Base!O:O, "Concluído", Base!U:U, TRUE) / COUNTIFS(Base!C:C, B13, Base!O:O, "Concluído"), 0)</f>
        <v>0</v>
      </c>
      <c r="K13" s="205">
        <f>IFERROR(SUMIF(Base!$C$4:$C1000,B13,Base!$E$4:$E1000)/(SUMPRODUCT(IF(Base!$C$4:$C1000 = B13,1,0),Base!$F$4:$F1000,Base!$G$4:$G1000)), 0)
</f>
        <v>833.3333333</v>
      </c>
      <c r="L13" s="205">
        <f>IFERROR( SUMIFS(Base!$E$4:$E1000,Base!$C$4:$C1000,B13,Base!$N$4:$N1000,"&lt;&gt;")/(SUMIF(Base!$C$4:$C1000,B13,Base!$AA$4:$AA1000)), 0 )</f>
        <v>714.2857143</v>
      </c>
      <c r="M13" s="206">
        <f>IF(D13&lt;&gt;0, SUMIF(Base!$C:$C, B13, Base!$E:$E)/D13, 0)
</f>
        <v>5000</v>
      </c>
      <c r="N13" s="207">
        <f>SUMIF(Base!$C:$C, B13, Base!$E:$E) / SUMIF(Base!$B:$B, "NCIV", Base!$E:$E)</f>
        <v>0.008363791474</v>
      </c>
      <c r="O13" s="176"/>
      <c r="P13" s="229"/>
      <c r="Q13" s="201"/>
      <c r="R13" s="201"/>
      <c r="S13" s="204"/>
      <c r="T13" s="203"/>
      <c r="U13" s="203"/>
      <c r="V13" s="203"/>
      <c r="W13" s="203"/>
      <c r="X13" s="203"/>
      <c r="Y13" s="203"/>
      <c r="Z13" s="203"/>
      <c r="AA13" s="204"/>
      <c r="AB13" s="204"/>
      <c r="AC13" s="181"/>
      <c r="AD13" s="211" t="s">
        <v>208</v>
      </c>
      <c r="AE13" s="201">
        <f>SUMPRODUCT((Base!$C:$C=AD13)*(Base!$O:$O="Executando"))
</f>
        <v>4</v>
      </c>
      <c r="AF13" s="201">
        <f>COUNTIF(Base!$C:$C,AD13)</f>
        <v>9</v>
      </c>
      <c r="AG13" s="202">
        <f>IFERROR(COUNTIFS(Base!C:C, AD13, Base!O:O, "Executando", Base!AC:AC, "Sim") )
</f>
        <v>1</v>
      </c>
      <c r="AH13" s="203">
        <f>SUMIFS(Base!$N:$N,Base!$C:$C,AD13,Base!$N:$N,"&lt;&gt;")
-SUMIFS(Base!$K:$K,Base!$C:$C,AD13,Base!$N:$N,"&lt;&gt;")
-(SUMIFS(Base!$L:$L,Base!$C:$C,AD13,Base!$N:$N,"&lt;&gt;")*7)</f>
        <v>328</v>
      </c>
      <c r="AI13" s="203">
        <f>SUMIFS(Base!$F:$F,Base!$C:$C,AD13,Base!$N:$N,"&lt;&gt;")*7</f>
        <v>168</v>
      </c>
      <c r="AJ13" s="204">
        <f t="shared" si="3"/>
        <v>1.952380952</v>
      </c>
      <c r="AK13" s="204">
        <f>IFERROR((COUNTIFS(Base!$C:$C,AD13,Base!$S:$S,"&gt;8") - COUNTIFS(Base!$C:$C,AD13,Base!$S:$S,"&lt;7"))/COUNTIFS(Base!$C:$C,AD13,Base!$S:$S,"&lt;&gt;"),0)</f>
        <v>0.5</v>
      </c>
      <c r="AL13" s="204">
        <f>IFERROR(COUNTIFS(Base!C:C, AD13, Base!O:O, "Concluído", Base!U:U, TRUE) / COUNTIFS(Base!C:C, AD13, Base!O:O, "Concluído"), 0)</f>
        <v>0</v>
      </c>
      <c r="AM13" s="205">
        <f>IFERROR(SUMIF(Base!$C$4:$C1000,AD13,Base!$E$4:$E1000)/(SUMPRODUCT(IF(Base!$C$4:$C1000 = AD13,1,0),Base!$F$4:$F1000,Base!$G$4:$G1000)), "-")
</f>
        <v>1714.880952</v>
      </c>
      <c r="AN13" s="205">
        <f>IFERROR( SUMIFS(Base!$E$4:$E1000,Base!$C$4:$C1000,AD13,Base!$N$4:$N1000,"&lt;&gt;")/(SUMIF(Base!$C$4:$C1000,AD13,Base!$AA$4:$AA1000)), 0 )</f>
        <v>832.3170732</v>
      </c>
      <c r="AO13" s="206">
        <f>IF(AF13&lt;&gt;0, SUMIF(Base!$C:$C, AD13, Base!$E:$E)/AF13, "-")
</f>
        <v>32011.11111</v>
      </c>
      <c r="AP13" s="207">
        <f>SUMIF(Base!$C:$C, AD13, Base!$E:$E) / SUMIF(Base!$B:$B, "NDADOS", Base!$E:$E)</f>
        <v>0.1860098151</v>
      </c>
      <c r="AQ13" s="176"/>
      <c r="AR13" s="230"/>
      <c r="AS13" s="201"/>
      <c r="AT13" s="201"/>
      <c r="AU13" s="204"/>
      <c r="AV13" s="203"/>
      <c r="AW13" s="203"/>
      <c r="AX13" s="203"/>
      <c r="AY13" s="203"/>
      <c r="AZ13" s="203"/>
      <c r="BA13" s="203"/>
      <c r="BB13" s="203"/>
      <c r="BC13" s="204"/>
      <c r="BD13" s="204"/>
      <c r="BE13" s="204"/>
    </row>
    <row r="14">
      <c r="A14" s="181"/>
      <c r="B14" s="231" t="s">
        <v>68</v>
      </c>
      <c r="C14" s="201">
        <f>SUMPRODUCT((Base!$C:$C=B14)*(Base!$O:$O="Executando"))
</f>
        <v>2</v>
      </c>
      <c r="D14" s="201">
        <f>COUNTIF(Base!$C:$C,B14)</f>
        <v>6</v>
      </c>
      <c r="E14" s="202">
        <f>IFERROR(COUNTIFS(Base!C:C, B14, Base!O:O, "Executando", Base!AC:AC, "Sim") )
</f>
        <v>0</v>
      </c>
      <c r="F14" s="203">
        <f>SUMIFS(Base!$N:$N,Base!$C:$C,B14,Base!$N:$N,"&lt;&gt;")
-SUMIFS(Base!$K:$K,Base!$C:$C,B14,Base!$N:$N,"&lt;&gt;")
-(SUMIFS(Base!$L:$L,Base!$C:$C,B14,Base!$N:$N,"&lt;&gt;")*7)</f>
        <v>80</v>
      </c>
      <c r="G14" s="203">
        <f>SUMIFS(Base!$F:$F,Base!$C:$C,B14,Base!$N:$N,"&lt;&gt;")*7</f>
        <v>70</v>
      </c>
      <c r="H14" s="204">
        <f t="shared" si="1"/>
        <v>1.142857143</v>
      </c>
      <c r="I14" s="204">
        <f>IFERROR((COUNTIFS(Base!$C:$C,B14,Base!$S:$S,"&gt;8") - COUNTIFS(Base!$C:$C,B14,Base!$S:$S,"&lt;7"))/COUNTIFS(Base!$C:$C,B14,Base!$S:$S,"&lt;&gt;"),0)</f>
        <v>0.5</v>
      </c>
      <c r="J14" s="204">
        <f>IFERROR(COUNTIFS(Base!C:C, B14, Base!O:O, "Concluído", Base!U:U, TRUE) / COUNTIFS(Base!C:C, B14, Base!O:O, "Concluído"), 0)</f>
        <v>0.5</v>
      </c>
      <c r="K14" s="205">
        <f>IFERROR(SUMIF(Base!$C$4:$C1000,B14,Base!$E$4:$E1000)/(SUMPRODUCT(IF(Base!$C$4:$C1000 = B14,1,0),Base!$F$4:$F1000,Base!$G$4:$G1000)), 0)
</f>
        <v>864.6296296</v>
      </c>
      <c r="L14" s="205">
        <f>IFERROR( SUMIFS(Base!$E$4:$E1000,Base!$C$4:$C1000,B14,Base!$N$4:$N1000,"&lt;&gt;")/(SUMIF(Base!$C$4:$C1000,B14,Base!$AA$4:$AA1000)), 0 )</f>
        <v>1026.097561</v>
      </c>
      <c r="M14" s="206">
        <f>IF(D14&lt;&gt;0, SUMIF(Base!$C:$C, B14, Base!$E:$E)/D14, 0)
</f>
        <v>7781.666667</v>
      </c>
      <c r="N14" s="207">
        <f>SUMIF(Base!$C:$C, B14, Base!$E:$E) / SUMIF(Base!$B:$B, "NCIV", Base!$E:$E)</f>
        <v>0.07810108478</v>
      </c>
      <c r="O14" s="176"/>
      <c r="P14" s="229"/>
      <c r="Q14" s="201"/>
      <c r="R14" s="201"/>
      <c r="S14" s="204"/>
      <c r="T14" s="203"/>
      <c r="U14" s="203"/>
      <c r="V14" s="203"/>
      <c r="W14" s="203"/>
      <c r="X14" s="203"/>
      <c r="Y14" s="203"/>
      <c r="Z14" s="203"/>
      <c r="AA14" s="204"/>
      <c r="AB14" s="204"/>
      <c r="AC14" s="181"/>
      <c r="AD14" s="211" t="s">
        <v>188</v>
      </c>
      <c r="AE14" s="201">
        <f>SUMPRODUCT((Base!$C:$C=AD14)*(Base!$O:$O="Executando"))
</f>
        <v>11</v>
      </c>
      <c r="AF14" s="201">
        <f>COUNTIF(Base!$C:$C,AD14)</f>
        <v>32</v>
      </c>
      <c r="AG14" s="202">
        <f>IFERROR(COUNTIFS(Base!C:C, AD14, Base!O:O, "Executando", Base!AC:AC, "Sim") )
</f>
        <v>3</v>
      </c>
      <c r="AH14" s="203">
        <f>SUMIFS(Base!$N:$N,Base!$C:$C,AD14,Base!$N:$N,"&lt;&gt;")
-SUMIFS(Base!$K:$K,Base!$C:$C,AD14,Base!$N:$N,"&lt;&gt;")
-(SUMIFS(Base!$L:$L,Base!$C:$C,AD14,Base!$N:$N,"&lt;&gt;")*7)</f>
        <v>819.9</v>
      </c>
      <c r="AI14" s="203">
        <f>SUMIFS(Base!$F:$F,Base!$C:$C,AD14,Base!$N:$N,"&lt;&gt;")*7</f>
        <v>504</v>
      </c>
      <c r="AJ14" s="204">
        <f t="shared" si="3"/>
        <v>1.626785714</v>
      </c>
      <c r="AK14" s="204">
        <f>IFERROR((COUNTIFS(Base!$C:$C,AD14,Base!$S:$S,"&gt;8") - COUNTIFS(Base!$C:$C,AD14,Base!$S:$S,"&lt;7"))/COUNTIFS(Base!$C:$C,AD14,Base!$S:$S,"&lt;&gt;"),0)</f>
        <v>0.9</v>
      </c>
      <c r="AL14" s="204">
        <f>IFERROR(COUNTIFS(Base!C:C, AD14, Base!O:O, "Concluído", Base!U:U, TRUE) / COUNTIFS(Base!C:C, AD14, Base!O:O, "Concluído"), 0)</f>
        <v>0.3333333333</v>
      </c>
      <c r="AM14" s="205">
        <f>IFERROR(SUMIF(Base!$C$4:$C1000,AD14,Base!$E$4:$E1000)/(SUMPRODUCT(IF(Base!$C$4:$C1000 = AD14,1,0),Base!$F$4:$F1000,Base!$G$4:$G1000)), "-")
</f>
        <v>1504.394813</v>
      </c>
      <c r="AN14" s="219">
        <f>IFERROR( SUMIFS(Base!$E$4:$E1000,Base!$C$4:$C1000,AD14,Base!$N$4:$N1000,"&lt;&gt;")/(SUMIF(Base!$C$4:$C1000,AD14,Base!$AA$4:$AA1000)), 0 )</f>
        <v>844.5675428</v>
      </c>
      <c r="AO14" s="232">
        <f>IF(AF14&lt;&gt;0, SUMIF(Base!$C:$C, AD14, Base!$E:$E)/AF14, "-")
</f>
        <v>16313.28125</v>
      </c>
      <c r="AP14" s="221">
        <f>SUMIF(Base!$C:$C, AD14, Base!$E:$E) / SUMIF(Base!$B:$B, "NDADOS", Base!$E:$E)</f>
        <v>0.3370419081</v>
      </c>
      <c r="AQ14" s="176"/>
      <c r="AR14" s="233"/>
      <c r="AS14" s="201"/>
      <c r="AT14" s="201"/>
      <c r="AU14" s="204"/>
      <c r="AV14" s="203"/>
      <c r="AW14" s="203"/>
      <c r="AX14" s="203"/>
      <c r="AY14" s="203"/>
      <c r="AZ14" s="203"/>
      <c r="BA14" s="203"/>
      <c r="BB14" s="203"/>
      <c r="BC14" s="204"/>
      <c r="BD14" s="204"/>
      <c r="BE14" s="204"/>
    </row>
    <row r="15">
      <c r="A15" s="181"/>
      <c r="B15" s="211" t="s">
        <v>428</v>
      </c>
      <c r="C15" s="201">
        <f>SUMPRODUCT((Base!$C:$C=B15)*(Base!$O:$O="Executando"))
</f>
        <v>0</v>
      </c>
      <c r="D15" s="201">
        <f>COUNTIF(Base!$C:$C,B15)</f>
        <v>0</v>
      </c>
      <c r="E15" s="202">
        <f>IFERROR(COUNTIFS(Base!C:C, B15, Base!O:O, "Executando", Base!AC:AC, "Sim") )
</f>
        <v>0</v>
      </c>
      <c r="F15" s="203">
        <f>SUMIFS(Base!$N:$N,Base!$C:$C,B15,Base!$N:$N,"&lt;&gt;")
-SUMIFS(Base!$K:$K,Base!$C:$C,B15,Base!$N:$N,"&lt;&gt;")
-(SUMIFS(Base!$L:$L,Base!$C:$C,B15,Base!$N:$N,"&lt;&gt;")*7)</f>
        <v>0</v>
      </c>
      <c r="G15" s="203">
        <f>SUMIFS(Base!$F:$F,Base!$C:$C,B15,Base!$N:$N,"&lt;&gt;")*7</f>
        <v>0</v>
      </c>
      <c r="H15" s="204">
        <f t="shared" si="1"/>
        <v>0</v>
      </c>
      <c r="I15" s="204">
        <f>IFERROR((COUNTIFS(Base!$C:$C,B15,Base!$S:$S,"&gt;8") - COUNTIFS(Base!$C:$C,B15,Base!$S:$S,"&lt;7"))/COUNTIFS(Base!$C:$C,B15,Base!$S:$S,"&lt;&gt;"),0)</f>
        <v>0</v>
      </c>
      <c r="J15" s="204">
        <f>IFERROR(COUNTIFS(Base!C:C, B15, Base!O:O, "Concluído", Base!U:U, TRUE) / COUNTIFS(Base!C:C, B15, Base!O:O, "Concluído"), 0)</f>
        <v>0</v>
      </c>
      <c r="K15" s="205">
        <f>IFERROR(SUMIF(Base!$C$4:$C1000,B15,Base!$E$4:$E1000)/(SUMPRODUCT(IF(Base!$C$4:$C1000 = B15,1,0),Base!$F$4:$F1000,Base!$G$4:$G1000)), 0)
</f>
        <v>0</v>
      </c>
      <c r="L15" s="205">
        <f>IFERROR( SUMIFS(Base!$E$4:$E1000,Base!$C$4:$C1000,B15,Base!$N$4:$N1000,"&lt;&gt;")/(SUMIF(Base!$C$4:$C1000,B15,Base!$AA$4:$AA1000)), 0 )</f>
        <v>0</v>
      </c>
      <c r="M15" s="206">
        <f>IF(D15&lt;&gt;0, SUMIF(Base!$C:$C, B15, Base!$E:$E)/D15, 0)
</f>
        <v>0</v>
      </c>
      <c r="N15" s="207">
        <f>SUMIF(Base!$C:$C, B15, Base!$E:$E) / SUMIF(Base!$B:$B, "NCIV", Base!$E:$E)</f>
        <v>0</v>
      </c>
      <c r="O15" s="176"/>
      <c r="P15" s="223"/>
      <c r="Q15" s="201"/>
      <c r="R15" s="201"/>
      <c r="S15" s="234" t="s">
        <v>429</v>
      </c>
      <c r="T15" s="203"/>
      <c r="U15" s="203"/>
      <c r="V15" s="203"/>
      <c r="W15" s="203"/>
      <c r="X15" s="203"/>
      <c r="Y15" s="203"/>
      <c r="Z15" s="203"/>
      <c r="AA15" s="204"/>
      <c r="AB15" s="204"/>
      <c r="AC15" s="176"/>
      <c r="AD15" s="224"/>
      <c r="AE15" s="225"/>
      <c r="AF15" s="225"/>
      <c r="AG15" s="209"/>
      <c r="AH15" s="226"/>
      <c r="AI15" s="226"/>
      <c r="AJ15" s="226"/>
      <c r="AK15" s="226"/>
      <c r="AL15" s="226"/>
      <c r="AM15" s="226"/>
      <c r="AN15" s="203"/>
      <c r="AO15" s="204"/>
      <c r="AP15" s="204"/>
      <c r="AQ15" s="176"/>
      <c r="AR15" s="228"/>
      <c r="AS15" s="201"/>
      <c r="AT15" s="201"/>
      <c r="AU15" s="204"/>
      <c r="AV15" s="203"/>
      <c r="AW15" s="203"/>
      <c r="AX15" s="203"/>
      <c r="AY15" s="203"/>
      <c r="AZ15" s="203"/>
      <c r="BA15" s="203"/>
      <c r="BB15" s="203"/>
      <c r="BC15" s="204"/>
      <c r="BD15" s="204"/>
      <c r="BE15" s="204"/>
    </row>
    <row r="16">
      <c r="A16" s="181"/>
      <c r="B16" s="211" t="s">
        <v>430</v>
      </c>
      <c r="C16" s="201">
        <f>SUMPRODUCT((Base!$C:$C=B16)*(Base!$O:$O="Executando"))
</f>
        <v>0</v>
      </c>
      <c r="D16" s="201">
        <f>COUNTIF(Base!$C:$C,B16)</f>
        <v>0</v>
      </c>
      <c r="E16" s="202">
        <f>IFERROR(COUNTIFS(Base!C:C, B16, Base!O:O, "Executando", Base!AC:AC, "Sim") )
</f>
        <v>0</v>
      </c>
      <c r="F16" s="203">
        <f>SUMIFS(Base!$N:$N,Base!$C:$C,B16,Base!$N:$N,"&lt;&gt;")
-SUMIFS(Base!$K:$K,Base!$C:$C,B16,Base!$N:$N,"&lt;&gt;")
-(SUMIFS(Base!$L:$L,Base!$C:$C,B16,Base!$N:$N,"&lt;&gt;")*7)</f>
        <v>0</v>
      </c>
      <c r="G16" s="203">
        <f>SUMIFS(Base!$F:$F,Base!$C:$C,B16,Base!$N:$N,"&lt;&gt;")*7</f>
        <v>0</v>
      </c>
      <c r="H16" s="204">
        <f t="shared" si="1"/>
        <v>0</v>
      </c>
      <c r="I16" s="204">
        <f>IFERROR((COUNTIFS(Base!$C:$C,B16,Base!$S:$S,"&gt;8") - COUNTIFS(Base!$C:$C,B16,Base!$S:$S,"&lt;7"))/COUNTIFS(Base!$C:$C,B16,Base!$S:$S,"&lt;&gt;"),0)</f>
        <v>0</v>
      </c>
      <c r="J16" s="204">
        <f>IFERROR(COUNTIFS(Base!C:C, B16, Base!O:O, "Concluído", Base!U:U, TRUE) / COUNTIFS(Base!C:C, B16, Base!O:O, "Concluído"), 0)</f>
        <v>0</v>
      </c>
      <c r="K16" s="205">
        <f>IFERROR(SUMIF(Base!$C$4:$C1000,B16,Base!$E$4:$E1000)/(SUMPRODUCT(IF(Base!$C$4:$C1000 = B16,1,0),Base!$F$4:$F1000,Base!$G$4:$G1000)), 0)
</f>
        <v>0</v>
      </c>
      <c r="L16" s="205">
        <f>IFERROR( SUMIFS(Base!$E$4:$E1000,Base!$C$4:$C1000,B16,Base!$N$4:$N1000,"&lt;&gt;")/(SUMIF(Base!$C$4:$C1000,B16,Base!$AA$4:$AA1000)), 0 )</f>
        <v>0</v>
      </c>
      <c r="M16" s="206">
        <f>IF(D16&lt;&gt;0, SUMIF(Base!$C:$C, B16, Base!$E:$E)/D16, 0)
</f>
        <v>0</v>
      </c>
      <c r="N16" s="207">
        <f>SUMIF(Base!$C:$C, B16, Base!$E:$E) / SUMIF(Base!$B:$B, "NCIV", Base!$E:$E)</f>
        <v>0</v>
      </c>
      <c r="O16" s="176"/>
      <c r="P16" s="227"/>
      <c r="Q16" s="201"/>
      <c r="R16" s="201"/>
      <c r="S16" s="204"/>
      <c r="T16" s="203"/>
      <c r="U16" s="203"/>
      <c r="V16" s="203"/>
      <c r="W16" s="203"/>
      <c r="X16" s="203"/>
      <c r="Y16" s="203"/>
      <c r="Z16" s="203"/>
      <c r="AA16" s="204"/>
      <c r="AB16" s="204"/>
      <c r="AC16" s="176"/>
      <c r="AD16" s="228"/>
      <c r="AE16" s="201"/>
      <c r="AF16" s="201"/>
      <c r="AG16" s="204"/>
      <c r="AH16" s="203"/>
      <c r="AI16" s="203"/>
      <c r="AJ16" s="203"/>
      <c r="AK16" s="203"/>
      <c r="AL16" s="203"/>
      <c r="AM16" s="203"/>
      <c r="AN16" s="203"/>
      <c r="AO16" s="204"/>
      <c r="AP16" s="204"/>
      <c r="AQ16" s="176"/>
      <c r="AR16" s="228"/>
      <c r="AS16" s="201"/>
      <c r="AT16" s="201"/>
      <c r="AU16" s="204"/>
      <c r="AV16" s="203"/>
      <c r="AW16" s="203"/>
      <c r="AX16" s="203"/>
      <c r="AY16" s="203"/>
      <c r="AZ16" s="203"/>
      <c r="BA16" s="203"/>
      <c r="BB16" s="203"/>
      <c r="BC16" s="204"/>
      <c r="BD16" s="204"/>
      <c r="BE16" s="204"/>
    </row>
    <row r="17">
      <c r="A17" s="181"/>
      <c r="B17" s="211" t="s">
        <v>59</v>
      </c>
      <c r="C17" s="201">
        <f>SUMPRODUCT((Base!$C:$C=B17)*(Base!$O:$O="Executando"))
</f>
        <v>0</v>
      </c>
      <c r="D17" s="201">
        <f>COUNTIF(Base!$C:$C,B17)</f>
        <v>2</v>
      </c>
      <c r="E17" s="202">
        <f>IFERROR(COUNTIFS(Base!C:C, B17, Base!O:O, "Executando", Base!AC:AC, "Sim") )
</f>
        <v>0</v>
      </c>
      <c r="F17" s="203">
        <f>SUMIFS(Base!$N:$N,Base!$C:$C,B17,Base!$N:$N,"&lt;&gt;")
-SUMIFS(Base!$K:$K,Base!$C:$C,B17,Base!$N:$N,"&lt;&gt;")
-(SUMIFS(Base!$L:$L,Base!$C:$C,B17,Base!$N:$N,"&lt;&gt;")*7)</f>
        <v>21</v>
      </c>
      <c r="G17" s="203">
        <f>SUMIFS(Base!$F:$F,Base!$C:$C,B17,Base!$N:$N,"&lt;&gt;")*7</f>
        <v>21</v>
      </c>
      <c r="H17" s="204">
        <f t="shared" si="1"/>
        <v>1</v>
      </c>
      <c r="I17" s="204">
        <f>IFERROR((COUNTIFS(Base!$C:$C,B17,Base!$S:$S,"&gt;8") - COUNTIFS(Base!$C:$C,B17,Base!$S:$S,"&lt;7"))/COUNTIFS(Base!$C:$C,B17,Base!$S:$S,"&lt;&gt;"),0)</f>
        <v>1</v>
      </c>
      <c r="J17" s="204">
        <f>IFERROR(COUNTIFS(Base!C:C, B17, Base!O:O, "Concluído", Base!U:U, TRUE) / COUNTIFS(Base!C:C, B17, Base!O:O, "Concluído"), 0)</f>
        <v>1</v>
      </c>
      <c r="K17" s="205">
        <f>IFERROR(SUMIF(Base!$C$4:$C1000,B17,Base!$E$4:$E1000)/(SUMPRODUCT(IF(Base!$C$4:$C1000 = B17,1,0),Base!$F$4:$F1000,Base!$G$4:$G1000)), 0)
</f>
        <v>375</v>
      </c>
      <c r="L17" s="205">
        <f>IFERROR( SUMIFS(Base!$E$4:$E1000,Base!$C$4:$C1000,B17,Base!$N$4:$N1000,"&lt;&gt;")/(SUMIF(Base!$C$4:$C1000,B17,Base!$AA$4:$AA1000)), 0 )</f>
        <v>0</v>
      </c>
      <c r="M17" s="206">
        <f>IF(D17&lt;&gt;0, SUMIF(Base!$C:$C, B17, Base!$E:$E)/D17, 0)
</f>
        <v>3000</v>
      </c>
      <c r="N17" s="207">
        <f>SUMIF(Base!$C:$C, B17, Base!$E:$E) / SUMIF(Base!$B:$B, "NCIV", Base!$E:$E)</f>
        <v>0.01003654977</v>
      </c>
      <c r="O17" s="176"/>
      <c r="P17" s="229"/>
      <c r="Q17" s="201"/>
      <c r="R17" s="201"/>
      <c r="S17" s="204"/>
      <c r="T17" s="203"/>
      <c r="U17" s="203"/>
      <c r="V17" s="203"/>
      <c r="W17" s="203"/>
      <c r="X17" s="203"/>
      <c r="Y17" s="203"/>
      <c r="Z17" s="203"/>
      <c r="AA17" s="204"/>
      <c r="AB17" s="204"/>
      <c r="AC17" s="176"/>
      <c r="AD17" s="228"/>
      <c r="AE17" s="201"/>
      <c r="AF17" s="201"/>
      <c r="AG17" s="204"/>
      <c r="AH17" s="203"/>
      <c r="AI17" s="203"/>
      <c r="AJ17" s="203"/>
      <c r="AK17" s="203"/>
      <c r="AL17" s="203"/>
      <c r="AM17" s="203"/>
      <c r="AN17" s="203"/>
      <c r="AO17" s="204"/>
      <c r="AP17" s="204"/>
      <c r="AQ17" s="176"/>
      <c r="AR17" s="228"/>
      <c r="AS17" s="201"/>
      <c r="AT17" s="201"/>
      <c r="AU17" s="204"/>
      <c r="AV17" s="203"/>
      <c r="AW17" s="203"/>
      <c r="AX17" s="203"/>
      <c r="AY17" s="203"/>
      <c r="AZ17" s="203"/>
      <c r="BA17" s="203"/>
      <c r="BB17" s="203"/>
      <c r="BC17" s="204"/>
      <c r="BD17" s="204"/>
      <c r="BE17" s="204"/>
    </row>
    <row r="18">
      <c r="A18" s="181"/>
      <c r="B18" s="211" t="s">
        <v>49</v>
      </c>
      <c r="C18" s="201">
        <f>SUMPRODUCT((Base!$C:$C=B18)*(Base!$O:$O="Executando"))
</f>
        <v>1</v>
      </c>
      <c r="D18" s="201">
        <f>COUNTIF(Base!$C:$C,B18)</f>
        <v>4</v>
      </c>
      <c r="E18" s="202">
        <f>IFERROR(COUNTIFS(Base!C:C, B18, Base!O:O, "Executando", Base!AC:AC, "Sim") )
</f>
        <v>1</v>
      </c>
      <c r="F18" s="203">
        <f>SUMIFS(Base!$N:$N,Base!$C:$C,B18,Base!$N:$N,"&lt;&gt;")
-SUMIFS(Base!$K:$K,Base!$C:$C,B18,Base!$N:$N,"&lt;&gt;")
-(SUMIFS(Base!$L:$L,Base!$C:$C,B18,Base!$N:$N,"&lt;&gt;")*7)</f>
        <v>0</v>
      </c>
      <c r="G18" s="203">
        <f>SUMIFS(Base!$F:$F,Base!$C:$C,B18,Base!$N:$N,"&lt;&gt;")*7</f>
        <v>0</v>
      </c>
      <c r="H18" s="204">
        <f t="shared" si="1"/>
        <v>0</v>
      </c>
      <c r="I18" s="204">
        <f>IFERROR((COUNTIFS(Base!$C:$C,B18,Base!$S:$S,"&gt;8") - COUNTIFS(Base!$C:$C,B18,Base!$S:$S,"&lt;7"))/COUNTIFS(Base!$C:$C,B18,Base!$S:$S,"&lt;&gt;"),0)</f>
        <v>0</v>
      </c>
      <c r="J18" s="204">
        <f>IFERROR(COUNTIFS(Base!C:C, B18, Base!O:O, "Concluído", Base!U:U, TRUE) / COUNTIFS(Base!C:C, B18, Base!O:O, "Concluído"), 0)</f>
        <v>0</v>
      </c>
      <c r="K18" s="205">
        <f>IFERROR(SUMIF(Base!$C$4:$C1000,B18,Base!$E$4:$E1000)/(SUMPRODUCT(IF(Base!$C$4:$C1000 = B18,1,0),Base!$F$4:$F1000,Base!$G$4:$G1000)), 0)
</f>
        <v>651.5873016</v>
      </c>
      <c r="L18" s="205">
        <f>IFERROR( SUMIFS(Base!$E$4:$E1000,Base!$C$4:$C1000,B18,Base!$N$4:$N1000,"&lt;&gt;")/(SUMIF(Base!$C$4:$C1000,B18,Base!$AA$4:$AA1000)), 0 )</f>
        <v>0</v>
      </c>
      <c r="M18" s="206">
        <f>IF(D18&lt;&gt;0, SUMIF(Base!$C:$C, B18, Base!$E:$E)/D18, 0)
</f>
        <v>10262.5</v>
      </c>
      <c r="N18" s="207">
        <f>SUMIF(Base!$C:$C, B18, Base!$E:$E) / SUMIF(Base!$B:$B, "NCIV", Base!$E:$E)</f>
        <v>0.068666728</v>
      </c>
      <c r="O18" s="176"/>
      <c r="P18" s="229"/>
      <c r="Q18" s="201"/>
      <c r="R18" s="201"/>
      <c r="S18" s="204"/>
      <c r="T18" s="203"/>
      <c r="U18" s="203"/>
      <c r="V18" s="203"/>
      <c r="W18" s="203"/>
      <c r="X18" s="203"/>
      <c r="Y18" s="203"/>
      <c r="Z18" s="203"/>
      <c r="AA18" s="204"/>
      <c r="AB18" s="204"/>
      <c r="AC18" s="176"/>
      <c r="AD18" s="228"/>
      <c r="AE18" s="201"/>
      <c r="AF18" s="201"/>
      <c r="AG18" s="204"/>
      <c r="AH18" s="203"/>
      <c r="AI18" s="203"/>
      <c r="AJ18" s="203"/>
      <c r="AK18" s="203"/>
      <c r="AL18" s="203"/>
      <c r="AM18" s="203"/>
      <c r="AN18" s="203"/>
      <c r="AO18" s="204"/>
      <c r="AP18" s="204"/>
      <c r="AQ18" s="176"/>
      <c r="AR18" s="228"/>
      <c r="AS18" s="201"/>
      <c r="AT18" s="201"/>
      <c r="AU18" s="204"/>
      <c r="AV18" s="203"/>
      <c r="AW18" s="203"/>
      <c r="AX18" s="203"/>
      <c r="AY18" s="203"/>
      <c r="AZ18" s="203"/>
      <c r="BA18" s="203"/>
      <c r="BB18" s="203"/>
      <c r="BC18" s="204"/>
      <c r="BD18" s="204"/>
      <c r="BE18" s="204"/>
    </row>
    <row r="19">
      <c r="A19" s="181"/>
      <c r="B19" s="211" t="s">
        <v>431</v>
      </c>
      <c r="C19" s="201">
        <f>SUMPRODUCT((Base!$C:$C=B19)*(Base!$O:$O="Executando"))
</f>
        <v>1</v>
      </c>
      <c r="D19" s="201">
        <f>COUNTIF(Base!$C:$C,B19)</f>
        <v>1</v>
      </c>
      <c r="E19" s="202">
        <f>IFERROR(COUNTIFS(Base!C:C, B19, Base!O:O, "Executando", Base!AC:AC, "Sim") )
</f>
        <v>1</v>
      </c>
      <c r="F19" s="203">
        <f>SUMIFS(Base!$N:$N,Base!$C:$C,B19,Base!$N:$N,"&lt;&gt;")
-SUMIFS(Base!$K:$K,Base!$C:$C,B19,Base!$N:$N,"&lt;&gt;")
-(SUMIFS(Base!$L:$L,Base!$C:$C,B19,Base!$N:$N,"&lt;&gt;")*7)</f>
        <v>0</v>
      </c>
      <c r="G19" s="203">
        <f>SUMIFS(Base!$F:$F,Base!$C:$C,B19,Base!$N:$N,"&lt;&gt;")*7</f>
        <v>0</v>
      </c>
      <c r="H19" s="204">
        <f t="shared" si="1"/>
        <v>0</v>
      </c>
      <c r="I19" s="204">
        <f>IFERROR((COUNTIFS(Base!$C:$C,B19,Base!$S:$S,"&gt;8") - COUNTIFS(Base!$C:$C,B19,Base!$S:$S,"&lt;7"))/COUNTIFS(Base!$C:$C,B19,Base!$S:$S,"&lt;&gt;"),0)</f>
        <v>0</v>
      </c>
      <c r="J19" s="204">
        <f>IFERROR(COUNTIFS(Base!C:C, B19, Base!O:O, "Concluído", Base!U:U, TRUE) / COUNTIFS(Base!C:C, B19, Base!O:O, "Concluído"), 0)</f>
        <v>0</v>
      </c>
      <c r="K19" s="205">
        <f>IFERROR(SUMIF(Base!$C$4:$C1000,B19,Base!$E$4:$E1000)/(SUMPRODUCT(IF(Base!$C$4:$C1000 = B19,1,0),Base!$F$4:$F1000,Base!$G$4:$G1000)), 0)
</f>
        <v>900</v>
      </c>
      <c r="L19" s="205">
        <f>IFERROR( SUMIFS(Base!$E$4:$E1000,Base!$C$4:$C1000,B19,Base!$N$4:$N1000,"&lt;&gt;")/(SUMIF(Base!$C$4:$C1000,B19,Base!$AA$4:$AA1000)), 0 )</f>
        <v>0</v>
      </c>
      <c r="M19" s="206">
        <f>IF(D19&lt;&gt;0, SUMIF(Base!$C:$C, B19, Base!$E:$E)/D19, 0)
</f>
        <v>1800</v>
      </c>
      <c r="N19" s="207">
        <f>SUMIF(Base!$C:$C, B19, Base!$E:$E) / SUMIF(Base!$B:$B, "NCIV", Base!$E:$E)</f>
        <v>0.003010964931</v>
      </c>
      <c r="O19" s="176"/>
      <c r="P19" s="228"/>
      <c r="Q19" s="201"/>
      <c r="R19" s="201"/>
      <c r="S19" s="204"/>
      <c r="T19" s="203"/>
      <c r="U19" s="203"/>
      <c r="V19" s="203"/>
      <c r="W19" s="203"/>
      <c r="X19" s="203"/>
      <c r="Y19" s="203"/>
      <c r="Z19" s="203"/>
      <c r="AA19" s="204"/>
      <c r="AB19" s="204"/>
      <c r="AC19" s="176"/>
      <c r="AD19" s="228"/>
      <c r="AE19" s="201"/>
      <c r="AF19" s="201"/>
      <c r="AG19" s="204"/>
      <c r="AH19" s="203"/>
      <c r="AI19" s="203"/>
      <c r="AJ19" s="203"/>
      <c r="AK19" s="203"/>
      <c r="AL19" s="203"/>
      <c r="AM19" s="203"/>
      <c r="AN19" s="203"/>
      <c r="AO19" s="204"/>
      <c r="AP19" s="204"/>
      <c r="AQ19" s="176"/>
      <c r="AR19" s="228"/>
      <c r="AS19" s="201"/>
      <c r="AT19" s="201"/>
      <c r="AU19" s="204"/>
      <c r="AV19" s="203"/>
      <c r="AW19" s="203"/>
      <c r="AX19" s="203"/>
      <c r="AY19" s="203"/>
      <c r="AZ19" s="203"/>
      <c r="BA19" s="203"/>
      <c r="BB19" s="203"/>
      <c r="BC19" s="204"/>
      <c r="BD19" s="204"/>
      <c r="BE19" s="204"/>
    </row>
    <row r="20">
      <c r="A20" s="176"/>
      <c r="B20" s="235" t="s">
        <v>432</v>
      </c>
      <c r="C20" s="201">
        <f>SUMPRODUCT((Base!$C:$C=B20)*(Base!$O:$O="Executando"))
</f>
        <v>0</v>
      </c>
      <c r="D20" s="201">
        <f>COUNTIF(Base!$C:$C,B20)</f>
        <v>0</v>
      </c>
      <c r="E20" s="202">
        <f>IFERROR(COUNTIFS(Base!C:C, B20, Base!O:O, "Executando", Base!AC:AC, "Sim") )
</f>
        <v>0</v>
      </c>
      <c r="F20" s="203">
        <f>SUMIFS(Base!$N:$N,Base!$C:$C,B20,Base!$N:$N,"&lt;&gt;")
-SUMIFS(Base!$K:$K,Base!$C:$C,B20,Base!$N:$N,"&lt;&gt;")
-(SUMIFS(Base!$L:$L,Base!$C:$C,B20,Base!$N:$N,"&lt;&gt;")*7)</f>
        <v>0</v>
      </c>
      <c r="G20" s="203">
        <f>SUMIFS(Base!$F:$F,Base!$C:$C,B20,Base!$N:$N,"&lt;&gt;")*7</f>
        <v>0</v>
      </c>
      <c r="H20" s="204">
        <f t="shared" si="1"/>
        <v>0</v>
      </c>
      <c r="I20" s="204">
        <f>IFERROR((COUNTIFS(Base!$C:$C,B20,Base!$S:$S,"&gt;8") - COUNTIFS(Base!$C:$C,B20,Base!$S:$S,"&lt;7"))/COUNTIFS(Base!$C:$C,B20,Base!$S:$S,"&lt;&gt;"),0)</f>
        <v>0</v>
      </c>
      <c r="J20" s="204">
        <f>IFERROR(COUNTIFS(Base!C:C, B20, Base!O:O, "Concluído", Base!U:U, TRUE) / COUNTIFS(Base!C:C, B20, Base!O:O, "Concluído"), 0)</f>
        <v>0</v>
      </c>
      <c r="K20" s="205">
        <f>IFERROR(SUMIF(Base!$C$4:$C1000,B20,Base!$E$4:$E1000)/(SUMPRODUCT(IF(Base!$C$4:$C1000 = B20,1,0),Base!$F$4:$F1000,Base!$G$4:$G1000)), 0)
</f>
        <v>0</v>
      </c>
      <c r="L20" s="205">
        <f>IFERROR( SUMIFS(Base!$E$4:$E1000,Base!$C$4:$C1000,B20,Base!$N$4:$N1000,"&lt;&gt;")/(SUMIF(Base!$C$4:$C1000,B20,Base!$AA$4:$AA1000)), 0 )</f>
        <v>0</v>
      </c>
      <c r="M20" s="206">
        <f>IF(D20&lt;&gt;0, SUMIF(Base!$C:$C, B20, Base!$E:$E)/D20, 0)
</f>
        <v>0</v>
      </c>
      <c r="N20" s="207">
        <f>SUMIF(Base!$C:$C, B20, Base!$E:$E) / SUMIF(Base!$B:$B, "NCIV", Base!$E:$E)</f>
        <v>0</v>
      </c>
      <c r="O20" s="176"/>
      <c r="P20" s="228"/>
      <c r="Q20" s="201"/>
      <c r="R20" s="201"/>
      <c r="S20" s="204"/>
      <c r="T20" s="190"/>
      <c r="U20" s="190"/>
      <c r="V20" s="190"/>
      <c r="W20" s="190"/>
      <c r="X20" s="190"/>
      <c r="Y20" s="190"/>
      <c r="Z20" s="190"/>
      <c r="AA20" s="204"/>
      <c r="AB20" s="204"/>
      <c r="AC20" s="176"/>
      <c r="AD20" s="228"/>
      <c r="AE20" s="201"/>
      <c r="AF20" s="201"/>
      <c r="AG20" s="204"/>
      <c r="AH20" s="190"/>
      <c r="AI20" s="190"/>
      <c r="AJ20" s="190"/>
      <c r="AK20" s="190"/>
      <c r="AL20" s="190"/>
      <c r="AM20" s="190"/>
      <c r="AN20" s="190"/>
      <c r="AO20" s="204"/>
      <c r="AP20" s="204"/>
      <c r="AQ20" s="176"/>
      <c r="AR20" s="228"/>
      <c r="AS20" s="201"/>
      <c r="AT20" s="201"/>
      <c r="AU20" s="204"/>
      <c r="AV20" s="190"/>
      <c r="AW20" s="190"/>
      <c r="AX20" s="190"/>
      <c r="AY20" s="190"/>
      <c r="AZ20" s="190"/>
      <c r="BA20" s="190"/>
      <c r="BB20" s="190"/>
      <c r="BC20" s="204"/>
      <c r="BD20" s="204"/>
      <c r="BE20" s="204"/>
    </row>
    <row r="21">
      <c r="B21" s="236" t="s">
        <v>433</v>
      </c>
      <c r="C21" s="215">
        <f>SUMPRODUCT((Base!$C:$C=B21)*(Base!$O:$O="Executando"))
</f>
        <v>0</v>
      </c>
      <c r="D21" s="215">
        <f>COUNTIF(Base!$C:$C,B21)</f>
        <v>2</v>
      </c>
      <c r="E21" s="216">
        <f>IFERROR(COUNTIFS(Base!C:C, B21, Base!O:O, "Executando", Base!AC:AC, "Sim") )
</f>
        <v>0</v>
      </c>
      <c r="F21" s="217">
        <f>SUMIFS(Base!$N:$N,Base!$C:$C,B21,Base!$N:$N,"&lt;&gt;")
-SUMIFS(Base!$K:$K,Base!$C:$C,B21,Base!$N:$N,"&lt;&gt;")
-(SUMIFS(Base!$L:$L,Base!$C:$C,B21,Base!$N:$N,"&lt;&gt;")*7)</f>
        <v>0</v>
      </c>
      <c r="G21" s="217">
        <f>SUMIFS(Base!$F:$F,Base!$C:$C,B21,Base!$N:$N,"&lt;&gt;")*7</f>
        <v>0</v>
      </c>
      <c r="H21" s="218">
        <f t="shared" si="1"/>
        <v>0</v>
      </c>
      <c r="I21" s="218">
        <f>IFERROR((COUNTIFS(Base!$C:$C,B21,Base!$S:$S,"&gt;8") - COUNTIFS(Base!$C:$C,B21,Base!$S:$S,"&lt;7"))/COUNTIFS(Base!$C:$C,B21,Base!$S:$S,"&lt;&gt;"),0)</f>
        <v>0</v>
      </c>
      <c r="J21" s="218">
        <f>IFERROR(COUNTIFS(Base!C:C, B21, Base!O:O, "Concluído", Base!U:U, TRUE) / COUNTIFS(Base!C:C, B21, Base!O:O, "Concluído"), 0)</f>
        <v>0</v>
      </c>
      <c r="K21" s="219">
        <f>IFERROR(SUMIF(Base!$C$4:$C1000,B21,Base!$E$4:$E1000)/(SUMPRODUCT(IF(Base!$C$4:$C1000 = B21,1,0),Base!$F$4:$F1000,Base!$G$4:$G1000)), 0)
</f>
        <v>0</v>
      </c>
      <c r="L21" s="219">
        <f>IFERROR( SUMIFS(Base!$E$4:$E1000,Base!$C$4:$C1000,B21,Base!$N$4:$N1000,"&lt;&gt;")/(SUMIF(Base!$C$4:$C1000,B21,Base!$AA$4:$AA1000)), 0 )</f>
        <v>0</v>
      </c>
      <c r="M21" s="232">
        <f>IF(D21&lt;&gt;0, SUMIF(Base!$C:$C, B21, Base!$E:$E)/D21, 0)
</f>
        <v>3200</v>
      </c>
      <c r="N21" s="221">
        <f>SUMIF(Base!$C:$C, B21, Base!$E:$E) / SUMIF(Base!$B:$B, "NCIV", Base!$E:$E)</f>
        <v>0.01070565309</v>
      </c>
      <c r="P21" s="228"/>
      <c r="Q21" s="201"/>
      <c r="R21" s="201"/>
      <c r="S21" s="204"/>
      <c r="T21" s="237"/>
      <c r="U21" s="237"/>
      <c r="V21" s="237"/>
      <c r="W21" s="237"/>
      <c r="X21" s="237"/>
      <c r="Y21" s="237"/>
      <c r="Z21" s="237"/>
      <c r="AA21" s="204"/>
      <c r="AB21" s="204"/>
      <c r="AD21" s="228"/>
      <c r="AE21" s="201"/>
      <c r="AF21" s="201"/>
      <c r="AG21" s="204"/>
      <c r="AH21" s="237"/>
      <c r="AI21" s="237"/>
      <c r="AJ21" s="237"/>
      <c r="AK21" s="237"/>
      <c r="AL21" s="237"/>
      <c r="AM21" s="237"/>
      <c r="AN21" s="237"/>
      <c r="AO21" s="204"/>
      <c r="AP21" s="204"/>
      <c r="AR21" s="228"/>
      <c r="AS21" s="201"/>
      <c r="AT21" s="201"/>
      <c r="AU21" s="204"/>
      <c r="AV21" s="237"/>
      <c r="AW21" s="237"/>
      <c r="AX21" s="237"/>
      <c r="AY21" s="237"/>
      <c r="AZ21" s="237"/>
      <c r="BA21" s="237"/>
      <c r="BB21" s="237"/>
      <c r="BC21" s="204"/>
      <c r="BD21" s="204"/>
      <c r="BE21" s="204"/>
    </row>
    <row r="22">
      <c r="E22" s="133"/>
      <c r="F22" s="237"/>
      <c r="G22" s="237"/>
      <c r="H22" s="131"/>
      <c r="I22" s="131"/>
      <c r="J22" s="131"/>
      <c r="K22" s="131"/>
      <c r="L22" s="205"/>
      <c r="T22" s="237"/>
      <c r="U22" s="237"/>
      <c r="V22" s="237"/>
      <c r="W22" s="237"/>
      <c r="X22" s="237"/>
      <c r="Y22" s="237"/>
      <c r="Z22" s="237"/>
      <c r="AH22" s="237"/>
      <c r="AI22" s="237"/>
      <c r="AJ22" s="237"/>
      <c r="AK22" s="237"/>
      <c r="AL22" s="237"/>
      <c r="AM22" s="237"/>
      <c r="AN22" s="237"/>
      <c r="AV22" s="237"/>
      <c r="AW22" s="237"/>
      <c r="AX22" s="237"/>
      <c r="AY22" s="237"/>
      <c r="AZ22" s="237"/>
      <c r="BA22" s="237"/>
      <c r="BB22" s="237"/>
    </row>
    <row r="23">
      <c r="E23" s="133"/>
      <c r="F23" s="237"/>
      <c r="G23" s="237"/>
      <c r="H23" s="131"/>
      <c r="I23" s="131"/>
      <c r="J23" s="131"/>
      <c r="K23" s="131"/>
      <c r="L23" s="205"/>
      <c r="T23" s="237"/>
      <c r="U23" s="237"/>
      <c r="V23" s="237"/>
      <c r="W23" s="237"/>
      <c r="X23" s="237"/>
      <c r="Y23" s="237"/>
      <c r="Z23" s="237"/>
      <c r="AH23" s="237"/>
      <c r="AI23" s="237"/>
      <c r="AJ23" s="237"/>
      <c r="AK23" s="237"/>
      <c r="AL23" s="237"/>
      <c r="AM23" s="237"/>
      <c r="AN23" s="237"/>
      <c r="AV23" s="237"/>
      <c r="AW23" s="237"/>
      <c r="AX23" s="237"/>
      <c r="AY23" s="237"/>
      <c r="AZ23" s="237"/>
      <c r="BA23" s="237"/>
      <c r="BB23" s="237"/>
    </row>
    <row r="24">
      <c r="E24" s="133"/>
      <c r="F24" s="237"/>
      <c r="G24" s="237"/>
      <c r="H24" s="131"/>
      <c r="I24" s="131"/>
      <c r="J24" s="131"/>
      <c r="K24" s="131"/>
      <c r="L24" s="131"/>
      <c r="T24" s="237"/>
      <c r="U24" s="237"/>
      <c r="V24" s="237"/>
      <c r="W24" s="237"/>
      <c r="X24" s="237"/>
      <c r="Y24" s="237"/>
      <c r="Z24" s="237"/>
      <c r="AH24" s="237"/>
      <c r="AI24" s="237"/>
      <c r="AJ24" s="237"/>
      <c r="AK24" s="237"/>
      <c r="AL24" s="237"/>
      <c r="AM24" s="237"/>
      <c r="AN24" s="237"/>
      <c r="AV24" s="237"/>
      <c r="AW24" s="237"/>
      <c r="AX24" s="237"/>
      <c r="AY24" s="237"/>
      <c r="AZ24" s="237"/>
      <c r="BA24" s="237"/>
      <c r="BB24" s="237"/>
    </row>
    <row r="25">
      <c r="E25" s="133"/>
      <c r="F25" s="237"/>
      <c r="G25" s="237"/>
      <c r="H25" s="131"/>
      <c r="I25" s="131"/>
      <c r="J25" s="131"/>
      <c r="K25" s="131"/>
      <c r="L25" s="131"/>
      <c r="T25" s="237"/>
      <c r="U25" s="237"/>
      <c r="V25" s="237"/>
      <c r="W25" s="237"/>
      <c r="X25" s="237"/>
      <c r="Y25" s="237"/>
      <c r="Z25" s="237"/>
      <c r="AH25" s="237"/>
      <c r="AI25" s="237"/>
      <c r="AJ25" s="237"/>
      <c r="AK25" s="237"/>
      <c r="AL25" s="237"/>
      <c r="AM25" s="237"/>
      <c r="AN25" s="237"/>
      <c r="AV25" s="237"/>
      <c r="AW25" s="237"/>
      <c r="AX25" s="237"/>
      <c r="AY25" s="237"/>
      <c r="AZ25" s="237"/>
      <c r="BA25" s="237"/>
      <c r="BB25" s="237"/>
    </row>
    <row r="26">
      <c r="E26" s="133"/>
      <c r="F26" s="237"/>
      <c r="G26" s="237"/>
      <c r="H26" s="131"/>
      <c r="I26" s="131"/>
      <c r="J26" s="131"/>
      <c r="K26" s="131"/>
      <c r="L26" s="131"/>
      <c r="T26" s="237"/>
      <c r="U26" s="237"/>
      <c r="V26" s="237"/>
      <c r="W26" s="237"/>
      <c r="X26" s="237"/>
      <c r="Y26" s="237"/>
      <c r="Z26" s="237"/>
      <c r="AH26" s="237"/>
      <c r="AI26" s="237"/>
      <c r="AJ26" s="237"/>
      <c r="AK26" s="237"/>
      <c r="AL26" s="237"/>
      <c r="AM26" s="237"/>
      <c r="AN26" s="237"/>
      <c r="AV26" s="237"/>
      <c r="AW26" s="237"/>
      <c r="AX26" s="237"/>
      <c r="AY26" s="237"/>
      <c r="AZ26" s="237"/>
      <c r="BA26" s="237"/>
      <c r="BB26" s="237"/>
    </row>
    <row r="27">
      <c r="E27" s="133"/>
      <c r="F27" s="237"/>
      <c r="G27" s="237"/>
      <c r="H27" s="131"/>
      <c r="I27" s="131"/>
      <c r="J27" s="131"/>
      <c r="K27" s="131"/>
      <c r="L27" s="131"/>
      <c r="T27" s="237"/>
      <c r="U27" s="237"/>
      <c r="V27" s="237"/>
      <c r="W27" s="237"/>
      <c r="X27" s="237"/>
      <c r="Y27" s="237"/>
      <c r="Z27" s="237"/>
      <c r="AH27" s="237"/>
      <c r="AI27" s="237"/>
      <c r="AJ27" s="237"/>
      <c r="AK27" s="237"/>
      <c r="AL27" s="237"/>
      <c r="AM27" s="237"/>
      <c r="AN27" s="237"/>
      <c r="AV27" s="237"/>
      <c r="AW27" s="237"/>
      <c r="AX27" s="237"/>
      <c r="AY27" s="237"/>
      <c r="AZ27" s="237"/>
      <c r="BA27" s="237"/>
      <c r="BB27" s="237"/>
    </row>
    <row r="28">
      <c r="E28" s="133"/>
      <c r="F28" s="237"/>
      <c r="G28" s="237"/>
      <c r="H28" s="131"/>
      <c r="I28" s="131"/>
      <c r="J28" s="131"/>
      <c r="K28" s="131"/>
      <c r="L28" s="131"/>
      <c r="T28" s="237"/>
      <c r="U28" s="237"/>
      <c r="V28" s="237"/>
      <c r="W28" s="237"/>
      <c r="X28" s="237"/>
      <c r="Y28" s="237"/>
      <c r="Z28" s="237"/>
      <c r="AH28" s="237"/>
      <c r="AI28" s="237"/>
      <c r="AJ28" s="237"/>
      <c r="AK28" s="237"/>
      <c r="AL28" s="237"/>
      <c r="AM28" s="237"/>
      <c r="AN28" s="237"/>
      <c r="AV28" s="237"/>
      <c r="AW28" s="237"/>
      <c r="AX28" s="237"/>
      <c r="AY28" s="237"/>
      <c r="AZ28" s="237"/>
      <c r="BA28" s="237"/>
      <c r="BB28" s="237"/>
    </row>
    <row r="29">
      <c r="E29" s="133"/>
      <c r="F29" s="237"/>
      <c r="G29" s="237"/>
      <c r="H29" s="131"/>
      <c r="I29" s="131"/>
      <c r="J29" s="131"/>
      <c r="K29" s="131"/>
      <c r="L29" s="131"/>
      <c r="T29" s="237"/>
      <c r="U29" s="237"/>
      <c r="V29" s="237"/>
      <c r="W29" s="237"/>
      <c r="X29" s="237"/>
      <c r="Y29" s="237"/>
      <c r="Z29" s="237"/>
      <c r="AH29" s="237"/>
      <c r="AI29" s="237"/>
      <c r="AJ29" s="237"/>
      <c r="AK29" s="237"/>
      <c r="AL29" s="237"/>
      <c r="AM29" s="237"/>
      <c r="AN29" s="237"/>
      <c r="AV29" s="237"/>
      <c r="AW29" s="237"/>
      <c r="AX29" s="237"/>
      <c r="AY29" s="237"/>
      <c r="AZ29" s="237"/>
      <c r="BA29" s="237"/>
      <c r="BB29" s="237"/>
    </row>
    <row r="30">
      <c r="E30" s="133"/>
      <c r="F30" s="237"/>
      <c r="G30" s="237"/>
      <c r="H30" s="131"/>
      <c r="I30" s="131"/>
      <c r="J30" s="131"/>
      <c r="K30" s="131"/>
      <c r="L30" s="131"/>
      <c r="T30" s="237"/>
      <c r="U30" s="237"/>
      <c r="V30" s="237"/>
      <c r="W30" s="237"/>
      <c r="X30" s="237"/>
      <c r="Y30" s="237"/>
      <c r="Z30" s="237"/>
      <c r="AH30" s="237"/>
      <c r="AI30" s="237"/>
      <c r="AJ30" s="237"/>
      <c r="AK30" s="237"/>
      <c r="AL30" s="237"/>
      <c r="AM30" s="237"/>
      <c r="AN30" s="237"/>
      <c r="AV30" s="237"/>
      <c r="AW30" s="237"/>
      <c r="AX30" s="237"/>
      <c r="AY30" s="237"/>
      <c r="AZ30" s="237"/>
      <c r="BA30" s="237"/>
      <c r="BB30" s="237"/>
    </row>
    <row r="31">
      <c r="E31" s="133"/>
      <c r="F31" s="237"/>
      <c r="G31" s="237"/>
      <c r="H31" s="131"/>
      <c r="I31" s="131"/>
      <c r="J31" s="131"/>
      <c r="K31" s="131"/>
      <c r="L31" s="131"/>
      <c r="T31" s="237"/>
      <c r="U31" s="237"/>
      <c r="V31" s="237"/>
      <c r="W31" s="237"/>
      <c r="X31" s="237"/>
      <c r="Y31" s="237"/>
      <c r="Z31" s="237"/>
      <c r="AH31" s="237"/>
      <c r="AI31" s="237"/>
      <c r="AJ31" s="237"/>
      <c r="AK31" s="237"/>
      <c r="AL31" s="237"/>
      <c r="AM31" s="237"/>
      <c r="AN31" s="237"/>
      <c r="AV31" s="237"/>
      <c r="AW31" s="237"/>
      <c r="AX31" s="237"/>
      <c r="AY31" s="237"/>
      <c r="AZ31" s="237"/>
      <c r="BA31" s="237"/>
      <c r="BB31" s="237"/>
    </row>
    <row r="32">
      <c r="E32" s="133"/>
      <c r="F32" s="237"/>
      <c r="G32" s="237"/>
      <c r="H32" s="131"/>
      <c r="I32" s="131"/>
      <c r="J32" s="131"/>
      <c r="K32" s="131"/>
      <c r="L32" s="131"/>
      <c r="T32" s="237"/>
      <c r="U32" s="237"/>
      <c r="V32" s="237"/>
      <c r="W32" s="237"/>
      <c r="X32" s="237"/>
      <c r="Y32" s="237"/>
      <c r="Z32" s="237"/>
      <c r="AH32" s="237"/>
      <c r="AI32" s="237"/>
      <c r="AJ32" s="237"/>
      <c r="AK32" s="237"/>
      <c r="AL32" s="237"/>
      <c r="AM32" s="237"/>
      <c r="AN32" s="237"/>
      <c r="AV32" s="237"/>
      <c r="AW32" s="237"/>
      <c r="AX32" s="237"/>
      <c r="AY32" s="237"/>
      <c r="AZ32" s="237"/>
      <c r="BA32" s="237"/>
      <c r="BB32" s="237"/>
    </row>
    <row r="33">
      <c r="E33" s="133"/>
      <c r="F33" s="237"/>
      <c r="G33" s="237"/>
      <c r="H33" s="131"/>
      <c r="I33" s="131"/>
      <c r="J33" s="131"/>
      <c r="K33" s="131"/>
      <c r="L33" s="131"/>
      <c r="T33" s="237"/>
      <c r="U33" s="237"/>
      <c r="V33" s="237"/>
      <c r="W33" s="237"/>
      <c r="X33" s="237"/>
      <c r="Y33" s="237"/>
      <c r="Z33" s="237"/>
      <c r="AH33" s="237"/>
      <c r="AI33" s="237"/>
      <c r="AJ33" s="237"/>
      <c r="AK33" s="237"/>
      <c r="AL33" s="237"/>
      <c r="AM33" s="237"/>
      <c r="AN33" s="237"/>
      <c r="AV33" s="237"/>
      <c r="AW33" s="237"/>
      <c r="AX33" s="237"/>
      <c r="AY33" s="237"/>
      <c r="AZ33" s="237"/>
      <c r="BA33" s="237"/>
      <c r="BB33" s="237"/>
    </row>
    <row r="34">
      <c r="E34" s="133"/>
      <c r="F34" s="237"/>
      <c r="G34" s="237"/>
      <c r="H34" s="131"/>
      <c r="I34" s="131"/>
      <c r="J34" s="131"/>
      <c r="K34" s="131"/>
      <c r="L34" s="131"/>
      <c r="T34" s="237"/>
      <c r="U34" s="237"/>
      <c r="V34" s="237"/>
      <c r="W34" s="237"/>
      <c r="X34" s="237"/>
      <c r="Y34" s="237"/>
      <c r="Z34" s="237"/>
      <c r="AH34" s="237"/>
      <c r="AI34" s="237"/>
      <c r="AJ34" s="237"/>
      <c r="AK34" s="237"/>
      <c r="AL34" s="237"/>
      <c r="AM34" s="237"/>
      <c r="AN34" s="237"/>
      <c r="AV34" s="237"/>
      <c r="AW34" s="237"/>
      <c r="AX34" s="237"/>
      <c r="AY34" s="237"/>
      <c r="AZ34" s="237"/>
      <c r="BA34" s="237"/>
      <c r="BB34" s="237"/>
    </row>
    <row r="35">
      <c r="E35" s="133"/>
      <c r="F35" s="237"/>
      <c r="G35" s="237"/>
      <c r="H35" s="131"/>
      <c r="I35" s="131"/>
      <c r="J35" s="131"/>
      <c r="K35" s="131"/>
      <c r="L35" s="131"/>
      <c r="T35" s="237"/>
      <c r="U35" s="237"/>
      <c r="V35" s="237"/>
      <c r="W35" s="237"/>
      <c r="X35" s="237"/>
      <c r="Y35" s="237"/>
      <c r="Z35" s="237"/>
      <c r="AH35" s="237"/>
      <c r="AI35" s="237"/>
      <c r="AJ35" s="237"/>
      <c r="AK35" s="237"/>
      <c r="AL35" s="237"/>
      <c r="AM35" s="237"/>
      <c r="AN35" s="237"/>
      <c r="AV35" s="237"/>
      <c r="AW35" s="237"/>
      <c r="AX35" s="237"/>
      <c r="AY35" s="237"/>
      <c r="AZ35" s="237"/>
      <c r="BA35" s="237"/>
      <c r="BB35" s="237"/>
    </row>
    <row r="36">
      <c r="E36" s="133"/>
      <c r="F36" s="237"/>
      <c r="G36" s="237"/>
      <c r="H36" s="131"/>
      <c r="I36" s="131"/>
      <c r="J36" s="131"/>
      <c r="K36" s="131"/>
      <c r="L36" s="131"/>
      <c r="T36" s="237"/>
      <c r="U36" s="237"/>
      <c r="V36" s="237"/>
      <c r="W36" s="237"/>
      <c r="X36" s="237"/>
      <c r="Y36" s="237"/>
      <c r="Z36" s="237"/>
      <c r="AH36" s="237"/>
      <c r="AI36" s="237"/>
      <c r="AJ36" s="237"/>
      <c r="AK36" s="237"/>
      <c r="AL36" s="237"/>
      <c r="AM36" s="237"/>
      <c r="AN36" s="237"/>
      <c r="AV36" s="237"/>
      <c r="AW36" s="237"/>
      <c r="AX36" s="237"/>
      <c r="AY36" s="237"/>
      <c r="AZ36" s="237"/>
      <c r="BA36" s="237"/>
      <c r="BB36" s="237"/>
    </row>
    <row r="37">
      <c r="E37" s="133"/>
      <c r="F37" s="237"/>
      <c r="G37" s="237"/>
      <c r="H37" s="131"/>
      <c r="I37" s="131"/>
      <c r="J37" s="131"/>
      <c r="K37" s="131"/>
      <c r="L37" s="131"/>
      <c r="T37" s="237"/>
      <c r="U37" s="237"/>
      <c r="V37" s="237"/>
      <c r="W37" s="237"/>
      <c r="X37" s="237"/>
      <c r="Y37" s="237"/>
      <c r="Z37" s="237"/>
      <c r="AI37" s="237"/>
      <c r="AJ37" s="237"/>
      <c r="AK37" s="237"/>
      <c r="AL37" s="237"/>
      <c r="AM37" s="237"/>
      <c r="AN37" s="237"/>
      <c r="AV37" s="237"/>
      <c r="AW37" s="237"/>
      <c r="AX37" s="237"/>
      <c r="AY37" s="237"/>
      <c r="AZ37" s="237"/>
      <c r="BA37" s="237"/>
      <c r="BB37" s="237"/>
    </row>
    <row r="38">
      <c r="E38" s="133"/>
      <c r="F38" s="237"/>
      <c r="G38" s="237"/>
      <c r="H38" s="131"/>
      <c r="I38" s="131"/>
      <c r="J38" s="131"/>
      <c r="K38" s="131"/>
      <c r="L38" s="131"/>
      <c r="T38" s="237"/>
      <c r="U38" s="237"/>
      <c r="V38" s="237"/>
      <c r="W38" s="237"/>
      <c r="X38" s="237"/>
      <c r="Y38" s="237"/>
      <c r="Z38" s="237"/>
      <c r="AH38" s="237"/>
      <c r="AI38" s="237"/>
      <c r="AJ38" s="237"/>
      <c r="AK38" s="237"/>
      <c r="AL38" s="237"/>
      <c r="AM38" s="237"/>
      <c r="AN38" s="237"/>
      <c r="AV38" s="237"/>
      <c r="AW38" s="237"/>
      <c r="AX38" s="237"/>
      <c r="AY38" s="237"/>
      <c r="AZ38" s="237"/>
      <c r="BA38" s="237"/>
      <c r="BB38" s="237"/>
    </row>
    <row r="39">
      <c r="E39" s="133"/>
      <c r="F39" s="237"/>
      <c r="G39" s="237"/>
      <c r="H39" s="131"/>
      <c r="I39" s="131"/>
      <c r="J39" s="131"/>
      <c r="K39" s="131"/>
      <c r="L39" s="131"/>
      <c r="T39" s="237"/>
      <c r="U39" s="237"/>
      <c r="V39" s="237"/>
      <c r="W39" s="237"/>
      <c r="X39" s="237"/>
      <c r="Y39" s="237"/>
      <c r="Z39" s="237"/>
      <c r="AH39" s="237"/>
      <c r="AI39" s="237"/>
      <c r="AJ39" s="237"/>
      <c r="AK39" s="237"/>
      <c r="AL39" s="237"/>
      <c r="AM39" s="237"/>
      <c r="AN39" s="237"/>
      <c r="AV39" s="237"/>
      <c r="AW39" s="237"/>
      <c r="AX39" s="237"/>
      <c r="AY39" s="237"/>
      <c r="AZ39" s="237"/>
      <c r="BA39" s="237"/>
      <c r="BB39" s="237"/>
    </row>
    <row r="40">
      <c r="E40" s="133"/>
      <c r="F40" s="237"/>
      <c r="G40" s="237"/>
      <c r="H40" s="131"/>
      <c r="I40" s="131"/>
      <c r="J40" s="131"/>
      <c r="K40" s="131"/>
      <c r="L40" s="131"/>
      <c r="T40" s="237"/>
      <c r="U40" s="237"/>
      <c r="V40" s="237"/>
      <c r="W40" s="237"/>
      <c r="X40" s="237"/>
      <c r="Y40" s="237"/>
      <c r="Z40" s="237"/>
      <c r="AH40" s="237"/>
      <c r="AI40" s="237"/>
      <c r="AJ40" s="237"/>
      <c r="AK40" s="237"/>
      <c r="AL40" s="237"/>
      <c r="AM40" s="237"/>
      <c r="AN40" s="237"/>
      <c r="AV40" s="237"/>
      <c r="AW40" s="237"/>
      <c r="AX40" s="237"/>
      <c r="AY40" s="237"/>
      <c r="AZ40" s="237"/>
      <c r="BA40" s="237"/>
      <c r="BB40" s="237"/>
    </row>
    <row r="41">
      <c r="E41" s="133"/>
      <c r="F41" s="237"/>
      <c r="G41" s="237"/>
      <c r="H41" s="131"/>
      <c r="I41" s="131"/>
      <c r="J41" s="131"/>
      <c r="K41" s="131"/>
      <c r="L41" s="131"/>
      <c r="T41" s="237"/>
      <c r="U41" s="237"/>
      <c r="V41" s="237"/>
      <c r="W41" s="237"/>
      <c r="X41" s="237"/>
      <c r="Y41" s="237"/>
      <c r="Z41" s="237"/>
      <c r="AH41" s="237"/>
      <c r="AI41" s="237"/>
      <c r="AJ41" s="237"/>
      <c r="AK41" s="237"/>
      <c r="AL41" s="237"/>
      <c r="AM41" s="237"/>
      <c r="AN41" s="237"/>
      <c r="AV41" s="237"/>
      <c r="AW41" s="237"/>
      <c r="AX41" s="237"/>
      <c r="AY41" s="237"/>
      <c r="AZ41" s="237"/>
      <c r="BA41" s="237"/>
      <c r="BB41" s="237"/>
    </row>
    <row r="42">
      <c r="E42" s="133"/>
      <c r="F42" s="237"/>
      <c r="G42" s="237"/>
      <c r="H42" s="131"/>
      <c r="I42" s="131"/>
      <c r="J42" s="131"/>
      <c r="K42" s="131"/>
      <c r="L42" s="131"/>
      <c r="T42" s="237"/>
      <c r="U42" s="237"/>
      <c r="V42" s="237"/>
      <c r="W42" s="237"/>
      <c r="X42" s="237"/>
      <c r="Y42" s="237"/>
      <c r="Z42" s="237"/>
      <c r="AH42" s="237"/>
      <c r="AI42" s="237"/>
      <c r="AJ42" s="237"/>
      <c r="AK42" s="237"/>
      <c r="AL42" s="237"/>
      <c r="AM42" s="237"/>
      <c r="AN42" s="237"/>
      <c r="AV42" s="237"/>
      <c r="AW42" s="237"/>
      <c r="AX42" s="237"/>
      <c r="AY42" s="237"/>
      <c r="AZ42" s="237"/>
      <c r="BA42" s="237"/>
      <c r="BB42" s="237"/>
    </row>
    <row r="43">
      <c r="E43" s="133"/>
      <c r="F43" s="237"/>
      <c r="G43" s="237"/>
      <c r="H43" s="131"/>
      <c r="I43" s="131"/>
      <c r="J43" s="131"/>
      <c r="K43" s="131"/>
      <c r="L43" s="131"/>
      <c r="T43" s="237"/>
      <c r="U43" s="237"/>
      <c r="V43" s="237"/>
      <c r="W43" s="237"/>
      <c r="X43" s="237"/>
      <c r="Y43" s="237"/>
      <c r="Z43" s="237"/>
      <c r="AH43" s="237"/>
      <c r="AI43" s="237"/>
      <c r="AJ43" s="237"/>
      <c r="AK43" s="237"/>
      <c r="AL43" s="237"/>
      <c r="AM43" s="237"/>
      <c r="AN43" s="237"/>
      <c r="AV43" s="237"/>
      <c r="AW43" s="237"/>
      <c r="AX43" s="237"/>
      <c r="AY43" s="237"/>
      <c r="AZ43" s="237"/>
      <c r="BA43" s="237"/>
      <c r="BB43" s="237"/>
    </row>
    <row r="44">
      <c r="E44" s="133"/>
      <c r="F44" s="237"/>
      <c r="G44" s="237"/>
      <c r="H44" s="131"/>
      <c r="I44" s="131"/>
      <c r="J44" s="131"/>
      <c r="K44" s="131"/>
      <c r="L44" s="131"/>
      <c r="T44" s="237"/>
      <c r="U44" s="237"/>
      <c r="V44" s="237"/>
      <c r="W44" s="237"/>
      <c r="X44" s="237"/>
      <c r="Y44" s="237"/>
      <c r="Z44" s="237"/>
      <c r="AH44" s="237"/>
      <c r="AI44" s="237"/>
      <c r="AJ44" s="237"/>
      <c r="AK44" s="237"/>
      <c r="AL44" s="237"/>
      <c r="AM44" s="237"/>
      <c r="AN44" s="237"/>
      <c r="AV44" s="237"/>
      <c r="AW44" s="237"/>
      <c r="AX44" s="237"/>
      <c r="AY44" s="237"/>
      <c r="AZ44" s="237"/>
      <c r="BA44" s="237"/>
      <c r="BB44" s="237"/>
    </row>
    <row r="45">
      <c r="E45" s="133"/>
      <c r="F45" s="237"/>
      <c r="G45" s="237"/>
      <c r="H45" s="131"/>
      <c r="I45" s="131"/>
      <c r="J45" s="131"/>
      <c r="K45" s="131"/>
      <c r="L45" s="131"/>
      <c r="T45" s="237"/>
      <c r="U45" s="237"/>
      <c r="V45" s="237"/>
      <c r="W45" s="237"/>
      <c r="X45" s="237"/>
      <c r="Y45" s="237"/>
      <c r="Z45" s="237"/>
      <c r="AH45" s="237"/>
      <c r="AI45" s="237"/>
      <c r="AJ45" s="237"/>
      <c r="AK45" s="237"/>
      <c r="AL45" s="237"/>
      <c r="AM45" s="237"/>
      <c r="AN45" s="237"/>
      <c r="AV45" s="237"/>
      <c r="AW45" s="237"/>
      <c r="AX45" s="237"/>
      <c r="AY45" s="237"/>
      <c r="AZ45" s="237"/>
      <c r="BA45" s="237"/>
      <c r="BB45" s="237"/>
    </row>
    <row r="46">
      <c r="E46" s="133"/>
      <c r="F46" s="237"/>
      <c r="G46" s="237"/>
      <c r="H46" s="131"/>
      <c r="I46" s="131"/>
      <c r="J46" s="131"/>
      <c r="K46" s="131"/>
      <c r="L46" s="131"/>
      <c r="T46" s="237"/>
      <c r="U46" s="237"/>
      <c r="V46" s="237"/>
      <c r="W46" s="237"/>
      <c r="X46" s="237"/>
      <c r="Y46" s="237"/>
      <c r="Z46" s="237"/>
      <c r="AH46" s="237"/>
      <c r="AI46" s="237"/>
      <c r="AJ46" s="237"/>
      <c r="AK46" s="237"/>
      <c r="AL46" s="237"/>
      <c r="AM46" s="237"/>
      <c r="AN46" s="237"/>
      <c r="AV46" s="237"/>
      <c r="AW46" s="237"/>
      <c r="AX46" s="237"/>
      <c r="AY46" s="237"/>
      <c r="AZ46" s="237"/>
      <c r="BA46" s="237"/>
      <c r="BB46" s="237"/>
    </row>
    <row r="47">
      <c r="E47" s="133"/>
      <c r="F47" s="237"/>
      <c r="G47" s="237"/>
      <c r="H47" s="131"/>
      <c r="I47" s="131"/>
      <c r="J47" s="131"/>
      <c r="K47" s="131"/>
      <c r="L47" s="131"/>
      <c r="T47" s="237"/>
      <c r="U47" s="237"/>
      <c r="V47" s="237"/>
      <c r="W47" s="237"/>
      <c r="X47" s="237"/>
      <c r="Y47" s="237"/>
      <c r="Z47" s="237"/>
      <c r="AH47" s="237"/>
      <c r="AI47" s="237"/>
      <c r="AJ47" s="237"/>
      <c r="AK47" s="237"/>
      <c r="AL47" s="237"/>
      <c r="AM47" s="237"/>
      <c r="AN47" s="237"/>
      <c r="AV47" s="237"/>
      <c r="AW47" s="237"/>
      <c r="AX47" s="237"/>
      <c r="AY47" s="237"/>
      <c r="AZ47" s="237"/>
      <c r="BA47" s="237"/>
      <c r="BB47" s="237"/>
    </row>
    <row r="48">
      <c r="E48" s="133"/>
      <c r="F48" s="237"/>
      <c r="G48" s="237"/>
      <c r="H48" s="131"/>
      <c r="I48" s="131"/>
      <c r="J48" s="131"/>
      <c r="K48" s="131"/>
      <c r="L48" s="131"/>
      <c r="T48" s="237"/>
      <c r="U48" s="237"/>
      <c r="V48" s="237"/>
      <c r="W48" s="237"/>
      <c r="X48" s="237"/>
      <c r="Y48" s="237"/>
      <c r="Z48" s="237"/>
      <c r="AH48" s="237"/>
      <c r="AI48" s="237"/>
      <c r="AJ48" s="237"/>
      <c r="AK48" s="237"/>
      <c r="AL48" s="237"/>
      <c r="AM48" s="237"/>
      <c r="AN48" s="237"/>
      <c r="AV48" s="237"/>
      <c r="AW48" s="237"/>
      <c r="AX48" s="237"/>
      <c r="AY48" s="237"/>
      <c r="AZ48" s="237"/>
      <c r="BA48" s="237"/>
      <c r="BB48" s="237"/>
    </row>
    <row r="49">
      <c r="E49" s="133"/>
      <c r="F49" s="237"/>
      <c r="G49" s="237"/>
      <c r="H49" s="131"/>
      <c r="I49" s="131"/>
      <c r="J49" s="131"/>
      <c r="K49" s="131"/>
      <c r="L49" s="131"/>
      <c r="T49" s="237"/>
      <c r="U49" s="237"/>
      <c r="V49" s="237"/>
      <c r="W49" s="237"/>
      <c r="X49" s="237"/>
      <c r="Y49" s="237"/>
      <c r="Z49" s="237"/>
      <c r="AH49" s="237"/>
      <c r="AI49" s="237"/>
      <c r="AJ49" s="237"/>
      <c r="AK49" s="237"/>
      <c r="AL49" s="237"/>
      <c r="AM49" s="237"/>
      <c r="AN49" s="237"/>
      <c r="AV49" s="237"/>
      <c r="AW49" s="237"/>
      <c r="AX49" s="237"/>
      <c r="AY49" s="237"/>
      <c r="AZ49" s="237"/>
      <c r="BA49" s="237"/>
      <c r="BB49" s="237"/>
    </row>
    <row r="50">
      <c r="E50" s="133"/>
      <c r="F50" s="237"/>
      <c r="G50" s="237"/>
      <c r="H50" s="131"/>
      <c r="I50" s="131"/>
      <c r="J50" s="131"/>
      <c r="K50" s="131"/>
      <c r="L50" s="131"/>
      <c r="T50" s="237"/>
      <c r="U50" s="237"/>
      <c r="V50" s="237"/>
      <c r="W50" s="237"/>
      <c r="X50" s="237"/>
      <c r="Y50" s="237"/>
      <c r="Z50" s="237"/>
      <c r="AH50" s="237"/>
      <c r="AI50" s="237"/>
      <c r="AJ50" s="237"/>
      <c r="AK50" s="237"/>
      <c r="AL50" s="237"/>
      <c r="AM50" s="237"/>
      <c r="AN50" s="237"/>
      <c r="AV50" s="237"/>
      <c r="AW50" s="237"/>
      <c r="AX50" s="237"/>
      <c r="AY50" s="237"/>
      <c r="AZ50" s="237"/>
      <c r="BA50" s="237"/>
      <c r="BB50" s="237"/>
    </row>
    <row r="51">
      <c r="E51" s="133"/>
      <c r="F51" s="237"/>
      <c r="G51" s="237"/>
      <c r="H51" s="131"/>
      <c r="I51" s="131"/>
      <c r="J51" s="131"/>
      <c r="K51" s="131"/>
      <c r="L51" s="131"/>
      <c r="T51" s="237"/>
      <c r="U51" s="237"/>
      <c r="V51" s="237"/>
      <c r="W51" s="237"/>
      <c r="X51" s="237"/>
      <c r="Y51" s="237"/>
      <c r="Z51" s="237"/>
      <c r="AH51" s="237"/>
      <c r="AI51" s="237"/>
      <c r="AJ51" s="237"/>
      <c r="AK51" s="237"/>
      <c r="AL51" s="237"/>
      <c r="AM51" s="237"/>
      <c r="AN51" s="237"/>
      <c r="AV51" s="237"/>
      <c r="AW51" s="237"/>
      <c r="AX51" s="237"/>
      <c r="AY51" s="237"/>
      <c r="AZ51" s="237"/>
      <c r="BA51" s="237"/>
      <c r="BB51" s="237"/>
    </row>
    <row r="52">
      <c r="E52" s="133"/>
      <c r="F52" s="237"/>
      <c r="G52" s="237"/>
      <c r="H52" s="131"/>
      <c r="I52" s="131"/>
      <c r="J52" s="131"/>
      <c r="K52" s="131"/>
      <c r="L52" s="131"/>
      <c r="T52" s="237"/>
      <c r="U52" s="237"/>
      <c r="V52" s="237"/>
      <c r="W52" s="237"/>
      <c r="X52" s="237"/>
      <c r="Y52" s="237"/>
      <c r="Z52" s="237"/>
      <c r="AH52" s="237"/>
      <c r="AI52" s="237"/>
      <c r="AJ52" s="237"/>
      <c r="AK52" s="237"/>
      <c r="AL52" s="237"/>
      <c r="AM52" s="237"/>
      <c r="AN52" s="237"/>
      <c r="AV52" s="237"/>
      <c r="AW52" s="237"/>
      <c r="AX52" s="237"/>
      <c r="AY52" s="237"/>
      <c r="AZ52" s="237"/>
      <c r="BA52" s="237"/>
      <c r="BB52" s="237"/>
    </row>
    <row r="53">
      <c r="E53" s="133"/>
      <c r="F53" s="237"/>
      <c r="G53" s="237"/>
      <c r="H53" s="131"/>
      <c r="I53" s="131"/>
      <c r="J53" s="131"/>
      <c r="K53" s="131"/>
      <c r="L53" s="131"/>
      <c r="T53" s="237"/>
      <c r="U53" s="237"/>
      <c r="V53" s="237"/>
      <c r="W53" s="237"/>
      <c r="X53" s="237"/>
      <c r="Y53" s="237"/>
      <c r="Z53" s="237"/>
      <c r="AH53" s="237"/>
      <c r="AI53" s="237"/>
      <c r="AJ53" s="237"/>
      <c r="AK53" s="237"/>
      <c r="AL53" s="237"/>
      <c r="AM53" s="237"/>
      <c r="AN53" s="237"/>
      <c r="AV53" s="237"/>
      <c r="AW53" s="237"/>
      <c r="AX53" s="237"/>
      <c r="AY53" s="237"/>
      <c r="AZ53" s="237"/>
      <c r="BA53" s="237"/>
      <c r="BB53" s="237"/>
    </row>
    <row r="54">
      <c r="E54" s="133"/>
      <c r="F54" s="237"/>
      <c r="G54" s="237"/>
      <c r="H54" s="131"/>
      <c r="I54" s="131"/>
      <c r="J54" s="131"/>
      <c r="K54" s="131"/>
      <c r="L54" s="131"/>
      <c r="T54" s="237"/>
      <c r="U54" s="237"/>
      <c r="V54" s="237"/>
      <c r="W54" s="237"/>
      <c r="X54" s="237"/>
      <c r="Y54" s="237"/>
      <c r="Z54" s="237"/>
      <c r="AH54" s="237"/>
      <c r="AI54" s="237"/>
      <c r="AJ54" s="237"/>
      <c r="AK54" s="237"/>
      <c r="AL54" s="237"/>
      <c r="AM54" s="237"/>
      <c r="AN54" s="237"/>
      <c r="AV54" s="237"/>
      <c r="AW54" s="237"/>
      <c r="AX54" s="237"/>
      <c r="AY54" s="237"/>
      <c r="AZ54" s="237"/>
      <c r="BA54" s="237"/>
      <c r="BB54" s="237"/>
    </row>
    <row r="55">
      <c r="E55" s="133"/>
      <c r="F55" s="237"/>
      <c r="G55" s="237"/>
      <c r="H55" s="131"/>
      <c r="I55" s="131"/>
      <c r="J55" s="131"/>
      <c r="K55" s="131"/>
      <c r="L55" s="131"/>
      <c r="T55" s="237"/>
      <c r="U55" s="237"/>
      <c r="V55" s="237"/>
      <c r="W55" s="237"/>
      <c r="X55" s="237"/>
      <c r="Y55" s="237"/>
      <c r="Z55" s="237"/>
      <c r="AH55" s="237"/>
      <c r="AI55" s="237"/>
      <c r="AJ55" s="237"/>
      <c r="AK55" s="237"/>
      <c r="AL55" s="237"/>
      <c r="AM55" s="237"/>
      <c r="AN55" s="237"/>
      <c r="AV55" s="237"/>
      <c r="AW55" s="237"/>
      <c r="AX55" s="237"/>
      <c r="AY55" s="237"/>
      <c r="AZ55" s="237"/>
      <c r="BA55" s="237"/>
      <c r="BB55" s="237"/>
    </row>
    <row r="56">
      <c r="E56" s="133"/>
      <c r="F56" s="237"/>
      <c r="G56" s="237"/>
      <c r="H56" s="131"/>
      <c r="I56" s="131"/>
      <c r="J56" s="131"/>
      <c r="K56" s="131"/>
      <c r="L56" s="131"/>
      <c r="T56" s="237"/>
      <c r="U56" s="237"/>
      <c r="V56" s="237"/>
      <c r="W56" s="237"/>
      <c r="X56" s="237"/>
      <c r="Y56" s="237"/>
      <c r="Z56" s="237"/>
      <c r="AH56" s="237"/>
      <c r="AI56" s="237"/>
      <c r="AJ56" s="237"/>
      <c r="AK56" s="237"/>
      <c r="AL56" s="237"/>
      <c r="AM56" s="237"/>
      <c r="AN56" s="237"/>
      <c r="AV56" s="237"/>
      <c r="AW56" s="237"/>
      <c r="AX56" s="237"/>
      <c r="AY56" s="237"/>
      <c r="AZ56" s="237"/>
      <c r="BA56" s="237"/>
      <c r="BB56" s="237"/>
    </row>
    <row r="57">
      <c r="E57" s="133"/>
      <c r="F57" s="237"/>
      <c r="G57" s="237"/>
      <c r="H57" s="131"/>
      <c r="I57" s="131"/>
      <c r="J57" s="131"/>
      <c r="K57" s="131"/>
      <c r="L57" s="131"/>
      <c r="T57" s="237"/>
      <c r="U57" s="237"/>
      <c r="V57" s="237"/>
      <c r="W57" s="237"/>
      <c r="X57" s="237"/>
      <c r="Y57" s="237"/>
      <c r="Z57" s="237"/>
      <c r="AH57" s="237"/>
      <c r="AI57" s="237"/>
      <c r="AJ57" s="237"/>
      <c r="AK57" s="237"/>
      <c r="AL57" s="237"/>
      <c r="AM57" s="237"/>
      <c r="AN57" s="237"/>
      <c r="AV57" s="237"/>
      <c r="AW57" s="237"/>
      <c r="AX57" s="237"/>
      <c r="AY57" s="237"/>
      <c r="AZ57" s="237"/>
      <c r="BA57" s="237"/>
      <c r="BB57" s="237"/>
    </row>
    <row r="58">
      <c r="E58" s="133"/>
      <c r="F58" s="237"/>
      <c r="G58" s="237"/>
      <c r="H58" s="131"/>
      <c r="I58" s="131"/>
      <c r="J58" s="131"/>
      <c r="K58" s="131"/>
      <c r="L58" s="131"/>
      <c r="T58" s="237"/>
      <c r="U58" s="237"/>
      <c r="V58" s="237"/>
      <c r="W58" s="237"/>
      <c r="X58" s="237"/>
      <c r="Y58" s="237"/>
      <c r="Z58" s="237"/>
      <c r="AH58" s="237"/>
      <c r="AI58" s="237"/>
      <c r="AJ58" s="237"/>
      <c r="AK58" s="237"/>
      <c r="AL58" s="237"/>
      <c r="AM58" s="237"/>
      <c r="AN58" s="237"/>
      <c r="AV58" s="237"/>
      <c r="AW58" s="237"/>
      <c r="AX58" s="237"/>
      <c r="AY58" s="237"/>
      <c r="AZ58" s="237"/>
      <c r="BA58" s="237"/>
      <c r="BB58" s="237"/>
    </row>
    <row r="59">
      <c r="E59" s="133"/>
      <c r="F59" s="237"/>
      <c r="G59" s="237"/>
      <c r="H59" s="131"/>
      <c r="I59" s="131"/>
      <c r="J59" s="131"/>
      <c r="K59" s="131"/>
      <c r="L59" s="131"/>
      <c r="T59" s="237"/>
      <c r="U59" s="237"/>
      <c r="V59" s="237"/>
      <c r="W59" s="237"/>
      <c r="X59" s="237"/>
      <c r="Y59" s="237"/>
      <c r="Z59" s="237"/>
      <c r="AH59" s="237"/>
      <c r="AI59" s="237"/>
      <c r="AJ59" s="237"/>
      <c r="AK59" s="237"/>
      <c r="AL59" s="237"/>
      <c r="AM59" s="237"/>
      <c r="AN59" s="237"/>
      <c r="AV59" s="237"/>
      <c r="AW59" s="237"/>
      <c r="AX59" s="237"/>
      <c r="AY59" s="237"/>
      <c r="AZ59" s="237"/>
      <c r="BA59" s="237"/>
      <c r="BB59" s="237"/>
    </row>
    <row r="60">
      <c r="E60" s="133"/>
      <c r="F60" s="237"/>
      <c r="G60" s="237"/>
      <c r="H60" s="131"/>
      <c r="I60" s="131"/>
      <c r="J60" s="131"/>
      <c r="K60" s="131"/>
      <c r="L60" s="131"/>
      <c r="T60" s="237"/>
      <c r="U60" s="237"/>
      <c r="V60" s="237"/>
      <c r="W60" s="237"/>
      <c r="X60" s="237"/>
      <c r="Y60" s="237"/>
      <c r="Z60" s="237"/>
      <c r="AH60" s="237"/>
      <c r="AI60" s="237"/>
      <c r="AJ60" s="237"/>
      <c r="AK60" s="237"/>
      <c r="AL60" s="237"/>
      <c r="AM60" s="237"/>
      <c r="AN60" s="237"/>
      <c r="AV60" s="237"/>
      <c r="AW60" s="237"/>
      <c r="AX60" s="237"/>
      <c r="AY60" s="237"/>
      <c r="AZ60" s="237"/>
      <c r="BA60" s="237"/>
      <c r="BB60" s="237"/>
    </row>
    <row r="61">
      <c r="E61" s="133"/>
      <c r="F61" s="237"/>
      <c r="G61" s="237"/>
      <c r="H61" s="131"/>
      <c r="I61" s="131"/>
      <c r="J61" s="131"/>
      <c r="K61" s="131"/>
      <c r="L61" s="131"/>
      <c r="T61" s="237"/>
      <c r="U61" s="237"/>
      <c r="V61" s="237"/>
      <c r="W61" s="237"/>
      <c r="X61" s="237"/>
      <c r="Y61" s="237"/>
      <c r="Z61" s="237"/>
      <c r="AH61" s="237"/>
      <c r="AI61" s="237"/>
      <c r="AJ61" s="237"/>
      <c r="AK61" s="237"/>
      <c r="AL61" s="237"/>
      <c r="AM61" s="237"/>
      <c r="AN61" s="237"/>
      <c r="AV61" s="237"/>
      <c r="AW61" s="237"/>
      <c r="AX61" s="237"/>
      <c r="AY61" s="237"/>
      <c r="AZ61" s="237"/>
      <c r="BA61" s="237"/>
      <c r="BB61" s="237"/>
    </row>
    <row r="62">
      <c r="E62" s="133"/>
      <c r="F62" s="237"/>
      <c r="G62" s="237"/>
      <c r="H62" s="131"/>
      <c r="I62" s="131"/>
      <c r="J62" s="131"/>
      <c r="K62" s="131"/>
      <c r="L62" s="131"/>
      <c r="T62" s="237"/>
      <c r="U62" s="237"/>
      <c r="V62" s="237"/>
      <c r="W62" s="237"/>
      <c r="X62" s="237"/>
      <c r="Y62" s="237"/>
      <c r="Z62" s="237"/>
      <c r="AH62" s="237"/>
      <c r="AI62" s="237"/>
      <c r="AJ62" s="237"/>
      <c r="AK62" s="237"/>
      <c r="AL62" s="237"/>
      <c r="AM62" s="237"/>
      <c r="AN62" s="237"/>
      <c r="AV62" s="237"/>
      <c r="AW62" s="237"/>
      <c r="AX62" s="237"/>
      <c r="AY62" s="237"/>
      <c r="AZ62" s="237"/>
      <c r="BA62" s="237"/>
      <c r="BB62" s="237"/>
    </row>
    <row r="63">
      <c r="E63" s="133"/>
      <c r="F63" s="237"/>
      <c r="G63" s="237"/>
      <c r="H63" s="131"/>
      <c r="I63" s="131"/>
      <c r="J63" s="131"/>
      <c r="K63" s="131"/>
      <c r="L63" s="131"/>
      <c r="T63" s="237"/>
      <c r="U63" s="237"/>
      <c r="V63" s="237"/>
      <c r="W63" s="237"/>
      <c r="X63" s="237"/>
      <c r="Y63" s="237"/>
      <c r="Z63" s="237"/>
      <c r="AH63" s="237"/>
      <c r="AI63" s="237"/>
      <c r="AJ63" s="237"/>
      <c r="AK63" s="237"/>
      <c r="AL63" s="237"/>
      <c r="AM63" s="237"/>
      <c r="AN63" s="237"/>
      <c r="AV63" s="237"/>
      <c r="AW63" s="237"/>
      <c r="AX63" s="237"/>
      <c r="AY63" s="237"/>
      <c r="AZ63" s="237"/>
      <c r="BA63" s="237"/>
      <c r="BB63" s="237"/>
    </row>
    <row r="64">
      <c r="E64" s="133"/>
      <c r="F64" s="237"/>
      <c r="G64" s="237"/>
      <c r="H64" s="131"/>
      <c r="I64" s="131"/>
      <c r="J64" s="131"/>
      <c r="K64" s="131"/>
      <c r="L64" s="131"/>
      <c r="T64" s="237"/>
      <c r="U64" s="237"/>
      <c r="V64" s="237"/>
      <c r="W64" s="237"/>
      <c r="X64" s="237"/>
      <c r="Y64" s="237"/>
      <c r="Z64" s="237"/>
      <c r="AH64" s="237"/>
      <c r="AI64" s="237"/>
      <c r="AJ64" s="237"/>
      <c r="AK64" s="237"/>
      <c r="AL64" s="237"/>
      <c r="AM64" s="237"/>
      <c r="AN64" s="237"/>
      <c r="AV64" s="237"/>
      <c r="AW64" s="237"/>
      <c r="AX64" s="237"/>
      <c r="AY64" s="237"/>
      <c r="AZ64" s="237"/>
      <c r="BA64" s="237"/>
      <c r="BB64" s="237"/>
    </row>
    <row r="65">
      <c r="E65" s="133"/>
      <c r="F65" s="237"/>
      <c r="G65" s="237"/>
      <c r="H65" s="131"/>
      <c r="I65" s="131"/>
      <c r="J65" s="131"/>
      <c r="K65" s="131"/>
      <c r="L65" s="131"/>
      <c r="T65" s="237"/>
      <c r="U65" s="237"/>
      <c r="V65" s="237"/>
      <c r="W65" s="237"/>
      <c r="X65" s="237"/>
      <c r="Y65" s="237"/>
      <c r="Z65" s="237"/>
      <c r="AH65" s="237"/>
      <c r="AI65" s="237"/>
      <c r="AJ65" s="237"/>
      <c r="AK65" s="237"/>
      <c r="AL65" s="237"/>
      <c r="AM65" s="237"/>
      <c r="AN65" s="237"/>
      <c r="AV65" s="237"/>
      <c r="AW65" s="237"/>
      <c r="AX65" s="237"/>
      <c r="AY65" s="237"/>
      <c r="AZ65" s="237"/>
      <c r="BA65" s="237"/>
      <c r="BB65" s="237"/>
    </row>
    <row r="66">
      <c r="E66" s="133"/>
      <c r="F66" s="237"/>
      <c r="G66" s="237"/>
      <c r="H66" s="131"/>
      <c r="I66" s="131"/>
      <c r="J66" s="131"/>
      <c r="K66" s="131"/>
      <c r="L66" s="131"/>
      <c r="T66" s="237"/>
      <c r="U66" s="237"/>
      <c r="V66" s="237"/>
      <c r="W66" s="237"/>
      <c r="X66" s="237"/>
      <c r="Y66" s="237"/>
      <c r="Z66" s="237"/>
      <c r="AH66" s="237"/>
      <c r="AI66" s="237"/>
      <c r="AJ66" s="237"/>
      <c r="AK66" s="237"/>
      <c r="AL66" s="237"/>
      <c r="AM66" s="237"/>
      <c r="AN66" s="237"/>
      <c r="AV66" s="237"/>
      <c r="AW66" s="237"/>
      <c r="AX66" s="237"/>
      <c r="AY66" s="237"/>
      <c r="AZ66" s="237"/>
      <c r="BA66" s="237"/>
      <c r="BB66" s="237"/>
    </row>
    <row r="67">
      <c r="E67" s="133"/>
      <c r="F67" s="237"/>
      <c r="G67" s="237"/>
      <c r="H67" s="131"/>
      <c r="I67" s="131"/>
      <c r="J67" s="131"/>
      <c r="K67" s="131"/>
      <c r="L67" s="131"/>
      <c r="T67" s="237"/>
      <c r="U67" s="237"/>
      <c r="V67" s="237"/>
      <c r="W67" s="237"/>
      <c r="X67" s="237"/>
      <c r="Y67" s="237"/>
      <c r="Z67" s="237"/>
      <c r="AH67" s="237"/>
      <c r="AI67" s="237"/>
      <c r="AJ67" s="237"/>
      <c r="AK67" s="237"/>
      <c r="AL67" s="237"/>
      <c r="AM67" s="237"/>
      <c r="AN67" s="237"/>
      <c r="AV67" s="237"/>
      <c r="AW67" s="237"/>
      <c r="AX67" s="237"/>
      <c r="AY67" s="237"/>
      <c r="AZ67" s="237"/>
      <c r="BA67" s="237"/>
      <c r="BB67" s="237"/>
    </row>
    <row r="68">
      <c r="E68" s="133"/>
      <c r="F68" s="237"/>
      <c r="G68" s="237"/>
      <c r="H68" s="131"/>
      <c r="I68" s="131"/>
      <c r="J68" s="131"/>
      <c r="K68" s="131"/>
      <c r="L68" s="131"/>
      <c r="T68" s="237"/>
      <c r="U68" s="237"/>
      <c r="V68" s="237"/>
      <c r="W68" s="237"/>
      <c r="X68" s="237"/>
      <c r="Y68" s="237"/>
      <c r="Z68" s="237"/>
      <c r="AH68" s="237"/>
      <c r="AI68" s="237"/>
      <c r="AJ68" s="237"/>
      <c r="AK68" s="237"/>
      <c r="AL68" s="237"/>
      <c r="AM68" s="237"/>
      <c r="AN68" s="237"/>
      <c r="AV68" s="237"/>
      <c r="AW68" s="237"/>
      <c r="AX68" s="237"/>
      <c r="AY68" s="237"/>
      <c r="AZ68" s="237"/>
      <c r="BA68" s="237"/>
      <c r="BB68" s="237"/>
    </row>
    <row r="69">
      <c r="E69" s="133"/>
      <c r="F69" s="237"/>
      <c r="G69" s="237"/>
      <c r="H69" s="131"/>
      <c r="I69" s="131"/>
      <c r="J69" s="131"/>
      <c r="K69" s="131"/>
      <c r="L69" s="131"/>
      <c r="T69" s="237"/>
      <c r="U69" s="237"/>
      <c r="V69" s="237"/>
      <c r="W69" s="237"/>
      <c r="X69" s="237"/>
      <c r="Y69" s="237"/>
      <c r="Z69" s="237"/>
      <c r="AH69" s="237"/>
      <c r="AI69" s="237"/>
      <c r="AJ69" s="237"/>
      <c r="AK69" s="237"/>
      <c r="AL69" s="237"/>
      <c r="AM69" s="237"/>
      <c r="AN69" s="237"/>
      <c r="AV69" s="237"/>
      <c r="AW69" s="237"/>
      <c r="AX69" s="237"/>
      <c r="AY69" s="237"/>
      <c r="AZ69" s="237"/>
      <c r="BA69" s="237"/>
      <c r="BB69" s="237"/>
    </row>
    <row r="70">
      <c r="E70" s="133"/>
      <c r="F70" s="237"/>
      <c r="G70" s="237"/>
      <c r="H70" s="131"/>
      <c r="I70" s="131"/>
      <c r="J70" s="131"/>
      <c r="K70" s="131"/>
      <c r="L70" s="131"/>
      <c r="T70" s="237"/>
      <c r="U70" s="237"/>
      <c r="V70" s="237"/>
      <c r="W70" s="237"/>
      <c r="X70" s="237"/>
      <c r="Y70" s="237"/>
      <c r="Z70" s="237"/>
      <c r="AH70" s="237"/>
      <c r="AI70" s="237"/>
      <c r="AJ70" s="237"/>
      <c r="AK70" s="237"/>
      <c r="AL70" s="237"/>
      <c r="AM70" s="237"/>
      <c r="AN70" s="237"/>
      <c r="AV70" s="237"/>
      <c r="AW70" s="237"/>
      <c r="AX70" s="237"/>
      <c r="AY70" s="237"/>
      <c r="AZ70" s="237"/>
      <c r="BA70" s="237"/>
      <c r="BB70" s="237"/>
    </row>
    <row r="71">
      <c r="E71" s="133"/>
      <c r="F71" s="237"/>
      <c r="G71" s="237"/>
      <c r="H71" s="131"/>
      <c r="I71" s="131"/>
      <c r="J71" s="131"/>
      <c r="K71" s="131"/>
      <c r="L71" s="131"/>
      <c r="T71" s="237"/>
      <c r="U71" s="237"/>
      <c r="V71" s="237"/>
      <c r="W71" s="237"/>
      <c r="X71" s="237"/>
      <c r="Y71" s="237"/>
      <c r="Z71" s="237"/>
      <c r="AH71" s="237"/>
      <c r="AI71" s="237"/>
      <c r="AJ71" s="237"/>
      <c r="AK71" s="237"/>
      <c r="AL71" s="237"/>
      <c r="AM71" s="237"/>
      <c r="AN71" s="237"/>
      <c r="AV71" s="237"/>
      <c r="AW71" s="237"/>
      <c r="AX71" s="237"/>
      <c r="AY71" s="237"/>
      <c r="AZ71" s="237"/>
      <c r="BA71" s="237"/>
      <c r="BB71" s="237"/>
    </row>
    <row r="72">
      <c r="E72" s="133"/>
      <c r="F72" s="237"/>
      <c r="G72" s="237"/>
      <c r="H72" s="131"/>
      <c r="I72" s="131"/>
      <c r="J72" s="131"/>
      <c r="K72" s="131"/>
      <c r="L72" s="131"/>
      <c r="T72" s="237"/>
      <c r="U72" s="237"/>
      <c r="V72" s="237"/>
      <c r="W72" s="237"/>
      <c r="X72" s="237"/>
      <c r="Y72" s="237"/>
      <c r="Z72" s="237"/>
      <c r="AH72" s="237"/>
      <c r="AI72" s="237"/>
      <c r="AJ72" s="237"/>
      <c r="AK72" s="237"/>
      <c r="AL72" s="237"/>
      <c r="AM72" s="237"/>
      <c r="AN72" s="237"/>
      <c r="AV72" s="237"/>
      <c r="AW72" s="237"/>
      <c r="AX72" s="237"/>
      <c r="AY72" s="237"/>
      <c r="AZ72" s="237"/>
      <c r="BA72" s="237"/>
      <c r="BB72" s="237"/>
    </row>
    <row r="73">
      <c r="E73" s="133"/>
      <c r="F73" s="237"/>
      <c r="G73" s="237"/>
      <c r="H73" s="131"/>
      <c r="I73" s="131"/>
      <c r="J73" s="131"/>
      <c r="K73" s="131"/>
      <c r="L73" s="131"/>
      <c r="T73" s="237"/>
      <c r="U73" s="237"/>
      <c r="V73" s="237"/>
      <c r="W73" s="237"/>
      <c r="X73" s="237"/>
      <c r="Y73" s="237"/>
      <c r="Z73" s="237"/>
      <c r="AH73" s="237"/>
      <c r="AI73" s="237"/>
      <c r="AJ73" s="237"/>
      <c r="AK73" s="237"/>
      <c r="AL73" s="237"/>
      <c r="AM73" s="237"/>
      <c r="AN73" s="237"/>
      <c r="AV73" s="237"/>
      <c r="AW73" s="237"/>
      <c r="AX73" s="237"/>
      <c r="AY73" s="237"/>
      <c r="AZ73" s="237"/>
      <c r="BA73" s="237"/>
      <c r="BB73" s="237"/>
    </row>
    <row r="74">
      <c r="E74" s="133"/>
      <c r="F74" s="237"/>
      <c r="G74" s="237"/>
      <c r="H74" s="131"/>
      <c r="I74" s="131"/>
      <c r="J74" s="131"/>
      <c r="K74" s="131"/>
      <c r="L74" s="131"/>
      <c r="T74" s="237"/>
      <c r="U74" s="237"/>
      <c r="V74" s="237"/>
      <c r="W74" s="237"/>
      <c r="X74" s="237"/>
      <c r="Y74" s="237"/>
      <c r="Z74" s="237"/>
      <c r="AH74" s="237"/>
      <c r="AI74" s="237"/>
      <c r="AJ74" s="237"/>
      <c r="AK74" s="237"/>
      <c r="AL74" s="237"/>
      <c r="AM74" s="237"/>
      <c r="AN74" s="237"/>
      <c r="AV74" s="237"/>
      <c r="AW74" s="237"/>
      <c r="AX74" s="237"/>
      <c r="AY74" s="237"/>
      <c r="AZ74" s="237"/>
      <c r="BA74" s="237"/>
      <c r="BB74" s="237"/>
    </row>
    <row r="75">
      <c r="E75" s="133"/>
      <c r="F75" s="237"/>
      <c r="G75" s="237"/>
      <c r="H75" s="131"/>
      <c r="I75" s="131"/>
      <c r="J75" s="131"/>
      <c r="K75" s="131"/>
      <c r="L75" s="131"/>
      <c r="T75" s="237"/>
      <c r="U75" s="237"/>
      <c r="V75" s="237"/>
      <c r="W75" s="237"/>
      <c r="X75" s="237"/>
      <c r="Y75" s="237"/>
      <c r="Z75" s="237"/>
      <c r="AH75" s="237"/>
      <c r="AI75" s="237"/>
      <c r="AJ75" s="237"/>
      <c r="AK75" s="237"/>
      <c r="AL75" s="237"/>
      <c r="AM75" s="237"/>
      <c r="AN75" s="237"/>
      <c r="AV75" s="237"/>
      <c r="AW75" s="237"/>
      <c r="AX75" s="237"/>
      <c r="AY75" s="237"/>
      <c r="AZ75" s="237"/>
      <c r="BA75" s="237"/>
      <c r="BB75" s="237"/>
    </row>
    <row r="76">
      <c r="E76" s="133"/>
      <c r="F76" s="237"/>
      <c r="G76" s="237"/>
      <c r="H76" s="131"/>
      <c r="I76" s="131"/>
      <c r="J76" s="131"/>
      <c r="K76" s="131"/>
      <c r="L76" s="131"/>
      <c r="T76" s="237"/>
      <c r="U76" s="237"/>
      <c r="V76" s="237"/>
      <c r="W76" s="237"/>
      <c r="X76" s="237"/>
      <c r="Y76" s="237"/>
      <c r="Z76" s="237"/>
      <c r="AH76" s="237"/>
      <c r="AI76" s="237"/>
      <c r="AJ76" s="237"/>
      <c r="AK76" s="237"/>
      <c r="AL76" s="237"/>
      <c r="AM76" s="237"/>
      <c r="AN76" s="237"/>
      <c r="AV76" s="237"/>
      <c r="AW76" s="237"/>
      <c r="AX76" s="237"/>
      <c r="AY76" s="237"/>
      <c r="AZ76" s="237"/>
      <c r="BA76" s="237"/>
      <c r="BB76" s="237"/>
    </row>
    <row r="77">
      <c r="E77" s="133"/>
      <c r="F77" s="237"/>
      <c r="G77" s="237"/>
      <c r="H77" s="131"/>
      <c r="I77" s="131"/>
      <c r="J77" s="131"/>
      <c r="K77" s="131"/>
      <c r="L77" s="131"/>
      <c r="T77" s="237"/>
      <c r="U77" s="237"/>
      <c r="V77" s="237"/>
      <c r="W77" s="237"/>
      <c r="X77" s="237"/>
      <c r="Y77" s="237"/>
      <c r="Z77" s="237"/>
      <c r="AH77" s="237"/>
      <c r="AI77" s="237"/>
      <c r="AJ77" s="237"/>
      <c r="AK77" s="237"/>
      <c r="AL77" s="237"/>
      <c r="AM77" s="237"/>
      <c r="AN77" s="237"/>
      <c r="AV77" s="237"/>
      <c r="AW77" s="237"/>
      <c r="AX77" s="237"/>
      <c r="AY77" s="237"/>
      <c r="AZ77" s="237"/>
      <c r="BA77" s="237"/>
      <c r="BB77" s="237"/>
    </row>
    <row r="78">
      <c r="E78" s="133"/>
      <c r="F78" s="237"/>
      <c r="G78" s="237"/>
      <c r="H78" s="131"/>
      <c r="I78" s="131"/>
      <c r="J78" s="131"/>
      <c r="K78" s="131"/>
      <c r="L78" s="131"/>
      <c r="T78" s="237"/>
      <c r="U78" s="237"/>
      <c r="V78" s="237"/>
      <c r="W78" s="237"/>
      <c r="X78" s="237"/>
      <c r="Y78" s="237"/>
      <c r="Z78" s="237"/>
      <c r="AH78" s="237"/>
      <c r="AI78" s="237"/>
      <c r="AJ78" s="237"/>
      <c r="AK78" s="237"/>
      <c r="AL78" s="237"/>
      <c r="AM78" s="237"/>
      <c r="AN78" s="237"/>
      <c r="AV78" s="237"/>
      <c r="AW78" s="237"/>
      <c r="AX78" s="237"/>
      <c r="AY78" s="237"/>
      <c r="AZ78" s="237"/>
      <c r="BA78" s="237"/>
      <c r="BB78" s="237"/>
    </row>
    <row r="79">
      <c r="E79" s="133"/>
      <c r="F79" s="237"/>
      <c r="G79" s="237"/>
      <c r="H79" s="131"/>
      <c r="I79" s="131"/>
      <c r="J79" s="131"/>
      <c r="K79" s="131"/>
      <c r="L79" s="131"/>
      <c r="T79" s="237"/>
      <c r="U79" s="237"/>
      <c r="V79" s="237"/>
      <c r="W79" s="237"/>
      <c r="X79" s="237"/>
      <c r="Y79" s="237"/>
      <c r="Z79" s="237"/>
      <c r="AH79" s="237"/>
      <c r="AI79" s="237"/>
      <c r="AJ79" s="237"/>
      <c r="AK79" s="237"/>
      <c r="AL79" s="237"/>
      <c r="AM79" s="237"/>
      <c r="AN79" s="237"/>
      <c r="AV79" s="237"/>
      <c r="AW79" s="237"/>
      <c r="AX79" s="237"/>
      <c r="AY79" s="237"/>
      <c r="AZ79" s="237"/>
      <c r="BA79" s="237"/>
      <c r="BB79" s="237"/>
    </row>
    <row r="80">
      <c r="E80" s="133"/>
      <c r="F80" s="237"/>
      <c r="G80" s="237"/>
      <c r="H80" s="131"/>
      <c r="I80" s="131"/>
      <c r="J80" s="131"/>
      <c r="K80" s="131"/>
      <c r="L80" s="131"/>
      <c r="T80" s="237"/>
      <c r="U80" s="237"/>
      <c r="V80" s="237"/>
      <c r="W80" s="237"/>
      <c r="X80" s="237"/>
      <c r="Y80" s="237"/>
      <c r="Z80" s="237"/>
      <c r="AH80" s="237"/>
      <c r="AI80" s="237"/>
      <c r="AJ80" s="237"/>
      <c r="AK80" s="237"/>
      <c r="AL80" s="237"/>
      <c r="AM80" s="237"/>
      <c r="AN80" s="237"/>
      <c r="AV80" s="237"/>
      <c r="AW80" s="237"/>
      <c r="AX80" s="237"/>
      <c r="AY80" s="237"/>
      <c r="AZ80" s="237"/>
      <c r="BA80" s="237"/>
      <c r="BB80" s="237"/>
    </row>
    <row r="81">
      <c r="E81" s="133"/>
      <c r="F81" s="237"/>
      <c r="G81" s="237"/>
      <c r="H81" s="131"/>
      <c r="I81" s="131"/>
      <c r="J81" s="131"/>
      <c r="K81" s="131"/>
      <c r="L81" s="131"/>
      <c r="T81" s="237"/>
      <c r="U81" s="237"/>
      <c r="V81" s="237"/>
      <c r="W81" s="237"/>
      <c r="X81" s="237"/>
      <c r="Y81" s="237"/>
      <c r="Z81" s="237"/>
      <c r="AH81" s="237"/>
      <c r="AI81" s="237"/>
      <c r="AJ81" s="237"/>
      <c r="AK81" s="237"/>
      <c r="AL81" s="237"/>
      <c r="AM81" s="237"/>
      <c r="AN81" s="237"/>
      <c r="AV81" s="237"/>
      <c r="AW81" s="237"/>
      <c r="AX81" s="237"/>
      <c r="AY81" s="237"/>
      <c r="AZ81" s="237"/>
      <c r="BA81" s="237"/>
      <c r="BB81" s="237"/>
    </row>
    <row r="82">
      <c r="E82" s="133"/>
      <c r="F82" s="237"/>
      <c r="G82" s="237"/>
      <c r="H82" s="131"/>
      <c r="I82" s="131"/>
      <c r="J82" s="131"/>
      <c r="K82" s="131"/>
      <c r="L82" s="131"/>
      <c r="T82" s="237"/>
      <c r="U82" s="237"/>
      <c r="V82" s="237"/>
      <c r="W82" s="237"/>
      <c r="X82" s="237"/>
      <c r="Y82" s="237"/>
      <c r="Z82" s="237"/>
      <c r="AH82" s="237"/>
      <c r="AI82" s="237"/>
      <c r="AJ82" s="237"/>
      <c r="AK82" s="237"/>
      <c r="AL82" s="237"/>
      <c r="AM82" s="237"/>
      <c r="AN82" s="237"/>
      <c r="AV82" s="237"/>
      <c r="AW82" s="237"/>
      <c r="AX82" s="237"/>
      <c r="AY82" s="237"/>
      <c r="AZ82" s="237"/>
      <c r="BA82" s="237"/>
      <c r="BB82" s="237"/>
    </row>
    <row r="83">
      <c r="E83" s="133"/>
      <c r="F83" s="237"/>
      <c r="G83" s="237"/>
      <c r="H83" s="131"/>
      <c r="I83" s="131"/>
      <c r="J83" s="131"/>
      <c r="K83" s="131"/>
      <c r="L83" s="131"/>
      <c r="T83" s="237"/>
      <c r="U83" s="237"/>
      <c r="V83" s="237"/>
      <c r="W83" s="237"/>
      <c r="X83" s="237"/>
      <c r="Y83" s="237"/>
      <c r="Z83" s="237"/>
      <c r="AH83" s="237"/>
      <c r="AI83" s="237"/>
      <c r="AJ83" s="237"/>
      <c r="AK83" s="237"/>
      <c r="AL83" s="237"/>
      <c r="AM83" s="237"/>
      <c r="AN83" s="237"/>
      <c r="AV83" s="237"/>
      <c r="AW83" s="237"/>
      <c r="AX83" s="237"/>
      <c r="AY83" s="237"/>
      <c r="AZ83" s="237"/>
      <c r="BA83" s="237"/>
      <c r="BB83" s="237"/>
    </row>
    <row r="84">
      <c r="E84" s="133"/>
      <c r="F84" s="237"/>
      <c r="G84" s="237"/>
      <c r="H84" s="131"/>
      <c r="I84" s="131"/>
      <c r="J84" s="131"/>
      <c r="K84" s="131"/>
      <c r="L84" s="131"/>
      <c r="T84" s="237"/>
      <c r="U84" s="237"/>
      <c r="V84" s="237"/>
      <c r="W84" s="237"/>
      <c r="X84" s="237"/>
      <c r="Y84" s="237"/>
      <c r="Z84" s="237"/>
      <c r="AH84" s="237"/>
      <c r="AI84" s="237"/>
      <c r="AJ84" s="237"/>
      <c r="AK84" s="237"/>
      <c r="AL84" s="237"/>
      <c r="AM84" s="237"/>
      <c r="AN84" s="237"/>
      <c r="AV84" s="237"/>
      <c r="AW84" s="237"/>
      <c r="AX84" s="237"/>
      <c r="AY84" s="237"/>
      <c r="AZ84" s="237"/>
      <c r="BA84" s="237"/>
      <c r="BB84" s="237"/>
    </row>
    <row r="85">
      <c r="E85" s="133"/>
      <c r="F85" s="237"/>
      <c r="G85" s="237"/>
      <c r="H85" s="131"/>
      <c r="I85" s="131"/>
      <c r="J85" s="131"/>
      <c r="K85" s="131"/>
      <c r="L85" s="131"/>
      <c r="T85" s="237"/>
      <c r="U85" s="237"/>
      <c r="V85" s="237"/>
      <c r="W85" s="237"/>
      <c r="X85" s="237"/>
      <c r="Y85" s="237"/>
      <c r="Z85" s="237"/>
      <c r="AH85" s="237"/>
      <c r="AI85" s="237"/>
      <c r="AJ85" s="237"/>
      <c r="AK85" s="237"/>
      <c r="AL85" s="237"/>
      <c r="AM85" s="237"/>
      <c r="AN85" s="237"/>
      <c r="AV85" s="237"/>
      <c r="AW85" s="237"/>
      <c r="AX85" s="237"/>
      <c r="AY85" s="237"/>
      <c r="AZ85" s="237"/>
      <c r="BA85" s="237"/>
      <c r="BB85" s="237"/>
    </row>
    <row r="86">
      <c r="E86" s="133"/>
      <c r="F86" s="237"/>
      <c r="G86" s="237"/>
      <c r="H86" s="131"/>
      <c r="I86" s="131"/>
      <c r="J86" s="131"/>
      <c r="K86" s="131"/>
      <c r="L86" s="131"/>
      <c r="T86" s="237"/>
      <c r="U86" s="237"/>
      <c r="V86" s="237"/>
      <c r="W86" s="237"/>
      <c r="X86" s="237"/>
      <c r="Y86" s="237"/>
      <c r="Z86" s="237"/>
      <c r="AH86" s="237"/>
      <c r="AI86" s="237"/>
      <c r="AJ86" s="237"/>
      <c r="AK86" s="237"/>
      <c r="AL86" s="237"/>
      <c r="AM86" s="237"/>
      <c r="AN86" s="237"/>
      <c r="AV86" s="237"/>
      <c r="AW86" s="237"/>
      <c r="AX86" s="237"/>
      <c r="AY86" s="237"/>
      <c r="AZ86" s="237"/>
      <c r="BA86" s="237"/>
      <c r="BB86" s="237"/>
    </row>
    <row r="87">
      <c r="E87" s="133"/>
      <c r="F87" s="237"/>
      <c r="G87" s="237"/>
      <c r="H87" s="131"/>
      <c r="I87" s="131"/>
      <c r="J87" s="131"/>
      <c r="K87" s="131"/>
      <c r="L87" s="131"/>
      <c r="T87" s="237"/>
      <c r="U87" s="237"/>
      <c r="V87" s="237"/>
      <c r="W87" s="237"/>
      <c r="X87" s="237"/>
      <c r="Y87" s="237"/>
      <c r="Z87" s="237"/>
      <c r="AH87" s="237"/>
      <c r="AI87" s="237"/>
      <c r="AJ87" s="237"/>
      <c r="AK87" s="237"/>
      <c r="AL87" s="237"/>
      <c r="AM87" s="237"/>
      <c r="AN87" s="237"/>
      <c r="AV87" s="237"/>
      <c r="AW87" s="237"/>
      <c r="AX87" s="237"/>
      <c r="AY87" s="237"/>
      <c r="AZ87" s="237"/>
      <c r="BA87" s="237"/>
      <c r="BB87" s="237"/>
    </row>
    <row r="88">
      <c r="E88" s="133"/>
      <c r="F88" s="237"/>
      <c r="G88" s="237"/>
      <c r="H88" s="131"/>
      <c r="I88" s="131"/>
      <c r="J88" s="131"/>
      <c r="K88" s="131"/>
      <c r="L88" s="131"/>
      <c r="T88" s="237"/>
      <c r="U88" s="237"/>
      <c r="V88" s="237"/>
      <c r="W88" s="237"/>
      <c r="X88" s="237"/>
      <c r="Y88" s="237"/>
      <c r="Z88" s="237"/>
      <c r="AH88" s="237"/>
      <c r="AI88" s="237"/>
      <c r="AJ88" s="237"/>
      <c r="AK88" s="237"/>
      <c r="AL88" s="237"/>
      <c r="AM88" s="237"/>
      <c r="AN88" s="237"/>
      <c r="AV88" s="237"/>
      <c r="AW88" s="237"/>
      <c r="AX88" s="237"/>
      <c r="AY88" s="237"/>
      <c r="AZ88" s="237"/>
      <c r="BA88" s="237"/>
      <c r="BB88" s="237"/>
    </row>
    <row r="89">
      <c r="E89" s="133"/>
      <c r="F89" s="237"/>
      <c r="G89" s="237"/>
      <c r="H89" s="131"/>
      <c r="I89" s="131"/>
      <c r="J89" s="131"/>
      <c r="K89" s="131"/>
      <c r="L89" s="131"/>
      <c r="T89" s="237"/>
      <c r="U89" s="237"/>
      <c r="V89" s="237"/>
      <c r="W89" s="237"/>
      <c r="X89" s="237"/>
      <c r="Y89" s="237"/>
      <c r="Z89" s="237"/>
      <c r="AH89" s="237"/>
      <c r="AI89" s="237"/>
      <c r="AJ89" s="237"/>
      <c r="AK89" s="237"/>
      <c r="AL89" s="237"/>
      <c r="AM89" s="237"/>
      <c r="AN89" s="237"/>
      <c r="AV89" s="237"/>
      <c r="AW89" s="237"/>
      <c r="AX89" s="237"/>
      <c r="AY89" s="237"/>
      <c r="AZ89" s="237"/>
      <c r="BA89" s="237"/>
      <c r="BB89" s="237"/>
    </row>
    <row r="90">
      <c r="E90" s="133"/>
      <c r="F90" s="237"/>
      <c r="G90" s="237"/>
      <c r="H90" s="131"/>
      <c r="I90" s="131"/>
      <c r="J90" s="131"/>
      <c r="K90" s="131"/>
      <c r="L90" s="131"/>
      <c r="T90" s="237"/>
      <c r="U90" s="237"/>
      <c r="V90" s="237"/>
      <c r="W90" s="237"/>
      <c r="X90" s="237"/>
      <c r="Y90" s="237"/>
      <c r="Z90" s="237"/>
      <c r="AH90" s="237"/>
      <c r="AI90" s="237"/>
      <c r="AJ90" s="237"/>
      <c r="AK90" s="237"/>
      <c r="AL90" s="237"/>
      <c r="AM90" s="237"/>
      <c r="AN90" s="237"/>
      <c r="AV90" s="237"/>
      <c r="AW90" s="237"/>
      <c r="AX90" s="237"/>
      <c r="AY90" s="237"/>
      <c r="AZ90" s="237"/>
      <c r="BA90" s="237"/>
      <c r="BB90" s="237"/>
    </row>
    <row r="91">
      <c r="E91" s="133"/>
      <c r="F91" s="237"/>
      <c r="G91" s="237"/>
      <c r="H91" s="131"/>
      <c r="I91" s="131"/>
      <c r="J91" s="131"/>
      <c r="K91" s="131"/>
      <c r="L91" s="131"/>
      <c r="T91" s="237"/>
      <c r="U91" s="237"/>
      <c r="V91" s="237"/>
      <c r="W91" s="237"/>
      <c r="X91" s="237"/>
      <c r="Y91" s="237"/>
      <c r="Z91" s="237"/>
      <c r="AH91" s="237"/>
      <c r="AI91" s="237"/>
      <c r="AJ91" s="237"/>
      <c r="AK91" s="237"/>
      <c r="AL91" s="237"/>
      <c r="AM91" s="237"/>
      <c r="AN91" s="237"/>
      <c r="AV91" s="237"/>
      <c r="AW91" s="237"/>
      <c r="AX91" s="237"/>
      <c r="AY91" s="237"/>
      <c r="AZ91" s="237"/>
      <c r="BA91" s="237"/>
      <c r="BB91" s="237"/>
    </row>
    <row r="92">
      <c r="E92" s="133"/>
      <c r="F92" s="237"/>
      <c r="G92" s="237"/>
      <c r="H92" s="131"/>
      <c r="I92" s="131"/>
      <c r="J92" s="131"/>
      <c r="K92" s="131"/>
      <c r="L92" s="131"/>
      <c r="T92" s="237"/>
      <c r="U92" s="237"/>
      <c r="V92" s="237"/>
      <c r="W92" s="237"/>
      <c r="X92" s="237"/>
      <c r="Y92" s="237"/>
      <c r="Z92" s="237"/>
      <c r="AH92" s="237"/>
      <c r="AI92" s="237"/>
      <c r="AJ92" s="237"/>
      <c r="AK92" s="237"/>
      <c r="AL92" s="237"/>
      <c r="AM92" s="237"/>
      <c r="AN92" s="237"/>
      <c r="AV92" s="237"/>
      <c r="AW92" s="237"/>
      <c r="AX92" s="237"/>
      <c r="AY92" s="237"/>
      <c r="AZ92" s="237"/>
      <c r="BA92" s="237"/>
      <c r="BB92" s="237"/>
    </row>
    <row r="93">
      <c r="E93" s="133"/>
      <c r="F93" s="237"/>
      <c r="G93" s="237"/>
      <c r="H93" s="131"/>
      <c r="I93" s="131"/>
      <c r="J93" s="131"/>
      <c r="K93" s="131"/>
      <c r="L93" s="131"/>
      <c r="T93" s="237"/>
      <c r="U93" s="237"/>
      <c r="V93" s="237"/>
      <c r="W93" s="237"/>
      <c r="X93" s="237"/>
      <c r="Y93" s="237"/>
      <c r="Z93" s="237"/>
      <c r="AH93" s="237"/>
      <c r="AI93" s="237"/>
      <c r="AJ93" s="237"/>
      <c r="AK93" s="237"/>
      <c r="AL93" s="237"/>
      <c r="AM93" s="237"/>
      <c r="AN93" s="237"/>
      <c r="AV93" s="237"/>
      <c r="AW93" s="237"/>
      <c r="AX93" s="237"/>
      <c r="AY93" s="237"/>
      <c r="AZ93" s="237"/>
      <c r="BA93" s="237"/>
      <c r="BB93" s="237"/>
    </row>
    <row r="94">
      <c r="E94" s="133"/>
      <c r="F94" s="237"/>
      <c r="G94" s="237"/>
      <c r="H94" s="131"/>
      <c r="I94" s="131"/>
      <c r="J94" s="131"/>
      <c r="K94" s="131"/>
      <c r="L94" s="131"/>
      <c r="T94" s="237"/>
      <c r="U94" s="237"/>
      <c r="V94" s="237"/>
      <c r="W94" s="237"/>
      <c r="X94" s="237"/>
      <c r="Y94" s="237"/>
      <c r="Z94" s="237"/>
      <c r="AH94" s="237"/>
      <c r="AI94" s="237"/>
      <c r="AJ94" s="237"/>
      <c r="AK94" s="237"/>
      <c r="AL94" s="237"/>
      <c r="AM94" s="237"/>
      <c r="AN94" s="237"/>
      <c r="AV94" s="237"/>
      <c r="AW94" s="237"/>
      <c r="AX94" s="237"/>
      <c r="AY94" s="237"/>
      <c r="AZ94" s="237"/>
      <c r="BA94" s="237"/>
      <c r="BB94" s="237"/>
    </row>
    <row r="95">
      <c r="E95" s="133"/>
      <c r="F95" s="237"/>
      <c r="G95" s="237"/>
      <c r="H95" s="131"/>
      <c r="I95" s="131"/>
      <c r="J95" s="131"/>
      <c r="K95" s="131"/>
      <c r="L95" s="131"/>
      <c r="T95" s="237"/>
      <c r="U95" s="237"/>
      <c r="V95" s="237"/>
      <c r="W95" s="237"/>
      <c r="X95" s="237"/>
      <c r="Y95" s="237"/>
      <c r="Z95" s="237"/>
      <c r="AH95" s="237"/>
      <c r="AI95" s="237"/>
      <c r="AJ95" s="237"/>
      <c r="AK95" s="237"/>
      <c r="AL95" s="237"/>
      <c r="AM95" s="237"/>
      <c r="AN95" s="237"/>
      <c r="AV95" s="237"/>
      <c r="AW95" s="237"/>
      <c r="AX95" s="237"/>
      <c r="AY95" s="237"/>
      <c r="AZ95" s="237"/>
      <c r="BA95" s="237"/>
      <c r="BB95" s="237"/>
    </row>
    <row r="96">
      <c r="E96" s="133"/>
      <c r="F96" s="237"/>
      <c r="G96" s="237"/>
      <c r="H96" s="131"/>
      <c r="I96" s="131"/>
      <c r="J96" s="131"/>
      <c r="K96" s="131"/>
      <c r="L96" s="131"/>
      <c r="T96" s="237"/>
      <c r="U96" s="237"/>
      <c r="V96" s="237"/>
      <c r="W96" s="237"/>
      <c r="X96" s="237"/>
      <c r="Y96" s="237"/>
      <c r="Z96" s="237"/>
      <c r="AH96" s="237"/>
      <c r="AI96" s="237"/>
      <c r="AJ96" s="237"/>
      <c r="AK96" s="237"/>
      <c r="AL96" s="237"/>
      <c r="AM96" s="237"/>
      <c r="AN96" s="237"/>
      <c r="AV96" s="237"/>
      <c r="AW96" s="237"/>
      <c r="AX96" s="237"/>
      <c r="AY96" s="237"/>
      <c r="AZ96" s="237"/>
      <c r="BA96" s="237"/>
      <c r="BB96" s="237"/>
    </row>
    <row r="97">
      <c r="E97" s="133"/>
      <c r="F97" s="237"/>
      <c r="G97" s="237"/>
      <c r="H97" s="131"/>
      <c r="I97" s="131"/>
      <c r="J97" s="131"/>
      <c r="K97" s="131"/>
      <c r="L97" s="131"/>
      <c r="T97" s="237"/>
      <c r="U97" s="237"/>
      <c r="V97" s="237"/>
      <c r="W97" s="237"/>
      <c r="X97" s="237"/>
      <c r="Y97" s="237"/>
      <c r="Z97" s="237"/>
      <c r="AH97" s="237"/>
      <c r="AI97" s="237"/>
      <c r="AJ97" s="237"/>
      <c r="AK97" s="237"/>
      <c r="AL97" s="237"/>
      <c r="AM97" s="237"/>
      <c r="AN97" s="237"/>
      <c r="AV97" s="237"/>
      <c r="AW97" s="237"/>
      <c r="AX97" s="237"/>
      <c r="AY97" s="237"/>
      <c r="AZ97" s="237"/>
      <c r="BA97" s="237"/>
      <c r="BB97" s="237"/>
    </row>
    <row r="98">
      <c r="E98" s="133"/>
      <c r="F98" s="237"/>
      <c r="G98" s="237"/>
      <c r="H98" s="131"/>
      <c r="I98" s="131"/>
      <c r="J98" s="131"/>
      <c r="K98" s="131"/>
      <c r="L98" s="131"/>
      <c r="T98" s="237"/>
      <c r="U98" s="237"/>
      <c r="V98" s="237"/>
      <c r="W98" s="237"/>
      <c r="X98" s="237"/>
      <c r="Y98" s="237"/>
      <c r="Z98" s="237"/>
      <c r="AH98" s="237"/>
      <c r="AI98" s="237"/>
      <c r="AJ98" s="237"/>
      <c r="AK98" s="237"/>
      <c r="AL98" s="237"/>
      <c r="AM98" s="237"/>
      <c r="AN98" s="237"/>
      <c r="AV98" s="237"/>
      <c r="AW98" s="237"/>
      <c r="AX98" s="237"/>
      <c r="AY98" s="237"/>
      <c r="AZ98" s="237"/>
      <c r="BA98" s="237"/>
      <c r="BB98" s="237"/>
    </row>
    <row r="99">
      <c r="E99" s="133"/>
      <c r="F99" s="237"/>
      <c r="G99" s="237"/>
      <c r="H99" s="131"/>
      <c r="I99" s="131"/>
      <c r="J99" s="131"/>
      <c r="K99" s="131"/>
      <c r="L99" s="131"/>
      <c r="T99" s="237"/>
      <c r="U99" s="237"/>
      <c r="V99" s="237"/>
      <c r="W99" s="237"/>
      <c r="X99" s="237"/>
      <c r="Y99" s="237"/>
      <c r="Z99" s="237"/>
      <c r="AH99" s="237"/>
      <c r="AI99" s="237"/>
      <c r="AJ99" s="237"/>
      <c r="AK99" s="237"/>
      <c r="AL99" s="237"/>
      <c r="AM99" s="237"/>
      <c r="AN99" s="237"/>
      <c r="AV99" s="237"/>
      <c r="AW99" s="237"/>
      <c r="AX99" s="237"/>
      <c r="AY99" s="237"/>
      <c r="AZ99" s="237"/>
      <c r="BA99" s="237"/>
      <c r="BB99" s="237"/>
    </row>
    <row r="100">
      <c r="E100" s="133"/>
      <c r="F100" s="237"/>
      <c r="G100" s="237"/>
      <c r="H100" s="131"/>
      <c r="I100" s="131"/>
      <c r="J100" s="131"/>
      <c r="K100" s="131"/>
      <c r="L100" s="131"/>
      <c r="T100" s="237"/>
      <c r="U100" s="237"/>
      <c r="V100" s="237"/>
      <c r="W100" s="237"/>
      <c r="X100" s="237"/>
      <c r="Y100" s="237"/>
      <c r="Z100" s="237"/>
      <c r="AH100" s="237"/>
      <c r="AI100" s="237"/>
      <c r="AJ100" s="237"/>
      <c r="AK100" s="237"/>
      <c r="AL100" s="237"/>
      <c r="AM100" s="237"/>
      <c r="AN100" s="237"/>
      <c r="AV100" s="237"/>
      <c r="AW100" s="237"/>
      <c r="AX100" s="237"/>
      <c r="AY100" s="237"/>
      <c r="AZ100" s="237"/>
      <c r="BA100" s="237"/>
      <c r="BB100" s="237"/>
    </row>
    <row r="101">
      <c r="E101" s="133"/>
      <c r="F101" s="237"/>
      <c r="G101" s="237"/>
      <c r="H101" s="131"/>
      <c r="I101" s="131"/>
      <c r="J101" s="131"/>
      <c r="K101" s="131"/>
      <c r="L101" s="131"/>
      <c r="T101" s="237"/>
      <c r="U101" s="237"/>
      <c r="V101" s="237"/>
      <c r="W101" s="237"/>
      <c r="X101" s="237"/>
      <c r="Y101" s="237"/>
      <c r="Z101" s="237"/>
      <c r="AH101" s="237"/>
      <c r="AI101" s="237"/>
      <c r="AJ101" s="237"/>
      <c r="AK101" s="237"/>
      <c r="AL101" s="237"/>
      <c r="AM101" s="237"/>
      <c r="AN101" s="237"/>
      <c r="AV101" s="237"/>
      <c r="AW101" s="237"/>
      <c r="AX101" s="237"/>
      <c r="AY101" s="237"/>
      <c r="AZ101" s="237"/>
      <c r="BA101" s="237"/>
      <c r="BB101" s="237"/>
    </row>
    <row r="102">
      <c r="E102" s="133"/>
      <c r="F102" s="237"/>
      <c r="G102" s="237"/>
      <c r="H102" s="131"/>
      <c r="I102" s="131"/>
      <c r="J102" s="131"/>
      <c r="K102" s="131"/>
      <c r="L102" s="131"/>
      <c r="T102" s="237"/>
      <c r="U102" s="237"/>
      <c r="V102" s="237"/>
      <c r="W102" s="237"/>
      <c r="X102" s="237"/>
      <c r="Y102" s="237"/>
      <c r="Z102" s="237"/>
      <c r="AH102" s="237"/>
      <c r="AI102" s="237"/>
      <c r="AJ102" s="237"/>
      <c r="AK102" s="237"/>
      <c r="AL102" s="237"/>
      <c r="AM102" s="237"/>
      <c r="AN102" s="237"/>
      <c r="AV102" s="237"/>
      <c r="AW102" s="237"/>
      <c r="AX102" s="237"/>
      <c r="AY102" s="237"/>
      <c r="AZ102" s="237"/>
      <c r="BA102" s="237"/>
      <c r="BB102" s="237"/>
    </row>
    <row r="103">
      <c r="E103" s="133"/>
      <c r="F103" s="237"/>
      <c r="G103" s="237"/>
      <c r="H103" s="131"/>
      <c r="I103" s="131"/>
      <c r="J103" s="131"/>
      <c r="K103" s="131"/>
      <c r="L103" s="131"/>
      <c r="T103" s="237"/>
      <c r="U103" s="237"/>
      <c r="V103" s="237"/>
      <c r="W103" s="237"/>
      <c r="X103" s="237"/>
      <c r="Y103" s="237"/>
      <c r="Z103" s="237"/>
      <c r="AH103" s="237"/>
      <c r="AI103" s="237"/>
      <c r="AJ103" s="237"/>
      <c r="AK103" s="237"/>
      <c r="AL103" s="237"/>
      <c r="AM103" s="237"/>
      <c r="AN103" s="237"/>
      <c r="AV103" s="237"/>
      <c r="AW103" s="237"/>
      <c r="AX103" s="237"/>
      <c r="AY103" s="237"/>
      <c r="AZ103" s="237"/>
      <c r="BA103" s="237"/>
      <c r="BB103" s="237"/>
    </row>
    <row r="104">
      <c r="E104" s="133"/>
      <c r="F104" s="237"/>
      <c r="G104" s="237"/>
      <c r="H104" s="131"/>
      <c r="I104" s="131"/>
      <c r="J104" s="131"/>
      <c r="K104" s="131"/>
      <c r="L104" s="131"/>
      <c r="T104" s="237"/>
      <c r="U104" s="237"/>
      <c r="V104" s="237"/>
      <c r="W104" s="237"/>
      <c r="X104" s="237"/>
      <c r="Y104" s="237"/>
      <c r="Z104" s="237"/>
      <c r="AH104" s="237"/>
      <c r="AI104" s="237"/>
      <c r="AJ104" s="237"/>
      <c r="AK104" s="237"/>
      <c r="AL104" s="237"/>
      <c r="AM104" s="237"/>
      <c r="AN104" s="237"/>
      <c r="AV104" s="237"/>
      <c r="AW104" s="237"/>
      <c r="AX104" s="237"/>
      <c r="AY104" s="237"/>
      <c r="AZ104" s="237"/>
      <c r="BA104" s="237"/>
      <c r="BB104" s="237"/>
    </row>
    <row r="105">
      <c r="E105" s="133"/>
      <c r="F105" s="237"/>
      <c r="G105" s="237"/>
      <c r="H105" s="131"/>
      <c r="I105" s="131"/>
      <c r="J105" s="131"/>
      <c r="K105" s="131"/>
      <c r="L105" s="131"/>
      <c r="T105" s="237"/>
      <c r="U105" s="237"/>
      <c r="V105" s="237"/>
      <c r="W105" s="237"/>
      <c r="X105" s="237"/>
      <c r="Y105" s="237"/>
      <c r="Z105" s="237"/>
      <c r="AH105" s="237"/>
      <c r="AI105" s="237"/>
      <c r="AJ105" s="237"/>
      <c r="AK105" s="237"/>
      <c r="AL105" s="237"/>
      <c r="AM105" s="237"/>
      <c r="AN105" s="237"/>
      <c r="AV105" s="237"/>
      <c r="AW105" s="237"/>
      <c r="AX105" s="237"/>
      <c r="AY105" s="237"/>
      <c r="AZ105" s="237"/>
      <c r="BA105" s="237"/>
      <c r="BB105" s="237"/>
    </row>
    <row r="106">
      <c r="E106" s="133"/>
      <c r="F106" s="237"/>
      <c r="G106" s="237"/>
      <c r="H106" s="131"/>
      <c r="I106" s="131"/>
      <c r="J106" s="131"/>
      <c r="K106" s="131"/>
      <c r="L106" s="131"/>
      <c r="T106" s="237"/>
      <c r="U106" s="237"/>
      <c r="V106" s="237"/>
      <c r="W106" s="237"/>
      <c r="X106" s="237"/>
      <c r="Y106" s="237"/>
      <c r="Z106" s="237"/>
      <c r="AH106" s="237"/>
      <c r="AI106" s="237"/>
      <c r="AJ106" s="237"/>
      <c r="AK106" s="237"/>
      <c r="AL106" s="237"/>
      <c r="AM106" s="237"/>
      <c r="AN106" s="237"/>
      <c r="AV106" s="237"/>
      <c r="AW106" s="237"/>
      <c r="AX106" s="237"/>
      <c r="AY106" s="237"/>
      <c r="AZ106" s="237"/>
      <c r="BA106" s="237"/>
      <c r="BB106" s="237"/>
    </row>
    <row r="107">
      <c r="E107" s="133"/>
      <c r="F107" s="237"/>
      <c r="G107" s="237"/>
      <c r="H107" s="131"/>
      <c r="I107" s="131"/>
      <c r="J107" s="131"/>
      <c r="K107" s="131"/>
      <c r="L107" s="131"/>
      <c r="T107" s="237"/>
      <c r="U107" s="237"/>
      <c r="V107" s="237"/>
      <c r="W107" s="237"/>
      <c r="X107" s="237"/>
      <c r="Y107" s="237"/>
      <c r="Z107" s="237"/>
      <c r="AH107" s="237"/>
      <c r="AI107" s="237"/>
      <c r="AJ107" s="237"/>
      <c r="AK107" s="237"/>
      <c r="AL107" s="237"/>
      <c r="AM107" s="237"/>
      <c r="AN107" s="237"/>
      <c r="AV107" s="237"/>
      <c r="AW107" s="237"/>
      <c r="AX107" s="237"/>
      <c r="AY107" s="237"/>
      <c r="AZ107" s="237"/>
      <c r="BA107" s="237"/>
      <c r="BB107" s="237"/>
    </row>
    <row r="108">
      <c r="E108" s="133"/>
      <c r="F108" s="237"/>
      <c r="G108" s="237"/>
      <c r="H108" s="131"/>
      <c r="I108" s="131"/>
      <c r="J108" s="131"/>
      <c r="K108" s="131"/>
      <c r="L108" s="131"/>
      <c r="T108" s="237"/>
      <c r="U108" s="237"/>
      <c r="V108" s="237"/>
      <c r="W108" s="237"/>
      <c r="X108" s="237"/>
      <c r="Y108" s="237"/>
      <c r="Z108" s="237"/>
      <c r="AH108" s="237"/>
      <c r="AI108" s="237"/>
      <c r="AJ108" s="237"/>
      <c r="AK108" s="237"/>
      <c r="AL108" s="237"/>
      <c r="AM108" s="237"/>
      <c r="AN108" s="237"/>
      <c r="AV108" s="237"/>
      <c r="AW108" s="237"/>
      <c r="AX108" s="237"/>
      <c r="AY108" s="237"/>
      <c r="AZ108" s="237"/>
      <c r="BA108" s="237"/>
      <c r="BB108" s="237"/>
    </row>
    <row r="109">
      <c r="E109" s="133"/>
      <c r="F109" s="237"/>
      <c r="G109" s="237"/>
      <c r="H109" s="131"/>
      <c r="I109" s="131"/>
      <c r="J109" s="131"/>
      <c r="K109" s="131"/>
      <c r="L109" s="131"/>
      <c r="T109" s="237"/>
      <c r="U109" s="237"/>
      <c r="V109" s="237"/>
      <c r="W109" s="237"/>
      <c r="X109" s="237"/>
      <c r="Y109" s="237"/>
      <c r="Z109" s="237"/>
      <c r="AH109" s="237"/>
      <c r="AI109" s="237"/>
      <c r="AJ109" s="237"/>
      <c r="AK109" s="237"/>
      <c r="AL109" s="237"/>
      <c r="AM109" s="237"/>
      <c r="AN109" s="237"/>
      <c r="AV109" s="237"/>
      <c r="AW109" s="237"/>
      <c r="AX109" s="237"/>
      <c r="AY109" s="237"/>
      <c r="AZ109" s="237"/>
      <c r="BA109" s="237"/>
      <c r="BB109" s="237"/>
    </row>
    <row r="110">
      <c r="E110" s="133"/>
      <c r="F110" s="237"/>
      <c r="G110" s="237"/>
      <c r="H110" s="131"/>
      <c r="I110" s="131"/>
      <c r="J110" s="131"/>
      <c r="K110" s="131"/>
      <c r="L110" s="131"/>
      <c r="T110" s="237"/>
      <c r="U110" s="237"/>
      <c r="V110" s="237"/>
      <c r="W110" s="237"/>
      <c r="X110" s="237"/>
      <c r="Y110" s="237"/>
      <c r="Z110" s="237"/>
      <c r="AH110" s="237"/>
      <c r="AI110" s="237"/>
      <c r="AJ110" s="237"/>
      <c r="AK110" s="237"/>
      <c r="AL110" s="237"/>
      <c r="AM110" s="237"/>
      <c r="AN110" s="237"/>
      <c r="AV110" s="237"/>
      <c r="AW110" s="237"/>
      <c r="AX110" s="237"/>
      <c r="AY110" s="237"/>
      <c r="AZ110" s="237"/>
      <c r="BA110" s="237"/>
      <c r="BB110" s="237"/>
    </row>
    <row r="111">
      <c r="E111" s="133"/>
      <c r="F111" s="237"/>
      <c r="G111" s="237"/>
      <c r="H111" s="131"/>
      <c r="I111" s="131"/>
      <c r="J111" s="131"/>
      <c r="K111" s="131"/>
      <c r="L111" s="131"/>
      <c r="T111" s="237"/>
      <c r="U111" s="237"/>
      <c r="V111" s="237"/>
      <c r="W111" s="237"/>
      <c r="X111" s="237"/>
      <c r="Y111" s="237"/>
      <c r="Z111" s="237"/>
      <c r="AH111" s="237"/>
      <c r="AI111" s="237"/>
      <c r="AJ111" s="237"/>
      <c r="AK111" s="237"/>
      <c r="AL111" s="237"/>
      <c r="AM111" s="237"/>
      <c r="AN111" s="237"/>
      <c r="AV111" s="237"/>
      <c r="AW111" s="237"/>
      <c r="AX111" s="237"/>
      <c r="AY111" s="237"/>
      <c r="AZ111" s="237"/>
      <c r="BA111" s="237"/>
      <c r="BB111" s="237"/>
    </row>
    <row r="112">
      <c r="E112" s="133"/>
      <c r="F112" s="237"/>
      <c r="G112" s="237"/>
      <c r="H112" s="131"/>
      <c r="I112" s="131"/>
      <c r="J112" s="131"/>
      <c r="K112" s="131"/>
      <c r="L112" s="131"/>
      <c r="T112" s="237"/>
      <c r="U112" s="237"/>
      <c r="V112" s="237"/>
      <c r="W112" s="237"/>
      <c r="X112" s="237"/>
      <c r="Y112" s="237"/>
      <c r="Z112" s="237"/>
      <c r="AH112" s="237"/>
      <c r="AI112" s="237"/>
      <c r="AJ112" s="237"/>
      <c r="AK112" s="237"/>
      <c r="AL112" s="237"/>
      <c r="AM112" s="237"/>
      <c r="AN112" s="237"/>
      <c r="AV112" s="237"/>
      <c r="AW112" s="237"/>
      <c r="AX112" s="237"/>
      <c r="AY112" s="237"/>
      <c r="AZ112" s="237"/>
      <c r="BA112" s="237"/>
      <c r="BB112" s="237"/>
    </row>
    <row r="113">
      <c r="E113" s="133"/>
      <c r="F113" s="237"/>
      <c r="G113" s="237"/>
      <c r="H113" s="131"/>
      <c r="I113" s="131"/>
      <c r="J113" s="131"/>
      <c r="K113" s="131"/>
      <c r="L113" s="131"/>
      <c r="T113" s="237"/>
      <c r="U113" s="237"/>
      <c r="V113" s="237"/>
      <c r="W113" s="237"/>
      <c r="X113" s="237"/>
      <c r="Y113" s="237"/>
      <c r="Z113" s="237"/>
      <c r="AH113" s="237"/>
      <c r="AI113" s="237"/>
      <c r="AJ113" s="237"/>
      <c r="AK113" s="237"/>
      <c r="AL113" s="237"/>
      <c r="AM113" s="237"/>
      <c r="AN113" s="237"/>
      <c r="AV113" s="237"/>
      <c r="AW113" s="237"/>
      <c r="AX113" s="237"/>
      <c r="AY113" s="237"/>
      <c r="AZ113" s="237"/>
      <c r="BA113" s="237"/>
      <c r="BB113" s="237"/>
    </row>
    <row r="114">
      <c r="E114" s="133"/>
      <c r="F114" s="237"/>
      <c r="G114" s="237"/>
      <c r="H114" s="131"/>
      <c r="I114" s="131"/>
      <c r="J114" s="131"/>
      <c r="K114" s="131"/>
      <c r="L114" s="131"/>
      <c r="T114" s="237"/>
      <c r="U114" s="237"/>
      <c r="V114" s="237"/>
      <c r="W114" s="237"/>
      <c r="X114" s="237"/>
      <c r="Y114" s="237"/>
      <c r="Z114" s="237"/>
      <c r="AH114" s="237"/>
      <c r="AI114" s="237"/>
      <c r="AJ114" s="237"/>
      <c r="AK114" s="237"/>
      <c r="AL114" s="237"/>
      <c r="AM114" s="237"/>
      <c r="AN114" s="237"/>
      <c r="AV114" s="237"/>
      <c r="AW114" s="237"/>
      <c r="AX114" s="237"/>
      <c r="AY114" s="237"/>
      <c r="AZ114" s="237"/>
      <c r="BA114" s="237"/>
      <c r="BB114" s="237"/>
    </row>
    <row r="115">
      <c r="E115" s="133"/>
      <c r="F115" s="237"/>
      <c r="G115" s="237"/>
      <c r="H115" s="131"/>
      <c r="I115" s="131"/>
      <c r="J115" s="131"/>
      <c r="K115" s="131"/>
      <c r="L115" s="131"/>
      <c r="T115" s="237"/>
      <c r="U115" s="237"/>
      <c r="V115" s="237"/>
      <c r="W115" s="237"/>
      <c r="X115" s="237"/>
      <c r="Y115" s="237"/>
      <c r="Z115" s="237"/>
      <c r="AH115" s="237"/>
      <c r="AI115" s="237"/>
      <c r="AJ115" s="237"/>
      <c r="AK115" s="237"/>
      <c r="AL115" s="237"/>
      <c r="AM115" s="237"/>
      <c r="AN115" s="237"/>
      <c r="AV115" s="237"/>
      <c r="AW115" s="237"/>
      <c r="AX115" s="237"/>
      <c r="AY115" s="237"/>
      <c r="AZ115" s="237"/>
      <c r="BA115" s="237"/>
      <c r="BB115" s="237"/>
    </row>
    <row r="116">
      <c r="E116" s="133"/>
      <c r="F116" s="237"/>
      <c r="G116" s="237"/>
      <c r="H116" s="131"/>
      <c r="I116" s="131"/>
      <c r="J116" s="131"/>
      <c r="K116" s="131"/>
      <c r="L116" s="131"/>
      <c r="T116" s="237"/>
      <c r="U116" s="237"/>
      <c r="V116" s="237"/>
      <c r="W116" s="237"/>
      <c r="X116" s="237"/>
      <c r="Y116" s="237"/>
      <c r="Z116" s="237"/>
      <c r="AH116" s="237"/>
      <c r="AI116" s="237"/>
      <c r="AJ116" s="237"/>
      <c r="AK116" s="237"/>
      <c r="AL116" s="237"/>
      <c r="AM116" s="237"/>
      <c r="AN116" s="237"/>
      <c r="AV116" s="237"/>
      <c r="AW116" s="237"/>
      <c r="AX116" s="237"/>
      <c r="AY116" s="237"/>
      <c r="AZ116" s="237"/>
      <c r="BA116" s="237"/>
      <c r="BB116" s="237"/>
    </row>
    <row r="117">
      <c r="E117" s="133"/>
      <c r="F117" s="237"/>
      <c r="G117" s="237"/>
      <c r="H117" s="131"/>
      <c r="I117" s="131"/>
      <c r="J117" s="131"/>
      <c r="K117" s="131"/>
      <c r="L117" s="131"/>
      <c r="T117" s="237"/>
      <c r="U117" s="237"/>
      <c r="V117" s="237"/>
      <c r="W117" s="237"/>
      <c r="X117" s="237"/>
      <c r="Y117" s="237"/>
      <c r="Z117" s="237"/>
      <c r="AH117" s="237"/>
      <c r="AI117" s="237"/>
      <c r="AJ117" s="237"/>
      <c r="AK117" s="237"/>
      <c r="AL117" s="237"/>
      <c r="AM117" s="237"/>
      <c r="AN117" s="237"/>
      <c r="AV117" s="237"/>
      <c r="AW117" s="237"/>
      <c r="AX117" s="237"/>
      <c r="AY117" s="237"/>
      <c r="AZ117" s="237"/>
      <c r="BA117" s="237"/>
      <c r="BB117" s="237"/>
    </row>
    <row r="118">
      <c r="E118" s="133"/>
      <c r="F118" s="237"/>
      <c r="G118" s="237"/>
      <c r="H118" s="131"/>
      <c r="I118" s="131"/>
      <c r="J118" s="131"/>
      <c r="K118" s="131"/>
      <c r="L118" s="131"/>
      <c r="T118" s="237"/>
      <c r="U118" s="237"/>
      <c r="V118" s="237"/>
      <c r="W118" s="237"/>
      <c r="X118" s="237"/>
      <c r="Y118" s="237"/>
      <c r="Z118" s="237"/>
      <c r="AH118" s="237"/>
      <c r="AI118" s="237"/>
      <c r="AJ118" s="237"/>
      <c r="AK118" s="237"/>
      <c r="AL118" s="237"/>
      <c r="AM118" s="237"/>
      <c r="AN118" s="237"/>
      <c r="AV118" s="237"/>
      <c r="AW118" s="237"/>
      <c r="AX118" s="237"/>
      <c r="AY118" s="237"/>
      <c r="AZ118" s="237"/>
      <c r="BA118" s="237"/>
      <c r="BB118" s="237"/>
    </row>
    <row r="119">
      <c r="E119" s="133"/>
      <c r="F119" s="237"/>
      <c r="G119" s="237"/>
      <c r="H119" s="131"/>
      <c r="I119" s="131"/>
      <c r="J119" s="131"/>
      <c r="K119" s="131"/>
      <c r="L119" s="131"/>
      <c r="T119" s="237"/>
      <c r="U119" s="237"/>
      <c r="V119" s="237"/>
      <c r="W119" s="237"/>
      <c r="X119" s="237"/>
      <c r="Y119" s="237"/>
      <c r="Z119" s="237"/>
      <c r="AH119" s="237"/>
      <c r="AI119" s="237"/>
      <c r="AJ119" s="237"/>
      <c r="AK119" s="237"/>
      <c r="AL119" s="237"/>
      <c r="AM119" s="237"/>
      <c r="AN119" s="237"/>
      <c r="AV119" s="237"/>
      <c r="AW119" s="237"/>
      <c r="AX119" s="237"/>
      <c r="AY119" s="237"/>
      <c r="AZ119" s="237"/>
      <c r="BA119" s="237"/>
      <c r="BB119" s="237"/>
    </row>
    <row r="120">
      <c r="E120" s="133"/>
      <c r="F120" s="237"/>
      <c r="G120" s="237"/>
      <c r="H120" s="131"/>
      <c r="I120" s="131"/>
      <c r="J120" s="131"/>
      <c r="K120" s="131"/>
      <c r="L120" s="131"/>
      <c r="T120" s="237"/>
      <c r="U120" s="237"/>
      <c r="V120" s="237"/>
      <c r="W120" s="237"/>
      <c r="X120" s="237"/>
      <c r="Y120" s="237"/>
      <c r="Z120" s="237"/>
      <c r="AH120" s="237"/>
      <c r="AI120" s="237"/>
      <c r="AJ120" s="237"/>
      <c r="AK120" s="237"/>
      <c r="AL120" s="237"/>
      <c r="AM120" s="237"/>
      <c r="AN120" s="237"/>
      <c r="AV120" s="237"/>
      <c r="AW120" s="237"/>
      <c r="AX120" s="237"/>
      <c r="AY120" s="237"/>
      <c r="AZ120" s="237"/>
      <c r="BA120" s="237"/>
      <c r="BB120" s="237"/>
    </row>
    <row r="121">
      <c r="E121" s="133"/>
      <c r="F121" s="237"/>
      <c r="G121" s="237"/>
      <c r="H121" s="131"/>
      <c r="I121" s="131"/>
      <c r="J121" s="131"/>
      <c r="K121" s="131"/>
      <c r="L121" s="131"/>
      <c r="T121" s="237"/>
      <c r="U121" s="237"/>
      <c r="V121" s="237"/>
      <c r="W121" s="237"/>
      <c r="X121" s="237"/>
      <c r="Y121" s="237"/>
      <c r="Z121" s="237"/>
      <c r="AH121" s="237"/>
      <c r="AI121" s="237"/>
      <c r="AJ121" s="237"/>
      <c r="AK121" s="237"/>
      <c r="AL121" s="237"/>
      <c r="AM121" s="237"/>
      <c r="AN121" s="237"/>
      <c r="AV121" s="237"/>
      <c r="AW121" s="237"/>
      <c r="AX121" s="237"/>
      <c r="AY121" s="237"/>
      <c r="AZ121" s="237"/>
      <c r="BA121" s="237"/>
      <c r="BB121" s="237"/>
    </row>
    <row r="122">
      <c r="E122" s="133"/>
      <c r="F122" s="237"/>
      <c r="G122" s="237"/>
      <c r="H122" s="131"/>
      <c r="I122" s="131"/>
      <c r="J122" s="131"/>
      <c r="K122" s="131"/>
      <c r="L122" s="131"/>
      <c r="T122" s="237"/>
      <c r="U122" s="237"/>
      <c r="V122" s="237"/>
      <c r="W122" s="237"/>
      <c r="X122" s="237"/>
      <c r="Y122" s="237"/>
      <c r="Z122" s="237"/>
      <c r="AH122" s="237"/>
      <c r="AI122" s="237"/>
      <c r="AJ122" s="237"/>
      <c r="AK122" s="237"/>
      <c r="AL122" s="237"/>
      <c r="AM122" s="237"/>
      <c r="AN122" s="237"/>
      <c r="AV122" s="237"/>
      <c r="AW122" s="237"/>
      <c r="AX122" s="237"/>
      <c r="AY122" s="237"/>
      <c r="AZ122" s="237"/>
      <c r="BA122" s="237"/>
      <c r="BB122" s="237"/>
    </row>
    <row r="123">
      <c r="E123" s="133"/>
      <c r="F123" s="237"/>
      <c r="G123" s="237"/>
      <c r="H123" s="131"/>
      <c r="I123" s="131"/>
      <c r="J123" s="131"/>
      <c r="K123" s="131"/>
      <c r="L123" s="131"/>
      <c r="T123" s="237"/>
      <c r="U123" s="237"/>
      <c r="V123" s="237"/>
      <c r="W123" s="237"/>
      <c r="X123" s="237"/>
      <c r="Y123" s="237"/>
      <c r="Z123" s="237"/>
      <c r="AH123" s="237"/>
      <c r="AI123" s="237"/>
      <c r="AJ123" s="237"/>
      <c r="AK123" s="237"/>
      <c r="AL123" s="237"/>
      <c r="AM123" s="237"/>
      <c r="AN123" s="237"/>
      <c r="AV123" s="237"/>
      <c r="AW123" s="237"/>
      <c r="AX123" s="237"/>
      <c r="AY123" s="237"/>
      <c r="AZ123" s="237"/>
      <c r="BA123" s="237"/>
      <c r="BB123" s="237"/>
    </row>
    <row r="124">
      <c r="E124" s="133"/>
      <c r="F124" s="237"/>
      <c r="G124" s="237"/>
      <c r="H124" s="131"/>
      <c r="I124" s="131"/>
      <c r="J124" s="131"/>
      <c r="K124" s="131"/>
      <c r="L124" s="131"/>
      <c r="T124" s="237"/>
      <c r="U124" s="237"/>
      <c r="V124" s="237"/>
      <c r="W124" s="237"/>
      <c r="X124" s="237"/>
      <c r="Y124" s="237"/>
      <c r="Z124" s="237"/>
      <c r="AH124" s="237"/>
      <c r="AI124" s="237"/>
      <c r="AJ124" s="237"/>
      <c r="AK124" s="237"/>
      <c r="AL124" s="237"/>
      <c r="AM124" s="237"/>
      <c r="AN124" s="237"/>
      <c r="AV124" s="237"/>
      <c r="AW124" s="237"/>
      <c r="AX124" s="237"/>
      <c r="AY124" s="237"/>
      <c r="AZ124" s="237"/>
      <c r="BA124" s="237"/>
      <c r="BB124" s="237"/>
    </row>
    <row r="125">
      <c r="E125" s="133"/>
      <c r="F125" s="237"/>
      <c r="G125" s="237"/>
      <c r="H125" s="131"/>
      <c r="I125" s="131"/>
      <c r="J125" s="131"/>
      <c r="K125" s="131"/>
      <c r="L125" s="131"/>
      <c r="T125" s="237"/>
      <c r="U125" s="237"/>
      <c r="V125" s="237"/>
      <c r="W125" s="237"/>
      <c r="X125" s="237"/>
      <c r="Y125" s="237"/>
      <c r="Z125" s="237"/>
      <c r="AH125" s="237"/>
      <c r="AI125" s="237"/>
      <c r="AJ125" s="237"/>
      <c r="AK125" s="237"/>
      <c r="AL125" s="237"/>
      <c r="AM125" s="237"/>
      <c r="AN125" s="237"/>
      <c r="AV125" s="237"/>
      <c r="AW125" s="237"/>
      <c r="AX125" s="237"/>
      <c r="AY125" s="237"/>
      <c r="AZ125" s="237"/>
      <c r="BA125" s="237"/>
      <c r="BB125" s="237"/>
    </row>
    <row r="126">
      <c r="E126" s="133"/>
      <c r="F126" s="237"/>
      <c r="G126" s="237"/>
      <c r="H126" s="131"/>
      <c r="I126" s="131"/>
      <c r="J126" s="131"/>
      <c r="K126" s="131"/>
      <c r="L126" s="131"/>
      <c r="T126" s="237"/>
      <c r="U126" s="237"/>
      <c r="V126" s="237"/>
      <c r="W126" s="237"/>
      <c r="X126" s="237"/>
      <c r="Y126" s="237"/>
      <c r="Z126" s="237"/>
      <c r="AH126" s="237"/>
      <c r="AI126" s="237"/>
      <c r="AJ126" s="237"/>
      <c r="AK126" s="237"/>
      <c r="AL126" s="237"/>
      <c r="AM126" s="237"/>
      <c r="AN126" s="237"/>
      <c r="AV126" s="237"/>
      <c r="AW126" s="237"/>
      <c r="AX126" s="237"/>
      <c r="AY126" s="237"/>
      <c r="AZ126" s="237"/>
      <c r="BA126" s="237"/>
      <c r="BB126" s="237"/>
    </row>
    <row r="127">
      <c r="E127" s="133"/>
      <c r="F127" s="237"/>
      <c r="G127" s="237"/>
      <c r="H127" s="131"/>
      <c r="I127" s="131"/>
      <c r="J127" s="131"/>
      <c r="K127" s="131"/>
      <c r="L127" s="131"/>
      <c r="T127" s="237"/>
      <c r="U127" s="237"/>
      <c r="V127" s="237"/>
      <c r="W127" s="237"/>
      <c r="X127" s="237"/>
      <c r="Y127" s="237"/>
      <c r="Z127" s="237"/>
      <c r="AH127" s="237"/>
      <c r="AI127" s="237"/>
      <c r="AJ127" s="237"/>
      <c r="AK127" s="237"/>
      <c r="AL127" s="237"/>
      <c r="AM127" s="237"/>
      <c r="AN127" s="237"/>
      <c r="AV127" s="237"/>
      <c r="AW127" s="237"/>
      <c r="AX127" s="237"/>
      <c r="AY127" s="237"/>
      <c r="AZ127" s="237"/>
      <c r="BA127" s="237"/>
      <c r="BB127" s="237"/>
    </row>
    <row r="128">
      <c r="E128" s="133"/>
      <c r="F128" s="237"/>
      <c r="G128" s="237"/>
      <c r="H128" s="131"/>
      <c r="I128" s="131"/>
      <c r="J128" s="131"/>
      <c r="K128" s="131"/>
      <c r="L128" s="131"/>
      <c r="T128" s="237"/>
      <c r="U128" s="237"/>
      <c r="V128" s="237"/>
      <c r="W128" s="237"/>
      <c r="X128" s="237"/>
      <c r="Y128" s="237"/>
      <c r="Z128" s="237"/>
      <c r="AH128" s="237"/>
      <c r="AI128" s="237"/>
      <c r="AJ128" s="237"/>
      <c r="AK128" s="237"/>
      <c r="AL128" s="237"/>
      <c r="AM128" s="237"/>
      <c r="AN128" s="237"/>
      <c r="AV128" s="237"/>
      <c r="AW128" s="237"/>
      <c r="AX128" s="237"/>
      <c r="AY128" s="237"/>
      <c r="AZ128" s="237"/>
      <c r="BA128" s="237"/>
      <c r="BB128" s="237"/>
    </row>
    <row r="129">
      <c r="E129" s="133"/>
      <c r="F129" s="237"/>
      <c r="G129" s="237"/>
      <c r="H129" s="131"/>
      <c r="I129" s="131"/>
      <c r="J129" s="131"/>
      <c r="K129" s="131"/>
      <c r="L129" s="131"/>
      <c r="T129" s="237"/>
      <c r="U129" s="237"/>
      <c r="V129" s="237"/>
      <c r="W129" s="237"/>
      <c r="X129" s="237"/>
      <c r="Y129" s="237"/>
      <c r="Z129" s="237"/>
      <c r="AH129" s="237"/>
      <c r="AI129" s="237"/>
      <c r="AJ129" s="237"/>
      <c r="AK129" s="237"/>
      <c r="AL129" s="237"/>
      <c r="AM129" s="237"/>
      <c r="AN129" s="237"/>
      <c r="AV129" s="237"/>
      <c r="AW129" s="237"/>
      <c r="AX129" s="237"/>
      <c r="AY129" s="237"/>
      <c r="AZ129" s="237"/>
      <c r="BA129" s="237"/>
      <c r="BB129" s="237"/>
    </row>
    <row r="130">
      <c r="E130" s="133"/>
      <c r="F130" s="237"/>
      <c r="G130" s="237"/>
      <c r="H130" s="131"/>
      <c r="I130" s="131"/>
      <c r="J130" s="131"/>
      <c r="K130" s="131"/>
      <c r="L130" s="131"/>
      <c r="T130" s="237"/>
      <c r="U130" s="237"/>
      <c r="V130" s="237"/>
      <c r="W130" s="237"/>
      <c r="X130" s="237"/>
      <c r="Y130" s="237"/>
      <c r="Z130" s="237"/>
      <c r="AH130" s="237"/>
      <c r="AI130" s="237"/>
      <c r="AJ130" s="237"/>
      <c r="AK130" s="237"/>
      <c r="AL130" s="237"/>
      <c r="AM130" s="237"/>
      <c r="AN130" s="237"/>
      <c r="AV130" s="237"/>
      <c r="AW130" s="237"/>
      <c r="AX130" s="237"/>
      <c r="AY130" s="237"/>
      <c r="AZ130" s="237"/>
      <c r="BA130" s="237"/>
      <c r="BB130" s="237"/>
    </row>
    <row r="131">
      <c r="E131" s="133"/>
      <c r="F131" s="237"/>
      <c r="G131" s="237"/>
      <c r="H131" s="131"/>
      <c r="I131" s="131"/>
      <c r="J131" s="131"/>
      <c r="K131" s="131"/>
      <c r="L131" s="131"/>
      <c r="T131" s="237"/>
      <c r="U131" s="237"/>
      <c r="V131" s="237"/>
      <c r="W131" s="237"/>
      <c r="X131" s="237"/>
      <c r="Y131" s="237"/>
      <c r="Z131" s="237"/>
      <c r="AH131" s="237"/>
      <c r="AI131" s="237"/>
      <c r="AJ131" s="237"/>
      <c r="AK131" s="237"/>
      <c r="AL131" s="237"/>
      <c r="AM131" s="237"/>
      <c r="AN131" s="237"/>
      <c r="AV131" s="237"/>
      <c r="AW131" s="237"/>
      <c r="AX131" s="237"/>
      <c r="AY131" s="237"/>
      <c r="AZ131" s="237"/>
      <c r="BA131" s="237"/>
      <c r="BB131" s="237"/>
    </row>
    <row r="132">
      <c r="E132" s="133"/>
      <c r="F132" s="237"/>
      <c r="G132" s="237"/>
      <c r="H132" s="131"/>
      <c r="I132" s="131"/>
      <c r="J132" s="131"/>
      <c r="K132" s="131"/>
      <c r="L132" s="131"/>
      <c r="T132" s="237"/>
      <c r="U132" s="237"/>
      <c r="V132" s="237"/>
      <c r="W132" s="237"/>
      <c r="X132" s="237"/>
      <c r="Y132" s="237"/>
      <c r="Z132" s="237"/>
      <c r="AH132" s="237"/>
      <c r="AI132" s="237"/>
      <c r="AJ132" s="237"/>
      <c r="AK132" s="237"/>
      <c r="AL132" s="237"/>
      <c r="AM132" s="237"/>
      <c r="AN132" s="237"/>
      <c r="AV132" s="237"/>
      <c r="AW132" s="237"/>
      <c r="AX132" s="237"/>
      <c r="AY132" s="237"/>
      <c r="AZ132" s="237"/>
      <c r="BA132" s="237"/>
      <c r="BB132" s="237"/>
    </row>
    <row r="133">
      <c r="E133" s="133"/>
      <c r="F133" s="237"/>
      <c r="G133" s="237"/>
      <c r="H133" s="131"/>
      <c r="I133" s="131"/>
      <c r="J133" s="131"/>
      <c r="K133" s="131"/>
      <c r="L133" s="131"/>
      <c r="T133" s="237"/>
      <c r="U133" s="237"/>
      <c r="V133" s="237"/>
      <c r="W133" s="237"/>
      <c r="X133" s="237"/>
      <c r="Y133" s="237"/>
      <c r="Z133" s="237"/>
      <c r="AH133" s="237"/>
      <c r="AI133" s="237"/>
      <c r="AJ133" s="237"/>
      <c r="AK133" s="237"/>
      <c r="AL133" s="237"/>
      <c r="AM133" s="237"/>
      <c r="AN133" s="237"/>
      <c r="AV133" s="237"/>
      <c r="AW133" s="237"/>
      <c r="AX133" s="237"/>
      <c r="AY133" s="237"/>
      <c r="AZ133" s="237"/>
      <c r="BA133" s="237"/>
      <c r="BB133" s="237"/>
    </row>
    <row r="134">
      <c r="E134" s="133"/>
      <c r="F134" s="237"/>
      <c r="G134" s="237"/>
      <c r="H134" s="131"/>
      <c r="I134" s="131"/>
      <c r="J134" s="131"/>
      <c r="K134" s="131"/>
      <c r="L134" s="131"/>
      <c r="T134" s="237"/>
      <c r="U134" s="237"/>
      <c r="V134" s="237"/>
      <c r="W134" s="237"/>
      <c r="X134" s="237"/>
      <c r="Y134" s="237"/>
      <c r="Z134" s="237"/>
      <c r="AH134" s="237"/>
      <c r="AI134" s="237"/>
      <c r="AJ134" s="237"/>
      <c r="AK134" s="237"/>
      <c r="AL134" s="237"/>
      <c r="AM134" s="237"/>
      <c r="AN134" s="237"/>
      <c r="AV134" s="237"/>
      <c r="AW134" s="237"/>
      <c r="AX134" s="237"/>
      <c r="AY134" s="237"/>
      <c r="AZ134" s="237"/>
      <c r="BA134" s="237"/>
      <c r="BB134" s="237"/>
    </row>
    <row r="135">
      <c r="E135" s="133"/>
      <c r="F135" s="237"/>
      <c r="G135" s="237"/>
      <c r="H135" s="131"/>
      <c r="I135" s="131"/>
      <c r="J135" s="131"/>
      <c r="K135" s="131"/>
      <c r="L135" s="131"/>
      <c r="T135" s="237"/>
      <c r="U135" s="237"/>
      <c r="V135" s="237"/>
      <c r="W135" s="237"/>
      <c r="X135" s="237"/>
      <c r="Y135" s="237"/>
      <c r="Z135" s="237"/>
      <c r="AH135" s="237"/>
      <c r="AI135" s="237"/>
      <c r="AJ135" s="237"/>
      <c r="AK135" s="237"/>
      <c r="AL135" s="237"/>
      <c r="AM135" s="237"/>
      <c r="AN135" s="237"/>
      <c r="AV135" s="237"/>
      <c r="AW135" s="237"/>
      <c r="AX135" s="237"/>
      <c r="AY135" s="237"/>
      <c r="AZ135" s="237"/>
      <c r="BA135" s="237"/>
      <c r="BB135" s="237"/>
    </row>
    <row r="136">
      <c r="E136" s="133"/>
      <c r="F136" s="237"/>
      <c r="G136" s="237"/>
      <c r="H136" s="131"/>
      <c r="I136" s="131"/>
      <c r="J136" s="131"/>
      <c r="K136" s="131"/>
      <c r="L136" s="131"/>
      <c r="T136" s="237"/>
      <c r="U136" s="237"/>
      <c r="V136" s="237"/>
      <c r="W136" s="237"/>
      <c r="X136" s="237"/>
      <c r="Y136" s="237"/>
      <c r="Z136" s="237"/>
      <c r="AH136" s="237"/>
      <c r="AI136" s="237"/>
      <c r="AJ136" s="237"/>
      <c r="AK136" s="237"/>
      <c r="AL136" s="237"/>
      <c r="AM136" s="237"/>
      <c r="AN136" s="237"/>
      <c r="AV136" s="237"/>
      <c r="AW136" s="237"/>
      <c r="AX136" s="237"/>
      <c r="AY136" s="237"/>
      <c r="AZ136" s="237"/>
      <c r="BA136" s="237"/>
      <c r="BB136" s="237"/>
    </row>
    <row r="137">
      <c r="E137" s="133"/>
      <c r="F137" s="237"/>
      <c r="G137" s="237"/>
      <c r="H137" s="131"/>
      <c r="I137" s="131"/>
      <c r="J137" s="131"/>
      <c r="K137" s="131"/>
      <c r="L137" s="131"/>
      <c r="T137" s="237"/>
      <c r="U137" s="237"/>
      <c r="V137" s="237"/>
      <c r="W137" s="237"/>
      <c r="X137" s="237"/>
      <c r="Y137" s="237"/>
      <c r="Z137" s="237"/>
      <c r="AH137" s="237"/>
      <c r="AI137" s="237"/>
      <c r="AJ137" s="237"/>
      <c r="AK137" s="237"/>
      <c r="AL137" s="237"/>
      <c r="AM137" s="237"/>
      <c r="AN137" s="237"/>
      <c r="AV137" s="237"/>
      <c r="AW137" s="237"/>
      <c r="AX137" s="237"/>
      <c r="AY137" s="237"/>
      <c r="AZ137" s="237"/>
      <c r="BA137" s="237"/>
      <c r="BB137" s="237"/>
    </row>
    <row r="138">
      <c r="E138" s="133"/>
      <c r="F138" s="237"/>
      <c r="G138" s="237"/>
      <c r="H138" s="131"/>
      <c r="I138" s="131"/>
      <c r="J138" s="131"/>
      <c r="K138" s="131"/>
      <c r="L138" s="131"/>
      <c r="T138" s="237"/>
      <c r="U138" s="237"/>
      <c r="V138" s="237"/>
      <c r="W138" s="237"/>
      <c r="X138" s="237"/>
      <c r="Y138" s="237"/>
      <c r="Z138" s="237"/>
      <c r="AH138" s="237"/>
      <c r="AI138" s="237"/>
      <c r="AJ138" s="237"/>
      <c r="AK138" s="237"/>
      <c r="AL138" s="237"/>
      <c r="AM138" s="237"/>
      <c r="AN138" s="237"/>
      <c r="AV138" s="237"/>
      <c r="AW138" s="237"/>
      <c r="AX138" s="237"/>
      <c r="AY138" s="237"/>
      <c r="AZ138" s="237"/>
      <c r="BA138" s="237"/>
      <c r="BB138" s="237"/>
    </row>
    <row r="139">
      <c r="E139" s="133"/>
      <c r="F139" s="237"/>
      <c r="G139" s="237"/>
      <c r="H139" s="131"/>
      <c r="I139" s="131"/>
      <c r="J139" s="131"/>
      <c r="K139" s="131"/>
      <c r="L139" s="131"/>
      <c r="T139" s="237"/>
      <c r="U139" s="237"/>
      <c r="V139" s="237"/>
      <c r="W139" s="237"/>
      <c r="X139" s="237"/>
      <c r="Y139" s="237"/>
      <c r="Z139" s="237"/>
      <c r="AH139" s="237"/>
      <c r="AI139" s="237"/>
      <c r="AJ139" s="237"/>
      <c r="AK139" s="237"/>
      <c r="AL139" s="237"/>
      <c r="AM139" s="237"/>
      <c r="AN139" s="237"/>
      <c r="AV139" s="237"/>
      <c r="AW139" s="237"/>
      <c r="AX139" s="237"/>
      <c r="AY139" s="237"/>
      <c r="AZ139" s="237"/>
      <c r="BA139" s="237"/>
      <c r="BB139" s="237"/>
    </row>
    <row r="140">
      <c r="E140" s="133"/>
      <c r="F140" s="237"/>
      <c r="G140" s="237"/>
      <c r="H140" s="131"/>
      <c r="I140" s="131"/>
      <c r="J140" s="131"/>
      <c r="K140" s="131"/>
      <c r="L140" s="131"/>
      <c r="T140" s="237"/>
      <c r="U140" s="237"/>
      <c r="V140" s="237"/>
      <c r="W140" s="237"/>
      <c r="X140" s="237"/>
      <c r="Y140" s="237"/>
      <c r="Z140" s="237"/>
      <c r="AH140" s="237"/>
      <c r="AI140" s="237"/>
      <c r="AJ140" s="237"/>
      <c r="AK140" s="237"/>
      <c r="AL140" s="237"/>
      <c r="AM140" s="237"/>
      <c r="AN140" s="237"/>
      <c r="AV140" s="237"/>
      <c r="AW140" s="237"/>
      <c r="AX140" s="237"/>
      <c r="AY140" s="237"/>
      <c r="AZ140" s="237"/>
      <c r="BA140" s="237"/>
      <c r="BB140" s="237"/>
    </row>
    <row r="141">
      <c r="E141" s="133"/>
      <c r="F141" s="237"/>
      <c r="G141" s="237"/>
      <c r="H141" s="131"/>
      <c r="I141" s="131"/>
      <c r="J141" s="131"/>
      <c r="K141" s="131"/>
      <c r="L141" s="131"/>
      <c r="T141" s="237"/>
      <c r="U141" s="237"/>
      <c r="V141" s="237"/>
      <c r="W141" s="237"/>
      <c r="X141" s="237"/>
      <c r="Y141" s="237"/>
      <c r="Z141" s="237"/>
      <c r="AH141" s="237"/>
      <c r="AI141" s="237"/>
      <c r="AJ141" s="237"/>
      <c r="AK141" s="237"/>
      <c r="AL141" s="237"/>
      <c r="AM141" s="237"/>
      <c r="AN141" s="237"/>
      <c r="AV141" s="237"/>
      <c r="AW141" s="237"/>
      <c r="AX141" s="237"/>
      <c r="AY141" s="237"/>
      <c r="AZ141" s="237"/>
      <c r="BA141" s="237"/>
      <c r="BB141" s="237"/>
    </row>
    <row r="142">
      <c r="E142" s="133"/>
      <c r="F142" s="237"/>
      <c r="G142" s="237"/>
      <c r="H142" s="131"/>
      <c r="I142" s="131"/>
      <c r="J142" s="131"/>
      <c r="K142" s="131"/>
      <c r="L142" s="131"/>
      <c r="T142" s="237"/>
      <c r="U142" s="237"/>
      <c r="V142" s="237"/>
      <c r="W142" s="237"/>
      <c r="X142" s="237"/>
      <c r="Y142" s="237"/>
      <c r="Z142" s="237"/>
      <c r="AH142" s="237"/>
      <c r="AI142" s="237"/>
      <c r="AJ142" s="237"/>
      <c r="AK142" s="237"/>
      <c r="AL142" s="237"/>
      <c r="AM142" s="237"/>
      <c r="AN142" s="237"/>
      <c r="AV142" s="237"/>
      <c r="AW142" s="237"/>
      <c r="AX142" s="237"/>
      <c r="AY142" s="237"/>
      <c r="AZ142" s="237"/>
      <c r="BA142" s="237"/>
      <c r="BB142" s="237"/>
    </row>
    <row r="143">
      <c r="E143" s="133"/>
      <c r="F143" s="237"/>
      <c r="G143" s="237"/>
      <c r="H143" s="131"/>
      <c r="I143" s="131"/>
      <c r="J143" s="131"/>
      <c r="K143" s="131"/>
      <c r="L143" s="131"/>
      <c r="T143" s="237"/>
      <c r="U143" s="237"/>
      <c r="V143" s="237"/>
      <c r="W143" s="237"/>
      <c r="X143" s="237"/>
      <c r="Y143" s="237"/>
      <c r="Z143" s="237"/>
      <c r="AH143" s="237"/>
      <c r="AI143" s="237"/>
      <c r="AJ143" s="237"/>
      <c r="AK143" s="237"/>
      <c r="AL143" s="237"/>
      <c r="AM143" s="237"/>
      <c r="AN143" s="237"/>
      <c r="AV143" s="237"/>
      <c r="AW143" s="237"/>
      <c r="AX143" s="237"/>
      <c r="AY143" s="237"/>
      <c r="AZ143" s="237"/>
      <c r="BA143" s="237"/>
      <c r="BB143" s="237"/>
    </row>
    <row r="144">
      <c r="E144" s="133"/>
      <c r="F144" s="237"/>
      <c r="G144" s="237"/>
      <c r="H144" s="131"/>
      <c r="I144" s="131"/>
      <c r="J144" s="131"/>
      <c r="K144" s="131"/>
      <c r="L144" s="131"/>
      <c r="T144" s="237"/>
      <c r="U144" s="237"/>
      <c r="V144" s="237"/>
      <c r="W144" s="237"/>
      <c r="X144" s="237"/>
      <c r="Y144" s="237"/>
      <c r="Z144" s="237"/>
      <c r="AH144" s="237"/>
      <c r="AI144" s="237"/>
      <c r="AJ144" s="237"/>
      <c r="AK144" s="237"/>
      <c r="AL144" s="237"/>
      <c r="AM144" s="237"/>
      <c r="AN144" s="237"/>
      <c r="AV144" s="237"/>
      <c r="AW144" s="237"/>
      <c r="AX144" s="237"/>
      <c r="AY144" s="237"/>
      <c r="AZ144" s="237"/>
      <c r="BA144" s="237"/>
      <c r="BB144" s="237"/>
    </row>
    <row r="145">
      <c r="E145" s="133"/>
      <c r="F145" s="237"/>
      <c r="G145" s="237"/>
      <c r="H145" s="131"/>
      <c r="I145" s="131"/>
      <c r="J145" s="131"/>
      <c r="K145" s="131"/>
      <c r="L145" s="131"/>
      <c r="T145" s="237"/>
      <c r="U145" s="237"/>
      <c r="V145" s="237"/>
      <c r="W145" s="237"/>
      <c r="X145" s="237"/>
      <c r="Y145" s="237"/>
      <c r="Z145" s="237"/>
      <c r="AH145" s="237"/>
      <c r="AI145" s="237"/>
      <c r="AJ145" s="237"/>
      <c r="AK145" s="237"/>
      <c r="AL145" s="237"/>
      <c r="AM145" s="237"/>
      <c r="AN145" s="237"/>
      <c r="AV145" s="237"/>
      <c r="AW145" s="237"/>
      <c r="AX145" s="237"/>
      <c r="AY145" s="237"/>
      <c r="AZ145" s="237"/>
      <c r="BA145" s="237"/>
      <c r="BB145" s="237"/>
    </row>
    <row r="146">
      <c r="E146" s="133"/>
      <c r="F146" s="237"/>
      <c r="G146" s="237"/>
      <c r="H146" s="131"/>
      <c r="I146" s="131"/>
      <c r="J146" s="131"/>
      <c r="K146" s="131"/>
      <c r="L146" s="131"/>
      <c r="T146" s="237"/>
      <c r="U146" s="237"/>
      <c r="V146" s="237"/>
      <c r="W146" s="237"/>
      <c r="X146" s="237"/>
      <c r="Y146" s="237"/>
      <c r="Z146" s="237"/>
      <c r="AH146" s="237"/>
      <c r="AI146" s="237"/>
      <c r="AJ146" s="237"/>
      <c r="AK146" s="237"/>
      <c r="AL146" s="237"/>
      <c r="AM146" s="237"/>
      <c r="AN146" s="237"/>
      <c r="AV146" s="237"/>
      <c r="AW146" s="237"/>
      <c r="AX146" s="237"/>
      <c r="AY146" s="237"/>
      <c r="AZ146" s="237"/>
      <c r="BA146" s="237"/>
      <c r="BB146" s="237"/>
    </row>
    <row r="147">
      <c r="E147" s="133"/>
      <c r="F147" s="237"/>
      <c r="G147" s="237"/>
      <c r="H147" s="131"/>
      <c r="I147" s="131"/>
      <c r="J147" s="131"/>
      <c r="K147" s="131"/>
      <c r="L147" s="131"/>
      <c r="T147" s="237"/>
      <c r="U147" s="237"/>
      <c r="V147" s="237"/>
      <c r="W147" s="237"/>
      <c r="X147" s="237"/>
      <c r="Y147" s="237"/>
      <c r="Z147" s="237"/>
      <c r="AH147" s="237"/>
      <c r="AI147" s="237"/>
      <c r="AJ147" s="237"/>
      <c r="AK147" s="237"/>
      <c r="AL147" s="237"/>
      <c r="AM147" s="237"/>
      <c r="AN147" s="237"/>
      <c r="AV147" s="237"/>
      <c r="AW147" s="237"/>
      <c r="AX147" s="237"/>
      <c r="AY147" s="237"/>
      <c r="AZ147" s="237"/>
      <c r="BA147" s="237"/>
      <c r="BB147" s="237"/>
    </row>
    <row r="148">
      <c r="E148" s="133"/>
      <c r="F148" s="237"/>
      <c r="G148" s="237"/>
      <c r="H148" s="131"/>
      <c r="I148" s="131"/>
      <c r="J148" s="131"/>
      <c r="K148" s="131"/>
      <c r="L148" s="131"/>
      <c r="T148" s="237"/>
      <c r="U148" s="237"/>
      <c r="V148" s="237"/>
      <c r="W148" s="237"/>
      <c r="X148" s="237"/>
      <c r="Y148" s="237"/>
      <c r="Z148" s="237"/>
      <c r="AH148" s="237"/>
      <c r="AI148" s="237"/>
      <c r="AJ148" s="237"/>
      <c r="AK148" s="237"/>
      <c r="AL148" s="237"/>
      <c r="AM148" s="237"/>
      <c r="AN148" s="237"/>
      <c r="AV148" s="237"/>
      <c r="AW148" s="237"/>
      <c r="AX148" s="237"/>
      <c r="AY148" s="237"/>
      <c r="AZ148" s="237"/>
      <c r="BA148" s="237"/>
      <c r="BB148" s="237"/>
    </row>
    <row r="149">
      <c r="E149" s="133"/>
      <c r="F149" s="237"/>
      <c r="G149" s="237"/>
      <c r="H149" s="131"/>
      <c r="I149" s="131"/>
      <c r="J149" s="131"/>
      <c r="K149" s="131"/>
      <c r="L149" s="131"/>
      <c r="T149" s="237"/>
      <c r="U149" s="237"/>
      <c r="V149" s="237"/>
      <c r="W149" s="237"/>
      <c r="X149" s="237"/>
      <c r="Y149" s="237"/>
      <c r="Z149" s="237"/>
      <c r="AH149" s="237"/>
      <c r="AI149" s="237"/>
      <c r="AJ149" s="237"/>
      <c r="AK149" s="237"/>
      <c r="AL149" s="237"/>
      <c r="AM149" s="237"/>
      <c r="AN149" s="237"/>
      <c r="AV149" s="237"/>
      <c r="AW149" s="237"/>
      <c r="AX149" s="237"/>
      <c r="AY149" s="237"/>
      <c r="AZ149" s="237"/>
      <c r="BA149" s="237"/>
      <c r="BB149" s="237"/>
    </row>
    <row r="150">
      <c r="E150" s="133"/>
      <c r="F150" s="237"/>
      <c r="G150" s="237"/>
      <c r="H150" s="131"/>
      <c r="I150" s="131"/>
      <c r="J150" s="131"/>
      <c r="K150" s="131"/>
      <c r="L150" s="131"/>
      <c r="T150" s="237"/>
      <c r="U150" s="237"/>
      <c r="V150" s="237"/>
      <c r="W150" s="237"/>
      <c r="X150" s="237"/>
      <c r="Y150" s="237"/>
      <c r="Z150" s="237"/>
      <c r="AH150" s="237"/>
      <c r="AI150" s="237"/>
      <c r="AJ150" s="237"/>
      <c r="AK150" s="237"/>
      <c r="AL150" s="237"/>
      <c r="AM150" s="237"/>
      <c r="AN150" s="237"/>
      <c r="AV150" s="237"/>
      <c r="AW150" s="237"/>
      <c r="AX150" s="237"/>
      <c r="AY150" s="237"/>
      <c r="AZ150" s="237"/>
      <c r="BA150" s="237"/>
      <c r="BB150" s="237"/>
    </row>
    <row r="151">
      <c r="E151" s="133"/>
      <c r="F151" s="237"/>
      <c r="G151" s="237"/>
      <c r="H151" s="131"/>
      <c r="I151" s="131"/>
      <c r="J151" s="131"/>
      <c r="K151" s="131"/>
      <c r="L151" s="131"/>
      <c r="T151" s="237"/>
      <c r="U151" s="237"/>
      <c r="V151" s="237"/>
      <c r="W151" s="237"/>
      <c r="X151" s="237"/>
      <c r="Y151" s="237"/>
      <c r="Z151" s="237"/>
      <c r="AH151" s="237"/>
      <c r="AI151" s="237"/>
      <c r="AJ151" s="237"/>
      <c r="AK151" s="237"/>
      <c r="AL151" s="237"/>
      <c r="AM151" s="237"/>
      <c r="AN151" s="237"/>
      <c r="AV151" s="237"/>
      <c r="AW151" s="237"/>
      <c r="AX151" s="237"/>
      <c r="AY151" s="237"/>
      <c r="AZ151" s="237"/>
      <c r="BA151" s="237"/>
      <c r="BB151" s="237"/>
    </row>
    <row r="152">
      <c r="E152" s="133"/>
      <c r="F152" s="237"/>
      <c r="G152" s="237"/>
      <c r="H152" s="131"/>
      <c r="I152" s="131"/>
      <c r="J152" s="131"/>
      <c r="K152" s="131"/>
      <c r="L152" s="131"/>
      <c r="T152" s="237"/>
      <c r="U152" s="237"/>
      <c r="V152" s="237"/>
      <c r="W152" s="237"/>
      <c r="X152" s="237"/>
      <c r="Y152" s="237"/>
      <c r="Z152" s="237"/>
      <c r="AH152" s="237"/>
      <c r="AI152" s="237"/>
      <c r="AJ152" s="237"/>
      <c r="AK152" s="237"/>
      <c r="AL152" s="237"/>
      <c r="AM152" s="237"/>
      <c r="AN152" s="237"/>
      <c r="AV152" s="237"/>
      <c r="AW152" s="237"/>
      <c r="AX152" s="237"/>
      <c r="AY152" s="237"/>
      <c r="AZ152" s="237"/>
      <c r="BA152" s="237"/>
      <c r="BB152" s="237"/>
    </row>
    <row r="153">
      <c r="E153" s="133"/>
      <c r="F153" s="237"/>
      <c r="G153" s="237"/>
      <c r="H153" s="131"/>
      <c r="I153" s="131"/>
      <c r="J153" s="131"/>
      <c r="K153" s="131"/>
      <c r="L153" s="131"/>
      <c r="T153" s="237"/>
      <c r="U153" s="237"/>
      <c r="V153" s="237"/>
      <c r="W153" s="237"/>
      <c r="X153" s="237"/>
      <c r="Y153" s="237"/>
      <c r="Z153" s="237"/>
      <c r="AH153" s="237"/>
      <c r="AI153" s="237"/>
      <c r="AJ153" s="237"/>
      <c r="AK153" s="237"/>
      <c r="AL153" s="237"/>
      <c r="AM153" s="237"/>
      <c r="AN153" s="237"/>
      <c r="AV153" s="237"/>
      <c r="AW153" s="237"/>
      <c r="AX153" s="237"/>
      <c r="AY153" s="237"/>
      <c r="AZ153" s="237"/>
      <c r="BA153" s="237"/>
      <c r="BB153" s="237"/>
    </row>
    <row r="154">
      <c r="E154" s="133"/>
      <c r="F154" s="237"/>
      <c r="G154" s="237"/>
      <c r="H154" s="131"/>
      <c r="I154" s="131"/>
      <c r="J154" s="131"/>
      <c r="K154" s="131"/>
      <c r="L154" s="131"/>
      <c r="T154" s="237"/>
      <c r="U154" s="237"/>
      <c r="V154" s="237"/>
      <c r="W154" s="237"/>
      <c r="X154" s="237"/>
      <c r="Y154" s="237"/>
      <c r="Z154" s="237"/>
      <c r="AH154" s="237"/>
      <c r="AI154" s="237"/>
      <c r="AJ154" s="237"/>
      <c r="AK154" s="237"/>
      <c r="AL154" s="237"/>
      <c r="AM154" s="237"/>
      <c r="AN154" s="237"/>
      <c r="AV154" s="237"/>
      <c r="AW154" s="237"/>
      <c r="AX154" s="237"/>
      <c r="AY154" s="237"/>
      <c r="AZ154" s="237"/>
      <c r="BA154" s="237"/>
      <c r="BB154" s="237"/>
    </row>
    <row r="155">
      <c r="E155" s="133"/>
      <c r="F155" s="237"/>
      <c r="G155" s="237"/>
      <c r="H155" s="131"/>
      <c r="I155" s="131"/>
      <c r="J155" s="131"/>
      <c r="K155" s="131"/>
      <c r="L155" s="131"/>
      <c r="T155" s="237"/>
      <c r="U155" s="237"/>
      <c r="V155" s="237"/>
      <c r="W155" s="237"/>
      <c r="X155" s="237"/>
      <c r="Y155" s="237"/>
      <c r="Z155" s="237"/>
      <c r="AH155" s="237"/>
      <c r="AI155" s="237"/>
      <c r="AJ155" s="237"/>
      <c r="AK155" s="237"/>
      <c r="AL155" s="237"/>
      <c r="AM155" s="237"/>
      <c r="AN155" s="237"/>
      <c r="AV155" s="237"/>
      <c r="AW155" s="237"/>
      <c r="AX155" s="237"/>
      <c r="AY155" s="237"/>
      <c r="AZ155" s="237"/>
      <c r="BA155" s="237"/>
      <c r="BB155" s="237"/>
    </row>
    <row r="156">
      <c r="E156" s="133"/>
      <c r="F156" s="237"/>
      <c r="G156" s="237"/>
      <c r="H156" s="131"/>
      <c r="I156" s="131"/>
      <c r="J156" s="131"/>
      <c r="K156" s="131"/>
      <c r="L156" s="131"/>
      <c r="T156" s="237"/>
      <c r="U156" s="237"/>
      <c r="V156" s="237"/>
      <c r="W156" s="237"/>
      <c r="X156" s="237"/>
      <c r="Y156" s="237"/>
      <c r="Z156" s="237"/>
      <c r="AH156" s="237"/>
      <c r="AI156" s="237"/>
      <c r="AJ156" s="237"/>
      <c r="AK156" s="237"/>
      <c r="AL156" s="237"/>
      <c r="AM156" s="237"/>
      <c r="AN156" s="237"/>
      <c r="AV156" s="237"/>
      <c r="AW156" s="237"/>
      <c r="AX156" s="237"/>
      <c r="AY156" s="237"/>
      <c r="AZ156" s="237"/>
      <c r="BA156" s="237"/>
      <c r="BB156" s="237"/>
    </row>
    <row r="157">
      <c r="E157" s="133"/>
      <c r="F157" s="237"/>
      <c r="G157" s="237"/>
      <c r="H157" s="131"/>
      <c r="I157" s="131"/>
      <c r="J157" s="131"/>
      <c r="K157" s="131"/>
      <c r="L157" s="131"/>
      <c r="T157" s="237"/>
      <c r="U157" s="237"/>
      <c r="V157" s="237"/>
      <c r="W157" s="237"/>
      <c r="X157" s="237"/>
      <c r="Y157" s="237"/>
      <c r="Z157" s="237"/>
      <c r="AH157" s="237"/>
      <c r="AI157" s="237"/>
      <c r="AJ157" s="237"/>
      <c r="AK157" s="237"/>
      <c r="AL157" s="237"/>
      <c r="AM157" s="237"/>
      <c r="AN157" s="237"/>
      <c r="AV157" s="237"/>
      <c r="AW157" s="237"/>
      <c r="AX157" s="237"/>
      <c r="AY157" s="237"/>
      <c r="AZ157" s="237"/>
      <c r="BA157" s="237"/>
      <c r="BB157" s="237"/>
    </row>
    <row r="158">
      <c r="E158" s="133"/>
      <c r="F158" s="237"/>
      <c r="G158" s="237"/>
      <c r="H158" s="131"/>
      <c r="I158" s="131"/>
      <c r="J158" s="131"/>
      <c r="K158" s="131"/>
      <c r="L158" s="131"/>
      <c r="T158" s="237"/>
      <c r="U158" s="237"/>
      <c r="V158" s="237"/>
      <c r="W158" s="237"/>
      <c r="X158" s="237"/>
      <c r="Y158" s="237"/>
      <c r="Z158" s="237"/>
      <c r="AH158" s="237"/>
      <c r="AI158" s="237"/>
      <c r="AJ158" s="237"/>
      <c r="AK158" s="237"/>
      <c r="AL158" s="237"/>
      <c r="AM158" s="237"/>
      <c r="AN158" s="237"/>
      <c r="AV158" s="237"/>
      <c r="AW158" s="237"/>
      <c r="AX158" s="237"/>
      <c r="AY158" s="237"/>
      <c r="AZ158" s="237"/>
      <c r="BA158" s="237"/>
      <c r="BB158" s="237"/>
    </row>
    <row r="159">
      <c r="E159" s="133"/>
      <c r="F159" s="237"/>
      <c r="G159" s="237"/>
      <c r="H159" s="131"/>
      <c r="I159" s="131"/>
      <c r="J159" s="131"/>
      <c r="K159" s="131"/>
      <c r="L159" s="131"/>
      <c r="T159" s="237"/>
      <c r="U159" s="237"/>
      <c r="V159" s="237"/>
      <c r="W159" s="237"/>
      <c r="X159" s="237"/>
      <c r="Y159" s="237"/>
      <c r="Z159" s="237"/>
      <c r="AH159" s="237"/>
      <c r="AI159" s="237"/>
      <c r="AJ159" s="237"/>
      <c r="AK159" s="237"/>
      <c r="AL159" s="237"/>
      <c r="AM159" s="237"/>
      <c r="AN159" s="237"/>
      <c r="AV159" s="237"/>
      <c r="AW159" s="237"/>
      <c r="AX159" s="237"/>
      <c r="AY159" s="237"/>
      <c r="AZ159" s="237"/>
      <c r="BA159" s="237"/>
      <c r="BB159" s="237"/>
    </row>
    <row r="160">
      <c r="E160" s="133"/>
      <c r="F160" s="237"/>
      <c r="G160" s="237"/>
      <c r="H160" s="131"/>
      <c r="I160" s="131"/>
      <c r="J160" s="131"/>
      <c r="K160" s="131"/>
      <c r="L160" s="131"/>
      <c r="T160" s="237"/>
      <c r="U160" s="237"/>
      <c r="V160" s="237"/>
      <c r="W160" s="237"/>
      <c r="X160" s="237"/>
      <c r="Y160" s="237"/>
      <c r="Z160" s="237"/>
      <c r="AH160" s="237"/>
      <c r="AI160" s="237"/>
      <c r="AJ160" s="237"/>
      <c r="AK160" s="237"/>
      <c r="AL160" s="237"/>
      <c r="AM160" s="237"/>
      <c r="AN160" s="237"/>
      <c r="AV160" s="237"/>
      <c r="AW160" s="237"/>
      <c r="AX160" s="237"/>
      <c r="AY160" s="237"/>
      <c r="AZ160" s="237"/>
      <c r="BA160" s="237"/>
      <c r="BB160" s="237"/>
    </row>
    <row r="161">
      <c r="E161" s="133"/>
      <c r="F161" s="237"/>
      <c r="G161" s="237"/>
      <c r="H161" s="131"/>
      <c r="I161" s="131"/>
      <c r="J161" s="131"/>
      <c r="K161" s="131"/>
      <c r="L161" s="131"/>
      <c r="T161" s="237"/>
      <c r="U161" s="237"/>
      <c r="V161" s="237"/>
      <c r="W161" s="237"/>
      <c r="X161" s="237"/>
      <c r="Y161" s="237"/>
      <c r="Z161" s="237"/>
      <c r="AH161" s="237"/>
      <c r="AI161" s="237"/>
      <c r="AJ161" s="237"/>
      <c r="AK161" s="237"/>
      <c r="AL161" s="237"/>
      <c r="AM161" s="237"/>
      <c r="AN161" s="237"/>
      <c r="AV161" s="237"/>
      <c r="AW161" s="237"/>
      <c r="AX161" s="237"/>
      <c r="AY161" s="237"/>
      <c r="AZ161" s="237"/>
      <c r="BA161" s="237"/>
      <c r="BB161" s="237"/>
    </row>
    <row r="162">
      <c r="E162" s="133"/>
      <c r="F162" s="237"/>
      <c r="G162" s="237"/>
      <c r="H162" s="131"/>
      <c r="I162" s="131"/>
      <c r="J162" s="131"/>
      <c r="K162" s="131"/>
      <c r="L162" s="131"/>
      <c r="T162" s="237"/>
      <c r="U162" s="237"/>
      <c r="V162" s="237"/>
      <c r="W162" s="237"/>
      <c r="X162" s="237"/>
      <c r="Y162" s="237"/>
      <c r="Z162" s="237"/>
      <c r="AH162" s="237"/>
      <c r="AI162" s="237"/>
      <c r="AJ162" s="237"/>
      <c r="AK162" s="237"/>
      <c r="AL162" s="237"/>
      <c r="AM162" s="237"/>
      <c r="AN162" s="237"/>
      <c r="AV162" s="237"/>
      <c r="AW162" s="237"/>
      <c r="AX162" s="237"/>
      <c r="AY162" s="237"/>
      <c r="AZ162" s="237"/>
      <c r="BA162" s="237"/>
      <c r="BB162" s="237"/>
    </row>
    <row r="163">
      <c r="E163" s="133"/>
      <c r="F163" s="237"/>
      <c r="G163" s="237"/>
      <c r="H163" s="131"/>
      <c r="I163" s="131"/>
      <c r="J163" s="131"/>
      <c r="K163" s="131"/>
      <c r="L163" s="131"/>
      <c r="T163" s="237"/>
      <c r="U163" s="237"/>
      <c r="V163" s="237"/>
      <c r="W163" s="237"/>
      <c r="X163" s="237"/>
      <c r="Y163" s="237"/>
      <c r="Z163" s="237"/>
      <c r="AH163" s="237"/>
      <c r="AI163" s="237"/>
      <c r="AJ163" s="237"/>
      <c r="AK163" s="237"/>
      <c r="AL163" s="237"/>
      <c r="AM163" s="237"/>
      <c r="AN163" s="237"/>
      <c r="AV163" s="237"/>
      <c r="AW163" s="237"/>
      <c r="AX163" s="237"/>
      <c r="AY163" s="237"/>
      <c r="AZ163" s="237"/>
      <c r="BA163" s="237"/>
      <c r="BB163" s="237"/>
    </row>
    <row r="164">
      <c r="E164" s="133"/>
      <c r="F164" s="237"/>
      <c r="G164" s="237"/>
      <c r="H164" s="131"/>
      <c r="I164" s="131"/>
      <c r="J164" s="131"/>
      <c r="K164" s="131"/>
      <c r="L164" s="131"/>
      <c r="T164" s="237"/>
      <c r="U164" s="237"/>
      <c r="V164" s="237"/>
      <c r="W164" s="237"/>
      <c r="X164" s="237"/>
      <c r="Y164" s="237"/>
      <c r="Z164" s="237"/>
      <c r="AH164" s="237"/>
      <c r="AI164" s="237"/>
      <c r="AJ164" s="237"/>
      <c r="AK164" s="237"/>
      <c r="AL164" s="237"/>
      <c r="AM164" s="237"/>
      <c r="AN164" s="237"/>
      <c r="AV164" s="237"/>
      <c r="AW164" s="237"/>
      <c r="AX164" s="237"/>
      <c r="AY164" s="237"/>
      <c r="AZ164" s="237"/>
      <c r="BA164" s="237"/>
      <c r="BB164" s="237"/>
    </row>
    <row r="165">
      <c r="E165" s="133"/>
      <c r="F165" s="237"/>
      <c r="G165" s="237"/>
      <c r="H165" s="131"/>
      <c r="I165" s="131"/>
      <c r="J165" s="131"/>
      <c r="K165" s="131"/>
      <c r="L165" s="131"/>
      <c r="T165" s="237"/>
      <c r="U165" s="237"/>
      <c r="V165" s="237"/>
      <c r="W165" s="237"/>
      <c r="X165" s="237"/>
      <c r="Y165" s="237"/>
      <c r="Z165" s="237"/>
      <c r="AH165" s="237"/>
      <c r="AI165" s="237"/>
      <c r="AJ165" s="237"/>
      <c r="AK165" s="237"/>
      <c r="AL165" s="237"/>
      <c r="AM165" s="237"/>
      <c r="AN165" s="237"/>
      <c r="AV165" s="237"/>
      <c r="AW165" s="237"/>
      <c r="AX165" s="237"/>
      <c r="AY165" s="237"/>
      <c r="AZ165" s="237"/>
      <c r="BA165" s="237"/>
      <c r="BB165" s="237"/>
    </row>
    <row r="166">
      <c r="E166" s="133"/>
      <c r="F166" s="237"/>
      <c r="G166" s="237"/>
      <c r="H166" s="131"/>
      <c r="I166" s="131"/>
      <c r="J166" s="131"/>
      <c r="K166" s="131"/>
      <c r="L166" s="131"/>
      <c r="T166" s="237"/>
      <c r="U166" s="237"/>
      <c r="V166" s="237"/>
      <c r="W166" s="237"/>
      <c r="X166" s="237"/>
      <c r="Y166" s="237"/>
      <c r="Z166" s="237"/>
      <c r="AH166" s="237"/>
      <c r="AI166" s="237"/>
      <c r="AJ166" s="237"/>
      <c r="AK166" s="237"/>
      <c r="AL166" s="237"/>
      <c r="AM166" s="237"/>
      <c r="AN166" s="237"/>
      <c r="AV166" s="237"/>
      <c r="AW166" s="237"/>
      <c r="AX166" s="237"/>
      <c r="AY166" s="237"/>
      <c r="AZ166" s="237"/>
      <c r="BA166" s="237"/>
      <c r="BB166" s="237"/>
    </row>
    <row r="167">
      <c r="E167" s="133"/>
      <c r="F167" s="237"/>
      <c r="G167" s="237"/>
      <c r="H167" s="131"/>
      <c r="I167" s="131"/>
      <c r="J167" s="131"/>
      <c r="K167" s="131"/>
      <c r="L167" s="131"/>
      <c r="T167" s="237"/>
      <c r="U167" s="237"/>
      <c r="V167" s="237"/>
      <c r="W167" s="237"/>
      <c r="X167" s="237"/>
      <c r="Y167" s="237"/>
      <c r="Z167" s="237"/>
      <c r="AH167" s="237"/>
      <c r="AI167" s="237"/>
      <c r="AJ167" s="237"/>
      <c r="AK167" s="237"/>
      <c r="AL167" s="237"/>
      <c r="AM167" s="237"/>
      <c r="AN167" s="237"/>
      <c r="AV167" s="237"/>
      <c r="AW167" s="237"/>
      <c r="AX167" s="237"/>
      <c r="AY167" s="237"/>
      <c r="AZ167" s="237"/>
      <c r="BA167" s="237"/>
      <c r="BB167" s="237"/>
    </row>
    <row r="168">
      <c r="E168" s="133"/>
      <c r="F168" s="237"/>
      <c r="G168" s="237"/>
      <c r="H168" s="131"/>
      <c r="I168" s="131"/>
      <c r="J168" s="131"/>
      <c r="K168" s="131"/>
      <c r="L168" s="131"/>
      <c r="T168" s="237"/>
      <c r="U168" s="237"/>
      <c r="V168" s="237"/>
      <c r="W168" s="237"/>
      <c r="X168" s="237"/>
      <c r="Y168" s="237"/>
      <c r="Z168" s="237"/>
      <c r="AH168" s="237"/>
      <c r="AI168" s="237"/>
      <c r="AJ168" s="237"/>
      <c r="AK168" s="237"/>
      <c r="AL168" s="237"/>
      <c r="AM168" s="237"/>
      <c r="AN168" s="237"/>
      <c r="AV168" s="237"/>
      <c r="AW168" s="237"/>
      <c r="AX168" s="237"/>
      <c r="AY168" s="237"/>
      <c r="AZ168" s="237"/>
      <c r="BA168" s="237"/>
      <c r="BB168" s="237"/>
    </row>
    <row r="169">
      <c r="E169" s="133"/>
      <c r="F169" s="237"/>
      <c r="G169" s="237"/>
      <c r="H169" s="131"/>
      <c r="I169" s="131"/>
      <c r="J169" s="131"/>
      <c r="K169" s="131"/>
      <c r="L169" s="131"/>
      <c r="T169" s="237"/>
      <c r="U169" s="237"/>
      <c r="V169" s="237"/>
      <c r="W169" s="237"/>
      <c r="X169" s="237"/>
      <c r="Y169" s="237"/>
      <c r="Z169" s="237"/>
      <c r="AH169" s="237"/>
      <c r="AI169" s="237"/>
      <c r="AJ169" s="237"/>
      <c r="AK169" s="237"/>
      <c r="AL169" s="237"/>
      <c r="AM169" s="237"/>
      <c r="AN169" s="237"/>
      <c r="AV169" s="237"/>
      <c r="AW169" s="237"/>
      <c r="AX169" s="237"/>
      <c r="AY169" s="237"/>
      <c r="AZ169" s="237"/>
      <c r="BA169" s="237"/>
      <c r="BB169" s="237"/>
    </row>
    <row r="170">
      <c r="E170" s="133"/>
      <c r="F170" s="237"/>
      <c r="G170" s="237"/>
      <c r="H170" s="131"/>
      <c r="I170" s="131"/>
      <c r="J170" s="131"/>
      <c r="K170" s="131"/>
      <c r="L170" s="131"/>
      <c r="T170" s="237"/>
      <c r="U170" s="237"/>
      <c r="V170" s="237"/>
      <c r="W170" s="237"/>
      <c r="X170" s="237"/>
      <c r="Y170" s="237"/>
      <c r="Z170" s="237"/>
      <c r="AH170" s="237"/>
      <c r="AI170" s="237"/>
      <c r="AJ170" s="237"/>
      <c r="AK170" s="237"/>
      <c r="AL170" s="237"/>
      <c r="AM170" s="237"/>
      <c r="AN170" s="237"/>
      <c r="AV170" s="237"/>
      <c r="AW170" s="237"/>
      <c r="AX170" s="237"/>
      <c r="AY170" s="237"/>
      <c r="AZ170" s="237"/>
      <c r="BA170" s="237"/>
      <c r="BB170" s="237"/>
    </row>
    <row r="171">
      <c r="E171" s="133"/>
      <c r="F171" s="237"/>
      <c r="G171" s="237"/>
      <c r="H171" s="131"/>
      <c r="I171" s="131"/>
      <c r="J171" s="131"/>
      <c r="K171" s="131"/>
      <c r="L171" s="131"/>
      <c r="T171" s="237"/>
      <c r="U171" s="237"/>
      <c r="V171" s="237"/>
      <c r="W171" s="237"/>
      <c r="X171" s="237"/>
      <c r="Y171" s="237"/>
      <c r="Z171" s="237"/>
      <c r="AH171" s="237"/>
      <c r="AI171" s="237"/>
      <c r="AJ171" s="237"/>
      <c r="AK171" s="237"/>
      <c r="AL171" s="237"/>
      <c r="AM171" s="237"/>
      <c r="AN171" s="237"/>
      <c r="AV171" s="237"/>
      <c r="AW171" s="237"/>
      <c r="AX171" s="237"/>
      <c r="AY171" s="237"/>
      <c r="AZ171" s="237"/>
      <c r="BA171" s="237"/>
      <c r="BB171" s="237"/>
    </row>
    <row r="172">
      <c r="E172" s="133"/>
      <c r="F172" s="237"/>
      <c r="G172" s="237"/>
      <c r="H172" s="131"/>
      <c r="I172" s="131"/>
      <c r="J172" s="131"/>
      <c r="K172" s="131"/>
      <c r="L172" s="131"/>
      <c r="T172" s="237"/>
      <c r="U172" s="237"/>
      <c r="V172" s="237"/>
      <c r="W172" s="237"/>
      <c r="X172" s="237"/>
      <c r="Y172" s="237"/>
      <c r="Z172" s="237"/>
      <c r="AH172" s="237"/>
      <c r="AI172" s="237"/>
      <c r="AJ172" s="237"/>
      <c r="AK172" s="237"/>
      <c r="AL172" s="237"/>
      <c r="AM172" s="237"/>
      <c r="AN172" s="237"/>
      <c r="AV172" s="237"/>
      <c r="AW172" s="237"/>
      <c r="AX172" s="237"/>
      <c r="AY172" s="237"/>
      <c r="AZ172" s="237"/>
      <c r="BA172" s="237"/>
      <c r="BB172" s="237"/>
    </row>
    <row r="173">
      <c r="E173" s="133"/>
      <c r="F173" s="237"/>
      <c r="G173" s="237"/>
      <c r="H173" s="131"/>
      <c r="I173" s="131"/>
      <c r="J173" s="131"/>
      <c r="K173" s="131"/>
      <c r="L173" s="131"/>
      <c r="T173" s="237"/>
      <c r="U173" s="237"/>
      <c r="V173" s="237"/>
      <c r="W173" s="237"/>
      <c r="X173" s="237"/>
      <c r="Y173" s="237"/>
      <c r="Z173" s="237"/>
      <c r="AH173" s="237"/>
      <c r="AI173" s="237"/>
      <c r="AJ173" s="237"/>
      <c r="AK173" s="237"/>
      <c r="AL173" s="237"/>
      <c r="AM173" s="237"/>
      <c r="AN173" s="237"/>
      <c r="AV173" s="237"/>
      <c r="AW173" s="237"/>
      <c r="AX173" s="237"/>
      <c r="AY173" s="237"/>
      <c r="AZ173" s="237"/>
      <c r="BA173" s="237"/>
      <c r="BB173" s="237"/>
    </row>
    <row r="174">
      <c r="E174" s="133"/>
      <c r="F174" s="237"/>
      <c r="G174" s="237"/>
      <c r="H174" s="131"/>
      <c r="I174" s="131"/>
      <c r="J174" s="131"/>
      <c r="K174" s="131"/>
      <c r="L174" s="131"/>
      <c r="T174" s="237"/>
      <c r="U174" s="237"/>
      <c r="V174" s="237"/>
      <c r="W174" s="237"/>
      <c r="X174" s="237"/>
      <c r="Y174" s="237"/>
      <c r="Z174" s="237"/>
      <c r="AH174" s="237"/>
      <c r="AI174" s="237"/>
      <c r="AJ174" s="237"/>
      <c r="AK174" s="237"/>
      <c r="AL174" s="237"/>
      <c r="AM174" s="237"/>
      <c r="AN174" s="237"/>
      <c r="AV174" s="237"/>
      <c r="AW174" s="237"/>
      <c r="AX174" s="237"/>
      <c r="AY174" s="237"/>
      <c r="AZ174" s="237"/>
      <c r="BA174" s="237"/>
      <c r="BB174" s="237"/>
    </row>
    <row r="175">
      <c r="E175" s="133"/>
      <c r="F175" s="237"/>
      <c r="G175" s="237"/>
      <c r="H175" s="131"/>
      <c r="I175" s="131"/>
      <c r="J175" s="131"/>
      <c r="K175" s="131"/>
      <c r="L175" s="131"/>
      <c r="T175" s="237"/>
      <c r="U175" s="237"/>
      <c r="V175" s="237"/>
      <c r="W175" s="237"/>
      <c r="X175" s="237"/>
      <c r="Y175" s="237"/>
      <c r="Z175" s="237"/>
      <c r="AH175" s="237"/>
      <c r="AI175" s="237"/>
      <c r="AJ175" s="237"/>
      <c r="AK175" s="237"/>
      <c r="AL175" s="237"/>
      <c r="AM175" s="237"/>
      <c r="AN175" s="237"/>
      <c r="AV175" s="237"/>
      <c r="AW175" s="237"/>
      <c r="AX175" s="237"/>
      <c r="AY175" s="237"/>
      <c r="AZ175" s="237"/>
      <c r="BA175" s="237"/>
      <c r="BB175" s="237"/>
    </row>
    <row r="176">
      <c r="E176" s="133"/>
      <c r="F176" s="237"/>
      <c r="G176" s="237"/>
      <c r="H176" s="131"/>
      <c r="I176" s="131"/>
      <c r="J176" s="131"/>
      <c r="K176" s="131"/>
      <c r="L176" s="131"/>
      <c r="T176" s="237"/>
      <c r="U176" s="237"/>
      <c r="V176" s="237"/>
      <c r="W176" s="237"/>
      <c r="X176" s="237"/>
      <c r="Y176" s="237"/>
      <c r="Z176" s="237"/>
      <c r="AH176" s="237"/>
      <c r="AI176" s="237"/>
      <c r="AJ176" s="237"/>
      <c r="AK176" s="237"/>
      <c r="AL176" s="237"/>
      <c r="AM176" s="237"/>
      <c r="AN176" s="237"/>
      <c r="AV176" s="237"/>
      <c r="AW176" s="237"/>
      <c r="AX176" s="237"/>
      <c r="AY176" s="237"/>
      <c r="AZ176" s="237"/>
      <c r="BA176" s="237"/>
      <c r="BB176" s="237"/>
    </row>
    <row r="177">
      <c r="E177" s="133"/>
      <c r="F177" s="237"/>
      <c r="G177" s="237"/>
      <c r="H177" s="131"/>
      <c r="I177" s="131"/>
      <c r="J177" s="131"/>
      <c r="K177" s="131"/>
      <c r="L177" s="131"/>
      <c r="T177" s="237"/>
      <c r="U177" s="237"/>
      <c r="V177" s="237"/>
      <c r="W177" s="237"/>
      <c r="X177" s="237"/>
      <c r="Y177" s="237"/>
      <c r="Z177" s="237"/>
      <c r="AH177" s="237"/>
      <c r="AI177" s="237"/>
      <c r="AJ177" s="237"/>
      <c r="AK177" s="237"/>
      <c r="AL177" s="237"/>
      <c r="AM177" s="237"/>
      <c r="AN177" s="237"/>
      <c r="AV177" s="237"/>
      <c r="AW177" s="237"/>
      <c r="AX177" s="237"/>
      <c r="AY177" s="237"/>
      <c r="AZ177" s="237"/>
      <c r="BA177" s="237"/>
      <c r="BB177" s="237"/>
    </row>
    <row r="178">
      <c r="E178" s="133"/>
      <c r="F178" s="237"/>
      <c r="G178" s="237"/>
      <c r="H178" s="131"/>
      <c r="I178" s="131"/>
      <c r="J178" s="131"/>
      <c r="K178" s="131"/>
      <c r="L178" s="131"/>
      <c r="T178" s="237"/>
      <c r="U178" s="237"/>
      <c r="V178" s="237"/>
      <c r="W178" s="237"/>
      <c r="X178" s="237"/>
      <c r="Y178" s="237"/>
      <c r="Z178" s="237"/>
      <c r="AH178" s="237"/>
      <c r="AI178" s="237"/>
      <c r="AJ178" s="237"/>
      <c r="AK178" s="237"/>
      <c r="AL178" s="237"/>
      <c r="AM178" s="237"/>
      <c r="AN178" s="237"/>
      <c r="AV178" s="237"/>
      <c r="AW178" s="237"/>
      <c r="AX178" s="237"/>
      <c r="AY178" s="237"/>
      <c r="AZ178" s="237"/>
      <c r="BA178" s="237"/>
      <c r="BB178" s="237"/>
    </row>
    <row r="179">
      <c r="E179" s="133"/>
      <c r="F179" s="237"/>
      <c r="G179" s="237"/>
      <c r="H179" s="131"/>
      <c r="I179" s="131"/>
      <c r="J179" s="131"/>
      <c r="K179" s="131"/>
      <c r="L179" s="131"/>
      <c r="T179" s="237"/>
      <c r="U179" s="237"/>
      <c r="V179" s="237"/>
      <c r="W179" s="237"/>
      <c r="X179" s="237"/>
      <c r="Y179" s="237"/>
      <c r="Z179" s="237"/>
      <c r="AH179" s="237"/>
      <c r="AI179" s="237"/>
      <c r="AJ179" s="237"/>
      <c r="AK179" s="237"/>
      <c r="AL179" s="237"/>
      <c r="AM179" s="237"/>
      <c r="AN179" s="237"/>
      <c r="AV179" s="237"/>
      <c r="AW179" s="237"/>
      <c r="AX179" s="237"/>
      <c r="AY179" s="237"/>
      <c r="AZ179" s="237"/>
      <c r="BA179" s="237"/>
      <c r="BB179" s="237"/>
    </row>
    <row r="180">
      <c r="E180" s="133"/>
      <c r="F180" s="237"/>
      <c r="G180" s="237"/>
      <c r="H180" s="131"/>
      <c r="I180" s="131"/>
      <c r="J180" s="131"/>
      <c r="K180" s="131"/>
      <c r="L180" s="131"/>
      <c r="T180" s="237"/>
      <c r="U180" s="237"/>
      <c r="V180" s="237"/>
      <c r="W180" s="237"/>
      <c r="X180" s="237"/>
      <c r="Y180" s="237"/>
      <c r="Z180" s="237"/>
      <c r="AH180" s="237"/>
      <c r="AI180" s="237"/>
      <c r="AJ180" s="237"/>
      <c r="AK180" s="237"/>
      <c r="AL180" s="237"/>
      <c r="AM180" s="237"/>
      <c r="AN180" s="237"/>
      <c r="AV180" s="237"/>
      <c r="AW180" s="237"/>
      <c r="AX180" s="237"/>
      <c r="AY180" s="237"/>
      <c r="AZ180" s="237"/>
      <c r="BA180" s="237"/>
      <c r="BB180" s="237"/>
    </row>
    <row r="181">
      <c r="E181" s="133"/>
      <c r="F181" s="237"/>
      <c r="G181" s="237"/>
      <c r="H181" s="131"/>
      <c r="I181" s="131"/>
      <c r="J181" s="131"/>
      <c r="K181" s="131"/>
      <c r="L181" s="131"/>
      <c r="T181" s="237"/>
      <c r="U181" s="237"/>
      <c r="V181" s="237"/>
      <c r="W181" s="237"/>
      <c r="X181" s="237"/>
      <c r="Y181" s="237"/>
      <c r="Z181" s="237"/>
      <c r="AH181" s="237"/>
      <c r="AI181" s="237"/>
      <c r="AJ181" s="237"/>
      <c r="AK181" s="237"/>
      <c r="AL181" s="237"/>
      <c r="AM181" s="237"/>
      <c r="AN181" s="237"/>
      <c r="AV181" s="237"/>
      <c r="AW181" s="237"/>
      <c r="AX181" s="237"/>
      <c r="AY181" s="237"/>
      <c r="AZ181" s="237"/>
      <c r="BA181" s="237"/>
      <c r="BB181" s="237"/>
    </row>
    <row r="182">
      <c r="E182" s="133"/>
      <c r="F182" s="237"/>
      <c r="G182" s="237"/>
      <c r="H182" s="131"/>
      <c r="I182" s="131"/>
      <c r="J182" s="131"/>
      <c r="K182" s="131"/>
      <c r="L182" s="131"/>
      <c r="T182" s="237"/>
      <c r="U182" s="237"/>
      <c r="V182" s="237"/>
      <c r="W182" s="237"/>
      <c r="X182" s="237"/>
      <c r="Y182" s="237"/>
      <c r="Z182" s="237"/>
      <c r="AH182" s="237"/>
      <c r="AI182" s="237"/>
      <c r="AJ182" s="237"/>
      <c r="AK182" s="237"/>
      <c r="AL182" s="237"/>
      <c r="AM182" s="237"/>
      <c r="AN182" s="237"/>
      <c r="AV182" s="237"/>
      <c r="AW182" s="237"/>
      <c r="AX182" s="237"/>
      <c r="AY182" s="237"/>
      <c r="AZ182" s="237"/>
      <c r="BA182" s="237"/>
      <c r="BB182" s="237"/>
    </row>
    <row r="183">
      <c r="E183" s="133"/>
      <c r="F183" s="237"/>
      <c r="G183" s="237"/>
      <c r="H183" s="131"/>
      <c r="I183" s="131"/>
      <c r="J183" s="131"/>
      <c r="K183" s="131"/>
      <c r="L183" s="131"/>
      <c r="T183" s="237"/>
      <c r="U183" s="237"/>
      <c r="V183" s="237"/>
      <c r="W183" s="237"/>
      <c r="X183" s="237"/>
      <c r="Y183" s="237"/>
      <c r="Z183" s="237"/>
      <c r="AH183" s="237"/>
      <c r="AI183" s="237"/>
      <c r="AJ183" s="237"/>
      <c r="AK183" s="237"/>
      <c r="AL183" s="237"/>
      <c r="AM183" s="237"/>
      <c r="AN183" s="237"/>
      <c r="AV183" s="237"/>
      <c r="AW183" s="237"/>
      <c r="AX183" s="237"/>
      <c r="AY183" s="237"/>
      <c r="AZ183" s="237"/>
      <c r="BA183" s="237"/>
      <c r="BB183" s="237"/>
    </row>
    <row r="184">
      <c r="E184" s="133"/>
      <c r="F184" s="237"/>
      <c r="G184" s="237"/>
      <c r="H184" s="131"/>
      <c r="I184" s="131"/>
      <c r="J184" s="131"/>
      <c r="K184" s="131"/>
      <c r="L184" s="131"/>
      <c r="T184" s="237"/>
      <c r="U184" s="237"/>
      <c r="V184" s="237"/>
      <c r="W184" s="237"/>
      <c r="X184" s="237"/>
      <c r="Y184" s="237"/>
      <c r="Z184" s="237"/>
      <c r="AH184" s="237"/>
      <c r="AI184" s="237"/>
      <c r="AJ184" s="237"/>
      <c r="AK184" s="237"/>
      <c r="AL184" s="237"/>
      <c r="AM184" s="237"/>
      <c r="AN184" s="237"/>
      <c r="AV184" s="237"/>
      <c r="AW184" s="237"/>
      <c r="AX184" s="237"/>
      <c r="AY184" s="237"/>
      <c r="AZ184" s="237"/>
      <c r="BA184" s="237"/>
      <c r="BB184" s="237"/>
    </row>
    <row r="185">
      <c r="E185" s="133"/>
      <c r="F185" s="237"/>
      <c r="G185" s="237"/>
      <c r="H185" s="131"/>
      <c r="I185" s="131"/>
      <c r="J185" s="131"/>
      <c r="K185" s="131"/>
      <c r="L185" s="131"/>
      <c r="T185" s="237"/>
      <c r="U185" s="237"/>
      <c r="V185" s="237"/>
      <c r="W185" s="237"/>
      <c r="X185" s="237"/>
      <c r="Y185" s="237"/>
      <c r="Z185" s="237"/>
      <c r="AH185" s="237"/>
      <c r="AI185" s="237"/>
      <c r="AJ185" s="237"/>
      <c r="AK185" s="237"/>
      <c r="AL185" s="237"/>
      <c r="AM185" s="237"/>
      <c r="AN185" s="237"/>
      <c r="AV185" s="237"/>
      <c r="AW185" s="237"/>
      <c r="AX185" s="237"/>
      <c r="AY185" s="237"/>
      <c r="AZ185" s="237"/>
      <c r="BA185" s="237"/>
      <c r="BB185" s="237"/>
    </row>
    <row r="186">
      <c r="E186" s="133"/>
      <c r="F186" s="237"/>
      <c r="G186" s="237"/>
      <c r="H186" s="131"/>
      <c r="I186" s="131"/>
      <c r="J186" s="131"/>
      <c r="K186" s="131"/>
      <c r="L186" s="131"/>
      <c r="T186" s="237"/>
      <c r="U186" s="237"/>
      <c r="V186" s="237"/>
      <c r="W186" s="237"/>
      <c r="X186" s="237"/>
      <c r="Y186" s="237"/>
      <c r="Z186" s="237"/>
      <c r="AH186" s="237"/>
      <c r="AI186" s="237"/>
      <c r="AJ186" s="237"/>
      <c r="AK186" s="237"/>
      <c r="AL186" s="237"/>
      <c r="AM186" s="237"/>
      <c r="AN186" s="237"/>
      <c r="AV186" s="237"/>
      <c r="AW186" s="237"/>
      <c r="AX186" s="237"/>
      <c r="AY186" s="237"/>
      <c r="AZ186" s="237"/>
      <c r="BA186" s="237"/>
      <c r="BB186" s="237"/>
    </row>
    <row r="187">
      <c r="E187" s="133"/>
      <c r="F187" s="237"/>
      <c r="G187" s="237"/>
      <c r="H187" s="131"/>
      <c r="I187" s="131"/>
      <c r="J187" s="131"/>
      <c r="K187" s="131"/>
      <c r="L187" s="131"/>
      <c r="T187" s="237"/>
      <c r="U187" s="237"/>
      <c r="V187" s="237"/>
      <c r="W187" s="237"/>
      <c r="X187" s="237"/>
      <c r="Y187" s="237"/>
      <c r="Z187" s="237"/>
      <c r="AH187" s="237"/>
      <c r="AI187" s="237"/>
      <c r="AJ187" s="237"/>
      <c r="AK187" s="237"/>
      <c r="AL187" s="237"/>
      <c r="AM187" s="237"/>
      <c r="AN187" s="237"/>
      <c r="AV187" s="237"/>
      <c r="AW187" s="237"/>
      <c r="AX187" s="237"/>
      <c r="AY187" s="237"/>
      <c r="AZ187" s="237"/>
      <c r="BA187" s="237"/>
      <c r="BB187" s="237"/>
    </row>
    <row r="188">
      <c r="E188" s="133"/>
      <c r="F188" s="237"/>
      <c r="G188" s="237"/>
      <c r="H188" s="131"/>
      <c r="I188" s="131"/>
      <c r="J188" s="131"/>
      <c r="K188" s="131"/>
      <c r="L188" s="131"/>
      <c r="T188" s="237"/>
      <c r="U188" s="237"/>
      <c r="V188" s="237"/>
      <c r="W188" s="237"/>
      <c r="X188" s="237"/>
      <c r="Y188" s="237"/>
      <c r="Z188" s="237"/>
      <c r="AH188" s="237"/>
      <c r="AI188" s="237"/>
      <c r="AJ188" s="237"/>
      <c r="AK188" s="237"/>
      <c r="AL188" s="237"/>
      <c r="AM188" s="237"/>
      <c r="AN188" s="237"/>
      <c r="AV188" s="237"/>
      <c r="AW188" s="237"/>
      <c r="AX188" s="237"/>
      <c r="AY188" s="237"/>
      <c r="AZ188" s="237"/>
      <c r="BA188" s="237"/>
      <c r="BB188" s="237"/>
    </row>
    <row r="189">
      <c r="E189" s="133"/>
      <c r="F189" s="237"/>
      <c r="G189" s="237"/>
      <c r="H189" s="131"/>
      <c r="I189" s="131"/>
      <c r="J189" s="131"/>
      <c r="K189" s="131"/>
      <c r="L189" s="131"/>
      <c r="T189" s="237"/>
      <c r="U189" s="237"/>
      <c r="V189" s="237"/>
      <c r="W189" s="237"/>
      <c r="X189" s="237"/>
      <c r="Y189" s="237"/>
      <c r="Z189" s="237"/>
      <c r="AH189" s="237"/>
      <c r="AI189" s="237"/>
      <c r="AJ189" s="237"/>
      <c r="AK189" s="237"/>
      <c r="AL189" s="237"/>
      <c r="AM189" s="237"/>
      <c r="AN189" s="237"/>
      <c r="AV189" s="237"/>
      <c r="AW189" s="237"/>
      <c r="AX189" s="237"/>
      <c r="AY189" s="237"/>
      <c r="AZ189" s="237"/>
      <c r="BA189" s="237"/>
      <c r="BB189" s="237"/>
    </row>
    <row r="190">
      <c r="E190" s="133"/>
      <c r="F190" s="237"/>
      <c r="G190" s="237"/>
      <c r="H190" s="131"/>
      <c r="I190" s="131"/>
      <c r="J190" s="131"/>
      <c r="K190" s="131"/>
      <c r="L190" s="131"/>
      <c r="T190" s="237"/>
      <c r="U190" s="237"/>
      <c r="V190" s="237"/>
      <c r="W190" s="237"/>
      <c r="X190" s="237"/>
      <c r="Y190" s="237"/>
      <c r="Z190" s="237"/>
      <c r="AH190" s="237"/>
      <c r="AI190" s="237"/>
      <c r="AJ190" s="237"/>
      <c r="AK190" s="237"/>
      <c r="AL190" s="237"/>
      <c r="AM190" s="237"/>
      <c r="AN190" s="237"/>
      <c r="AV190" s="237"/>
      <c r="AW190" s="237"/>
      <c r="AX190" s="237"/>
      <c r="AY190" s="237"/>
      <c r="AZ190" s="237"/>
      <c r="BA190" s="237"/>
      <c r="BB190" s="237"/>
    </row>
    <row r="191">
      <c r="E191" s="133"/>
      <c r="F191" s="237"/>
      <c r="G191" s="237"/>
      <c r="H191" s="131"/>
      <c r="I191" s="131"/>
      <c r="J191" s="131"/>
      <c r="K191" s="131"/>
      <c r="L191" s="131"/>
      <c r="T191" s="237"/>
      <c r="U191" s="237"/>
      <c r="V191" s="237"/>
      <c r="W191" s="237"/>
      <c r="X191" s="237"/>
      <c r="Y191" s="237"/>
      <c r="Z191" s="237"/>
      <c r="AH191" s="237"/>
      <c r="AI191" s="237"/>
      <c r="AJ191" s="237"/>
      <c r="AK191" s="237"/>
      <c r="AL191" s="237"/>
      <c r="AM191" s="237"/>
      <c r="AN191" s="237"/>
      <c r="AV191" s="237"/>
      <c r="AW191" s="237"/>
      <c r="AX191" s="237"/>
      <c r="AY191" s="237"/>
      <c r="AZ191" s="237"/>
      <c r="BA191" s="237"/>
      <c r="BB191" s="237"/>
    </row>
    <row r="192">
      <c r="E192" s="133"/>
      <c r="F192" s="237"/>
      <c r="G192" s="237"/>
      <c r="H192" s="131"/>
      <c r="I192" s="131"/>
      <c r="J192" s="131"/>
      <c r="K192" s="131"/>
      <c r="L192" s="131"/>
      <c r="T192" s="237"/>
      <c r="U192" s="237"/>
      <c r="V192" s="237"/>
      <c r="W192" s="237"/>
      <c r="X192" s="237"/>
      <c r="Y192" s="237"/>
      <c r="Z192" s="237"/>
      <c r="AH192" s="237"/>
      <c r="AI192" s="237"/>
      <c r="AJ192" s="237"/>
      <c r="AK192" s="237"/>
      <c r="AL192" s="237"/>
      <c r="AM192" s="237"/>
      <c r="AN192" s="237"/>
      <c r="AV192" s="237"/>
      <c r="AW192" s="237"/>
      <c r="AX192" s="237"/>
      <c r="AY192" s="237"/>
      <c r="AZ192" s="237"/>
      <c r="BA192" s="237"/>
      <c r="BB192" s="237"/>
    </row>
    <row r="193">
      <c r="E193" s="133"/>
      <c r="F193" s="237"/>
      <c r="G193" s="237"/>
      <c r="H193" s="131"/>
      <c r="I193" s="131"/>
      <c r="J193" s="131"/>
      <c r="K193" s="131"/>
      <c r="L193" s="131"/>
      <c r="T193" s="237"/>
      <c r="U193" s="237"/>
      <c r="V193" s="237"/>
      <c r="W193" s="237"/>
      <c r="X193" s="237"/>
      <c r="Y193" s="237"/>
      <c r="Z193" s="237"/>
      <c r="AH193" s="237"/>
      <c r="AI193" s="237"/>
      <c r="AJ193" s="237"/>
      <c r="AK193" s="237"/>
      <c r="AL193" s="237"/>
      <c r="AM193" s="237"/>
      <c r="AN193" s="237"/>
      <c r="AV193" s="237"/>
      <c r="AW193" s="237"/>
      <c r="AX193" s="237"/>
      <c r="AY193" s="237"/>
      <c r="AZ193" s="237"/>
      <c r="BA193" s="237"/>
      <c r="BB193" s="237"/>
    </row>
    <row r="194">
      <c r="E194" s="133"/>
      <c r="F194" s="237"/>
      <c r="G194" s="237"/>
      <c r="H194" s="131"/>
      <c r="I194" s="131"/>
      <c r="J194" s="131"/>
      <c r="K194" s="131"/>
      <c r="L194" s="131"/>
      <c r="T194" s="237"/>
      <c r="U194" s="237"/>
      <c r="V194" s="237"/>
      <c r="W194" s="237"/>
      <c r="X194" s="237"/>
      <c r="Y194" s="237"/>
      <c r="Z194" s="237"/>
      <c r="AH194" s="237"/>
      <c r="AI194" s="237"/>
      <c r="AJ194" s="237"/>
      <c r="AK194" s="237"/>
      <c r="AL194" s="237"/>
      <c r="AM194" s="237"/>
      <c r="AN194" s="237"/>
      <c r="AV194" s="237"/>
      <c r="AW194" s="237"/>
      <c r="AX194" s="237"/>
      <c r="AY194" s="237"/>
      <c r="AZ194" s="237"/>
      <c r="BA194" s="237"/>
      <c r="BB194" s="237"/>
    </row>
    <row r="195">
      <c r="E195" s="133"/>
      <c r="F195" s="237"/>
      <c r="G195" s="237"/>
      <c r="H195" s="131"/>
      <c r="I195" s="131"/>
      <c r="J195" s="131"/>
      <c r="K195" s="131"/>
      <c r="L195" s="131"/>
      <c r="T195" s="237"/>
      <c r="U195" s="237"/>
      <c r="V195" s="237"/>
      <c r="W195" s="237"/>
      <c r="X195" s="237"/>
      <c r="Y195" s="237"/>
      <c r="Z195" s="237"/>
      <c r="AH195" s="237"/>
      <c r="AI195" s="237"/>
      <c r="AJ195" s="237"/>
      <c r="AK195" s="237"/>
      <c r="AL195" s="237"/>
      <c r="AM195" s="237"/>
      <c r="AN195" s="237"/>
      <c r="AV195" s="237"/>
      <c r="AW195" s="237"/>
      <c r="AX195" s="237"/>
      <c r="AY195" s="237"/>
      <c r="AZ195" s="237"/>
      <c r="BA195" s="237"/>
      <c r="BB195" s="237"/>
    </row>
    <row r="196">
      <c r="E196" s="133"/>
      <c r="F196" s="237"/>
      <c r="G196" s="237"/>
      <c r="H196" s="131"/>
      <c r="I196" s="131"/>
      <c r="J196" s="131"/>
      <c r="K196" s="131"/>
      <c r="L196" s="131"/>
      <c r="T196" s="237"/>
      <c r="U196" s="237"/>
      <c r="V196" s="237"/>
      <c r="W196" s="237"/>
      <c r="X196" s="237"/>
      <c r="Y196" s="237"/>
      <c r="Z196" s="237"/>
      <c r="AH196" s="237"/>
      <c r="AI196" s="237"/>
      <c r="AJ196" s="237"/>
      <c r="AK196" s="237"/>
      <c r="AL196" s="237"/>
      <c r="AM196" s="237"/>
      <c r="AN196" s="237"/>
      <c r="AV196" s="237"/>
      <c r="AW196" s="237"/>
      <c r="AX196" s="237"/>
      <c r="AY196" s="237"/>
      <c r="AZ196" s="237"/>
      <c r="BA196" s="237"/>
      <c r="BB196" s="237"/>
    </row>
    <row r="197">
      <c r="E197" s="133"/>
      <c r="F197" s="237"/>
      <c r="G197" s="237"/>
      <c r="H197" s="131"/>
      <c r="I197" s="131"/>
      <c r="J197" s="131"/>
      <c r="K197" s="131"/>
      <c r="L197" s="131"/>
      <c r="T197" s="237"/>
      <c r="U197" s="237"/>
      <c r="V197" s="237"/>
      <c r="W197" s="237"/>
      <c r="X197" s="237"/>
      <c r="Y197" s="237"/>
      <c r="Z197" s="237"/>
      <c r="AH197" s="237"/>
      <c r="AI197" s="237"/>
      <c r="AJ197" s="237"/>
      <c r="AK197" s="237"/>
      <c r="AL197" s="237"/>
      <c r="AM197" s="237"/>
      <c r="AN197" s="237"/>
      <c r="AV197" s="237"/>
      <c r="AW197" s="237"/>
      <c r="AX197" s="237"/>
      <c r="AY197" s="237"/>
      <c r="AZ197" s="237"/>
      <c r="BA197" s="237"/>
      <c r="BB197" s="237"/>
    </row>
    <row r="198">
      <c r="E198" s="133"/>
      <c r="F198" s="237"/>
      <c r="G198" s="237"/>
      <c r="H198" s="131"/>
      <c r="I198" s="131"/>
      <c r="J198" s="131"/>
      <c r="K198" s="131"/>
      <c r="L198" s="131"/>
      <c r="T198" s="237"/>
      <c r="U198" s="237"/>
      <c r="V198" s="237"/>
      <c r="W198" s="237"/>
      <c r="X198" s="237"/>
      <c r="Y198" s="237"/>
      <c r="Z198" s="237"/>
      <c r="AH198" s="237"/>
      <c r="AI198" s="237"/>
      <c r="AJ198" s="237"/>
      <c r="AK198" s="237"/>
      <c r="AL198" s="237"/>
      <c r="AM198" s="237"/>
      <c r="AN198" s="237"/>
      <c r="AV198" s="237"/>
      <c r="AW198" s="237"/>
      <c r="AX198" s="237"/>
      <c r="AY198" s="237"/>
      <c r="AZ198" s="237"/>
      <c r="BA198" s="237"/>
      <c r="BB198" s="237"/>
    </row>
    <row r="199">
      <c r="E199" s="133"/>
      <c r="F199" s="237"/>
      <c r="G199" s="237"/>
      <c r="H199" s="131"/>
      <c r="I199" s="131"/>
      <c r="J199" s="131"/>
      <c r="K199" s="131"/>
      <c r="L199" s="131"/>
      <c r="T199" s="237"/>
      <c r="U199" s="237"/>
      <c r="V199" s="237"/>
      <c r="W199" s="237"/>
      <c r="X199" s="237"/>
      <c r="Y199" s="237"/>
      <c r="Z199" s="237"/>
      <c r="AH199" s="237"/>
      <c r="AI199" s="237"/>
      <c r="AJ199" s="237"/>
      <c r="AK199" s="237"/>
      <c r="AL199" s="237"/>
      <c r="AM199" s="237"/>
      <c r="AN199" s="237"/>
      <c r="AV199" s="237"/>
      <c r="AW199" s="237"/>
      <c r="AX199" s="237"/>
      <c r="AY199" s="237"/>
      <c r="AZ199" s="237"/>
      <c r="BA199" s="237"/>
      <c r="BB199" s="237"/>
    </row>
    <row r="200">
      <c r="E200" s="133"/>
      <c r="F200" s="237"/>
      <c r="G200" s="237"/>
      <c r="H200" s="131"/>
      <c r="I200" s="131"/>
      <c r="J200" s="131"/>
      <c r="K200" s="131"/>
      <c r="L200" s="131"/>
      <c r="T200" s="237"/>
      <c r="U200" s="237"/>
      <c r="V200" s="237"/>
      <c r="W200" s="237"/>
      <c r="X200" s="237"/>
      <c r="Y200" s="237"/>
      <c r="Z200" s="237"/>
      <c r="AH200" s="237"/>
      <c r="AI200" s="237"/>
      <c r="AJ200" s="237"/>
      <c r="AK200" s="237"/>
      <c r="AL200" s="237"/>
      <c r="AM200" s="237"/>
      <c r="AN200" s="237"/>
      <c r="AV200" s="237"/>
      <c r="AW200" s="237"/>
      <c r="AX200" s="237"/>
      <c r="AY200" s="237"/>
      <c r="AZ200" s="237"/>
      <c r="BA200" s="237"/>
      <c r="BB200" s="237"/>
    </row>
    <row r="201">
      <c r="E201" s="133"/>
      <c r="F201" s="237"/>
      <c r="G201" s="237"/>
      <c r="H201" s="131"/>
      <c r="I201" s="131"/>
      <c r="J201" s="131"/>
      <c r="K201" s="131"/>
      <c r="L201" s="131"/>
      <c r="T201" s="237"/>
      <c r="U201" s="237"/>
      <c r="V201" s="237"/>
      <c r="W201" s="237"/>
      <c r="X201" s="237"/>
      <c r="Y201" s="237"/>
      <c r="Z201" s="237"/>
      <c r="AH201" s="237"/>
      <c r="AI201" s="237"/>
      <c r="AJ201" s="237"/>
      <c r="AK201" s="237"/>
      <c r="AL201" s="237"/>
      <c r="AM201" s="237"/>
      <c r="AN201" s="237"/>
      <c r="AV201" s="237"/>
      <c r="AW201" s="237"/>
      <c r="AX201" s="237"/>
      <c r="AY201" s="237"/>
      <c r="AZ201" s="237"/>
      <c r="BA201" s="237"/>
      <c r="BB201" s="237"/>
    </row>
    <row r="202">
      <c r="E202" s="133"/>
      <c r="F202" s="237"/>
      <c r="G202" s="237"/>
      <c r="H202" s="131"/>
      <c r="I202" s="131"/>
      <c r="J202" s="131"/>
      <c r="K202" s="131"/>
      <c r="L202" s="131"/>
      <c r="T202" s="237"/>
      <c r="U202" s="237"/>
      <c r="V202" s="237"/>
      <c r="W202" s="237"/>
      <c r="X202" s="237"/>
      <c r="Y202" s="237"/>
      <c r="Z202" s="237"/>
      <c r="AH202" s="237"/>
      <c r="AI202" s="237"/>
      <c r="AJ202" s="237"/>
      <c r="AK202" s="237"/>
      <c r="AL202" s="237"/>
      <c r="AM202" s="237"/>
      <c r="AN202" s="237"/>
      <c r="AV202" s="237"/>
      <c r="AW202" s="237"/>
      <c r="AX202" s="237"/>
      <c r="AY202" s="237"/>
      <c r="AZ202" s="237"/>
      <c r="BA202" s="237"/>
      <c r="BB202" s="237"/>
    </row>
    <row r="203">
      <c r="E203" s="133"/>
      <c r="F203" s="237"/>
      <c r="G203" s="237"/>
      <c r="H203" s="131"/>
      <c r="I203" s="131"/>
      <c r="J203" s="131"/>
      <c r="K203" s="131"/>
      <c r="L203" s="131"/>
      <c r="T203" s="237"/>
      <c r="U203" s="237"/>
      <c r="V203" s="237"/>
      <c r="W203" s="237"/>
      <c r="X203" s="237"/>
      <c r="Y203" s="237"/>
      <c r="Z203" s="237"/>
      <c r="AH203" s="237"/>
      <c r="AI203" s="237"/>
      <c r="AJ203" s="237"/>
      <c r="AK203" s="237"/>
      <c r="AL203" s="237"/>
      <c r="AM203" s="237"/>
      <c r="AN203" s="237"/>
      <c r="AV203" s="237"/>
      <c r="AW203" s="237"/>
      <c r="AX203" s="237"/>
      <c r="AY203" s="237"/>
      <c r="AZ203" s="237"/>
      <c r="BA203" s="237"/>
      <c r="BB203" s="237"/>
    </row>
    <row r="204">
      <c r="E204" s="133"/>
      <c r="F204" s="237"/>
      <c r="G204" s="237"/>
      <c r="H204" s="131"/>
      <c r="I204" s="131"/>
      <c r="J204" s="131"/>
      <c r="K204" s="131"/>
      <c r="L204" s="131"/>
      <c r="T204" s="237"/>
      <c r="U204" s="237"/>
      <c r="V204" s="237"/>
      <c r="W204" s="237"/>
      <c r="X204" s="237"/>
      <c r="Y204" s="237"/>
      <c r="Z204" s="237"/>
      <c r="AH204" s="237"/>
      <c r="AI204" s="237"/>
      <c r="AJ204" s="237"/>
      <c r="AK204" s="237"/>
      <c r="AL204" s="237"/>
      <c r="AM204" s="237"/>
      <c r="AN204" s="237"/>
      <c r="AV204" s="237"/>
      <c r="AW204" s="237"/>
      <c r="AX204" s="237"/>
      <c r="AY204" s="237"/>
      <c r="AZ204" s="237"/>
      <c r="BA204" s="237"/>
      <c r="BB204" s="237"/>
    </row>
    <row r="205">
      <c r="E205" s="133"/>
      <c r="F205" s="237"/>
      <c r="G205" s="237"/>
      <c r="H205" s="131"/>
      <c r="I205" s="131"/>
      <c r="J205" s="131"/>
      <c r="K205" s="131"/>
      <c r="L205" s="131"/>
      <c r="T205" s="237"/>
      <c r="U205" s="237"/>
      <c r="V205" s="237"/>
      <c r="W205" s="237"/>
      <c r="X205" s="237"/>
      <c r="Y205" s="237"/>
      <c r="Z205" s="237"/>
      <c r="AH205" s="237"/>
      <c r="AI205" s="237"/>
      <c r="AJ205" s="237"/>
      <c r="AK205" s="237"/>
      <c r="AL205" s="237"/>
      <c r="AM205" s="237"/>
      <c r="AN205" s="237"/>
      <c r="AV205" s="237"/>
      <c r="AW205" s="237"/>
      <c r="AX205" s="237"/>
      <c r="AY205" s="237"/>
      <c r="AZ205" s="237"/>
      <c r="BA205" s="237"/>
      <c r="BB205" s="237"/>
    </row>
    <row r="206">
      <c r="E206" s="133"/>
      <c r="F206" s="237"/>
      <c r="G206" s="237"/>
      <c r="H206" s="131"/>
      <c r="I206" s="131"/>
      <c r="J206" s="131"/>
      <c r="K206" s="131"/>
      <c r="L206" s="131"/>
      <c r="T206" s="237"/>
      <c r="U206" s="237"/>
      <c r="V206" s="237"/>
      <c r="W206" s="237"/>
      <c r="X206" s="237"/>
      <c r="Y206" s="237"/>
      <c r="Z206" s="237"/>
      <c r="AH206" s="237"/>
      <c r="AI206" s="237"/>
      <c r="AJ206" s="237"/>
      <c r="AK206" s="237"/>
      <c r="AL206" s="237"/>
      <c r="AM206" s="237"/>
      <c r="AN206" s="237"/>
      <c r="AV206" s="237"/>
      <c r="AW206" s="237"/>
      <c r="AX206" s="237"/>
      <c r="AY206" s="237"/>
      <c r="AZ206" s="237"/>
      <c r="BA206" s="237"/>
      <c r="BB206" s="237"/>
    </row>
    <row r="207">
      <c r="E207" s="133"/>
      <c r="F207" s="237"/>
      <c r="G207" s="237"/>
      <c r="H207" s="131"/>
      <c r="I207" s="131"/>
      <c r="J207" s="131"/>
      <c r="K207" s="131"/>
      <c r="L207" s="131"/>
      <c r="T207" s="237"/>
      <c r="U207" s="237"/>
      <c r="V207" s="237"/>
      <c r="W207" s="237"/>
      <c r="X207" s="237"/>
      <c r="Y207" s="237"/>
      <c r="Z207" s="237"/>
      <c r="AH207" s="237"/>
      <c r="AI207" s="237"/>
      <c r="AJ207" s="237"/>
      <c r="AK207" s="237"/>
      <c r="AL207" s="237"/>
      <c r="AM207" s="237"/>
      <c r="AN207" s="237"/>
      <c r="AV207" s="237"/>
      <c r="AW207" s="237"/>
      <c r="AX207" s="237"/>
      <c r="AY207" s="237"/>
      <c r="AZ207" s="237"/>
      <c r="BA207" s="237"/>
      <c r="BB207" s="237"/>
    </row>
    <row r="208">
      <c r="E208" s="133"/>
      <c r="F208" s="237"/>
      <c r="G208" s="237"/>
      <c r="H208" s="131"/>
      <c r="I208" s="131"/>
      <c r="J208" s="131"/>
      <c r="K208" s="131"/>
      <c r="L208" s="131"/>
      <c r="T208" s="237"/>
      <c r="U208" s="237"/>
      <c r="V208" s="237"/>
      <c r="W208" s="237"/>
      <c r="X208" s="237"/>
      <c r="Y208" s="237"/>
      <c r="Z208" s="237"/>
      <c r="AH208" s="237"/>
      <c r="AI208" s="237"/>
      <c r="AJ208" s="237"/>
      <c r="AK208" s="237"/>
      <c r="AL208" s="237"/>
      <c r="AM208" s="237"/>
      <c r="AN208" s="237"/>
      <c r="AV208" s="237"/>
      <c r="AW208" s="237"/>
      <c r="AX208" s="237"/>
      <c r="AY208" s="237"/>
      <c r="AZ208" s="237"/>
      <c r="BA208" s="237"/>
      <c r="BB208" s="237"/>
    </row>
    <row r="209">
      <c r="E209" s="133"/>
      <c r="F209" s="237"/>
      <c r="G209" s="237"/>
      <c r="H209" s="131"/>
      <c r="I209" s="131"/>
      <c r="J209" s="131"/>
      <c r="K209" s="131"/>
      <c r="L209" s="131"/>
      <c r="T209" s="237"/>
      <c r="U209" s="237"/>
      <c r="V209" s="237"/>
      <c r="W209" s="237"/>
      <c r="X209" s="237"/>
      <c r="Y209" s="237"/>
      <c r="Z209" s="237"/>
      <c r="AH209" s="237"/>
      <c r="AI209" s="237"/>
      <c r="AJ209" s="237"/>
      <c r="AK209" s="237"/>
      <c r="AL209" s="237"/>
      <c r="AM209" s="237"/>
      <c r="AN209" s="237"/>
      <c r="AV209" s="237"/>
      <c r="AW209" s="237"/>
      <c r="AX209" s="237"/>
      <c r="AY209" s="237"/>
      <c r="AZ209" s="237"/>
      <c r="BA209" s="237"/>
      <c r="BB209" s="237"/>
    </row>
    <row r="210">
      <c r="E210" s="133"/>
      <c r="F210" s="237"/>
      <c r="G210" s="237"/>
      <c r="H210" s="131"/>
      <c r="I210" s="131"/>
      <c r="J210" s="131"/>
      <c r="K210" s="131"/>
      <c r="L210" s="131"/>
      <c r="T210" s="237"/>
      <c r="U210" s="237"/>
      <c r="V210" s="237"/>
      <c r="W210" s="237"/>
      <c r="X210" s="237"/>
      <c r="Y210" s="237"/>
      <c r="Z210" s="237"/>
      <c r="AH210" s="237"/>
      <c r="AI210" s="237"/>
      <c r="AJ210" s="237"/>
      <c r="AK210" s="237"/>
      <c r="AL210" s="237"/>
      <c r="AM210" s="237"/>
      <c r="AN210" s="237"/>
      <c r="AV210" s="237"/>
      <c r="AW210" s="237"/>
      <c r="AX210" s="237"/>
      <c r="AY210" s="237"/>
      <c r="AZ210" s="237"/>
      <c r="BA210" s="237"/>
      <c r="BB210" s="237"/>
    </row>
    <row r="211">
      <c r="E211" s="133"/>
      <c r="F211" s="237"/>
      <c r="G211" s="237"/>
      <c r="H211" s="131"/>
      <c r="I211" s="131"/>
      <c r="J211" s="131"/>
      <c r="K211" s="131"/>
      <c r="L211" s="131"/>
      <c r="T211" s="237"/>
      <c r="U211" s="237"/>
      <c r="V211" s="237"/>
      <c r="W211" s="237"/>
      <c r="X211" s="237"/>
      <c r="Y211" s="237"/>
      <c r="Z211" s="237"/>
      <c r="AH211" s="237"/>
      <c r="AI211" s="237"/>
      <c r="AJ211" s="237"/>
      <c r="AK211" s="237"/>
      <c r="AL211" s="237"/>
      <c r="AM211" s="237"/>
      <c r="AN211" s="237"/>
      <c r="AV211" s="237"/>
      <c r="AW211" s="237"/>
      <c r="AX211" s="237"/>
      <c r="AY211" s="237"/>
      <c r="AZ211" s="237"/>
      <c r="BA211" s="237"/>
      <c r="BB211" s="237"/>
    </row>
    <row r="212">
      <c r="E212" s="133"/>
      <c r="F212" s="237"/>
      <c r="G212" s="237"/>
      <c r="H212" s="131"/>
      <c r="I212" s="131"/>
      <c r="J212" s="131"/>
      <c r="K212" s="131"/>
      <c r="L212" s="131"/>
      <c r="T212" s="237"/>
      <c r="U212" s="237"/>
      <c r="V212" s="237"/>
      <c r="W212" s="237"/>
      <c r="X212" s="237"/>
      <c r="Y212" s="237"/>
      <c r="Z212" s="237"/>
      <c r="AH212" s="237"/>
      <c r="AI212" s="237"/>
      <c r="AJ212" s="237"/>
      <c r="AK212" s="237"/>
      <c r="AL212" s="237"/>
      <c r="AM212" s="237"/>
      <c r="AN212" s="237"/>
      <c r="AV212" s="237"/>
      <c r="AW212" s="237"/>
      <c r="AX212" s="237"/>
      <c r="AY212" s="237"/>
      <c r="AZ212" s="237"/>
      <c r="BA212" s="237"/>
      <c r="BB212" s="237"/>
    </row>
    <row r="213">
      <c r="E213" s="133"/>
      <c r="F213" s="237"/>
      <c r="G213" s="237"/>
      <c r="H213" s="131"/>
      <c r="I213" s="131"/>
      <c r="J213" s="131"/>
      <c r="K213" s="131"/>
      <c r="L213" s="131"/>
      <c r="T213" s="237"/>
      <c r="U213" s="237"/>
      <c r="V213" s="237"/>
      <c r="W213" s="237"/>
      <c r="X213" s="237"/>
      <c r="Y213" s="237"/>
      <c r="Z213" s="237"/>
      <c r="AH213" s="237"/>
      <c r="AI213" s="237"/>
      <c r="AJ213" s="237"/>
      <c r="AK213" s="237"/>
      <c r="AL213" s="237"/>
      <c r="AM213" s="237"/>
      <c r="AN213" s="237"/>
      <c r="AV213" s="237"/>
      <c r="AW213" s="237"/>
      <c r="AX213" s="237"/>
      <c r="AY213" s="237"/>
      <c r="AZ213" s="237"/>
      <c r="BA213" s="237"/>
      <c r="BB213" s="237"/>
    </row>
    <row r="214">
      <c r="E214" s="133"/>
      <c r="F214" s="237"/>
      <c r="G214" s="237"/>
      <c r="H214" s="131"/>
      <c r="I214" s="131"/>
      <c r="J214" s="131"/>
      <c r="K214" s="131"/>
      <c r="L214" s="131"/>
      <c r="T214" s="237"/>
      <c r="U214" s="237"/>
      <c r="V214" s="237"/>
      <c r="W214" s="237"/>
      <c r="X214" s="237"/>
      <c r="Y214" s="237"/>
      <c r="Z214" s="237"/>
      <c r="AH214" s="237"/>
      <c r="AI214" s="237"/>
      <c r="AJ214" s="237"/>
      <c r="AK214" s="237"/>
      <c r="AL214" s="237"/>
      <c r="AM214" s="237"/>
      <c r="AN214" s="237"/>
      <c r="AV214" s="237"/>
      <c r="AW214" s="237"/>
      <c r="AX214" s="237"/>
      <c r="AY214" s="237"/>
      <c r="AZ214" s="237"/>
      <c r="BA214" s="237"/>
      <c r="BB214" s="237"/>
    </row>
    <row r="215">
      <c r="E215" s="133"/>
      <c r="F215" s="237"/>
      <c r="G215" s="237"/>
      <c r="H215" s="131"/>
      <c r="I215" s="131"/>
      <c r="J215" s="131"/>
      <c r="K215" s="131"/>
      <c r="L215" s="131"/>
      <c r="T215" s="237"/>
      <c r="U215" s="237"/>
      <c r="V215" s="237"/>
      <c r="W215" s="237"/>
      <c r="X215" s="237"/>
      <c r="Y215" s="237"/>
      <c r="Z215" s="237"/>
      <c r="AH215" s="237"/>
      <c r="AI215" s="237"/>
      <c r="AJ215" s="237"/>
      <c r="AK215" s="237"/>
      <c r="AL215" s="237"/>
      <c r="AM215" s="237"/>
      <c r="AN215" s="237"/>
      <c r="AV215" s="237"/>
      <c r="AW215" s="237"/>
      <c r="AX215" s="237"/>
      <c r="AY215" s="237"/>
      <c r="AZ215" s="237"/>
      <c r="BA215" s="237"/>
      <c r="BB215" s="237"/>
    </row>
    <row r="216">
      <c r="E216" s="133"/>
      <c r="F216" s="237"/>
      <c r="G216" s="237"/>
      <c r="H216" s="131"/>
      <c r="I216" s="131"/>
      <c r="J216" s="131"/>
      <c r="K216" s="131"/>
      <c r="L216" s="131"/>
      <c r="T216" s="237"/>
      <c r="U216" s="237"/>
      <c r="V216" s="237"/>
      <c r="W216" s="237"/>
      <c r="X216" s="237"/>
      <c r="Y216" s="237"/>
      <c r="Z216" s="237"/>
      <c r="AH216" s="237"/>
      <c r="AI216" s="237"/>
      <c r="AJ216" s="237"/>
      <c r="AK216" s="237"/>
      <c r="AL216" s="237"/>
      <c r="AM216" s="237"/>
      <c r="AN216" s="237"/>
      <c r="AV216" s="237"/>
      <c r="AW216" s="237"/>
      <c r="AX216" s="237"/>
      <c r="AY216" s="237"/>
      <c r="AZ216" s="237"/>
      <c r="BA216" s="237"/>
      <c r="BB216" s="237"/>
    </row>
    <row r="217">
      <c r="E217" s="133"/>
      <c r="F217" s="237"/>
      <c r="G217" s="237"/>
      <c r="H217" s="131"/>
      <c r="I217" s="131"/>
      <c r="J217" s="131"/>
      <c r="K217" s="131"/>
      <c r="L217" s="131"/>
      <c r="T217" s="237"/>
      <c r="U217" s="237"/>
      <c r="V217" s="237"/>
      <c r="W217" s="237"/>
      <c r="X217" s="237"/>
      <c r="Y217" s="237"/>
      <c r="Z217" s="237"/>
      <c r="AH217" s="237"/>
      <c r="AI217" s="237"/>
      <c r="AJ217" s="237"/>
      <c r="AK217" s="237"/>
      <c r="AL217" s="237"/>
      <c r="AM217" s="237"/>
      <c r="AN217" s="237"/>
      <c r="AV217" s="237"/>
      <c r="AW217" s="237"/>
      <c r="AX217" s="237"/>
      <c r="AY217" s="237"/>
      <c r="AZ217" s="237"/>
      <c r="BA217" s="237"/>
      <c r="BB217" s="237"/>
    </row>
    <row r="218">
      <c r="E218" s="133"/>
      <c r="F218" s="237"/>
      <c r="G218" s="237"/>
      <c r="H218" s="131"/>
      <c r="I218" s="131"/>
      <c r="J218" s="131"/>
      <c r="K218" s="131"/>
      <c r="L218" s="131"/>
      <c r="T218" s="237"/>
      <c r="U218" s="237"/>
      <c r="V218" s="237"/>
      <c r="W218" s="237"/>
      <c r="X218" s="237"/>
      <c r="Y218" s="237"/>
      <c r="Z218" s="237"/>
      <c r="AH218" s="237"/>
      <c r="AI218" s="237"/>
      <c r="AJ218" s="237"/>
      <c r="AK218" s="237"/>
      <c r="AL218" s="237"/>
      <c r="AM218" s="237"/>
      <c r="AN218" s="237"/>
      <c r="AV218" s="237"/>
      <c r="AW218" s="237"/>
      <c r="AX218" s="237"/>
      <c r="AY218" s="237"/>
      <c r="AZ218" s="237"/>
      <c r="BA218" s="237"/>
      <c r="BB218" s="237"/>
    </row>
    <row r="219">
      <c r="E219" s="133"/>
      <c r="F219" s="237"/>
      <c r="G219" s="237"/>
      <c r="H219" s="131"/>
      <c r="I219" s="131"/>
      <c r="J219" s="131"/>
      <c r="K219" s="131"/>
      <c r="L219" s="131"/>
      <c r="T219" s="237"/>
      <c r="U219" s="237"/>
      <c r="V219" s="237"/>
      <c r="W219" s="237"/>
      <c r="X219" s="237"/>
      <c r="Y219" s="237"/>
      <c r="Z219" s="237"/>
      <c r="AH219" s="237"/>
      <c r="AI219" s="237"/>
      <c r="AJ219" s="237"/>
      <c r="AK219" s="237"/>
      <c r="AL219" s="237"/>
      <c r="AM219" s="237"/>
      <c r="AN219" s="237"/>
      <c r="AV219" s="237"/>
      <c r="AW219" s="237"/>
      <c r="AX219" s="237"/>
      <c r="AY219" s="237"/>
      <c r="AZ219" s="237"/>
      <c r="BA219" s="237"/>
      <c r="BB219" s="237"/>
    </row>
    <row r="220">
      <c r="E220" s="133"/>
      <c r="F220" s="237"/>
      <c r="G220" s="237"/>
      <c r="H220" s="131"/>
      <c r="I220" s="131"/>
      <c r="J220" s="131"/>
      <c r="K220" s="131"/>
      <c r="L220" s="131"/>
      <c r="T220" s="237"/>
      <c r="U220" s="237"/>
      <c r="V220" s="237"/>
      <c r="W220" s="237"/>
      <c r="X220" s="237"/>
      <c r="Y220" s="237"/>
      <c r="Z220" s="237"/>
      <c r="AH220" s="237"/>
      <c r="AI220" s="237"/>
      <c r="AJ220" s="237"/>
      <c r="AK220" s="237"/>
      <c r="AL220" s="237"/>
      <c r="AM220" s="237"/>
      <c r="AN220" s="237"/>
      <c r="AV220" s="237"/>
      <c r="AW220" s="237"/>
      <c r="AX220" s="237"/>
      <c r="AY220" s="237"/>
      <c r="AZ220" s="237"/>
      <c r="BA220" s="237"/>
      <c r="BB220" s="237"/>
    </row>
    <row r="221">
      <c r="E221" s="133"/>
      <c r="F221" s="237"/>
      <c r="G221" s="237"/>
      <c r="H221" s="131"/>
      <c r="I221" s="131"/>
      <c r="J221" s="131"/>
      <c r="K221" s="131"/>
      <c r="L221" s="131"/>
      <c r="T221" s="237"/>
      <c r="U221" s="237"/>
      <c r="V221" s="237"/>
      <c r="W221" s="237"/>
      <c r="X221" s="237"/>
      <c r="Y221" s="237"/>
      <c r="Z221" s="237"/>
      <c r="AH221" s="237"/>
      <c r="AI221" s="237"/>
      <c r="AJ221" s="237"/>
      <c r="AK221" s="237"/>
      <c r="AL221" s="237"/>
      <c r="AM221" s="237"/>
      <c r="AN221" s="237"/>
      <c r="AV221" s="237"/>
      <c r="AW221" s="237"/>
      <c r="AX221" s="237"/>
      <c r="AY221" s="237"/>
      <c r="AZ221" s="237"/>
      <c r="BA221" s="237"/>
      <c r="BB221" s="237"/>
    </row>
    <row r="222">
      <c r="E222" s="133"/>
      <c r="F222" s="237"/>
      <c r="G222" s="237"/>
      <c r="H222" s="131"/>
      <c r="I222" s="131"/>
      <c r="J222" s="131"/>
      <c r="K222" s="131"/>
      <c r="L222" s="131"/>
      <c r="T222" s="237"/>
      <c r="U222" s="237"/>
      <c r="V222" s="237"/>
      <c r="W222" s="237"/>
      <c r="X222" s="237"/>
      <c r="Y222" s="237"/>
      <c r="Z222" s="237"/>
      <c r="AH222" s="237"/>
      <c r="AI222" s="237"/>
      <c r="AJ222" s="237"/>
      <c r="AK222" s="237"/>
      <c r="AL222" s="237"/>
      <c r="AM222" s="237"/>
      <c r="AN222" s="237"/>
      <c r="AV222" s="237"/>
      <c r="AW222" s="237"/>
      <c r="AX222" s="237"/>
      <c r="AY222" s="237"/>
      <c r="AZ222" s="237"/>
      <c r="BA222" s="237"/>
      <c r="BB222" s="237"/>
    </row>
    <row r="223">
      <c r="E223" s="133"/>
      <c r="F223" s="237"/>
      <c r="G223" s="237"/>
      <c r="H223" s="131"/>
      <c r="I223" s="131"/>
      <c r="J223" s="131"/>
      <c r="K223" s="131"/>
      <c r="L223" s="131"/>
      <c r="T223" s="237"/>
      <c r="U223" s="237"/>
      <c r="V223" s="237"/>
      <c r="W223" s="237"/>
      <c r="X223" s="237"/>
      <c r="Y223" s="237"/>
      <c r="Z223" s="237"/>
      <c r="AH223" s="237"/>
      <c r="AI223" s="237"/>
      <c r="AJ223" s="237"/>
      <c r="AK223" s="237"/>
      <c r="AL223" s="237"/>
      <c r="AM223" s="237"/>
      <c r="AN223" s="237"/>
      <c r="AV223" s="237"/>
      <c r="AW223" s="237"/>
      <c r="AX223" s="237"/>
      <c r="AY223" s="237"/>
      <c r="AZ223" s="237"/>
      <c r="BA223" s="237"/>
      <c r="BB223" s="237"/>
    </row>
    <row r="224">
      <c r="E224" s="133"/>
      <c r="F224" s="237"/>
      <c r="G224" s="237"/>
      <c r="H224" s="131"/>
      <c r="I224" s="131"/>
      <c r="J224" s="131"/>
      <c r="K224" s="131"/>
      <c r="L224" s="131"/>
      <c r="T224" s="237"/>
      <c r="U224" s="237"/>
      <c r="V224" s="237"/>
      <c r="W224" s="237"/>
      <c r="X224" s="237"/>
      <c r="Y224" s="237"/>
      <c r="Z224" s="237"/>
      <c r="AH224" s="237"/>
      <c r="AI224" s="237"/>
      <c r="AJ224" s="237"/>
      <c r="AK224" s="237"/>
      <c r="AL224" s="237"/>
      <c r="AM224" s="237"/>
      <c r="AN224" s="237"/>
      <c r="AV224" s="237"/>
      <c r="AW224" s="237"/>
      <c r="AX224" s="237"/>
      <c r="AY224" s="237"/>
      <c r="AZ224" s="237"/>
      <c r="BA224" s="237"/>
      <c r="BB224" s="237"/>
    </row>
    <row r="225">
      <c r="E225" s="133"/>
      <c r="F225" s="237"/>
      <c r="G225" s="237"/>
      <c r="H225" s="131"/>
      <c r="I225" s="131"/>
      <c r="J225" s="131"/>
      <c r="K225" s="131"/>
      <c r="L225" s="131"/>
      <c r="T225" s="237"/>
      <c r="U225" s="237"/>
      <c r="V225" s="237"/>
      <c r="W225" s="237"/>
      <c r="X225" s="237"/>
      <c r="Y225" s="237"/>
      <c r="Z225" s="237"/>
      <c r="AH225" s="237"/>
      <c r="AI225" s="237"/>
      <c r="AJ225" s="237"/>
      <c r="AK225" s="237"/>
      <c r="AL225" s="237"/>
      <c r="AM225" s="237"/>
      <c r="AN225" s="237"/>
      <c r="AV225" s="237"/>
      <c r="AW225" s="237"/>
      <c r="AX225" s="237"/>
      <c r="AY225" s="237"/>
      <c r="AZ225" s="237"/>
      <c r="BA225" s="237"/>
      <c r="BB225" s="237"/>
    </row>
    <row r="226">
      <c r="E226" s="133"/>
      <c r="F226" s="237"/>
      <c r="G226" s="237"/>
      <c r="H226" s="131"/>
      <c r="I226" s="131"/>
      <c r="J226" s="131"/>
      <c r="K226" s="131"/>
      <c r="L226" s="131"/>
      <c r="T226" s="237"/>
      <c r="U226" s="237"/>
      <c r="V226" s="237"/>
      <c r="W226" s="237"/>
      <c r="X226" s="237"/>
      <c r="Y226" s="237"/>
      <c r="Z226" s="237"/>
      <c r="AH226" s="237"/>
      <c r="AI226" s="237"/>
      <c r="AJ226" s="237"/>
      <c r="AK226" s="237"/>
      <c r="AL226" s="237"/>
      <c r="AM226" s="237"/>
      <c r="AN226" s="237"/>
      <c r="AV226" s="237"/>
      <c r="AW226" s="237"/>
      <c r="AX226" s="237"/>
      <c r="AY226" s="237"/>
      <c r="AZ226" s="237"/>
      <c r="BA226" s="237"/>
      <c r="BB226" s="237"/>
    </row>
    <row r="227">
      <c r="E227" s="133"/>
      <c r="F227" s="237"/>
      <c r="G227" s="237"/>
      <c r="H227" s="131"/>
      <c r="I227" s="131"/>
      <c r="J227" s="131"/>
      <c r="K227" s="131"/>
      <c r="L227" s="131"/>
      <c r="T227" s="237"/>
      <c r="U227" s="237"/>
      <c r="V227" s="237"/>
      <c r="W227" s="237"/>
      <c r="X227" s="237"/>
      <c r="Y227" s="237"/>
      <c r="Z227" s="237"/>
      <c r="AH227" s="237"/>
      <c r="AI227" s="237"/>
      <c r="AJ227" s="237"/>
      <c r="AK227" s="237"/>
      <c r="AL227" s="237"/>
      <c r="AM227" s="237"/>
      <c r="AN227" s="237"/>
      <c r="AV227" s="237"/>
      <c r="AW227" s="237"/>
      <c r="AX227" s="237"/>
      <c r="AY227" s="237"/>
      <c r="AZ227" s="237"/>
      <c r="BA227" s="237"/>
      <c r="BB227" s="237"/>
    </row>
    <row r="228">
      <c r="E228" s="133"/>
      <c r="F228" s="237"/>
      <c r="G228" s="237"/>
      <c r="H228" s="131"/>
      <c r="I228" s="131"/>
      <c r="J228" s="131"/>
      <c r="K228" s="131"/>
      <c r="L228" s="131"/>
      <c r="T228" s="237"/>
      <c r="U228" s="237"/>
      <c r="V228" s="237"/>
      <c r="W228" s="237"/>
      <c r="X228" s="237"/>
      <c r="Y228" s="237"/>
      <c r="Z228" s="237"/>
      <c r="AH228" s="237"/>
      <c r="AI228" s="237"/>
      <c r="AJ228" s="237"/>
      <c r="AK228" s="237"/>
      <c r="AL228" s="237"/>
      <c r="AM228" s="237"/>
      <c r="AN228" s="237"/>
      <c r="AV228" s="237"/>
      <c r="AW228" s="237"/>
      <c r="AX228" s="237"/>
      <c r="AY228" s="237"/>
      <c r="AZ228" s="237"/>
      <c r="BA228" s="237"/>
      <c r="BB228" s="237"/>
    </row>
    <row r="229">
      <c r="E229" s="133"/>
      <c r="F229" s="237"/>
      <c r="G229" s="237"/>
      <c r="H229" s="131"/>
      <c r="I229" s="131"/>
      <c r="J229" s="131"/>
      <c r="K229" s="131"/>
      <c r="L229" s="131"/>
      <c r="T229" s="237"/>
      <c r="U229" s="237"/>
      <c r="V229" s="237"/>
      <c r="W229" s="237"/>
      <c r="X229" s="237"/>
      <c r="Y229" s="237"/>
      <c r="Z229" s="237"/>
      <c r="AH229" s="237"/>
      <c r="AI229" s="237"/>
      <c r="AJ229" s="237"/>
      <c r="AK229" s="237"/>
      <c r="AL229" s="237"/>
      <c r="AM229" s="237"/>
      <c r="AN229" s="237"/>
      <c r="AV229" s="237"/>
      <c r="AW229" s="237"/>
      <c r="AX229" s="237"/>
      <c r="AY229" s="237"/>
      <c r="AZ229" s="237"/>
      <c r="BA229" s="237"/>
      <c r="BB229" s="237"/>
    </row>
    <row r="230">
      <c r="E230" s="133"/>
      <c r="F230" s="237"/>
      <c r="G230" s="237"/>
      <c r="H230" s="131"/>
      <c r="I230" s="131"/>
      <c r="J230" s="131"/>
      <c r="K230" s="131"/>
      <c r="L230" s="131"/>
      <c r="T230" s="237"/>
      <c r="U230" s="237"/>
      <c r="V230" s="237"/>
      <c r="W230" s="237"/>
      <c r="X230" s="237"/>
      <c r="Y230" s="237"/>
      <c r="Z230" s="237"/>
      <c r="AH230" s="237"/>
      <c r="AI230" s="237"/>
      <c r="AJ230" s="237"/>
      <c r="AK230" s="237"/>
      <c r="AL230" s="237"/>
      <c r="AM230" s="237"/>
      <c r="AN230" s="237"/>
      <c r="AV230" s="237"/>
      <c r="AW230" s="237"/>
      <c r="AX230" s="237"/>
      <c r="AY230" s="237"/>
      <c r="AZ230" s="237"/>
      <c r="BA230" s="237"/>
      <c r="BB230" s="237"/>
    </row>
    <row r="231">
      <c r="E231" s="133"/>
      <c r="F231" s="237"/>
      <c r="G231" s="237"/>
      <c r="H231" s="131"/>
      <c r="I231" s="131"/>
      <c r="J231" s="131"/>
      <c r="K231" s="131"/>
      <c r="L231" s="131"/>
      <c r="T231" s="237"/>
      <c r="U231" s="237"/>
      <c r="V231" s="237"/>
      <c r="W231" s="237"/>
      <c r="X231" s="237"/>
      <c r="Y231" s="237"/>
      <c r="Z231" s="237"/>
      <c r="AH231" s="237"/>
      <c r="AI231" s="237"/>
      <c r="AJ231" s="237"/>
      <c r="AK231" s="237"/>
      <c r="AL231" s="237"/>
      <c r="AM231" s="237"/>
      <c r="AN231" s="237"/>
      <c r="AV231" s="237"/>
      <c r="AW231" s="237"/>
      <c r="AX231" s="237"/>
      <c r="AY231" s="237"/>
      <c r="AZ231" s="237"/>
      <c r="BA231" s="237"/>
      <c r="BB231" s="237"/>
    </row>
    <row r="232">
      <c r="E232" s="133"/>
      <c r="F232" s="237"/>
      <c r="G232" s="237"/>
      <c r="H232" s="131"/>
      <c r="I232" s="131"/>
      <c r="J232" s="131"/>
      <c r="K232" s="131"/>
      <c r="L232" s="131"/>
      <c r="T232" s="237"/>
      <c r="U232" s="237"/>
      <c r="V232" s="237"/>
      <c r="W232" s="237"/>
      <c r="X232" s="237"/>
      <c r="Y232" s="237"/>
      <c r="Z232" s="237"/>
      <c r="AH232" s="237"/>
      <c r="AI232" s="237"/>
      <c r="AJ232" s="237"/>
      <c r="AK232" s="237"/>
      <c r="AL232" s="237"/>
      <c r="AM232" s="237"/>
      <c r="AN232" s="237"/>
      <c r="AV232" s="237"/>
      <c r="AW232" s="237"/>
      <c r="AX232" s="237"/>
      <c r="AY232" s="237"/>
      <c r="AZ232" s="237"/>
      <c r="BA232" s="237"/>
      <c r="BB232" s="237"/>
    </row>
    <row r="233">
      <c r="E233" s="133"/>
      <c r="F233" s="237"/>
      <c r="G233" s="237"/>
      <c r="H233" s="131"/>
      <c r="I233" s="131"/>
      <c r="J233" s="131"/>
      <c r="K233" s="131"/>
      <c r="L233" s="131"/>
      <c r="T233" s="237"/>
      <c r="U233" s="237"/>
      <c r="V233" s="237"/>
      <c r="W233" s="237"/>
      <c r="X233" s="237"/>
      <c r="Y233" s="237"/>
      <c r="Z233" s="237"/>
      <c r="AH233" s="237"/>
      <c r="AI233" s="237"/>
      <c r="AJ233" s="237"/>
      <c r="AK233" s="237"/>
      <c r="AL233" s="237"/>
      <c r="AM233" s="237"/>
      <c r="AN233" s="237"/>
      <c r="AV233" s="237"/>
      <c r="AW233" s="237"/>
      <c r="AX233" s="237"/>
      <c r="AY233" s="237"/>
      <c r="AZ233" s="237"/>
      <c r="BA233" s="237"/>
      <c r="BB233" s="237"/>
    </row>
    <row r="234">
      <c r="E234" s="133"/>
      <c r="F234" s="237"/>
      <c r="G234" s="237"/>
      <c r="H234" s="131"/>
      <c r="I234" s="131"/>
      <c r="J234" s="131"/>
      <c r="K234" s="131"/>
      <c r="L234" s="131"/>
      <c r="T234" s="237"/>
      <c r="U234" s="237"/>
      <c r="V234" s="237"/>
      <c r="W234" s="237"/>
      <c r="X234" s="237"/>
      <c r="Y234" s="237"/>
      <c r="Z234" s="237"/>
      <c r="AH234" s="237"/>
      <c r="AI234" s="237"/>
      <c r="AJ234" s="237"/>
      <c r="AK234" s="237"/>
      <c r="AL234" s="237"/>
      <c r="AM234" s="237"/>
      <c r="AN234" s="237"/>
      <c r="AV234" s="237"/>
      <c r="AW234" s="237"/>
      <c r="AX234" s="237"/>
      <c r="AY234" s="237"/>
      <c r="AZ234" s="237"/>
      <c r="BA234" s="237"/>
      <c r="BB234" s="237"/>
    </row>
    <row r="235">
      <c r="E235" s="133"/>
      <c r="F235" s="237"/>
      <c r="G235" s="237"/>
      <c r="H235" s="131"/>
      <c r="I235" s="131"/>
      <c r="J235" s="131"/>
      <c r="K235" s="131"/>
      <c r="L235" s="131"/>
      <c r="T235" s="237"/>
      <c r="U235" s="237"/>
      <c r="V235" s="237"/>
      <c r="W235" s="237"/>
      <c r="X235" s="237"/>
      <c r="Y235" s="237"/>
      <c r="Z235" s="237"/>
      <c r="AH235" s="237"/>
      <c r="AI235" s="237"/>
      <c r="AJ235" s="237"/>
      <c r="AK235" s="237"/>
      <c r="AL235" s="237"/>
      <c r="AM235" s="237"/>
      <c r="AN235" s="237"/>
      <c r="AV235" s="237"/>
      <c r="AW235" s="237"/>
      <c r="AX235" s="237"/>
      <c r="AY235" s="237"/>
      <c r="AZ235" s="237"/>
      <c r="BA235" s="237"/>
      <c r="BB235" s="237"/>
    </row>
    <row r="236">
      <c r="E236" s="133"/>
      <c r="F236" s="237"/>
      <c r="G236" s="237"/>
      <c r="H236" s="131"/>
      <c r="I236" s="131"/>
      <c r="J236" s="131"/>
      <c r="K236" s="131"/>
      <c r="L236" s="131"/>
      <c r="T236" s="237"/>
      <c r="U236" s="237"/>
      <c r="V236" s="237"/>
      <c r="W236" s="237"/>
      <c r="X236" s="237"/>
      <c r="Y236" s="237"/>
      <c r="Z236" s="237"/>
      <c r="AH236" s="237"/>
      <c r="AI236" s="237"/>
      <c r="AJ236" s="237"/>
      <c r="AK236" s="237"/>
      <c r="AL236" s="237"/>
      <c r="AM236" s="237"/>
      <c r="AN236" s="237"/>
      <c r="AV236" s="237"/>
      <c r="AW236" s="237"/>
      <c r="AX236" s="237"/>
      <c r="AY236" s="237"/>
      <c r="AZ236" s="237"/>
      <c r="BA236" s="237"/>
      <c r="BB236" s="237"/>
    </row>
    <row r="237">
      <c r="E237" s="133"/>
      <c r="F237" s="237"/>
      <c r="G237" s="237"/>
      <c r="H237" s="131"/>
      <c r="I237" s="131"/>
      <c r="J237" s="131"/>
      <c r="K237" s="131"/>
      <c r="L237" s="131"/>
      <c r="T237" s="237"/>
      <c r="U237" s="237"/>
      <c r="V237" s="237"/>
      <c r="W237" s="237"/>
      <c r="X237" s="237"/>
      <c r="Y237" s="237"/>
      <c r="Z237" s="237"/>
      <c r="AH237" s="237"/>
      <c r="AI237" s="237"/>
      <c r="AJ237" s="237"/>
      <c r="AK237" s="237"/>
      <c r="AL237" s="237"/>
      <c r="AM237" s="237"/>
      <c r="AN237" s="237"/>
      <c r="AV237" s="237"/>
      <c r="AW237" s="237"/>
      <c r="AX237" s="237"/>
      <c r="AY237" s="237"/>
      <c r="AZ237" s="237"/>
      <c r="BA237" s="237"/>
      <c r="BB237" s="237"/>
    </row>
    <row r="238">
      <c r="E238" s="133"/>
      <c r="F238" s="237"/>
      <c r="G238" s="237"/>
      <c r="H238" s="131"/>
      <c r="I238" s="131"/>
      <c r="J238" s="131"/>
      <c r="K238" s="131"/>
      <c r="L238" s="131"/>
      <c r="T238" s="237"/>
      <c r="U238" s="237"/>
      <c r="V238" s="237"/>
      <c r="W238" s="237"/>
      <c r="X238" s="237"/>
      <c r="Y238" s="237"/>
      <c r="Z238" s="237"/>
      <c r="AH238" s="237"/>
      <c r="AI238" s="237"/>
      <c r="AJ238" s="237"/>
      <c r="AK238" s="237"/>
      <c r="AL238" s="237"/>
      <c r="AM238" s="237"/>
      <c r="AN238" s="237"/>
      <c r="AV238" s="237"/>
      <c r="AW238" s="237"/>
      <c r="AX238" s="237"/>
      <c r="AY238" s="237"/>
      <c r="AZ238" s="237"/>
      <c r="BA238" s="237"/>
      <c r="BB238" s="237"/>
    </row>
    <row r="239">
      <c r="E239" s="133"/>
      <c r="F239" s="237"/>
      <c r="G239" s="237"/>
      <c r="H239" s="131"/>
      <c r="I239" s="131"/>
      <c r="J239" s="131"/>
      <c r="K239" s="131"/>
      <c r="L239" s="131"/>
      <c r="T239" s="237"/>
      <c r="U239" s="237"/>
      <c r="V239" s="237"/>
      <c r="W239" s="237"/>
      <c r="X239" s="237"/>
      <c r="Y239" s="237"/>
      <c r="Z239" s="237"/>
      <c r="AH239" s="237"/>
      <c r="AI239" s="237"/>
      <c r="AJ239" s="237"/>
      <c r="AK239" s="237"/>
      <c r="AL239" s="237"/>
      <c r="AM239" s="237"/>
      <c r="AN239" s="237"/>
      <c r="AV239" s="237"/>
      <c r="AW239" s="237"/>
      <c r="AX239" s="237"/>
      <c r="AY239" s="237"/>
      <c r="AZ239" s="237"/>
      <c r="BA239" s="237"/>
      <c r="BB239" s="237"/>
    </row>
    <row r="240">
      <c r="E240" s="133"/>
      <c r="F240" s="237"/>
      <c r="G240" s="237"/>
      <c r="H240" s="131"/>
      <c r="I240" s="131"/>
      <c r="J240" s="131"/>
      <c r="K240" s="131"/>
      <c r="L240" s="131"/>
      <c r="T240" s="237"/>
      <c r="U240" s="237"/>
      <c r="V240" s="237"/>
      <c r="W240" s="237"/>
      <c r="X240" s="237"/>
      <c r="Y240" s="237"/>
      <c r="Z240" s="237"/>
      <c r="AH240" s="237"/>
      <c r="AI240" s="237"/>
      <c r="AJ240" s="237"/>
      <c r="AK240" s="237"/>
      <c r="AL240" s="237"/>
      <c r="AM240" s="237"/>
      <c r="AN240" s="237"/>
      <c r="AV240" s="237"/>
      <c r="AW240" s="237"/>
      <c r="AX240" s="237"/>
      <c r="AY240" s="237"/>
      <c r="AZ240" s="237"/>
      <c r="BA240" s="237"/>
      <c r="BB240" s="237"/>
    </row>
    <row r="241">
      <c r="E241" s="133"/>
      <c r="F241" s="237"/>
      <c r="G241" s="237"/>
      <c r="H241" s="131"/>
      <c r="I241" s="131"/>
      <c r="J241" s="131"/>
      <c r="K241" s="131"/>
      <c r="L241" s="131"/>
      <c r="T241" s="237"/>
      <c r="U241" s="237"/>
      <c r="V241" s="237"/>
      <c r="W241" s="237"/>
      <c r="X241" s="237"/>
      <c r="Y241" s="237"/>
      <c r="Z241" s="237"/>
      <c r="AH241" s="237"/>
      <c r="AI241" s="237"/>
      <c r="AJ241" s="237"/>
      <c r="AK241" s="237"/>
      <c r="AL241" s="237"/>
      <c r="AM241" s="237"/>
      <c r="AN241" s="237"/>
      <c r="AV241" s="237"/>
      <c r="AW241" s="237"/>
      <c r="AX241" s="237"/>
      <c r="AY241" s="237"/>
      <c r="AZ241" s="237"/>
      <c r="BA241" s="237"/>
      <c r="BB241" s="237"/>
    </row>
    <row r="242">
      <c r="E242" s="133"/>
      <c r="F242" s="237"/>
      <c r="G242" s="237"/>
      <c r="H242" s="131"/>
      <c r="I242" s="131"/>
      <c r="J242" s="131"/>
      <c r="K242" s="131"/>
      <c r="L242" s="131"/>
      <c r="T242" s="237"/>
      <c r="U242" s="237"/>
      <c r="V242" s="237"/>
      <c r="W242" s="237"/>
      <c r="X242" s="237"/>
      <c r="Y242" s="237"/>
      <c r="Z242" s="237"/>
      <c r="AH242" s="237"/>
      <c r="AI242" s="237"/>
      <c r="AJ242" s="237"/>
      <c r="AK242" s="237"/>
      <c r="AL242" s="237"/>
      <c r="AM242" s="237"/>
      <c r="AN242" s="237"/>
      <c r="AV242" s="237"/>
      <c r="AW242" s="237"/>
      <c r="AX242" s="237"/>
      <c r="AY242" s="237"/>
      <c r="AZ242" s="237"/>
      <c r="BA242" s="237"/>
      <c r="BB242" s="237"/>
    </row>
    <row r="243">
      <c r="E243" s="133"/>
      <c r="F243" s="237"/>
      <c r="G243" s="237"/>
      <c r="H243" s="131"/>
      <c r="I243" s="131"/>
      <c r="J243" s="131"/>
      <c r="K243" s="131"/>
      <c r="L243" s="131"/>
      <c r="T243" s="237"/>
      <c r="U243" s="237"/>
      <c r="V243" s="237"/>
      <c r="W243" s="237"/>
      <c r="X243" s="237"/>
      <c r="Y243" s="237"/>
      <c r="Z243" s="237"/>
      <c r="AH243" s="237"/>
      <c r="AI243" s="237"/>
      <c r="AJ243" s="237"/>
      <c r="AK243" s="237"/>
      <c r="AL243" s="237"/>
      <c r="AM243" s="237"/>
      <c r="AN243" s="237"/>
      <c r="AV243" s="237"/>
      <c r="AW243" s="237"/>
      <c r="AX243" s="237"/>
      <c r="AY243" s="237"/>
      <c r="AZ243" s="237"/>
      <c r="BA243" s="237"/>
      <c r="BB243" s="237"/>
    </row>
    <row r="244">
      <c r="E244" s="133"/>
      <c r="F244" s="237"/>
      <c r="G244" s="237"/>
      <c r="H244" s="131"/>
      <c r="I244" s="131"/>
      <c r="J244" s="131"/>
      <c r="K244" s="131"/>
      <c r="L244" s="131"/>
      <c r="T244" s="237"/>
      <c r="U244" s="237"/>
      <c r="V244" s="237"/>
      <c r="W244" s="237"/>
      <c r="X244" s="237"/>
      <c r="Y244" s="237"/>
      <c r="Z244" s="237"/>
      <c r="AH244" s="237"/>
      <c r="AI244" s="237"/>
      <c r="AJ244" s="237"/>
      <c r="AK244" s="237"/>
      <c r="AL244" s="237"/>
      <c r="AM244" s="237"/>
      <c r="AN244" s="237"/>
      <c r="AV244" s="237"/>
      <c r="AW244" s="237"/>
      <c r="AX244" s="237"/>
      <c r="AY244" s="237"/>
      <c r="AZ244" s="237"/>
      <c r="BA244" s="237"/>
      <c r="BB244" s="237"/>
    </row>
    <row r="245">
      <c r="E245" s="133"/>
      <c r="F245" s="237"/>
      <c r="G245" s="237"/>
      <c r="H245" s="131"/>
      <c r="I245" s="131"/>
      <c r="J245" s="131"/>
      <c r="K245" s="131"/>
      <c r="L245" s="131"/>
      <c r="T245" s="237"/>
      <c r="U245" s="237"/>
      <c r="V245" s="237"/>
      <c r="W245" s="237"/>
      <c r="X245" s="237"/>
      <c r="Y245" s="237"/>
      <c r="Z245" s="237"/>
      <c r="AH245" s="237"/>
      <c r="AI245" s="237"/>
      <c r="AJ245" s="237"/>
      <c r="AK245" s="237"/>
      <c r="AL245" s="237"/>
      <c r="AM245" s="237"/>
      <c r="AN245" s="237"/>
      <c r="AV245" s="237"/>
      <c r="AW245" s="237"/>
      <c r="AX245" s="237"/>
      <c r="AY245" s="237"/>
      <c r="AZ245" s="237"/>
      <c r="BA245" s="237"/>
      <c r="BB245" s="237"/>
    </row>
    <row r="246">
      <c r="E246" s="133"/>
      <c r="F246" s="237"/>
      <c r="G246" s="237"/>
      <c r="H246" s="131"/>
      <c r="I246" s="131"/>
      <c r="J246" s="131"/>
      <c r="K246" s="131"/>
      <c r="L246" s="131"/>
      <c r="T246" s="237"/>
      <c r="U246" s="237"/>
      <c r="V246" s="237"/>
      <c r="W246" s="237"/>
      <c r="X246" s="237"/>
      <c r="Y246" s="237"/>
      <c r="Z246" s="237"/>
      <c r="AH246" s="237"/>
      <c r="AI246" s="237"/>
      <c r="AJ246" s="237"/>
      <c r="AK246" s="237"/>
      <c r="AL246" s="237"/>
      <c r="AM246" s="237"/>
      <c r="AN246" s="237"/>
      <c r="AV246" s="237"/>
      <c r="AW246" s="237"/>
      <c r="AX246" s="237"/>
      <c r="AY246" s="237"/>
      <c r="AZ246" s="237"/>
      <c r="BA246" s="237"/>
      <c r="BB246" s="237"/>
    </row>
    <row r="247">
      <c r="E247" s="133"/>
      <c r="F247" s="237"/>
      <c r="G247" s="237"/>
      <c r="H247" s="131"/>
      <c r="I247" s="131"/>
      <c r="J247" s="131"/>
      <c r="K247" s="131"/>
      <c r="L247" s="131"/>
      <c r="T247" s="237"/>
      <c r="U247" s="237"/>
      <c r="V247" s="237"/>
      <c r="W247" s="237"/>
      <c r="X247" s="237"/>
      <c r="Y247" s="237"/>
      <c r="Z247" s="237"/>
      <c r="AH247" s="237"/>
      <c r="AI247" s="237"/>
      <c r="AJ247" s="237"/>
      <c r="AK247" s="237"/>
      <c r="AL247" s="237"/>
      <c r="AM247" s="237"/>
      <c r="AN247" s="237"/>
      <c r="AV247" s="237"/>
      <c r="AW247" s="237"/>
      <c r="AX247" s="237"/>
      <c r="AY247" s="237"/>
      <c r="AZ247" s="237"/>
      <c r="BA247" s="237"/>
      <c r="BB247" s="237"/>
    </row>
    <row r="248">
      <c r="E248" s="133"/>
      <c r="F248" s="237"/>
      <c r="G248" s="237"/>
      <c r="H248" s="131"/>
      <c r="I248" s="131"/>
      <c r="J248" s="131"/>
      <c r="K248" s="131"/>
      <c r="L248" s="131"/>
      <c r="T248" s="237"/>
      <c r="U248" s="237"/>
      <c r="V248" s="237"/>
      <c r="W248" s="237"/>
      <c r="X248" s="237"/>
      <c r="Y248" s="237"/>
      <c r="Z248" s="237"/>
      <c r="AH248" s="237"/>
      <c r="AI248" s="237"/>
      <c r="AJ248" s="237"/>
      <c r="AK248" s="237"/>
      <c r="AL248" s="237"/>
      <c r="AM248" s="237"/>
      <c r="AN248" s="237"/>
      <c r="AV248" s="237"/>
      <c r="AW248" s="237"/>
      <c r="AX248" s="237"/>
      <c r="AY248" s="237"/>
      <c r="AZ248" s="237"/>
      <c r="BA248" s="237"/>
      <c r="BB248" s="237"/>
    </row>
    <row r="249">
      <c r="E249" s="133"/>
      <c r="F249" s="237"/>
      <c r="G249" s="237"/>
      <c r="H249" s="131"/>
      <c r="I249" s="131"/>
      <c r="J249" s="131"/>
      <c r="K249" s="131"/>
      <c r="L249" s="131"/>
      <c r="T249" s="237"/>
      <c r="U249" s="237"/>
      <c r="V249" s="237"/>
      <c r="W249" s="237"/>
      <c r="X249" s="237"/>
      <c r="Y249" s="237"/>
      <c r="Z249" s="237"/>
      <c r="AH249" s="237"/>
      <c r="AI249" s="237"/>
      <c r="AJ249" s="237"/>
      <c r="AK249" s="237"/>
      <c r="AL249" s="237"/>
      <c r="AM249" s="237"/>
      <c r="AN249" s="237"/>
      <c r="AV249" s="237"/>
      <c r="AW249" s="237"/>
      <c r="AX249" s="237"/>
      <c r="AY249" s="237"/>
      <c r="AZ249" s="237"/>
      <c r="BA249" s="237"/>
      <c r="BB249" s="237"/>
    </row>
    <row r="250">
      <c r="E250" s="133"/>
      <c r="F250" s="237"/>
      <c r="G250" s="237"/>
      <c r="H250" s="131"/>
      <c r="I250" s="131"/>
      <c r="J250" s="131"/>
      <c r="K250" s="131"/>
      <c r="L250" s="131"/>
      <c r="T250" s="237"/>
      <c r="U250" s="237"/>
      <c r="V250" s="237"/>
      <c r="W250" s="237"/>
      <c r="X250" s="237"/>
      <c r="Y250" s="237"/>
      <c r="Z250" s="237"/>
      <c r="AH250" s="237"/>
      <c r="AI250" s="237"/>
      <c r="AJ250" s="237"/>
      <c r="AK250" s="237"/>
      <c r="AL250" s="237"/>
      <c r="AM250" s="237"/>
      <c r="AN250" s="237"/>
      <c r="AV250" s="237"/>
      <c r="AW250" s="237"/>
      <c r="AX250" s="237"/>
      <c r="AY250" s="237"/>
      <c r="AZ250" s="237"/>
      <c r="BA250" s="237"/>
      <c r="BB250" s="237"/>
    </row>
    <row r="251">
      <c r="E251" s="133"/>
      <c r="F251" s="237"/>
      <c r="G251" s="237"/>
      <c r="H251" s="131"/>
      <c r="I251" s="131"/>
      <c r="J251" s="131"/>
      <c r="K251" s="131"/>
      <c r="L251" s="131"/>
      <c r="T251" s="237"/>
      <c r="U251" s="237"/>
      <c r="V251" s="237"/>
      <c r="W251" s="237"/>
      <c r="X251" s="237"/>
      <c r="Y251" s="237"/>
      <c r="Z251" s="237"/>
      <c r="AH251" s="237"/>
      <c r="AI251" s="237"/>
      <c r="AJ251" s="237"/>
      <c r="AK251" s="237"/>
      <c r="AL251" s="237"/>
      <c r="AM251" s="237"/>
      <c r="AN251" s="237"/>
      <c r="AV251" s="237"/>
      <c r="AW251" s="237"/>
      <c r="AX251" s="237"/>
      <c r="AY251" s="237"/>
      <c r="AZ251" s="237"/>
      <c r="BA251" s="237"/>
      <c r="BB251" s="237"/>
    </row>
    <row r="252">
      <c r="E252" s="133"/>
      <c r="F252" s="237"/>
      <c r="G252" s="237"/>
      <c r="H252" s="131"/>
      <c r="I252" s="131"/>
      <c r="J252" s="131"/>
      <c r="K252" s="131"/>
      <c r="L252" s="131"/>
      <c r="T252" s="237"/>
      <c r="U252" s="237"/>
      <c r="V252" s="237"/>
      <c r="W252" s="237"/>
      <c r="X252" s="237"/>
      <c r="Y252" s="237"/>
      <c r="Z252" s="237"/>
      <c r="AH252" s="237"/>
      <c r="AI252" s="237"/>
      <c r="AJ252" s="237"/>
      <c r="AK252" s="237"/>
      <c r="AL252" s="237"/>
      <c r="AM252" s="237"/>
      <c r="AN252" s="237"/>
      <c r="AV252" s="237"/>
      <c r="AW252" s="237"/>
      <c r="AX252" s="237"/>
      <c r="AY252" s="237"/>
      <c r="AZ252" s="237"/>
      <c r="BA252" s="237"/>
      <c r="BB252" s="237"/>
    </row>
    <row r="253">
      <c r="E253" s="133"/>
      <c r="F253" s="237"/>
      <c r="G253" s="237"/>
      <c r="H253" s="131"/>
      <c r="I253" s="131"/>
      <c r="J253" s="131"/>
      <c r="K253" s="131"/>
      <c r="L253" s="131"/>
      <c r="T253" s="237"/>
      <c r="U253" s="237"/>
      <c r="V253" s="237"/>
      <c r="W253" s="237"/>
      <c r="X253" s="237"/>
      <c r="Y253" s="237"/>
      <c r="Z253" s="237"/>
      <c r="AH253" s="237"/>
      <c r="AI253" s="237"/>
      <c r="AJ253" s="237"/>
      <c r="AK253" s="237"/>
      <c r="AL253" s="237"/>
      <c r="AM253" s="237"/>
      <c r="AN253" s="237"/>
      <c r="AV253" s="237"/>
      <c r="AW253" s="237"/>
      <c r="AX253" s="237"/>
      <c r="AY253" s="237"/>
      <c r="AZ253" s="237"/>
      <c r="BA253" s="237"/>
      <c r="BB253" s="237"/>
    </row>
    <row r="254">
      <c r="E254" s="133"/>
      <c r="F254" s="237"/>
      <c r="G254" s="237"/>
      <c r="H254" s="131"/>
      <c r="I254" s="131"/>
      <c r="J254" s="131"/>
      <c r="K254" s="131"/>
      <c r="L254" s="131"/>
      <c r="T254" s="237"/>
      <c r="U254" s="237"/>
      <c r="V254" s="237"/>
      <c r="W254" s="237"/>
      <c r="X254" s="237"/>
      <c r="Y254" s="237"/>
      <c r="Z254" s="237"/>
      <c r="AH254" s="237"/>
      <c r="AI254" s="237"/>
      <c r="AJ254" s="237"/>
      <c r="AK254" s="237"/>
      <c r="AL254" s="237"/>
      <c r="AM254" s="237"/>
      <c r="AN254" s="237"/>
      <c r="AV254" s="237"/>
      <c r="AW254" s="237"/>
      <c r="AX254" s="237"/>
      <c r="AY254" s="237"/>
      <c r="AZ254" s="237"/>
      <c r="BA254" s="237"/>
      <c r="BB254" s="237"/>
    </row>
    <row r="255">
      <c r="E255" s="133"/>
      <c r="F255" s="237"/>
      <c r="G255" s="237"/>
      <c r="H255" s="131"/>
      <c r="I255" s="131"/>
      <c r="J255" s="131"/>
      <c r="K255" s="131"/>
      <c r="L255" s="131"/>
      <c r="T255" s="237"/>
      <c r="U255" s="237"/>
      <c r="V255" s="237"/>
      <c r="W255" s="237"/>
      <c r="X255" s="237"/>
      <c r="Y255" s="237"/>
      <c r="Z255" s="237"/>
      <c r="AH255" s="237"/>
      <c r="AI255" s="237"/>
      <c r="AJ255" s="237"/>
      <c r="AK255" s="237"/>
      <c r="AL255" s="237"/>
      <c r="AM255" s="237"/>
      <c r="AN255" s="237"/>
      <c r="AV255" s="237"/>
      <c r="AW255" s="237"/>
      <c r="AX255" s="237"/>
      <c r="AY255" s="237"/>
      <c r="AZ255" s="237"/>
      <c r="BA255" s="237"/>
      <c r="BB255" s="237"/>
    </row>
    <row r="256">
      <c r="E256" s="133"/>
      <c r="F256" s="237"/>
      <c r="G256" s="237"/>
      <c r="H256" s="131"/>
      <c r="I256" s="131"/>
      <c r="J256" s="131"/>
      <c r="K256" s="131"/>
      <c r="L256" s="131"/>
      <c r="T256" s="237"/>
      <c r="U256" s="237"/>
      <c r="V256" s="237"/>
      <c r="W256" s="237"/>
      <c r="X256" s="237"/>
      <c r="Y256" s="237"/>
      <c r="Z256" s="237"/>
      <c r="AH256" s="237"/>
      <c r="AI256" s="237"/>
      <c r="AJ256" s="237"/>
      <c r="AK256" s="237"/>
      <c r="AL256" s="237"/>
      <c r="AM256" s="237"/>
      <c r="AN256" s="237"/>
      <c r="AV256" s="237"/>
      <c r="AW256" s="237"/>
      <c r="AX256" s="237"/>
      <c r="AY256" s="237"/>
      <c r="AZ256" s="237"/>
      <c r="BA256" s="237"/>
      <c r="BB256" s="237"/>
    </row>
    <row r="257">
      <c r="E257" s="133"/>
      <c r="F257" s="237"/>
      <c r="G257" s="237"/>
      <c r="H257" s="131"/>
      <c r="I257" s="131"/>
      <c r="J257" s="131"/>
      <c r="K257" s="131"/>
      <c r="L257" s="131"/>
      <c r="T257" s="237"/>
      <c r="U257" s="237"/>
      <c r="V257" s="237"/>
      <c r="W257" s="237"/>
      <c r="X257" s="237"/>
      <c r="Y257" s="237"/>
      <c r="Z257" s="237"/>
      <c r="AH257" s="237"/>
      <c r="AI257" s="237"/>
      <c r="AJ257" s="237"/>
      <c r="AK257" s="237"/>
      <c r="AL257" s="237"/>
      <c r="AM257" s="237"/>
      <c r="AN257" s="237"/>
      <c r="AV257" s="237"/>
      <c r="AW257" s="237"/>
      <c r="AX257" s="237"/>
      <c r="AY257" s="237"/>
      <c r="AZ257" s="237"/>
      <c r="BA257" s="237"/>
      <c r="BB257" s="237"/>
    </row>
    <row r="258">
      <c r="E258" s="133"/>
      <c r="F258" s="237"/>
      <c r="G258" s="237"/>
      <c r="H258" s="131"/>
      <c r="I258" s="131"/>
      <c r="J258" s="131"/>
      <c r="K258" s="131"/>
      <c r="L258" s="131"/>
      <c r="T258" s="237"/>
      <c r="U258" s="237"/>
      <c r="V258" s="237"/>
      <c r="W258" s="237"/>
      <c r="X258" s="237"/>
      <c r="Y258" s="237"/>
      <c r="Z258" s="237"/>
      <c r="AH258" s="237"/>
      <c r="AI258" s="237"/>
      <c r="AJ258" s="237"/>
      <c r="AK258" s="237"/>
      <c r="AL258" s="237"/>
      <c r="AM258" s="237"/>
      <c r="AN258" s="237"/>
      <c r="AV258" s="237"/>
      <c r="AW258" s="237"/>
      <c r="AX258" s="237"/>
      <c r="AY258" s="237"/>
      <c r="AZ258" s="237"/>
      <c r="BA258" s="237"/>
      <c r="BB258" s="237"/>
    </row>
    <row r="259">
      <c r="E259" s="133"/>
      <c r="F259" s="237"/>
      <c r="G259" s="237"/>
      <c r="H259" s="131"/>
      <c r="I259" s="131"/>
      <c r="J259" s="131"/>
      <c r="K259" s="131"/>
      <c r="L259" s="131"/>
      <c r="T259" s="237"/>
      <c r="U259" s="237"/>
      <c r="V259" s="237"/>
      <c r="W259" s="237"/>
      <c r="X259" s="237"/>
      <c r="Y259" s="237"/>
      <c r="Z259" s="237"/>
      <c r="AH259" s="237"/>
      <c r="AI259" s="237"/>
      <c r="AJ259" s="237"/>
      <c r="AK259" s="237"/>
      <c r="AL259" s="237"/>
      <c r="AM259" s="237"/>
      <c r="AN259" s="237"/>
      <c r="AV259" s="237"/>
      <c r="AW259" s="237"/>
      <c r="AX259" s="237"/>
      <c r="AY259" s="237"/>
      <c r="AZ259" s="237"/>
      <c r="BA259" s="237"/>
      <c r="BB259" s="237"/>
    </row>
    <row r="260">
      <c r="E260" s="133"/>
      <c r="F260" s="237"/>
      <c r="G260" s="237"/>
      <c r="H260" s="131"/>
      <c r="I260" s="131"/>
      <c r="J260" s="131"/>
      <c r="K260" s="131"/>
      <c r="L260" s="131"/>
      <c r="T260" s="237"/>
      <c r="U260" s="237"/>
      <c r="V260" s="237"/>
      <c r="W260" s="237"/>
      <c r="X260" s="237"/>
      <c r="Y260" s="237"/>
      <c r="Z260" s="237"/>
      <c r="AH260" s="237"/>
      <c r="AI260" s="237"/>
      <c r="AJ260" s="237"/>
      <c r="AK260" s="237"/>
      <c r="AL260" s="237"/>
      <c r="AM260" s="237"/>
      <c r="AN260" s="237"/>
      <c r="AV260" s="237"/>
      <c r="AW260" s="237"/>
      <c r="AX260" s="237"/>
      <c r="AY260" s="237"/>
      <c r="AZ260" s="237"/>
      <c r="BA260" s="237"/>
      <c r="BB260" s="237"/>
    </row>
    <row r="261">
      <c r="E261" s="133"/>
      <c r="F261" s="237"/>
      <c r="G261" s="237"/>
      <c r="H261" s="131"/>
      <c r="I261" s="131"/>
      <c r="J261" s="131"/>
      <c r="K261" s="131"/>
      <c r="L261" s="131"/>
      <c r="T261" s="237"/>
      <c r="U261" s="237"/>
      <c r="V261" s="237"/>
      <c r="W261" s="237"/>
      <c r="X261" s="237"/>
      <c r="Y261" s="237"/>
      <c r="Z261" s="237"/>
      <c r="AH261" s="237"/>
      <c r="AI261" s="237"/>
      <c r="AJ261" s="237"/>
      <c r="AK261" s="237"/>
      <c r="AL261" s="237"/>
      <c r="AM261" s="237"/>
      <c r="AN261" s="237"/>
      <c r="AV261" s="237"/>
      <c r="AW261" s="237"/>
      <c r="AX261" s="237"/>
      <c r="AY261" s="237"/>
      <c r="AZ261" s="237"/>
      <c r="BA261" s="237"/>
      <c r="BB261" s="237"/>
    </row>
    <row r="262">
      <c r="E262" s="133"/>
      <c r="F262" s="237"/>
      <c r="G262" s="237"/>
      <c r="H262" s="131"/>
      <c r="I262" s="131"/>
      <c r="J262" s="131"/>
      <c r="K262" s="131"/>
      <c r="L262" s="131"/>
      <c r="T262" s="237"/>
      <c r="U262" s="237"/>
      <c r="V262" s="237"/>
      <c r="W262" s="237"/>
      <c r="X262" s="237"/>
      <c r="Y262" s="237"/>
      <c r="Z262" s="237"/>
      <c r="AH262" s="237"/>
      <c r="AI262" s="237"/>
      <c r="AJ262" s="237"/>
      <c r="AK262" s="237"/>
      <c r="AL262" s="237"/>
      <c r="AM262" s="237"/>
      <c r="AN262" s="237"/>
      <c r="AV262" s="237"/>
      <c r="AW262" s="237"/>
      <c r="AX262" s="237"/>
      <c r="AY262" s="237"/>
      <c r="AZ262" s="237"/>
      <c r="BA262" s="237"/>
      <c r="BB262" s="237"/>
    </row>
    <row r="263">
      <c r="E263" s="133"/>
      <c r="F263" s="237"/>
      <c r="G263" s="237"/>
      <c r="H263" s="131"/>
      <c r="I263" s="131"/>
      <c r="J263" s="131"/>
      <c r="K263" s="131"/>
      <c r="L263" s="131"/>
      <c r="T263" s="237"/>
      <c r="U263" s="237"/>
      <c r="V263" s="237"/>
      <c r="W263" s="237"/>
      <c r="X263" s="237"/>
      <c r="Y263" s="237"/>
      <c r="Z263" s="237"/>
      <c r="AH263" s="237"/>
      <c r="AI263" s="237"/>
      <c r="AJ263" s="237"/>
      <c r="AK263" s="237"/>
      <c r="AL263" s="237"/>
      <c r="AM263" s="237"/>
      <c r="AN263" s="237"/>
      <c r="AV263" s="237"/>
      <c r="AW263" s="237"/>
      <c r="AX263" s="237"/>
      <c r="AY263" s="237"/>
      <c r="AZ263" s="237"/>
      <c r="BA263" s="237"/>
      <c r="BB263" s="237"/>
    </row>
    <row r="264">
      <c r="E264" s="133"/>
      <c r="F264" s="237"/>
      <c r="G264" s="237"/>
      <c r="H264" s="131"/>
      <c r="I264" s="131"/>
      <c r="J264" s="131"/>
      <c r="K264" s="131"/>
      <c r="L264" s="131"/>
      <c r="T264" s="237"/>
      <c r="U264" s="237"/>
      <c r="V264" s="237"/>
      <c r="W264" s="237"/>
      <c r="X264" s="237"/>
      <c r="Y264" s="237"/>
      <c r="Z264" s="237"/>
      <c r="AH264" s="237"/>
      <c r="AI264" s="237"/>
      <c r="AJ264" s="237"/>
      <c r="AK264" s="237"/>
      <c r="AL264" s="237"/>
      <c r="AM264" s="237"/>
      <c r="AN264" s="237"/>
      <c r="AV264" s="237"/>
      <c r="AW264" s="237"/>
      <c r="AX264" s="237"/>
      <c r="AY264" s="237"/>
      <c r="AZ264" s="237"/>
      <c r="BA264" s="237"/>
      <c r="BB264" s="237"/>
    </row>
    <row r="265">
      <c r="E265" s="133"/>
      <c r="F265" s="237"/>
      <c r="G265" s="237"/>
      <c r="H265" s="131"/>
      <c r="I265" s="131"/>
      <c r="J265" s="131"/>
      <c r="K265" s="131"/>
      <c r="L265" s="131"/>
      <c r="T265" s="237"/>
      <c r="U265" s="237"/>
      <c r="V265" s="237"/>
      <c r="W265" s="237"/>
      <c r="X265" s="237"/>
      <c r="Y265" s="237"/>
      <c r="Z265" s="237"/>
      <c r="AH265" s="237"/>
      <c r="AI265" s="237"/>
      <c r="AJ265" s="237"/>
      <c r="AK265" s="237"/>
      <c r="AL265" s="237"/>
      <c r="AM265" s="237"/>
      <c r="AN265" s="237"/>
      <c r="AV265" s="237"/>
      <c r="AW265" s="237"/>
      <c r="AX265" s="237"/>
      <c r="AY265" s="237"/>
      <c r="AZ265" s="237"/>
      <c r="BA265" s="237"/>
      <c r="BB265" s="237"/>
    </row>
    <row r="266">
      <c r="E266" s="133"/>
      <c r="F266" s="237"/>
      <c r="G266" s="237"/>
      <c r="H266" s="131"/>
      <c r="I266" s="131"/>
      <c r="J266" s="131"/>
      <c r="K266" s="131"/>
      <c r="L266" s="131"/>
      <c r="T266" s="237"/>
      <c r="U266" s="237"/>
      <c r="V266" s="237"/>
      <c r="W266" s="237"/>
      <c r="X266" s="237"/>
      <c r="Y266" s="237"/>
      <c r="Z266" s="237"/>
      <c r="AH266" s="237"/>
      <c r="AI266" s="237"/>
      <c r="AJ266" s="237"/>
      <c r="AK266" s="237"/>
      <c r="AL266" s="237"/>
      <c r="AM266" s="237"/>
      <c r="AN266" s="237"/>
      <c r="AV266" s="237"/>
      <c r="AW266" s="237"/>
      <c r="AX266" s="237"/>
      <c r="AY266" s="237"/>
      <c r="AZ266" s="237"/>
      <c r="BA266" s="237"/>
      <c r="BB266" s="237"/>
    </row>
    <row r="267">
      <c r="E267" s="133"/>
      <c r="F267" s="237"/>
      <c r="G267" s="237"/>
      <c r="H267" s="131"/>
      <c r="I267" s="131"/>
      <c r="J267" s="131"/>
      <c r="K267" s="131"/>
      <c r="L267" s="131"/>
      <c r="T267" s="237"/>
      <c r="U267" s="237"/>
      <c r="V267" s="237"/>
      <c r="W267" s="237"/>
      <c r="X267" s="237"/>
      <c r="Y267" s="237"/>
      <c r="Z267" s="237"/>
      <c r="AH267" s="237"/>
      <c r="AI267" s="237"/>
      <c r="AJ267" s="237"/>
      <c r="AK267" s="237"/>
      <c r="AL267" s="237"/>
      <c r="AM267" s="237"/>
      <c r="AN267" s="237"/>
      <c r="AV267" s="237"/>
      <c r="AW267" s="237"/>
      <c r="AX267" s="237"/>
      <c r="AY267" s="237"/>
      <c r="AZ267" s="237"/>
      <c r="BA267" s="237"/>
      <c r="BB267" s="237"/>
    </row>
    <row r="268">
      <c r="E268" s="133"/>
      <c r="F268" s="237"/>
      <c r="G268" s="237"/>
      <c r="H268" s="131"/>
      <c r="I268" s="131"/>
      <c r="J268" s="131"/>
      <c r="K268" s="131"/>
      <c r="L268" s="131"/>
      <c r="T268" s="237"/>
      <c r="U268" s="237"/>
      <c r="V268" s="237"/>
      <c r="W268" s="237"/>
      <c r="X268" s="237"/>
      <c r="Y268" s="237"/>
      <c r="Z268" s="237"/>
      <c r="AH268" s="237"/>
      <c r="AI268" s="237"/>
      <c r="AJ268" s="237"/>
      <c r="AK268" s="237"/>
      <c r="AL268" s="237"/>
      <c r="AM268" s="237"/>
      <c r="AN268" s="237"/>
      <c r="AV268" s="237"/>
      <c r="AW268" s="237"/>
      <c r="AX268" s="237"/>
      <c r="AY268" s="237"/>
      <c r="AZ268" s="237"/>
      <c r="BA268" s="237"/>
      <c r="BB268" s="237"/>
    </row>
    <row r="269">
      <c r="E269" s="133"/>
      <c r="F269" s="237"/>
      <c r="G269" s="237"/>
      <c r="H269" s="131"/>
      <c r="I269" s="131"/>
      <c r="J269" s="131"/>
      <c r="K269" s="131"/>
      <c r="L269" s="131"/>
      <c r="T269" s="237"/>
      <c r="U269" s="237"/>
      <c r="V269" s="237"/>
      <c r="W269" s="237"/>
      <c r="X269" s="237"/>
      <c r="Y269" s="237"/>
      <c r="Z269" s="237"/>
      <c r="AH269" s="237"/>
      <c r="AI269" s="237"/>
      <c r="AJ269" s="237"/>
      <c r="AK269" s="237"/>
      <c r="AL269" s="237"/>
      <c r="AM269" s="237"/>
      <c r="AN269" s="237"/>
      <c r="AV269" s="237"/>
      <c r="AW269" s="237"/>
      <c r="AX269" s="237"/>
      <c r="AY269" s="237"/>
      <c r="AZ269" s="237"/>
      <c r="BA269" s="237"/>
      <c r="BB269" s="237"/>
    </row>
    <row r="270">
      <c r="E270" s="133"/>
      <c r="F270" s="237"/>
      <c r="G270" s="237"/>
      <c r="H270" s="131"/>
      <c r="I270" s="131"/>
      <c r="J270" s="131"/>
      <c r="K270" s="131"/>
      <c r="L270" s="131"/>
      <c r="T270" s="237"/>
      <c r="U270" s="237"/>
      <c r="V270" s="237"/>
      <c r="W270" s="237"/>
      <c r="X270" s="237"/>
      <c r="Y270" s="237"/>
      <c r="Z270" s="237"/>
      <c r="AH270" s="237"/>
      <c r="AI270" s="237"/>
      <c r="AJ270" s="237"/>
      <c r="AK270" s="237"/>
      <c r="AL270" s="237"/>
      <c r="AM270" s="237"/>
      <c r="AN270" s="237"/>
      <c r="AV270" s="237"/>
      <c r="AW270" s="237"/>
      <c r="AX270" s="237"/>
      <c r="AY270" s="237"/>
      <c r="AZ270" s="237"/>
      <c r="BA270" s="237"/>
      <c r="BB270" s="237"/>
    </row>
    <row r="271">
      <c r="E271" s="133"/>
      <c r="F271" s="237"/>
      <c r="G271" s="237"/>
      <c r="H271" s="131"/>
      <c r="I271" s="131"/>
      <c r="J271" s="131"/>
      <c r="K271" s="131"/>
      <c r="L271" s="131"/>
      <c r="T271" s="237"/>
      <c r="U271" s="237"/>
      <c r="V271" s="237"/>
      <c r="W271" s="237"/>
      <c r="X271" s="237"/>
      <c r="Y271" s="237"/>
      <c r="Z271" s="237"/>
      <c r="AH271" s="237"/>
      <c r="AI271" s="237"/>
      <c r="AJ271" s="237"/>
      <c r="AK271" s="237"/>
      <c r="AL271" s="237"/>
      <c r="AM271" s="237"/>
      <c r="AN271" s="237"/>
      <c r="AV271" s="237"/>
      <c r="AW271" s="237"/>
      <c r="AX271" s="237"/>
      <c r="AY271" s="237"/>
      <c r="AZ271" s="237"/>
      <c r="BA271" s="237"/>
      <c r="BB271" s="237"/>
    </row>
    <row r="272">
      <c r="E272" s="133"/>
      <c r="F272" s="237"/>
      <c r="G272" s="237"/>
      <c r="H272" s="131"/>
      <c r="I272" s="131"/>
      <c r="J272" s="131"/>
      <c r="K272" s="131"/>
      <c r="L272" s="131"/>
      <c r="T272" s="237"/>
      <c r="U272" s="237"/>
      <c r="V272" s="237"/>
      <c r="W272" s="237"/>
      <c r="X272" s="237"/>
      <c r="Y272" s="237"/>
      <c r="Z272" s="237"/>
      <c r="AH272" s="237"/>
      <c r="AI272" s="237"/>
      <c r="AJ272" s="237"/>
      <c r="AK272" s="237"/>
      <c r="AL272" s="237"/>
      <c r="AM272" s="237"/>
      <c r="AN272" s="237"/>
      <c r="AV272" s="237"/>
      <c r="AW272" s="237"/>
      <c r="AX272" s="237"/>
      <c r="AY272" s="237"/>
      <c r="AZ272" s="237"/>
      <c r="BA272" s="237"/>
      <c r="BB272" s="237"/>
    </row>
    <row r="273">
      <c r="E273" s="133"/>
      <c r="F273" s="237"/>
      <c r="G273" s="237"/>
      <c r="H273" s="131"/>
      <c r="I273" s="131"/>
      <c r="J273" s="131"/>
      <c r="K273" s="131"/>
      <c r="L273" s="131"/>
      <c r="T273" s="237"/>
      <c r="U273" s="237"/>
      <c r="V273" s="237"/>
      <c r="W273" s="237"/>
      <c r="X273" s="237"/>
      <c r="Y273" s="237"/>
      <c r="Z273" s="237"/>
      <c r="AH273" s="237"/>
      <c r="AI273" s="237"/>
      <c r="AJ273" s="237"/>
      <c r="AK273" s="237"/>
      <c r="AL273" s="237"/>
      <c r="AM273" s="237"/>
      <c r="AN273" s="237"/>
      <c r="AV273" s="237"/>
      <c r="AW273" s="237"/>
      <c r="AX273" s="237"/>
      <c r="AY273" s="237"/>
      <c r="AZ273" s="237"/>
      <c r="BA273" s="237"/>
      <c r="BB273" s="237"/>
    </row>
    <row r="274">
      <c r="E274" s="133"/>
      <c r="F274" s="237"/>
      <c r="G274" s="237"/>
      <c r="H274" s="131"/>
      <c r="I274" s="131"/>
      <c r="J274" s="131"/>
      <c r="K274" s="131"/>
      <c r="L274" s="131"/>
      <c r="T274" s="237"/>
      <c r="U274" s="237"/>
      <c r="V274" s="237"/>
      <c r="W274" s="237"/>
      <c r="X274" s="237"/>
      <c r="Y274" s="237"/>
      <c r="Z274" s="237"/>
      <c r="AH274" s="237"/>
      <c r="AI274" s="237"/>
      <c r="AJ274" s="237"/>
      <c r="AK274" s="237"/>
      <c r="AL274" s="237"/>
      <c r="AM274" s="237"/>
      <c r="AN274" s="237"/>
      <c r="AV274" s="237"/>
      <c r="AW274" s="237"/>
      <c r="AX274" s="237"/>
      <c r="AY274" s="237"/>
      <c r="AZ274" s="237"/>
      <c r="BA274" s="237"/>
      <c r="BB274" s="237"/>
    </row>
    <row r="275">
      <c r="E275" s="133"/>
      <c r="F275" s="237"/>
      <c r="G275" s="237"/>
      <c r="H275" s="131"/>
      <c r="I275" s="131"/>
      <c r="J275" s="131"/>
      <c r="K275" s="131"/>
      <c r="L275" s="131"/>
      <c r="T275" s="237"/>
      <c r="U275" s="237"/>
      <c r="V275" s="237"/>
      <c r="W275" s="237"/>
      <c r="X275" s="237"/>
      <c r="Y275" s="237"/>
      <c r="Z275" s="237"/>
      <c r="AH275" s="237"/>
      <c r="AI275" s="237"/>
      <c r="AJ275" s="237"/>
      <c r="AK275" s="237"/>
      <c r="AL275" s="237"/>
      <c r="AM275" s="237"/>
      <c r="AN275" s="237"/>
      <c r="AV275" s="237"/>
      <c r="AW275" s="237"/>
      <c r="AX275" s="237"/>
      <c r="AY275" s="237"/>
      <c r="AZ275" s="237"/>
      <c r="BA275" s="237"/>
      <c r="BB275" s="237"/>
    </row>
    <row r="276">
      <c r="E276" s="133"/>
      <c r="F276" s="237"/>
      <c r="G276" s="237"/>
      <c r="H276" s="131"/>
      <c r="I276" s="131"/>
      <c r="J276" s="131"/>
      <c r="K276" s="131"/>
      <c r="L276" s="131"/>
      <c r="T276" s="237"/>
      <c r="U276" s="237"/>
      <c r="V276" s="237"/>
      <c r="W276" s="237"/>
      <c r="X276" s="237"/>
      <c r="Y276" s="237"/>
      <c r="Z276" s="237"/>
      <c r="AH276" s="237"/>
      <c r="AI276" s="237"/>
      <c r="AJ276" s="237"/>
      <c r="AK276" s="237"/>
      <c r="AL276" s="237"/>
      <c r="AM276" s="237"/>
      <c r="AN276" s="237"/>
      <c r="AV276" s="237"/>
      <c r="AW276" s="237"/>
      <c r="AX276" s="237"/>
      <c r="AY276" s="237"/>
      <c r="AZ276" s="237"/>
      <c r="BA276" s="237"/>
      <c r="BB276" s="237"/>
    </row>
    <row r="277">
      <c r="E277" s="133"/>
      <c r="F277" s="237"/>
      <c r="G277" s="237"/>
      <c r="H277" s="131"/>
      <c r="I277" s="131"/>
      <c r="J277" s="131"/>
      <c r="K277" s="131"/>
      <c r="L277" s="131"/>
      <c r="T277" s="237"/>
      <c r="U277" s="237"/>
      <c r="V277" s="237"/>
      <c r="W277" s="237"/>
      <c r="X277" s="237"/>
      <c r="Y277" s="237"/>
      <c r="Z277" s="237"/>
      <c r="AH277" s="237"/>
      <c r="AI277" s="237"/>
      <c r="AJ277" s="237"/>
      <c r="AK277" s="237"/>
      <c r="AL277" s="237"/>
      <c r="AM277" s="237"/>
      <c r="AN277" s="237"/>
      <c r="AV277" s="237"/>
      <c r="AW277" s="237"/>
      <c r="AX277" s="237"/>
      <c r="AY277" s="237"/>
      <c r="AZ277" s="237"/>
      <c r="BA277" s="237"/>
      <c r="BB277" s="237"/>
    </row>
    <row r="278">
      <c r="E278" s="133"/>
      <c r="F278" s="237"/>
      <c r="G278" s="237"/>
      <c r="H278" s="131"/>
      <c r="I278" s="131"/>
      <c r="J278" s="131"/>
      <c r="K278" s="131"/>
      <c r="L278" s="131"/>
      <c r="T278" s="237"/>
      <c r="U278" s="237"/>
      <c r="V278" s="237"/>
      <c r="W278" s="237"/>
      <c r="X278" s="237"/>
      <c r="Y278" s="237"/>
      <c r="Z278" s="237"/>
      <c r="AH278" s="237"/>
      <c r="AI278" s="237"/>
      <c r="AJ278" s="237"/>
      <c r="AK278" s="237"/>
      <c r="AL278" s="237"/>
      <c r="AM278" s="237"/>
      <c r="AN278" s="237"/>
      <c r="AV278" s="237"/>
      <c r="AW278" s="237"/>
      <c r="AX278" s="237"/>
      <c r="AY278" s="237"/>
      <c r="AZ278" s="237"/>
      <c r="BA278" s="237"/>
      <c r="BB278" s="237"/>
    </row>
    <row r="279">
      <c r="E279" s="133"/>
      <c r="F279" s="237"/>
      <c r="G279" s="237"/>
      <c r="H279" s="131"/>
      <c r="I279" s="131"/>
      <c r="J279" s="131"/>
      <c r="K279" s="131"/>
      <c r="L279" s="131"/>
      <c r="T279" s="237"/>
      <c r="U279" s="237"/>
      <c r="V279" s="237"/>
      <c r="W279" s="237"/>
      <c r="X279" s="237"/>
      <c r="Y279" s="237"/>
      <c r="Z279" s="237"/>
      <c r="AH279" s="237"/>
      <c r="AI279" s="237"/>
      <c r="AJ279" s="237"/>
      <c r="AK279" s="237"/>
      <c r="AL279" s="237"/>
      <c r="AM279" s="237"/>
      <c r="AN279" s="237"/>
      <c r="AV279" s="237"/>
      <c r="AW279" s="237"/>
      <c r="AX279" s="237"/>
      <c r="AY279" s="237"/>
      <c r="AZ279" s="237"/>
      <c r="BA279" s="237"/>
      <c r="BB279" s="237"/>
    </row>
    <row r="280">
      <c r="E280" s="133"/>
      <c r="F280" s="237"/>
      <c r="G280" s="237"/>
      <c r="H280" s="131"/>
      <c r="I280" s="131"/>
      <c r="J280" s="131"/>
      <c r="K280" s="131"/>
      <c r="L280" s="131"/>
      <c r="T280" s="237"/>
      <c r="U280" s="237"/>
      <c r="V280" s="237"/>
      <c r="W280" s="237"/>
      <c r="X280" s="237"/>
      <c r="Y280" s="237"/>
      <c r="Z280" s="237"/>
      <c r="AH280" s="237"/>
      <c r="AI280" s="237"/>
      <c r="AJ280" s="237"/>
      <c r="AK280" s="237"/>
      <c r="AL280" s="237"/>
      <c r="AM280" s="237"/>
      <c r="AN280" s="237"/>
      <c r="AV280" s="237"/>
      <c r="AW280" s="237"/>
      <c r="AX280" s="237"/>
      <c r="AY280" s="237"/>
      <c r="AZ280" s="237"/>
      <c r="BA280" s="237"/>
      <c r="BB280" s="237"/>
    </row>
    <row r="281">
      <c r="E281" s="133"/>
      <c r="F281" s="237"/>
      <c r="G281" s="237"/>
      <c r="H281" s="131"/>
      <c r="I281" s="131"/>
      <c r="J281" s="131"/>
      <c r="K281" s="131"/>
      <c r="L281" s="131"/>
      <c r="T281" s="237"/>
      <c r="U281" s="237"/>
      <c r="V281" s="237"/>
      <c r="W281" s="237"/>
      <c r="X281" s="237"/>
      <c r="Y281" s="237"/>
      <c r="Z281" s="237"/>
      <c r="AH281" s="237"/>
      <c r="AI281" s="237"/>
      <c r="AJ281" s="237"/>
      <c r="AK281" s="237"/>
      <c r="AL281" s="237"/>
      <c r="AM281" s="237"/>
      <c r="AN281" s="237"/>
      <c r="AV281" s="237"/>
      <c r="AW281" s="237"/>
      <c r="AX281" s="237"/>
      <c r="AY281" s="237"/>
      <c r="AZ281" s="237"/>
      <c r="BA281" s="237"/>
      <c r="BB281" s="237"/>
    </row>
    <row r="282">
      <c r="E282" s="133"/>
      <c r="F282" s="237"/>
      <c r="G282" s="237"/>
      <c r="H282" s="131"/>
      <c r="I282" s="131"/>
      <c r="J282" s="131"/>
      <c r="K282" s="131"/>
      <c r="L282" s="131"/>
      <c r="T282" s="237"/>
      <c r="U282" s="237"/>
      <c r="V282" s="237"/>
      <c r="W282" s="237"/>
      <c r="X282" s="237"/>
      <c r="Y282" s="237"/>
      <c r="Z282" s="237"/>
      <c r="AH282" s="237"/>
      <c r="AI282" s="237"/>
      <c r="AJ282" s="237"/>
      <c r="AK282" s="237"/>
      <c r="AL282" s="237"/>
      <c r="AM282" s="237"/>
      <c r="AN282" s="237"/>
      <c r="AV282" s="237"/>
      <c r="AW282" s="237"/>
      <c r="AX282" s="237"/>
      <c r="AY282" s="237"/>
      <c r="AZ282" s="237"/>
      <c r="BA282" s="237"/>
      <c r="BB282" s="237"/>
    </row>
    <row r="283">
      <c r="E283" s="133"/>
      <c r="F283" s="237"/>
      <c r="G283" s="237"/>
      <c r="H283" s="131"/>
      <c r="I283" s="131"/>
      <c r="J283" s="131"/>
      <c r="K283" s="131"/>
      <c r="L283" s="131"/>
      <c r="T283" s="237"/>
      <c r="U283" s="237"/>
      <c r="V283" s="237"/>
      <c r="W283" s="237"/>
      <c r="X283" s="237"/>
      <c r="Y283" s="237"/>
      <c r="Z283" s="237"/>
      <c r="AH283" s="237"/>
      <c r="AI283" s="237"/>
      <c r="AJ283" s="237"/>
      <c r="AK283" s="237"/>
      <c r="AL283" s="237"/>
      <c r="AM283" s="237"/>
      <c r="AN283" s="237"/>
      <c r="AV283" s="237"/>
      <c r="AW283" s="237"/>
      <c r="AX283" s="237"/>
      <c r="AY283" s="237"/>
      <c r="AZ283" s="237"/>
      <c r="BA283" s="237"/>
      <c r="BB283" s="237"/>
    </row>
    <row r="284">
      <c r="E284" s="133"/>
      <c r="F284" s="237"/>
      <c r="G284" s="237"/>
      <c r="H284" s="131"/>
      <c r="I284" s="131"/>
      <c r="J284" s="131"/>
      <c r="K284" s="131"/>
      <c r="L284" s="131"/>
      <c r="T284" s="237"/>
      <c r="U284" s="237"/>
      <c r="V284" s="237"/>
      <c r="W284" s="237"/>
      <c r="X284" s="237"/>
      <c r="Y284" s="237"/>
      <c r="Z284" s="237"/>
      <c r="AH284" s="237"/>
      <c r="AI284" s="237"/>
      <c r="AJ284" s="237"/>
      <c r="AK284" s="237"/>
      <c r="AL284" s="237"/>
      <c r="AM284" s="237"/>
      <c r="AN284" s="237"/>
      <c r="AV284" s="237"/>
      <c r="AW284" s="237"/>
      <c r="AX284" s="237"/>
      <c r="AY284" s="237"/>
      <c r="AZ284" s="237"/>
      <c r="BA284" s="237"/>
      <c r="BB284" s="237"/>
    </row>
    <row r="285">
      <c r="E285" s="133"/>
      <c r="F285" s="237"/>
      <c r="G285" s="237"/>
      <c r="H285" s="131"/>
      <c r="I285" s="131"/>
      <c r="J285" s="131"/>
      <c r="K285" s="131"/>
      <c r="L285" s="131"/>
      <c r="T285" s="237"/>
      <c r="U285" s="237"/>
      <c r="V285" s="237"/>
      <c r="W285" s="237"/>
      <c r="X285" s="237"/>
      <c r="Y285" s="237"/>
      <c r="Z285" s="237"/>
      <c r="AH285" s="237"/>
      <c r="AI285" s="237"/>
      <c r="AJ285" s="237"/>
      <c r="AK285" s="237"/>
      <c r="AL285" s="237"/>
      <c r="AM285" s="237"/>
      <c r="AN285" s="237"/>
      <c r="AV285" s="237"/>
      <c r="AW285" s="237"/>
      <c r="AX285" s="237"/>
      <c r="AY285" s="237"/>
      <c r="AZ285" s="237"/>
      <c r="BA285" s="237"/>
      <c r="BB285" s="237"/>
    </row>
    <row r="286">
      <c r="E286" s="133"/>
      <c r="F286" s="237"/>
      <c r="G286" s="237"/>
      <c r="H286" s="131"/>
      <c r="I286" s="131"/>
      <c r="J286" s="131"/>
      <c r="K286" s="131"/>
      <c r="L286" s="131"/>
      <c r="T286" s="237"/>
      <c r="U286" s="237"/>
      <c r="V286" s="237"/>
      <c r="W286" s="237"/>
      <c r="X286" s="237"/>
      <c r="Y286" s="237"/>
      <c r="Z286" s="237"/>
      <c r="AH286" s="237"/>
      <c r="AI286" s="237"/>
      <c r="AJ286" s="237"/>
      <c r="AK286" s="237"/>
      <c r="AL286" s="237"/>
      <c r="AM286" s="237"/>
      <c r="AN286" s="237"/>
      <c r="AV286" s="237"/>
      <c r="AW286" s="237"/>
      <c r="AX286" s="237"/>
      <c r="AY286" s="237"/>
      <c r="AZ286" s="237"/>
      <c r="BA286" s="237"/>
      <c r="BB286" s="237"/>
    </row>
    <row r="287">
      <c r="E287" s="133"/>
      <c r="F287" s="237"/>
      <c r="G287" s="237"/>
      <c r="H287" s="131"/>
      <c r="I287" s="131"/>
      <c r="J287" s="131"/>
      <c r="K287" s="131"/>
      <c r="L287" s="131"/>
      <c r="T287" s="237"/>
      <c r="U287" s="237"/>
      <c r="V287" s="237"/>
      <c r="W287" s="237"/>
      <c r="X287" s="237"/>
      <c r="Y287" s="237"/>
      <c r="Z287" s="237"/>
      <c r="AH287" s="237"/>
      <c r="AI287" s="237"/>
      <c r="AJ287" s="237"/>
      <c r="AK287" s="237"/>
      <c r="AL287" s="237"/>
      <c r="AM287" s="237"/>
      <c r="AN287" s="237"/>
      <c r="AV287" s="237"/>
      <c r="AW287" s="237"/>
      <c r="AX287" s="237"/>
      <c r="AY287" s="237"/>
      <c r="AZ287" s="237"/>
      <c r="BA287" s="237"/>
      <c r="BB287" s="237"/>
    </row>
    <row r="288">
      <c r="E288" s="133"/>
      <c r="F288" s="237"/>
      <c r="G288" s="237"/>
      <c r="H288" s="131"/>
      <c r="I288" s="131"/>
      <c r="J288" s="131"/>
      <c r="K288" s="131"/>
      <c r="L288" s="131"/>
      <c r="T288" s="237"/>
      <c r="U288" s="237"/>
      <c r="V288" s="237"/>
      <c r="W288" s="237"/>
      <c r="X288" s="237"/>
      <c r="Y288" s="237"/>
      <c r="Z288" s="237"/>
      <c r="AH288" s="237"/>
      <c r="AI288" s="237"/>
      <c r="AJ288" s="237"/>
      <c r="AK288" s="237"/>
      <c r="AL288" s="237"/>
      <c r="AM288" s="237"/>
      <c r="AN288" s="237"/>
      <c r="AV288" s="237"/>
      <c r="AW288" s="237"/>
      <c r="AX288" s="237"/>
      <c r="AY288" s="237"/>
      <c r="AZ288" s="237"/>
      <c r="BA288" s="237"/>
      <c r="BB288" s="237"/>
    </row>
    <row r="289">
      <c r="E289" s="133"/>
      <c r="F289" s="237"/>
      <c r="G289" s="237"/>
      <c r="H289" s="131"/>
      <c r="I289" s="131"/>
      <c r="J289" s="131"/>
      <c r="K289" s="131"/>
      <c r="L289" s="131"/>
      <c r="T289" s="237"/>
      <c r="U289" s="237"/>
      <c r="V289" s="237"/>
      <c r="W289" s="237"/>
      <c r="X289" s="237"/>
      <c r="Y289" s="237"/>
      <c r="Z289" s="237"/>
      <c r="AH289" s="237"/>
      <c r="AI289" s="237"/>
      <c r="AJ289" s="237"/>
      <c r="AK289" s="237"/>
      <c r="AL289" s="237"/>
      <c r="AM289" s="237"/>
      <c r="AN289" s="237"/>
      <c r="AV289" s="237"/>
      <c r="AW289" s="237"/>
      <c r="AX289" s="237"/>
      <c r="AY289" s="237"/>
      <c r="AZ289" s="237"/>
      <c r="BA289" s="237"/>
      <c r="BB289" s="237"/>
    </row>
    <row r="290">
      <c r="E290" s="133"/>
      <c r="F290" s="237"/>
      <c r="G290" s="237"/>
      <c r="H290" s="131"/>
      <c r="I290" s="131"/>
      <c r="J290" s="131"/>
      <c r="K290" s="131"/>
      <c r="L290" s="131"/>
      <c r="T290" s="237"/>
      <c r="U290" s="237"/>
      <c r="V290" s="237"/>
      <c r="W290" s="237"/>
      <c r="X290" s="237"/>
      <c r="Y290" s="237"/>
      <c r="Z290" s="237"/>
      <c r="AH290" s="237"/>
      <c r="AI290" s="237"/>
      <c r="AJ290" s="237"/>
      <c r="AK290" s="237"/>
      <c r="AL290" s="237"/>
      <c r="AM290" s="237"/>
      <c r="AN290" s="237"/>
      <c r="AV290" s="237"/>
      <c r="AW290" s="237"/>
      <c r="AX290" s="237"/>
      <c r="AY290" s="237"/>
      <c r="AZ290" s="237"/>
      <c r="BA290" s="237"/>
      <c r="BB290" s="237"/>
    </row>
    <row r="291">
      <c r="E291" s="133"/>
      <c r="F291" s="237"/>
      <c r="G291" s="237"/>
      <c r="H291" s="131"/>
      <c r="I291" s="131"/>
      <c r="J291" s="131"/>
      <c r="K291" s="131"/>
      <c r="L291" s="131"/>
      <c r="T291" s="237"/>
      <c r="U291" s="237"/>
      <c r="V291" s="237"/>
      <c r="W291" s="237"/>
      <c r="X291" s="237"/>
      <c r="Y291" s="237"/>
      <c r="Z291" s="237"/>
      <c r="AH291" s="237"/>
      <c r="AI291" s="237"/>
      <c r="AJ291" s="237"/>
      <c r="AK291" s="237"/>
      <c r="AL291" s="237"/>
      <c r="AM291" s="237"/>
      <c r="AN291" s="237"/>
      <c r="AV291" s="237"/>
      <c r="AW291" s="237"/>
      <c r="AX291" s="237"/>
      <c r="AY291" s="237"/>
      <c r="AZ291" s="237"/>
      <c r="BA291" s="237"/>
      <c r="BB291" s="237"/>
    </row>
    <row r="292">
      <c r="E292" s="133"/>
      <c r="F292" s="237"/>
      <c r="G292" s="237"/>
      <c r="H292" s="131"/>
      <c r="I292" s="131"/>
      <c r="J292" s="131"/>
      <c r="K292" s="131"/>
      <c r="L292" s="131"/>
      <c r="T292" s="237"/>
      <c r="U292" s="237"/>
      <c r="V292" s="237"/>
      <c r="W292" s="237"/>
      <c r="X292" s="237"/>
      <c r="Y292" s="237"/>
      <c r="Z292" s="237"/>
      <c r="AH292" s="237"/>
      <c r="AI292" s="237"/>
      <c r="AJ292" s="237"/>
      <c r="AK292" s="237"/>
      <c r="AL292" s="237"/>
      <c r="AM292" s="237"/>
      <c r="AN292" s="237"/>
      <c r="AV292" s="237"/>
      <c r="AW292" s="237"/>
      <c r="AX292" s="237"/>
      <c r="AY292" s="237"/>
      <c r="AZ292" s="237"/>
      <c r="BA292" s="237"/>
      <c r="BB292" s="237"/>
    </row>
    <row r="293">
      <c r="E293" s="133"/>
      <c r="F293" s="237"/>
      <c r="G293" s="237"/>
      <c r="H293" s="131"/>
      <c r="I293" s="131"/>
      <c r="J293" s="131"/>
      <c r="K293" s="131"/>
      <c r="L293" s="131"/>
      <c r="T293" s="237"/>
      <c r="U293" s="237"/>
      <c r="V293" s="237"/>
      <c r="W293" s="237"/>
      <c r="X293" s="237"/>
      <c r="Y293" s="237"/>
      <c r="Z293" s="237"/>
      <c r="AH293" s="237"/>
      <c r="AI293" s="237"/>
      <c r="AJ293" s="237"/>
      <c r="AK293" s="237"/>
      <c r="AL293" s="237"/>
      <c r="AM293" s="237"/>
      <c r="AN293" s="237"/>
      <c r="AV293" s="237"/>
      <c r="AW293" s="237"/>
      <c r="AX293" s="237"/>
      <c r="AY293" s="237"/>
      <c r="AZ293" s="237"/>
      <c r="BA293" s="237"/>
      <c r="BB293" s="237"/>
    </row>
    <row r="294">
      <c r="E294" s="133"/>
      <c r="F294" s="237"/>
      <c r="G294" s="237"/>
      <c r="H294" s="131"/>
      <c r="I294" s="131"/>
      <c r="J294" s="131"/>
      <c r="K294" s="131"/>
      <c r="L294" s="131"/>
      <c r="T294" s="237"/>
      <c r="U294" s="237"/>
      <c r="V294" s="237"/>
      <c r="W294" s="237"/>
      <c r="X294" s="237"/>
      <c r="Y294" s="237"/>
      <c r="Z294" s="237"/>
      <c r="AH294" s="237"/>
      <c r="AI294" s="237"/>
      <c r="AJ294" s="237"/>
      <c r="AK294" s="237"/>
      <c r="AL294" s="237"/>
      <c r="AM294" s="237"/>
      <c r="AN294" s="237"/>
      <c r="AV294" s="237"/>
      <c r="AW294" s="237"/>
      <c r="AX294" s="237"/>
      <c r="AY294" s="237"/>
      <c r="AZ294" s="237"/>
      <c r="BA294" s="237"/>
      <c r="BB294" s="237"/>
    </row>
    <row r="295">
      <c r="E295" s="133"/>
      <c r="F295" s="237"/>
      <c r="G295" s="237"/>
      <c r="H295" s="131"/>
      <c r="I295" s="131"/>
      <c r="J295" s="131"/>
      <c r="K295" s="131"/>
      <c r="L295" s="131"/>
      <c r="T295" s="237"/>
      <c r="U295" s="237"/>
      <c r="V295" s="237"/>
      <c r="W295" s="237"/>
      <c r="X295" s="237"/>
      <c r="Y295" s="237"/>
      <c r="Z295" s="237"/>
      <c r="AH295" s="237"/>
      <c r="AI295" s="237"/>
      <c r="AJ295" s="237"/>
      <c r="AK295" s="237"/>
      <c r="AL295" s="237"/>
      <c r="AM295" s="237"/>
      <c r="AN295" s="237"/>
      <c r="AV295" s="237"/>
      <c r="AW295" s="237"/>
      <c r="AX295" s="237"/>
      <c r="AY295" s="237"/>
      <c r="AZ295" s="237"/>
      <c r="BA295" s="237"/>
      <c r="BB295" s="237"/>
    </row>
    <row r="296">
      <c r="E296" s="133"/>
      <c r="F296" s="237"/>
      <c r="G296" s="237"/>
      <c r="H296" s="131"/>
      <c r="I296" s="131"/>
      <c r="J296" s="131"/>
      <c r="K296" s="131"/>
      <c r="L296" s="131"/>
      <c r="T296" s="237"/>
      <c r="U296" s="237"/>
      <c r="V296" s="237"/>
      <c r="W296" s="237"/>
      <c r="X296" s="237"/>
      <c r="Y296" s="237"/>
      <c r="Z296" s="237"/>
      <c r="AH296" s="237"/>
      <c r="AI296" s="237"/>
      <c r="AJ296" s="237"/>
      <c r="AK296" s="237"/>
      <c r="AL296" s="237"/>
      <c r="AM296" s="237"/>
      <c r="AN296" s="237"/>
      <c r="AV296" s="237"/>
      <c r="AW296" s="237"/>
      <c r="AX296" s="237"/>
      <c r="AY296" s="237"/>
      <c r="AZ296" s="237"/>
      <c r="BA296" s="237"/>
      <c r="BB296" s="237"/>
    </row>
    <row r="297">
      <c r="E297" s="133"/>
      <c r="F297" s="237"/>
      <c r="G297" s="237"/>
      <c r="H297" s="131"/>
      <c r="I297" s="131"/>
      <c r="J297" s="131"/>
      <c r="K297" s="131"/>
      <c r="L297" s="131"/>
      <c r="T297" s="237"/>
      <c r="U297" s="237"/>
      <c r="V297" s="237"/>
      <c r="W297" s="237"/>
      <c r="X297" s="237"/>
      <c r="Y297" s="237"/>
      <c r="Z297" s="237"/>
      <c r="AH297" s="237"/>
      <c r="AI297" s="237"/>
      <c r="AJ297" s="237"/>
      <c r="AK297" s="237"/>
      <c r="AL297" s="237"/>
      <c r="AM297" s="237"/>
      <c r="AN297" s="237"/>
      <c r="AV297" s="237"/>
      <c r="AW297" s="237"/>
      <c r="AX297" s="237"/>
      <c r="AY297" s="237"/>
      <c r="AZ297" s="237"/>
      <c r="BA297" s="237"/>
      <c r="BB297" s="237"/>
    </row>
    <row r="298">
      <c r="E298" s="133"/>
      <c r="F298" s="237"/>
      <c r="G298" s="237"/>
      <c r="H298" s="131"/>
      <c r="I298" s="131"/>
      <c r="J298" s="131"/>
      <c r="K298" s="131"/>
      <c r="L298" s="131"/>
      <c r="T298" s="237"/>
      <c r="U298" s="237"/>
      <c r="V298" s="237"/>
      <c r="W298" s="237"/>
      <c r="X298" s="237"/>
      <c r="Y298" s="237"/>
      <c r="Z298" s="237"/>
      <c r="AH298" s="237"/>
      <c r="AI298" s="237"/>
      <c r="AJ298" s="237"/>
      <c r="AK298" s="237"/>
      <c r="AL298" s="237"/>
      <c r="AM298" s="237"/>
      <c r="AN298" s="237"/>
      <c r="AV298" s="237"/>
      <c r="AW298" s="237"/>
      <c r="AX298" s="237"/>
      <c r="AY298" s="237"/>
      <c r="AZ298" s="237"/>
      <c r="BA298" s="237"/>
      <c r="BB298" s="237"/>
    </row>
    <row r="299">
      <c r="E299" s="133"/>
      <c r="F299" s="237"/>
      <c r="G299" s="237"/>
      <c r="H299" s="131"/>
      <c r="I299" s="131"/>
      <c r="J299" s="131"/>
      <c r="K299" s="131"/>
      <c r="L299" s="131"/>
      <c r="T299" s="237"/>
      <c r="U299" s="237"/>
      <c r="V299" s="237"/>
      <c r="W299" s="237"/>
      <c r="X299" s="237"/>
      <c r="Y299" s="237"/>
      <c r="Z299" s="237"/>
      <c r="AH299" s="237"/>
      <c r="AI299" s="237"/>
      <c r="AJ299" s="237"/>
      <c r="AK299" s="237"/>
      <c r="AL299" s="237"/>
      <c r="AM299" s="237"/>
      <c r="AN299" s="237"/>
      <c r="AV299" s="237"/>
      <c r="AW299" s="237"/>
      <c r="AX299" s="237"/>
      <c r="AY299" s="237"/>
      <c r="AZ299" s="237"/>
      <c r="BA299" s="237"/>
      <c r="BB299" s="237"/>
    </row>
    <row r="300">
      <c r="E300" s="133"/>
      <c r="F300" s="237"/>
      <c r="G300" s="237"/>
      <c r="H300" s="131"/>
      <c r="I300" s="131"/>
      <c r="J300" s="131"/>
      <c r="K300" s="131"/>
      <c r="L300" s="131"/>
      <c r="T300" s="237"/>
      <c r="U300" s="237"/>
      <c r="V300" s="237"/>
      <c r="W300" s="237"/>
      <c r="X300" s="237"/>
      <c r="Y300" s="237"/>
      <c r="Z300" s="237"/>
      <c r="AH300" s="237"/>
      <c r="AI300" s="237"/>
      <c r="AJ300" s="237"/>
      <c r="AK300" s="237"/>
      <c r="AL300" s="237"/>
      <c r="AM300" s="237"/>
      <c r="AN300" s="237"/>
      <c r="AV300" s="237"/>
      <c r="AW300" s="237"/>
      <c r="AX300" s="237"/>
      <c r="AY300" s="237"/>
      <c r="AZ300" s="237"/>
      <c r="BA300" s="237"/>
      <c r="BB300" s="237"/>
    </row>
    <row r="301">
      <c r="E301" s="133"/>
      <c r="F301" s="237"/>
      <c r="G301" s="237"/>
      <c r="H301" s="131"/>
      <c r="I301" s="131"/>
      <c r="J301" s="131"/>
      <c r="K301" s="131"/>
      <c r="L301" s="131"/>
      <c r="T301" s="237"/>
      <c r="U301" s="237"/>
      <c r="V301" s="237"/>
      <c r="W301" s="237"/>
      <c r="X301" s="237"/>
      <c r="Y301" s="237"/>
      <c r="Z301" s="237"/>
      <c r="AH301" s="237"/>
      <c r="AI301" s="237"/>
      <c r="AJ301" s="237"/>
      <c r="AK301" s="237"/>
      <c r="AL301" s="237"/>
      <c r="AM301" s="237"/>
      <c r="AN301" s="237"/>
      <c r="AV301" s="237"/>
      <c r="AW301" s="237"/>
      <c r="AX301" s="237"/>
      <c r="AY301" s="237"/>
      <c r="AZ301" s="237"/>
      <c r="BA301" s="237"/>
      <c r="BB301" s="237"/>
    </row>
    <row r="302">
      <c r="E302" s="133"/>
      <c r="F302" s="237"/>
      <c r="G302" s="237"/>
      <c r="H302" s="131"/>
      <c r="I302" s="131"/>
      <c r="J302" s="131"/>
      <c r="K302" s="131"/>
      <c r="L302" s="131"/>
      <c r="T302" s="237"/>
      <c r="U302" s="237"/>
      <c r="V302" s="237"/>
      <c r="W302" s="237"/>
      <c r="X302" s="237"/>
      <c r="Y302" s="237"/>
      <c r="Z302" s="237"/>
      <c r="AH302" s="237"/>
      <c r="AI302" s="237"/>
      <c r="AJ302" s="237"/>
      <c r="AK302" s="237"/>
      <c r="AL302" s="237"/>
      <c r="AM302" s="237"/>
      <c r="AN302" s="237"/>
      <c r="AV302" s="237"/>
      <c r="AW302" s="237"/>
      <c r="AX302" s="237"/>
      <c r="AY302" s="237"/>
      <c r="AZ302" s="237"/>
      <c r="BA302" s="237"/>
      <c r="BB302" s="237"/>
    </row>
    <row r="303">
      <c r="E303" s="133"/>
      <c r="F303" s="237"/>
      <c r="G303" s="237"/>
      <c r="H303" s="131"/>
      <c r="I303" s="131"/>
      <c r="J303" s="131"/>
      <c r="K303" s="131"/>
      <c r="L303" s="131"/>
      <c r="T303" s="237"/>
      <c r="U303" s="237"/>
      <c r="V303" s="237"/>
      <c r="W303" s="237"/>
      <c r="X303" s="237"/>
      <c r="Y303" s="237"/>
      <c r="Z303" s="237"/>
      <c r="AH303" s="237"/>
      <c r="AI303" s="237"/>
      <c r="AJ303" s="237"/>
      <c r="AK303" s="237"/>
      <c r="AL303" s="237"/>
      <c r="AM303" s="237"/>
      <c r="AN303" s="237"/>
      <c r="AV303" s="237"/>
      <c r="AW303" s="237"/>
      <c r="AX303" s="237"/>
      <c r="AY303" s="237"/>
      <c r="AZ303" s="237"/>
      <c r="BA303" s="237"/>
      <c r="BB303" s="237"/>
    </row>
    <row r="304">
      <c r="E304" s="133"/>
      <c r="F304" s="237"/>
      <c r="G304" s="237"/>
      <c r="H304" s="131"/>
      <c r="I304" s="131"/>
      <c r="J304" s="131"/>
      <c r="K304" s="131"/>
      <c r="L304" s="131"/>
      <c r="T304" s="237"/>
      <c r="U304" s="237"/>
      <c r="V304" s="237"/>
      <c r="W304" s="237"/>
      <c r="X304" s="237"/>
      <c r="Y304" s="237"/>
      <c r="Z304" s="237"/>
      <c r="AH304" s="237"/>
      <c r="AI304" s="237"/>
      <c r="AJ304" s="237"/>
      <c r="AK304" s="237"/>
      <c r="AL304" s="237"/>
      <c r="AM304" s="237"/>
      <c r="AN304" s="237"/>
      <c r="AV304" s="237"/>
      <c r="AW304" s="237"/>
      <c r="AX304" s="237"/>
      <c r="AY304" s="237"/>
      <c r="AZ304" s="237"/>
      <c r="BA304" s="237"/>
      <c r="BB304" s="237"/>
    </row>
    <row r="305">
      <c r="E305" s="133"/>
      <c r="F305" s="237"/>
      <c r="G305" s="237"/>
      <c r="H305" s="131"/>
      <c r="I305" s="131"/>
      <c r="J305" s="131"/>
      <c r="K305" s="131"/>
      <c r="L305" s="131"/>
      <c r="T305" s="237"/>
      <c r="U305" s="237"/>
      <c r="V305" s="237"/>
      <c r="W305" s="237"/>
      <c r="X305" s="237"/>
      <c r="Y305" s="237"/>
      <c r="Z305" s="237"/>
      <c r="AH305" s="237"/>
      <c r="AI305" s="237"/>
      <c r="AJ305" s="237"/>
      <c r="AK305" s="237"/>
      <c r="AL305" s="237"/>
      <c r="AM305" s="237"/>
      <c r="AN305" s="237"/>
      <c r="AV305" s="237"/>
      <c r="AW305" s="237"/>
      <c r="AX305" s="237"/>
      <c r="AY305" s="237"/>
      <c r="AZ305" s="237"/>
      <c r="BA305" s="237"/>
      <c r="BB305" s="237"/>
    </row>
    <row r="306">
      <c r="E306" s="133"/>
      <c r="F306" s="237"/>
      <c r="G306" s="237"/>
      <c r="H306" s="131"/>
      <c r="I306" s="131"/>
      <c r="J306" s="131"/>
      <c r="K306" s="131"/>
      <c r="L306" s="131"/>
      <c r="T306" s="237"/>
      <c r="U306" s="237"/>
      <c r="V306" s="237"/>
      <c r="W306" s="237"/>
      <c r="X306" s="237"/>
      <c r="Y306" s="237"/>
      <c r="Z306" s="237"/>
      <c r="AH306" s="237"/>
      <c r="AI306" s="237"/>
      <c r="AJ306" s="237"/>
      <c r="AK306" s="237"/>
      <c r="AL306" s="237"/>
      <c r="AM306" s="237"/>
      <c r="AN306" s="237"/>
      <c r="AV306" s="237"/>
      <c r="AW306" s="237"/>
      <c r="AX306" s="237"/>
      <c r="AY306" s="237"/>
      <c r="AZ306" s="237"/>
      <c r="BA306" s="237"/>
      <c r="BB306" s="237"/>
    </row>
    <row r="307">
      <c r="E307" s="133"/>
      <c r="F307" s="237"/>
      <c r="G307" s="237"/>
      <c r="H307" s="131"/>
      <c r="I307" s="131"/>
      <c r="J307" s="131"/>
      <c r="K307" s="131"/>
      <c r="L307" s="131"/>
      <c r="T307" s="237"/>
      <c r="U307" s="237"/>
      <c r="V307" s="237"/>
      <c r="W307" s="237"/>
      <c r="X307" s="237"/>
      <c r="Y307" s="237"/>
      <c r="Z307" s="237"/>
      <c r="AH307" s="237"/>
      <c r="AI307" s="237"/>
      <c r="AJ307" s="237"/>
      <c r="AK307" s="237"/>
      <c r="AL307" s="237"/>
      <c r="AM307" s="237"/>
      <c r="AN307" s="237"/>
      <c r="AV307" s="237"/>
      <c r="AW307" s="237"/>
      <c r="AX307" s="237"/>
      <c r="AY307" s="237"/>
      <c r="AZ307" s="237"/>
      <c r="BA307" s="237"/>
      <c r="BB307" s="237"/>
    </row>
    <row r="308">
      <c r="E308" s="133"/>
      <c r="F308" s="237"/>
      <c r="G308" s="237"/>
      <c r="H308" s="131"/>
      <c r="I308" s="131"/>
      <c r="J308" s="131"/>
      <c r="K308" s="131"/>
      <c r="L308" s="131"/>
      <c r="T308" s="237"/>
      <c r="U308" s="237"/>
      <c r="V308" s="237"/>
      <c r="W308" s="237"/>
      <c r="X308" s="237"/>
      <c r="Y308" s="237"/>
      <c r="Z308" s="237"/>
      <c r="AH308" s="237"/>
      <c r="AI308" s="237"/>
      <c r="AJ308" s="237"/>
      <c r="AK308" s="237"/>
      <c r="AL308" s="237"/>
      <c r="AM308" s="237"/>
      <c r="AN308" s="237"/>
      <c r="AV308" s="237"/>
      <c r="AW308" s="237"/>
      <c r="AX308" s="237"/>
      <c r="AY308" s="237"/>
      <c r="AZ308" s="237"/>
      <c r="BA308" s="237"/>
      <c r="BB308" s="237"/>
    </row>
    <row r="309">
      <c r="E309" s="133"/>
      <c r="F309" s="237"/>
      <c r="G309" s="237"/>
      <c r="H309" s="131"/>
      <c r="I309" s="131"/>
      <c r="J309" s="131"/>
      <c r="K309" s="131"/>
      <c r="L309" s="131"/>
      <c r="T309" s="237"/>
      <c r="U309" s="237"/>
      <c r="V309" s="237"/>
      <c r="W309" s="237"/>
      <c r="X309" s="237"/>
      <c r="Y309" s="237"/>
      <c r="Z309" s="237"/>
      <c r="AH309" s="237"/>
      <c r="AI309" s="237"/>
      <c r="AJ309" s="237"/>
      <c r="AK309" s="237"/>
      <c r="AL309" s="237"/>
      <c r="AM309" s="237"/>
      <c r="AN309" s="237"/>
      <c r="AV309" s="237"/>
      <c r="AW309" s="237"/>
      <c r="AX309" s="237"/>
      <c r="AY309" s="237"/>
      <c r="AZ309" s="237"/>
      <c r="BA309" s="237"/>
      <c r="BB309" s="237"/>
    </row>
    <row r="310">
      <c r="E310" s="133"/>
      <c r="F310" s="237"/>
      <c r="G310" s="237"/>
      <c r="H310" s="131"/>
      <c r="I310" s="131"/>
      <c r="J310" s="131"/>
      <c r="K310" s="131"/>
      <c r="L310" s="131"/>
      <c r="T310" s="237"/>
      <c r="U310" s="237"/>
      <c r="V310" s="237"/>
      <c r="W310" s="237"/>
      <c r="X310" s="237"/>
      <c r="Y310" s="237"/>
      <c r="Z310" s="237"/>
      <c r="AH310" s="237"/>
      <c r="AI310" s="237"/>
      <c r="AJ310" s="237"/>
      <c r="AK310" s="237"/>
      <c r="AL310" s="237"/>
      <c r="AM310" s="237"/>
      <c r="AN310" s="237"/>
      <c r="AV310" s="237"/>
      <c r="AW310" s="237"/>
      <c r="AX310" s="237"/>
      <c r="AY310" s="237"/>
      <c r="AZ310" s="237"/>
      <c r="BA310" s="237"/>
      <c r="BB310" s="237"/>
    </row>
    <row r="311">
      <c r="E311" s="133"/>
      <c r="F311" s="237"/>
      <c r="G311" s="237"/>
      <c r="H311" s="131"/>
      <c r="I311" s="131"/>
      <c r="J311" s="131"/>
      <c r="K311" s="131"/>
      <c r="L311" s="131"/>
      <c r="T311" s="237"/>
      <c r="U311" s="237"/>
      <c r="V311" s="237"/>
      <c r="W311" s="237"/>
      <c r="X311" s="237"/>
      <c r="Y311" s="237"/>
      <c r="Z311" s="237"/>
      <c r="AH311" s="237"/>
      <c r="AI311" s="237"/>
      <c r="AJ311" s="237"/>
      <c r="AK311" s="237"/>
      <c r="AL311" s="237"/>
      <c r="AM311" s="237"/>
      <c r="AN311" s="237"/>
      <c r="AV311" s="237"/>
      <c r="AW311" s="237"/>
      <c r="AX311" s="237"/>
      <c r="AY311" s="237"/>
      <c r="AZ311" s="237"/>
      <c r="BA311" s="237"/>
      <c r="BB311" s="237"/>
    </row>
    <row r="312">
      <c r="E312" s="133"/>
      <c r="F312" s="237"/>
      <c r="G312" s="237"/>
      <c r="H312" s="131"/>
      <c r="I312" s="131"/>
      <c r="J312" s="131"/>
      <c r="K312" s="131"/>
      <c r="L312" s="131"/>
      <c r="T312" s="237"/>
      <c r="U312" s="237"/>
      <c r="V312" s="237"/>
      <c r="W312" s="237"/>
      <c r="X312" s="237"/>
      <c r="Y312" s="237"/>
      <c r="Z312" s="237"/>
      <c r="AH312" s="237"/>
      <c r="AI312" s="237"/>
      <c r="AJ312" s="237"/>
      <c r="AK312" s="237"/>
      <c r="AL312" s="237"/>
      <c r="AM312" s="237"/>
      <c r="AN312" s="237"/>
      <c r="AV312" s="237"/>
      <c r="AW312" s="237"/>
      <c r="AX312" s="237"/>
      <c r="AY312" s="237"/>
      <c r="AZ312" s="237"/>
      <c r="BA312" s="237"/>
      <c r="BB312" s="237"/>
    </row>
    <row r="313">
      <c r="E313" s="133"/>
      <c r="F313" s="237"/>
      <c r="G313" s="237"/>
      <c r="H313" s="131"/>
      <c r="I313" s="131"/>
      <c r="J313" s="131"/>
      <c r="K313" s="131"/>
      <c r="L313" s="131"/>
      <c r="T313" s="237"/>
      <c r="U313" s="237"/>
      <c r="V313" s="237"/>
      <c r="W313" s="237"/>
      <c r="X313" s="237"/>
      <c r="Y313" s="237"/>
      <c r="Z313" s="237"/>
      <c r="AH313" s="237"/>
      <c r="AI313" s="237"/>
      <c r="AJ313" s="237"/>
      <c r="AK313" s="237"/>
      <c r="AL313" s="237"/>
      <c r="AM313" s="237"/>
      <c r="AN313" s="237"/>
      <c r="AV313" s="237"/>
      <c r="AW313" s="237"/>
      <c r="AX313" s="237"/>
      <c r="AY313" s="237"/>
      <c r="AZ313" s="237"/>
      <c r="BA313" s="237"/>
      <c r="BB313" s="237"/>
    </row>
    <row r="314">
      <c r="E314" s="133"/>
      <c r="F314" s="237"/>
      <c r="G314" s="237"/>
      <c r="H314" s="131"/>
      <c r="I314" s="131"/>
      <c r="J314" s="131"/>
      <c r="K314" s="131"/>
      <c r="L314" s="131"/>
      <c r="T314" s="237"/>
      <c r="U314" s="237"/>
      <c r="V314" s="237"/>
      <c r="W314" s="237"/>
      <c r="X314" s="237"/>
      <c r="Y314" s="237"/>
      <c r="Z314" s="237"/>
      <c r="AH314" s="237"/>
      <c r="AI314" s="237"/>
      <c r="AJ314" s="237"/>
      <c r="AK314" s="237"/>
      <c r="AL314" s="237"/>
      <c r="AM314" s="237"/>
      <c r="AN314" s="237"/>
      <c r="AV314" s="237"/>
      <c r="AW314" s="237"/>
      <c r="AX314" s="237"/>
      <c r="AY314" s="237"/>
      <c r="AZ314" s="237"/>
      <c r="BA314" s="237"/>
      <c r="BB314" s="237"/>
    </row>
    <row r="315">
      <c r="E315" s="133"/>
      <c r="F315" s="237"/>
      <c r="G315" s="237"/>
      <c r="H315" s="131"/>
      <c r="I315" s="131"/>
      <c r="J315" s="131"/>
      <c r="K315" s="131"/>
      <c r="L315" s="131"/>
      <c r="T315" s="237"/>
      <c r="U315" s="237"/>
      <c r="V315" s="237"/>
      <c r="W315" s="237"/>
      <c r="X315" s="237"/>
      <c r="Y315" s="237"/>
      <c r="Z315" s="237"/>
      <c r="AH315" s="237"/>
      <c r="AI315" s="237"/>
      <c r="AJ315" s="237"/>
      <c r="AK315" s="237"/>
      <c r="AL315" s="237"/>
      <c r="AM315" s="237"/>
      <c r="AN315" s="237"/>
      <c r="AV315" s="237"/>
      <c r="AW315" s="237"/>
      <c r="AX315" s="237"/>
      <c r="AY315" s="237"/>
      <c r="AZ315" s="237"/>
      <c r="BA315" s="237"/>
      <c r="BB315" s="237"/>
    </row>
    <row r="316">
      <c r="E316" s="133"/>
      <c r="F316" s="237"/>
      <c r="G316" s="237"/>
      <c r="H316" s="131"/>
      <c r="I316" s="131"/>
      <c r="J316" s="131"/>
      <c r="K316" s="131"/>
      <c r="L316" s="131"/>
      <c r="T316" s="237"/>
      <c r="U316" s="237"/>
      <c r="V316" s="237"/>
      <c r="W316" s="237"/>
      <c r="X316" s="237"/>
      <c r="Y316" s="237"/>
      <c r="Z316" s="237"/>
      <c r="AH316" s="237"/>
      <c r="AI316" s="237"/>
      <c r="AJ316" s="237"/>
      <c r="AK316" s="237"/>
      <c r="AL316" s="237"/>
      <c r="AM316" s="237"/>
      <c r="AN316" s="237"/>
      <c r="AV316" s="237"/>
      <c r="AW316" s="237"/>
      <c r="AX316" s="237"/>
      <c r="AY316" s="237"/>
      <c r="AZ316" s="237"/>
      <c r="BA316" s="237"/>
      <c r="BB316" s="237"/>
    </row>
    <row r="317">
      <c r="E317" s="133"/>
      <c r="F317" s="237"/>
      <c r="G317" s="237"/>
      <c r="H317" s="131"/>
      <c r="I317" s="131"/>
      <c r="J317" s="131"/>
      <c r="K317" s="131"/>
      <c r="L317" s="131"/>
      <c r="T317" s="237"/>
      <c r="U317" s="237"/>
      <c r="V317" s="237"/>
      <c r="W317" s="237"/>
      <c r="X317" s="237"/>
      <c r="Y317" s="237"/>
      <c r="Z317" s="237"/>
      <c r="AH317" s="237"/>
      <c r="AI317" s="237"/>
      <c r="AJ317" s="237"/>
      <c r="AK317" s="237"/>
      <c r="AL317" s="237"/>
      <c r="AM317" s="237"/>
      <c r="AN317" s="237"/>
      <c r="AV317" s="237"/>
      <c r="AW317" s="237"/>
      <c r="AX317" s="237"/>
      <c r="AY317" s="237"/>
      <c r="AZ317" s="237"/>
      <c r="BA317" s="237"/>
      <c r="BB317" s="237"/>
    </row>
    <row r="318">
      <c r="E318" s="133"/>
      <c r="F318" s="237"/>
      <c r="G318" s="237"/>
      <c r="H318" s="131"/>
      <c r="I318" s="131"/>
      <c r="J318" s="131"/>
      <c r="K318" s="131"/>
      <c r="L318" s="131"/>
      <c r="T318" s="237"/>
      <c r="U318" s="237"/>
      <c r="V318" s="237"/>
      <c r="W318" s="237"/>
      <c r="X318" s="237"/>
      <c r="Y318" s="237"/>
      <c r="Z318" s="237"/>
      <c r="AH318" s="237"/>
      <c r="AI318" s="237"/>
      <c r="AJ318" s="237"/>
      <c r="AK318" s="237"/>
      <c r="AL318" s="237"/>
      <c r="AM318" s="237"/>
      <c r="AN318" s="237"/>
      <c r="AV318" s="237"/>
      <c r="AW318" s="237"/>
      <c r="AX318" s="237"/>
      <c r="AY318" s="237"/>
      <c r="AZ318" s="237"/>
      <c r="BA318" s="237"/>
      <c r="BB318" s="237"/>
    </row>
    <row r="319">
      <c r="E319" s="133"/>
      <c r="F319" s="237"/>
      <c r="G319" s="237"/>
      <c r="H319" s="131"/>
      <c r="I319" s="131"/>
      <c r="J319" s="131"/>
      <c r="K319" s="131"/>
      <c r="L319" s="131"/>
      <c r="T319" s="237"/>
      <c r="U319" s="237"/>
      <c r="V319" s="237"/>
      <c r="W319" s="237"/>
      <c r="X319" s="237"/>
      <c r="Y319" s="237"/>
      <c r="Z319" s="237"/>
      <c r="AH319" s="237"/>
      <c r="AI319" s="237"/>
      <c r="AJ319" s="237"/>
      <c r="AK319" s="237"/>
      <c r="AL319" s="237"/>
      <c r="AM319" s="237"/>
      <c r="AN319" s="237"/>
      <c r="AV319" s="237"/>
      <c r="AW319" s="237"/>
      <c r="AX319" s="237"/>
      <c r="AY319" s="237"/>
      <c r="AZ319" s="237"/>
      <c r="BA319" s="237"/>
      <c r="BB319" s="237"/>
    </row>
    <row r="320">
      <c r="E320" s="133"/>
      <c r="F320" s="237"/>
      <c r="G320" s="237"/>
      <c r="H320" s="131"/>
      <c r="I320" s="131"/>
      <c r="J320" s="131"/>
      <c r="K320" s="131"/>
      <c r="L320" s="131"/>
      <c r="T320" s="237"/>
      <c r="U320" s="237"/>
      <c r="V320" s="237"/>
      <c r="W320" s="237"/>
      <c r="X320" s="237"/>
      <c r="Y320" s="237"/>
      <c r="Z320" s="237"/>
      <c r="AH320" s="237"/>
      <c r="AI320" s="237"/>
      <c r="AJ320" s="237"/>
      <c r="AK320" s="237"/>
      <c r="AL320" s="237"/>
      <c r="AM320" s="237"/>
      <c r="AN320" s="237"/>
      <c r="AV320" s="237"/>
      <c r="AW320" s="237"/>
      <c r="AX320" s="237"/>
      <c r="AY320" s="237"/>
      <c r="AZ320" s="237"/>
      <c r="BA320" s="237"/>
      <c r="BB320" s="237"/>
    </row>
    <row r="321">
      <c r="E321" s="133"/>
      <c r="F321" s="237"/>
      <c r="G321" s="237"/>
      <c r="H321" s="131"/>
      <c r="I321" s="131"/>
      <c r="J321" s="131"/>
      <c r="K321" s="131"/>
      <c r="L321" s="131"/>
      <c r="T321" s="237"/>
      <c r="U321" s="237"/>
      <c r="V321" s="237"/>
      <c r="W321" s="237"/>
      <c r="X321" s="237"/>
      <c r="Y321" s="237"/>
      <c r="Z321" s="237"/>
      <c r="AH321" s="237"/>
      <c r="AI321" s="237"/>
      <c r="AJ321" s="237"/>
      <c r="AK321" s="237"/>
      <c r="AL321" s="237"/>
      <c r="AM321" s="237"/>
      <c r="AN321" s="237"/>
      <c r="AV321" s="237"/>
      <c r="AW321" s="237"/>
      <c r="AX321" s="237"/>
      <c r="AY321" s="237"/>
      <c r="AZ321" s="237"/>
      <c r="BA321" s="237"/>
      <c r="BB321" s="237"/>
    </row>
    <row r="322">
      <c r="E322" s="133"/>
      <c r="F322" s="237"/>
      <c r="G322" s="237"/>
      <c r="H322" s="131"/>
      <c r="I322" s="131"/>
      <c r="J322" s="131"/>
      <c r="K322" s="131"/>
      <c r="L322" s="131"/>
      <c r="T322" s="237"/>
      <c r="U322" s="237"/>
      <c r="V322" s="237"/>
      <c r="W322" s="237"/>
      <c r="X322" s="237"/>
      <c r="Y322" s="237"/>
      <c r="Z322" s="237"/>
      <c r="AH322" s="237"/>
      <c r="AI322" s="237"/>
      <c r="AJ322" s="237"/>
      <c r="AK322" s="237"/>
      <c r="AL322" s="237"/>
      <c r="AM322" s="237"/>
      <c r="AN322" s="237"/>
      <c r="AV322" s="237"/>
      <c r="AW322" s="237"/>
      <c r="AX322" s="237"/>
      <c r="AY322" s="237"/>
      <c r="AZ322" s="237"/>
      <c r="BA322" s="237"/>
      <c r="BB322" s="237"/>
    </row>
    <row r="323">
      <c r="E323" s="133"/>
      <c r="F323" s="237"/>
      <c r="G323" s="237"/>
      <c r="H323" s="131"/>
      <c r="I323" s="131"/>
      <c r="J323" s="131"/>
      <c r="K323" s="131"/>
      <c r="L323" s="131"/>
      <c r="T323" s="237"/>
      <c r="U323" s="237"/>
      <c r="V323" s="237"/>
      <c r="W323" s="237"/>
      <c r="X323" s="237"/>
      <c r="Y323" s="237"/>
      <c r="Z323" s="237"/>
      <c r="AH323" s="237"/>
      <c r="AI323" s="237"/>
      <c r="AJ323" s="237"/>
      <c r="AK323" s="237"/>
      <c r="AL323" s="237"/>
      <c r="AM323" s="237"/>
      <c r="AN323" s="237"/>
      <c r="AV323" s="237"/>
      <c r="AW323" s="237"/>
      <c r="AX323" s="237"/>
      <c r="AY323" s="237"/>
      <c r="AZ323" s="237"/>
      <c r="BA323" s="237"/>
      <c r="BB323" s="237"/>
    </row>
    <row r="324">
      <c r="E324" s="133"/>
      <c r="F324" s="237"/>
      <c r="G324" s="237"/>
      <c r="H324" s="131"/>
      <c r="I324" s="131"/>
      <c r="J324" s="131"/>
      <c r="K324" s="131"/>
      <c r="L324" s="131"/>
      <c r="T324" s="237"/>
      <c r="U324" s="237"/>
      <c r="V324" s="237"/>
      <c r="W324" s="237"/>
      <c r="X324" s="237"/>
      <c r="Y324" s="237"/>
      <c r="Z324" s="237"/>
      <c r="AH324" s="237"/>
      <c r="AI324" s="237"/>
      <c r="AJ324" s="237"/>
      <c r="AK324" s="237"/>
      <c r="AL324" s="237"/>
      <c r="AM324" s="237"/>
      <c r="AN324" s="237"/>
      <c r="AV324" s="237"/>
      <c r="AW324" s="237"/>
      <c r="AX324" s="237"/>
      <c r="AY324" s="237"/>
      <c r="AZ324" s="237"/>
      <c r="BA324" s="237"/>
      <c r="BB324" s="237"/>
    </row>
    <row r="325">
      <c r="E325" s="133"/>
      <c r="F325" s="237"/>
      <c r="G325" s="237"/>
      <c r="H325" s="131"/>
      <c r="I325" s="131"/>
      <c r="J325" s="131"/>
      <c r="K325" s="131"/>
      <c r="L325" s="131"/>
      <c r="T325" s="237"/>
      <c r="U325" s="237"/>
      <c r="V325" s="237"/>
      <c r="W325" s="237"/>
      <c r="X325" s="237"/>
      <c r="Y325" s="237"/>
      <c r="Z325" s="237"/>
      <c r="AH325" s="237"/>
      <c r="AI325" s="237"/>
      <c r="AJ325" s="237"/>
      <c r="AK325" s="237"/>
      <c r="AL325" s="237"/>
      <c r="AM325" s="237"/>
      <c r="AN325" s="237"/>
      <c r="AV325" s="237"/>
      <c r="AW325" s="237"/>
      <c r="AX325" s="237"/>
      <c r="AY325" s="237"/>
      <c r="AZ325" s="237"/>
      <c r="BA325" s="237"/>
      <c r="BB325" s="237"/>
    </row>
    <row r="326">
      <c r="E326" s="133"/>
      <c r="F326" s="237"/>
      <c r="G326" s="237"/>
      <c r="H326" s="131"/>
      <c r="I326" s="131"/>
      <c r="J326" s="131"/>
      <c r="K326" s="131"/>
      <c r="L326" s="131"/>
      <c r="T326" s="237"/>
      <c r="U326" s="237"/>
      <c r="V326" s="237"/>
      <c r="W326" s="237"/>
      <c r="X326" s="237"/>
      <c r="Y326" s="237"/>
      <c r="Z326" s="237"/>
      <c r="AH326" s="237"/>
      <c r="AI326" s="237"/>
      <c r="AJ326" s="237"/>
      <c r="AK326" s="237"/>
      <c r="AL326" s="237"/>
      <c r="AM326" s="237"/>
      <c r="AN326" s="237"/>
      <c r="AV326" s="237"/>
      <c r="AW326" s="237"/>
      <c r="AX326" s="237"/>
      <c r="AY326" s="237"/>
      <c r="AZ326" s="237"/>
      <c r="BA326" s="237"/>
      <c r="BB326" s="237"/>
    </row>
    <row r="327">
      <c r="E327" s="133"/>
      <c r="F327" s="237"/>
      <c r="G327" s="237"/>
      <c r="H327" s="131"/>
      <c r="I327" s="131"/>
      <c r="J327" s="131"/>
      <c r="K327" s="131"/>
      <c r="L327" s="131"/>
      <c r="T327" s="237"/>
      <c r="U327" s="237"/>
      <c r="V327" s="237"/>
      <c r="W327" s="237"/>
      <c r="X327" s="237"/>
      <c r="Y327" s="237"/>
      <c r="Z327" s="237"/>
      <c r="AH327" s="237"/>
      <c r="AI327" s="237"/>
      <c r="AJ327" s="237"/>
      <c r="AK327" s="237"/>
      <c r="AL327" s="237"/>
      <c r="AM327" s="237"/>
      <c r="AN327" s="237"/>
      <c r="AV327" s="237"/>
      <c r="AW327" s="237"/>
      <c r="AX327" s="237"/>
      <c r="AY327" s="237"/>
      <c r="AZ327" s="237"/>
      <c r="BA327" s="237"/>
      <c r="BB327" s="237"/>
    </row>
    <row r="328">
      <c r="E328" s="133"/>
      <c r="F328" s="237"/>
      <c r="G328" s="237"/>
      <c r="H328" s="131"/>
      <c r="I328" s="131"/>
      <c r="J328" s="131"/>
      <c r="K328" s="131"/>
      <c r="L328" s="131"/>
      <c r="T328" s="237"/>
      <c r="U328" s="237"/>
      <c r="V328" s="237"/>
      <c r="W328" s="237"/>
      <c r="X328" s="237"/>
      <c r="Y328" s="237"/>
      <c r="Z328" s="237"/>
      <c r="AH328" s="237"/>
      <c r="AI328" s="237"/>
      <c r="AJ328" s="237"/>
      <c r="AK328" s="237"/>
      <c r="AL328" s="237"/>
      <c r="AM328" s="237"/>
      <c r="AN328" s="237"/>
      <c r="AV328" s="237"/>
      <c r="AW328" s="237"/>
      <c r="AX328" s="237"/>
      <c r="AY328" s="237"/>
      <c r="AZ328" s="237"/>
      <c r="BA328" s="237"/>
      <c r="BB328" s="237"/>
    </row>
    <row r="329">
      <c r="E329" s="133"/>
      <c r="F329" s="237"/>
      <c r="G329" s="237"/>
      <c r="H329" s="131"/>
      <c r="I329" s="131"/>
      <c r="J329" s="131"/>
      <c r="K329" s="131"/>
      <c r="L329" s="131"/>
      <c r="T329" s="237"/>
      <c r="U329" s="237"/>
      <c r="V329" s="237"/>
      <c r="W329" s="237"/>
      <c r="X329" s="237"/>
      <c r="Y329" s="237"/>
      <c r="Z329" s="237"/>
      <c r="AH329" s="237"/>
      <c r="AI329" s="237"/>
      <c r="AJ329" s="237"/>
      <c r="AK329" s="237"/>
      <c r="AL329" s="237"/>
      <c r="AM329" s="237"/>
      <c r="AN329" s="237"/>
      <c r="AV329" s="237"/>
      <c r="AW329" s="237"/>
      <c r="AX329" s="237"/>
      <c r="AY329" s="237"/>
      <c r="AZ329" s="237"/>
      <c r="BA329" s="237"/>
      <c r="BB329" s="237"/>
    </row>
    <row r="330">
      <c r="E330" s="133"/>
      <c r="F330" s="237"/>
      <c r="G330" s="237"/>
      <c r="H330" s="131"/>
      <c r="I330" s="131"/>
      <c r="J330" s="131"/>
      <c r="K330" s="131"/>
      <c r="L330" s="131"/>
      <c r="T330" s="237"/>
      <c r="U330" s="237"/>
      <c r="V330" s="237"/>
      <c r="W330" s="237"/>
      <c r="X330" s="237"/>
      <c r="Y330" s="237"/>
      <c r="Z330" s="237"/>
      <c r="AH330" s="237"/>
      <c r="AI330" s="237"/>
      <c r="AJ330" s="237"/>
      <c r="AK330" s="237"/>
      <c r="AL330" s="237"/>
      <c r="AM330" s="237"/>
      <c r="AN330" s="237"/>
      <c r="AV330" s="237"/>
      <c r="AW330" s="237"/>
      <c r="AX330" s="237"/>
      <c r="AY330" s="237"/>
      <c r="AZ330" s="237"/>
      <c r="BA330" s="237"/>
      <c r="BB330" s="237"/>
    </row>
    <row r="331">
      <c r="E331" s="133"/>
      <c r="F331" s="237"/>
      <c r="G331" s="237"/>
      <c r="H331" s="131"/>
      <c r="I331" s="131"/>
      <c r="J331" s="131"/>
      <c r="K331" s="131"/>
      <c r="L331" s="131"/>
      <c r="T331" s="237"/>
      <c r="U331" s="237"/>
      <c r="V331" s="237"/>
      <c r="W331" s="237"/>
      <c r="X331" s="237"/>
      <c r="Y331" s="237"/>
      <c r="Z331" s="237"/>
      <c r="AH331" s="237"/>
      <c r="AI331" s="237"/>
      <c r="AJ331" s="237"/>
      <c r="AK331" s="237"/>
      <c r="AL331" s="237"/>
      <c r="AM331" s="237"/>
      <c r="AN331" s="237"/>
      <c r="AV331" s="237"/>
      <c r="AW331" s="237"/>
      <c r="AX331" s="237"/>
      <c r="AY331" s="237"/>
      <c r="AZ331" s="237"/>
      <c r="BA331" s="237"/>
      <c r="BB331" s="237"/>
    </row>
    <row r="332">
      <c r="E332" s="133"/>
      <c r="F332" s="237"/>
      <c r="G332" s="237"/>
      <c r="H332" s="131"/>
      <c r="I332" s="131"/>
      <c r="J332" s="131"/>
      <c r="K332" s="131"/>
      <c r="L332" s="131"/>
      <c r="T332" s="237"/>
      <c r="U332" s="237"/>
      <c r="V332" s="237"/>
      <c r="W332" s="237"/>
      <c r="X332" s="237"/>
      <c r="Y332" s="237"/>
      <c r="Z332" s="237"/>
      <c r="AH332" s="237"/>
      <c r="AI332" s="237"/>
      <c r="AJ332" s="237"/>
      <c r="AK332" s="237"/>
      <c r="AL332" s="237"/>
      <c r="AM332" s="237"/>
      <c r="AN332" s="237"/>
      <c r="AV332" s="237"/>
      <c r="AW332" s="237"/>
      <c r="AX332" s="237"/>
      <c r="AY332" s="237"/>
      <c r="AZ332" s="237"/>
      <c r="BA332" s="237"/>
      <c r="BB332" s="237"/>
    </row>
    <row r="333">
      <c r="E333" s="133"/>
      <c r="F333" s="237"/>
      <c r="G333" s="237"/>
      <c r="H333" s="131"/>
      <c r="I333" s="131"/>
      <c r="J333" s="131"/>
      <c r="K333" s="131"/>
      <c r="L333" s="131"/>
      <c r="T333" s="237"/>
      <c r="U333" s="237"/>
      <c r="V333" s="237"/>
      <c r="W333" s="237"/>
      <c r="X333" s="237"/>
      <c r="Y333" s="237"/>
      <c r="Z333" s="237"/>
      <c r="AH333" s="237"/>
      <c r="AI333" s="237"/>
      <c r="AJ333" s="237"/>
      <c r="AK333" s="237"/>
      <c r="AL333" s="237"/>
      <c r="AM333" s="237"/>
      <c r="AN333" s="237"/>
      <c r="AV333" s="237"/>
      <c r="AW333" s="237"/>
      <c r="AX333" s="237"/>
      <c r="AY333" s="237"/>
      <c r="AZ333" s="237"/>
      <c r="BA333" s="237"/>
      <c r="BB333" s="237"/>
    </row>
    <row r="334">
      <c r="E334" s="133"/>
      <c r="F334" s="237"/>
      <c r="G334" s="237"/>
      <c r="H334" s="131"/>
      <c r="I334" s="131"/>
      <c r="J334" s="131"/>
      <c r="K334" s="131"/>
      <c r="L334" s="131"/>
      <c r="T334" s="237"/>
      <c r="U334" s="237"/>
      <c r="V334" s="237"/>
      <c r="W334" s="237"/>
      <c r="X334" s="237"/>
      <c r="Y334" s="237"/>
      <c r="Z334" s="237"/>
      <c r="AH334" s="237"/>
      <c r="AI334" s="237"/>
      <c r="AJ334" s="237"/>
      <c r="AK334" s="237"/>
      <c r="AL334" s="237"/>
      <c r="AM334" s="237"/>
      <c r="AN334" s="237"/>
      <c r="AV334" s="237"/>
      <c r="AW334" s="237"/>
      <c r="AX334" s="237"/>
      <c r="AY334" s="237"/>
      <c r="AZ334" s="237"/>
      <c r="BA334" s="237"/>
      <c r="BB334" s="237"/>
    </row>
    <row r="335">
      <c r="E335" s="133"/>
      <c r="F335" s="237"/>
      <c r="G335" s="237"/>
      <c r="H335" s="131"/>
      <c r="I335" s="131"/>
      <c r="J335" s="131"/>
      <c r="K335" s="131"/>
      <c r="L335" s="131"/>
      <c r="T335" s="237"/>
      <c r="U335" s="237"/>
      <c r="V335" s="237"/>
      <c r="W335" s="237"/>
      <c r="X335" s="237"/>
      <c r="Y335" s="237"/>
      <c r="Z335" s="237"/>
      <c r="AH335" s="237"/>
      <c r="AI335" s="237"/>
      <c r="AJ335" s="237"/>
      <c r="AK335" s="237"/>
      <c r="AL335" s="237"/>
      <c r="AM335" s="237"/>
      <c r="AN335" s="237"/>
      <c r="AV335" s="237"/>
      <c r="AW335" s="237"/>
      <c r="AX335" s="237"/>
      <c r="AY335" s="237"/>
      <c r="AZ335" s="237"/>
      <c r="BA335" s="237"/>
      <c r="BB335" s="237"/>
    </row>
    <row r="336">
      <c r="E336" s="133"/>
      <c r="F336" s="237"/>
      <c r="G336" s="237"/>
      <c r="H336" s="131"/>
      <c r="I336" s="131"/>
      <c r="J336" s="131"/>
      <c r="K336" s="131"/>
      <c r="L336" s="131"/>
      <c r="T336" s="237"/>
      <c r="U336" s="237"/>
      <c r="V336" s="237"/>
      <c r="W336" s="237"/>
      <c r="X336" s="237"/>
      <c r="Y336" s="237"/>
      <c r="Z336" s="237"/>
      <c r="AH336" s="237"/>
      <c r="AI336" s="237"/>
      <c r="AJ336" s="237"/>
      <c r="AK336" s="237"/>
      <c r="AL336" s="237"/>
      <c r="AM336" s="237"/>
      <c r="AN336" s="237"/>
      <c r="AV336" s="237"/>
      <c r="AW336" s="237"/>
      <c r="AX336" s="237"/>
      <c r="AY336" s="237"/>
      <c r="AZ336" s="237"/>
      <c r="BA336" s="237"/>
      <c r="BB336" s="237"/>
    </row>
    <row r="337">
      <c r="E337" s="133"/>
      <c r="F337" s="237"/>
      <c r="G337" s="237"/>
      <c r="H337" s="131"/>
      <c r="I337" s="131"/>
      <c r="J337" s="131"/>
      <c r="K337" s="131"/>
      <c r="L337" s="131"/>
      <c r="T337" s="237"/>
      <c r="U337" s="237"/>
      <c r="V337" s="237"/>
      <c r="W337" s="237"/>
      <c r="X337" s="237"/>
      <c r="Y337" s="237"/>
      <c r="Z337" s="237"/>
      <c r="AH337" s="237"/>
      <c r="AI337" s="237"/>
      <c r="AJ337" s="237"/>
      <c r="AK337" s="237"/>
      <c r="AL337" s="237"/>
      <c r="AM337" s="237"/>
      <c r="AN337" s="237"/>
      <c r="AV337" s="237"/>
      <c r="AW337" s="237"/>
      <c r="AX337" s="237"/>
      <c r="AY337" s="237"/>
      <c r="AZ337" s="237"/>
      <c r="BA337" s="237"/>
      <c r="BB337" s="237"/>
    </row>
    <row r="338">
      <c r="E338" s="133"/>
      <c r="F338" s="237"/>
      <c r="G338" s="237"/>
      <c r="H338" s="131"/>
      <c r="I338" s="131"/>
      <c r="J338" s="131"/>
      <c r="K338" s="131"/>
      <c r="L338" s="131"/>
      <c r="T338" s="237"/>
      <c r="U338" s="237"/>
      <c r="V338" s="237"/>
      <c r="W338" s="237"/>
      <c r="X338" s="237"/>
      <c r="Y338" s="237"/>
      <c r="Z338" s="237"/>
      <c r="AH338" s="237"/>
      <c r="AI338" s="237"/>
      <c r="AJ338" s="237"/>
      <c r="AK338" s="237"/>
      <c r="AL338" s="237"/>
      <c r="AM338" s="237"/>
      <c r="AN338" s="237"/>
      <c r="AV338" s="237"/>
      <c r="AW338" s="237"/>
      <c r="AX338" s="237"/>
      <c r="AY338" s="237"/>
      <c r="AZ338" s="237"/>
      <c r="BA338" s="237"/>
      <c r="BB338" s="237"/>
    </row>
    <row r="339">
      <c r="E339" s="133"/>
      <c r="F339" s="237"/>
      <c r="G339" s="237"/>
      <c r="H339" s="131"/>
      <c r="I339" s="131"/>
      <c r="J339" s="131"/>
      <c r="K339" s="131"/>
      <c r="L339" s="131"/>
      <c r="T339" s="237"/>
      <c r="U339" s="237"/>
      <c r="V339" s="237"/>
      <c r="W339" s="237"/>
      <c r="X339" s="237"/>
      <c r="Y339" s="237"/>
      <c r="Z339" s="237"/>
      <c r="AH339" s="237"/>
      <c r="AI339" s="237"/>
      <c r="AJ339" s="237"/>
      <c r="AK339" s="237"/>
      <c r="AL339" s="237"/>
      <c r="AM339" s="237"/>
      <c r="AN339" s="237"/>
      <c r="AV339" s="237"/>
      <c r="AW339" s="237"/>
      <c r="AX339" s="237"/>
      <c r="AY339" s="237"/>
      <c r="AZ339" s="237"/>
      <c r="BA339" s="237"/>
      <c r="BB339" s="237"/>
    </row>
    <row r="340">
      <c r="E340" s="133"/>
      <c r="F340" s="237"/>
      <c r="G340" s="237"/>
      <c r="H340" s="131"/>
      <c r="I340" s="131"/>
      <c r="J340" s="131"/>
      <c r="K340" s="131"/>
      <c r="L340" s="131"/>
      <c r="T340" s="237"/>
      <c r="U340" s="237"/>
      <c r="V340" s="237"/>
      <c r="W340" s="237"/>
      <c r="X340" s="237"/>
      <c r="Y340" s="237"/>
      <c r="Z340" s="237"/>
      <c r="AH340" s="237"/>
      <c r="AI340" s="237"/>
      <c r="AJ340" s="237"/>
      <c r="AK340" s="237"/>
      <c r="AL340" s="237"/>
      <c r="AM340" s="237"/>
      <c r="AN340" s="237"/>
      <c r="AV340" s="237"/>
      <c r="AW340" s="237"/>
      <c r="AX340" s="237"/>
      <c r="AY340" s="237"/>
      <c r="AZ340" s="237"/>
      <c r="BA340" s="237"/>
      <c r="BB340" s="237"/>
    </row>
    <row r="341">
      <c r="E341" s="133"/>
      <c r="F341" s="237"/>
      <c r="G341" s="237"/>
      <c r="H341" s="131"/>
      <c r="I341" s="131"/>
      <c r="J341" s="131"/>
      <c r="K341" s="131"/>
      <c r="L341" s="131"/>
      <c r="T341" s="237"/>
      <c r="U341" s="237"/>
      <c r="V341" s="237"/>
      <c r="W341" s="237"/>
      <c r="X341" s="237"/>
      <c r="Y341" s="237"/>
      <c r="Z341" s="237"/>
      <c r="AH341" s="237"/>
      <c r="AI341" s="237"/>
      <c r="AJ341" s="237"/>
      <c r="AK341" s="237"/>
      <c r="AL341" s="237"/>
      <c r="AM341" s="237"/>
      <c r="AN341" s="237"/>
      <c r="AV341" s="237"/>
      <c r="AW341" s="237"/>
      <c r="AX341" s="237"/>
      <c r="AY341" s="237"/>
      <c r="AZ341" s="237"/>
      <c r="BA341" s="237"/>
      <c r="BB341" s="237"/>
    </row>
    <row r="342">
      <c r="E342" s="133"/>
      <c r="F342" s="237"/>
      <c r="G342" s="237"/>
      <c r="H342" s="131"/>
      <c r="I342" s="131"/>
      <c r="J342" s="131"/>
      <c r="K342" s="131"/>
      <c r="L342" s="131"/>
      <c r="T342" s="237"/>
      <c r="U342" s="237"/>
      <c r="V342" s="237"/>
      <c r="W342" s="237"/>
      <c r="X342" s="237"/>
      <c r="Y342" s="237"/>
      <c r="Z342" s="237"/>
      <c r="AH342" s="237"/>
      <c r="AI342" s="237"/>
      <c r="AJ342" s="237"/>
      <c r="AK342" s="237"/>
      <c r="AL342" s="237"/>
      <c r="AM342" s="237"/>
      <c r="AN342" s="237"/>
      <c r="AV342" s="237"/>
      <c r="AW342" s="237"/>
      <c r="AX342" s="237"/>
      <c r="AY342" s="237"/>
      <c r="AZ342" s="237"/>
      <c r="BA342" s="237"/>
      <c r="BB342" s="237"/>
    </row>
    <row r="343">
      <c r="E343" s="133"/>
      <c r="F343" s="237"/>
      <c r="G343" s="237"/>
      <c r="H343" s="131"/>
      <c r="I343" s="131"/>
      <c r="J343" s="131"/>
      <c r="K343" s="131"/>
      <c r="L343" s="131"/>
      <c r="T343" s="237"/>
      <c r="U343" s="237"/>
      <c r="V343" s="237"/>
      <c r="W343" s="237"/>
      <c r="X343" s="237"/>
      <c r="Y343" s="237"/>
      <c r="Z343" s="237"/>
      <c r="AH343" s="237"/>
      <c r="AI343" s="237"/>
      <c r="AJ343" s="237"/>
      <c r="AK343" s="237"/>
      <c r="AL343" s="237"/>
      <c r="AM343" s="237"/>
      <c r="AN343" s="237"/>
      <c r="AV343" s="237"/>
      <c r="AW343" s="237"/>
      <c r="AX343" s="237"/>
      <c r="AY343" s="237"/>
      <c r="AZ343" s="237"/>
      <c r="BA343" s="237"/>
      <c r="BB343" s="237"/>
    </row>
    <row r="344">
      <c r="E344" s="133"/>
      <c r="F344" s="237"/>
      <c r="G344" s="237"/>
      <c r="H344" s="131"/>
      <c r="I344" s="131"/>
      <c r="J344" s="131"/>
      <c r="K344" s="131"/>
      <c r="L344" s="131"/>
      <c r="T344" s="237"/>
      <c r="U344" s="237"/>
      <c r="V344" s="237"/>
      <c r="W344" s="237"/>
      <c r="X344" s="237"/>
      <c r="Y344" s="237"/>
      <c r="Z344" s="237"/>
      <c r="AH344" s="237"/>
      <c r="AI344" s="237"/>
      <c r="AJ344" s="237"/>
      <c r="AK344" s="237"/>
      <c r="AL344" s="237"/>
      <c r="AM344" s="237"/>
      <c r="AN344" s="237"/>
      <c r="AV344" s="237"/>
      <c r="AW344" s="237"/>
      <c r="AX344" s="237"/>
      <c r="AY344" s="237"/>
      <c r="AZ344" s="237"/>
      <c r="BA344" s="237"/>
      <c r="BB344" s="237"/>
    </row>
    <row r="345">
      <c r="E345" s="133"/>
      <c r="F345" s="237"/>
      <c r="G345" s="237"/>
      <c r="H345" s="131"/>
      <c r="I345" s="131"/>
      <c r="J345" s="131"/>
      <c r="K345" s="131"/>
      <c r="L345" s="131"/>
      <c r="T345" s="237"/>
      <c r="U345" s="237"/>
      <c r="V345" s="237"/>
      <c r="W345" s="237"/>
      <c r="X345" s="237"/>
      <c r="Y345" s="237"/>
      <c r="Z345" s="237"/>
      <c r="AH345" s="237"/>
      <c r="AI345" s="237"/>
      <c r="AJ345" s="237"/>
      <c r="AK345" s="237"/>
      <c r="AL345" s="237"/>
      <c r="AM345" s="237"/>
      <c r="AN345" s="237"/>
      <c r="AV345" s="237"/>
      <c r="AW345" s="237"/>
      <c r="AX345" s="237"/>
      <c r="AY345" s="237"/>
      <c r="AZ345" s="237"/>
      <c r="BA345" s="237"/>
      <c r="BB345" s="237"/>
    </row>
    <row r="346">
      <c r="E346" s="133"/>
      <c r="F346" s="237"/>
      <c r="G346" s="237"/>
      <c r="H346" s="131"/>
      <c r="I346" s="131"/>
      <c r="J346" s="131"/>
      <c r="K346" s="131"/>
      <c r="L346" s="131"/>
      <c r="T346" s="237"/>
      <c r="U346" s="237"/>
      <c r="V346" s="237"/>
      <c r="W346" s="237"/>
      <c r="X346" s="237"/>
      <c r="Y346" s="237"/>
      <c r="Z346" s="237"/>
      <c r="AH346" s="237"/>
      <c r="AI346" s="237"/>
      <c r="AJ346" s="237"/>
      <c r="AK346" s="237"/>
      <c r="AL346" s="237"/>
      <c r="AM346" s="237"/>
      <c r="AN346" s="237"/>
      <c r="AV346" s="237"/>
      <c r="AW346" s="237"/>
      <c r="AX346" s="237"/>
      <c r="AY346" s="237"/>
      <c r="AZ346" s="237"/>
      <c r="BA346" s="237"/>
      <c r="BB346" s="237"/>
    </row>
    <row r="347">
      <c r="E347" s="133"/>
      <c r="F347" s="237"/>
      <c r="G347" s="237"/>
      <c r="H347" s="131"/>
      <c r="I347" s="131"/>
      <c r="J347" s="131"/>
      <c r="K347" s="131"/>
      <c r="L347" s="131"/>
      <c r="T347" s="237"/>
      <c r="U347" s="237"/>
      <c r="V347" s="237"/>
      <c r="W347" s="237"/>
      <c r="X347" s="237"/>
      <c r="Y347" s="237"/>
      <c r="Z347" s="237"/>
      <c r="AH347" s="237"/>
      <c r="AI347" s="237"/>
      <c r="AJ347" s="237"/>
      <c r="AK347" s="237"/>
      <c r="AL347" s="237"/>
      <c r="AM347" s="237"/>
      <c r="AN347" s="237"/>
      <c r="AV347" s="237"/>
      <c r="AW347" s="237"/>
      <c r="AX347" s="237"/>
      <c r="AY347" s="237"/>
      <c r="AZ347" s="237"/>
      <c r="BA347" s="237"/>
      <c r="BB347" s="237"/>
    </row>
    <row r="348">
      <c r="E348" s="133"/>
      <c r="F348" s="237"/>
      <c r="G348" s="237"/>
      <c r="H348" s="131"/>
      <c r="I348" s="131"/>
      <c r="J348" s="131"/>
      <c r="K348" s="131"/>
      <c r="L348" s="131"/>
      <c r="T348" s="237"/>
      <c r="U348" s="237"/>
      <c r="V348" s="237"/>
      <c r="W348" s="237"/>
      <c r="X348" s="237"/>
      <c r="Y348" s="237"/>
      <c r="Z348" s="237"/>
      <c r="AH348" s="237"/>
      <c r="AI348" s="237"/>
      <c r="AJ348" s="237"/>
      <c r="AK348" s="237"/>
      <c r="AL348" s="237"/>
      <c r="AM348" s="237"/>
      <c r="AN348" s="237"/>
      <c r="AV348" s="237"/>
      <c r="AW348" s="237"/>
      <c r="AX348" s="237"/>
      <c r="AY348" s="237"/>
      <c r="AZ348" s="237"/>
      <c r="BA348" s="237"/>
      <c r="BB348" s="237"/>
    </row>
    <row r="349">
      <c r="E349" s="133"/>
      <c r="F349" s="237"/>
      <c r="G349" s="237"/>
      <c r="H349" s="131"/>
      <c r="I349" s="131"/>
      <c r="J349" s="131"/>
      <c r="K349" s="131"/>
      <c r="L349" s="131"/>
      <c r="T349" s="237"/>
      <c r="U349" s="237"/>
      <c r="V349" s="237"/>
      <c r="W349" s="237"/>
      <c r="X349" s="237"/>
      <c r="Y349" s="237"/>
      <c r="Z349" s="237"/>
      <c r="AH349" s="237"/>
      <c r="AI349" s="237"/>
      <c r="AJ349" s="237"/>
      <c r="AK349" s="237"/>
      <c r="AL349" s="237"/>
      <c r="AM349" s="237"/>
      <c r="AN349" s="237"/>
      <c r="AV349" s="237"/>
      <c r="AW349" s="237"/>
      <c r="AX349" s="237"/>
      <c r="AY349" s="237"/>
      <c r="AZ349" s="237"/>
      <c r="BA349" s="237"/>
      <c r="BB349" s="237"/>
    </row>
    <row r="350">
      <c r="E350" s="133"/>
      <c r="F350" s="237"/>
      <c r="G350" s="237"/>
      <c r="H350" s="131"/>
      <c r="I350" s="131"/>
      <c r="J350" s="131"/>
      <c r="K350" s="131"/>
      <c r="L350" s="131"/>
      <c r="T350" s="237"/>
      <c r="U350" s="237"/>
      <c r="V350" s="237"/>
      <c r="W350" s="237"/>
      <c r="X350" s="237"/>
      <c r="Y350" s="237"/>
      <c r="Z350" s="237"/>
      <c r="AH350" s="237"/>
      <c r="AI350" s="237"/>
      <c r="AJ350" s="237"/>
      <c r="AK350" s="237"/>
      <c r="AL350" s="237"/>
      <c r="AM350" s="237"/>
      <c r="AN350" s="237"/>
      <c r="AV350" s="237"/>
      <c r="AW350" s="237"/>
      <c r="AX350" s="237"/>
      <c r="AY350" s="237"/>
      <c r="AZ350" s="237"/>
      <c r="BA350" s="237"/>
      <c r="BB350" s="237"/>
    </row>
    <row r="351">
      <c r="E351" s="133"/>
      <c r="F351" s="237"/>
      <c r="G351" s="237"/>
      <c r="H351" s="131"/>
      <c r="I351" s="131"/>
      <c r="J351" s="131"/>
      <c r="K351" s="131"/>
      <c r="L351" s="131"/>
      <c r="T351" s="237"/>
      <c r="U351" s="237"/>
      <c r="V351" s="237"/>
      <c r="W351" s="237"/>
      <c r="X351" s="237"/>
      <c r="Y351" s="237"/>
      <c r="Z351" s="237"/>
      <c r="AH351" s="237"/>
      <c r="AI351" s="237"/>
      <c r="AJ351" s="237"/>
      <c r="AK351" s="237"/>
      <c r="AL351" s="237"/>
      <c r="AM351" s="237"/>
      <c r="AN351" s="237"/>
      <c r="AV351" s="237"/>
      <c r="AW351" s="237"/>
      <c r="AX351" s="237"/>
      <c r="AY351" s="237"/>
      <c r="AZ351" s="237"/>
      <c r="BA351" s="237"/>
      <c r="BB351" s="237"/>
    </row>
    <row r="352">
      <c r="E352" s="133"/>
      <c r="F352" s="237"/>
      <c r="G352" s="237"/>
      <c r="H352" s="131"/>
      <c r="I352" s="131"/>
      <c r="J352" s="131"/>
      <c r="K352" s="131"/>
      <c r="L352" s="131"/>
      <c r="T352" s="237"/>
      <c r="U352" s="237"/>
      <c r="V352" s="237"/>
      <c r="W352" s="237"/>
      <c r="X352" s="237"/>
      <c r="Y352" s="237"/>
      <c r="Z352" s="237"/>
      <c r="AH352" s="237"/>
      <c r="AI352" s="237"/>
      <c r="AJ352" s="237"/>
      <c r="AK352" s="237"/>
      <c r="AL352" s="237"/>
      <c r="AM352" s="237"/>
      <c r="AN352" s="237"/>
      <c r="AV352" s="237"/>
      <c r="AW352" s="237"/>
      <c r="AX352" s="237"/>
      <c r="AY352" s="237"/>
      <c r="AZ352" s="237"/>
      <c r="BA352" s="237"/>
      <c r="BB352" s="237"/>
    </row>
    <row r="353">
      <c r="E353" s="133"/>
      <c r="F353" s="237"/>
      <c r="G353" s="237"/>
      <c r="H353" s="131"/>
      <c r="I353" s="131"/>
      <c r="J353" s="131"/>
      <c r="K353" s="131"/>
      <c r="L353" s="131"/>
      <c r="T353" s="237"/>
      <c r="U353" s="237"/>
      <c r="V353" s="237"/>
      <c r="W353" s="237"/>
      <c r="X353" s="237"/>
      <c r="Y353" s="237"/>
      <c r="Z353" s="237"/>
      <c r="AH353" s="237"/>
      <c r="AI353" s="237"/>
      <c r="AJ353" s="237"/>
      <c r="AK353" s="237"/>
      <c r="AL353" s="237"/>
      <c r="AM353" s="237"/>
      <c r="AN353" s="237"/>
      <c r="AV353" s="237"/>
      <c r="AW353" s="237"/>
      <c r="AX353" s="237"/>
      <c r="AY353" s="237"/>
      <c r="AZ353" s="237"/>
      <c r="BA353" s="237"/>
      <c r="BB353" s="237"/>
    </row>
    <row r="354">
      <c r="E354" s="133"/>
      <c r="F354" s="237"/>
      <c r="G354" s="237"/>
      <c r="H354" s="131"/>
      <c r="I354" s="131"/>
      <c r="J354" s="131"/>
      <c r="K354" s="131"/>
      <c r="L354" s="131"/>
      <c r="T354" s="237"/>
      <c r="U354" s="237"/>
      <c r="V354" s="237"/>
      <c r="W354" s="237"/>
      <c r="X354" s="237"/>
      <c r="Y354" s="237"/>
      <c r="Z354" s="237"/>
      <c r="AH354" s="237"/>
      <c r="AI354" s="237"/>
      <c r="AJ354" s="237"/>
      <c r="AK354" s="237"/>
      <c r="AL354" s="237"/>
      <c r="AM354" s="237"/>
      <c r="AN354" s="237"/>
      <c r="AV354" s="237"/>
      <c r="AW354" s="237"/>
      <c r="AX354" s="237"/>
      <c r="AY354" s="237"/>
      <c r="AZ354" s="237"/>
      <c r="BA354" s="237"/>
      <c r="BB354" s="237"/>
    </row>
    <row r="355">
      <c r="E355" s="133"/>
      <c r="F355" s="237"/>
      <c r="G355" s="237"/>
      <c r="H355" s="131"/>
      <c r="I355" s="131"/>
      <c r="J355" s="131"/>
      <c r="K355" s="131"/>
      <c r="L355" s="131"/>
      <c r="T355" s="237"/>
      <c r="U355" s="237"/>
      <c r="V355" s="237"/>
      <c r="W355" s="237"/>
      <c r="X355" s="237"/>
      <c r="Y355" s="237"/>
      <c r="Z355" s="237"/>
      <c r="AH355" s="237"/>
      <c r="AI355" s="237"/>
      <c r="AJ355" s="237"/>
      <c r="AK355" s="237"/>
      <c r="AL355" s="237"/>
      <c r="AM355" s="237"/>
      <c r="AN355" s="237"/>
      <c r="AV355" s="237"/>
      <c r="AW355" s="237"/>
      <c r="AX355" s="237"/>
      <c r="AY355" s="237"/>
      <c r="AZ355" s="237"/>
      <c r="BA355" s="237"/>
      <c r="BB355" s="237"/>
    </row>
    <row r="356">
      <c r="E356" s="133"/>
      <c r="F356" s="237"/>
      <c r="G356" s="237"/>
      <c r="H356" s="131"/>
      <c r="I356" s="131"/>
      <c r="J356" s="131"/>
      <c r="K356" s="131"/>
      <c r="L356" s="131"/>
      <c r="T356" s="237"/>
      <c r="U356" s="237"/>
      <c r="V356" s="237"/>
      <c r="W356" s="237"/>
      <c r="X356" s="237"/>
      <c r="Y356" s="237"/>
      <c r="Z356" s="237"/>
      <c r="AH356" s="237"/>
      <c r="AI356" s="237"/>
      <c r="AJ356" s="237"/>
      <c r="AK356" s="237"/>
      <c r="AL356" s="237"/>
      <c r="AM356" s="237"/>
      <c r="AN356" s="237"/>
      <c r="AV356" s="237"/>
      <c r="AW356" s="237"/>
      <c r="AX356" s="237"/>
      <c r="AY356" s="237"/>
      <c r="AZ356" s="237"/>
      <c r="BA356" s="237"/>
      <c r="BB356" s="237"/>
    </row>
    <row r="357">
      <c r="E357" s="133"/>
      <c r="F357" s="237"/>
      <c r="G357" s="237"/>
      <c r="H357" s="131"/>
      <c r="I357" s="131"/>
      <c r="J357" s="131"/>
      <c r="K357" s="131"/>
      <c r="L357" s="131"/>
      <c r="T357" s="237"/>
      <c r="U357" s="237"/>
      <c r="V357" s="237"/>
      <c r="W357" s="237"/>
      <c r="X357" s="237"/>
      <c r="Y357" s="237"/>
      <c r="Z357" s="237"/>
      <c r="AH357" s="237"/>
      <c r="AI357" s="237"/>
      <c r="AJ357" s="237"/>
      <c r="AK357" s="237"/>
      <c r="AL357" s="237"/>
      <c r="AM357" s="237"/>
      <c r="AN357" s="237"/>
      <c r="AV357" s="237"/>
      <c r="AW357" s="237"/>
      <c r="AX357" s="237"/>
      <c r="AY357" s="237"/>
      <c r="AZ357" s="237"/>
      <c r="BA357" s="237"/>
      <c r="BB357" s="237"/>
    </row>
    <row r="358">
      <c r="E358" s="133"/>
      <c r="F358" s="237"/>
      <c r="G358" s="237"/>
      <c r="H358" s="131"/>
      <c r="I358" s="131"/>
      <c r="J358" s="131"/>
      <c r="K358" s="131"/>
      <c r="L358" s="131"/>
      <c r="T358" s="237"/>
      <c r="U358" s="237"/>
      <c r="V358" s="237"/>
      <c r="W358" s="237"/>
      <c r="X358" s="237"/>
      <c r="Y358" s="237"/>
      <c r="Z358" s="237"/>
      <c r="AH358" s="237"/>
      <c r="AI358" s="237"/>
      <c r="AJ358" s="237"/>
      <c r="AK358" s="237"/>
      <c r="AL358" s="237"/>
      <c r="AM358" s="237"/>
      <c r="AN358" s="237"/>
      <c r="AV358" s="237"/>
      <c r="AW358" s="237"/>
      <c r="AX358" s="237"/>
      <c r="AY358" s="237"/>
      <c r="AZ358" s="237"/>
      <c r="BA358" s="237"/>
      <c r="BB358" s="237"/>
    </row>
    <row r="359">
      <c r="E359" s="133"/>
      <c r="F359" s="237"/>
      <c r="G359" s="237"/>
      <c r="H359" s="131"/>
      <c r="I359" s="131"/>
      <c r="J359" s="131"/>
      <c r="K359" s="131"/>
      <c r="L359" s="131"/>
      <c r="T359" s="237"/>
      <c r="U359" s="237"/>
      <c r="V359" s="237"/>
      <c r="W359" s="237"/>
      <c r="X359" s="237"/>
      <c r="Y359" s="237"/>
      <c r="Z359" s="237"/>
      <c r="AH359" s="237"/>
      <c r="AI359" s="237"/>
      <c r="AJ359" s="237"/>
      <c r="AK359" s="237"/>
      <c r="AL359" s="237"/>
      <c r="AM359" s="237"/>
      <c r="AN359" s="237"/>
      <c r="AV359" s="237"/>
      <c r="AW359" s="237"/>
      <c r="AX359" s="237"/>
      <c r="AY359" s="237"/>
      <c r="AZ359" s="237"/>
      <c r="BA359" s="237"/>
      <c r="BB359" s="237"/>
    </row>
    <row r="360">
      <c r="E360" s="133"/>
      <c r="F360" s="237"/>
      <c r="G360" s="237"/>
      <c r="H360" s="131"/>
      <c r="I360" s="131"/>
      <c r="J360" s="131"/>
      <c r="K360" s="131"/>
      <c r="L360" s="131"/>
      <c r="T360" s="237"/>
      <c r="U360" s="237"/>
      <c r="V360" s="237"/>
      <c r="W360" s="237"/>
      <c r="X360" s="237"/>
      <c r="Y360" s="237"/>
      <c r="Z360" s="237"/>
      <c r="AH360" s="237"/>
      <c r="AI360" s="237"/>
      <c r="AJ360" s="237"/>
      <c r="AK360" s="237"/>
      <c r="AL360" s="237"/>
      <c r="AM360" s="237"/>
      <c r="AN360" s="237"/>
      <c r="AV360" s="237"/>
      <c r="AW360" s="237"/>
      <c r="AX360" s="237"/>
      <c r="AY360" s="237"/>
      <c r="AZ360" s="237"/>
      <c r="BA360" s="237"/>
      <c r="BB360" s="237"/>
    </row>
    <row r="361">
      <c r="E361" s="133"/>
      <c r="F361" s="237"/>
      <c r="G361" s="237"/>
      <c r="H361" s="131"/>
      <c r="I361" s="131"/>
      <c r="J361" s="131"/>
      <c r="K361" s="131"/>
      <c r="L361" s="131"/>
      <c r="T361" s="237"/>
      <c r="U361" s="237"/>
      <c r="V361" s="237"/>
      <c r="W361" s="237"/>
      <c r="X361" s="237"/>
      <c r="Y361" s="237"/>
      <c r="Z361" s="237"/>
      <c r="AH361" s="237"/>
      <c r="AI361" s="237"/>
      <c r="AJ361" s="237"/>
      <c r="AK361" s="237"/>
      <c r="AL361" s="237"/>
      <c r="AM361" s="237"/>
      <c r="AN361" s="237"/>
      <c r="AV361" s="237"/>
      <c r="AW361" s="237"/>
      <c r="AX361" s="237"/>
      <c r="AY361" s="237"/>
      <c r="AZ361" s="237"/>
      <c r="BA361" s="237"/>
      <c r="BB361" s="237"/>
    </row>
    <row r="362">
      <c r="E362" s="133"/>
      <c r="F362" s="237"/>
      <c r="G362" s="237"/>
      <c r="H362" s="131"/>
      <c r="I362" s="131"/>
      <c r="J362" s="131"/>
      <c r="K362" s="131"/>
      <c r="L362" s="131"/>
      <c r="T362" s="237"/>
      <c r="U362" s="237"/>
      <c r="V362" s="237"/>
      <c r="W362" s="237"/>
      <c r="X362" s="237"/>
      <c r="Y362" s="237"/>
      <c r="Z362" s="237"/>
      <c r="AH362" s="237"/>
      <c r="AI362" s="237"/>
      <c r="AJ362" s="237"/>
      <c r="AK362" s="237"/>
      <c r="AL362" s="237"/>
      <c r="AM362" s="237"/>
      <c r="AN362" s="237"/>
      <c r="AV362" s="237"/>
      <c r="AW362" s="237"/>
      <c r="AX362" s="237"/>
      <c r="AY362" s="237"/>
      <c r="AZ362" s="237"/>
      <c r="BA362" s="237"/>
      <c r="BB362" s="237"/>
    </row>
    <row r="363">
      <c r="E363" s="133"/>
      <c r="F363" s="237"/>
      <c r="G363" s="237"/>
      <c r="H363" s="131"/>
      <c r="I363" s="131"/>
      <c r="J363" s="131"/>
      <c r="K363" s="131"/>
      <c r="L363" s="131"/>
      <c r="T363" s="237"/>
      <c r="U363" s="237"/>
      <c r="V363" s="237"/>
      <c r="W363" s="237"/>
      <c r="X363" s="237"/>
      <c r="Y363" s="237"/>
      <c r="Z363" s="237"/>
      <c r="AH363" s="237"/>
      <c r="AI363" s="237"/>
      <c r="AJ363" s="237"/>
      <c r="AK363" s="237"/>
      <c r="AL363" s="237"/>
      <c r="AM363" s="237"/>
      <c r="AN363" s="237"/>
      <c r="AV363" s="237"/>
      <c r="AW363" s="237"/>
      <c r="AX363" s="237"/>
      <c r="AY363" s="237"/>
      <c r="AZ363" s="237"/>
      <c r="BA363" s="237"/>
      <c r="BB363" s="237"/>
    </row>
    <row r="364">
      <c r="E364" s="133"/>
      <c r="F364" s="237"/>
      <c r="G364" s="237"/>
      <c r="H364" s="131"/>
      <c r="I364" s="131"/>
      <c r="J364" s="131"/>
      <c r="K364" s="131"/>
      <c r="L364" s="131"/>
      <c r="T364" s="237"/>
      <c r="U364" s="237"/>
      <c r="V364" s="237"/>
      <c r="W364" s="237"/>
      <c r="X364" s="237"/>
      <c r="Y364" s="237"/>
      <c r="Z364" s="237"/>
      <c r="AH364" s="237"/>
      <c r="AI364" s="237"/>
      <c r="AJ364" s="237"/>
      <c r="AK364" s="237"/>
      <c r="AL364" s="237"/>
      <c r="AM364" s="237"/>
      <c r="AN364" s="237"/>
      <c r="AV364" s="237"/>
      <c r="AW364" s="237"/>
      <c r="AX364" s="237"/>
      <c r="AY364" s="237"/>
      <c r="AZ364" s="237"/>
      <c r="BA364" s="237"/>
      <c r="BB364" s="237"/>
    </row>
    <row r="365">
      <c r="E365" s="133"/>
      <c r="F365" s="237"/>
      <c r="G365" s="237"/>
      <c r="H365" s="131"/>
      <c r="I365" s="131"/>
      <c r="J365" s="131"/>
      <c r="K365" s="131"/>
      <c r="L365" s="131"/>
      <c r="T365" s="237"/>
      <c r="U365" s="237"/>
      <c r="V365" s="237"/>
      <c r="W365" s="237"/>
      <c r="X365" s="237"/>
      <c r="Y365" s="237"/>
      <c r="Z365" s="237"/>
      <c r="AH365" s="237"/>
      <c r="AI365" s="237"/>
      <c r="AJ365" s="237"/>
      <c r="AK365" s="237"/>
      <c r="AL365" s="237"/>
      <c r="AM365" s="237"/>
      <c r="AN365" s="237"/>
      <c r="AV365" s="237"/>
      <c r="AW365" s="237"/>
      <c r="AX365" s="237"/>
      <c r="AY365" s="237"/>
      <c r="AZ365" s="237"/>
      <c r="BA365" s="237"/>
      <c r="BB365" s="237"/>
    </row>
    <row r="366">
      <c r="E366" s="133"/>
      <c r="F366" s="237"/>
      <c r="G366" s="237"/>
      <c r="H366" s="131"/>
      <c r="I366" s="131"/>
      <c r="J366" s="131"/>
      <c r="K366" s="131"/>
      <c r="L366" s="131"/>
      <c r="T366" s="237"/>
      <c r="U366" s="237"/>
      <c r="V366" s="237"/>
      <c r="W366" s="237"/>
      <c r="X366" s="237"/>
      <c r="Y366" s="237"/>
      <c r="Z366" s="237"/>
      <c r="AH366" s="237"/>
      <c r="AI366" s="237"/>
      <c r="AJ366" s="237"/>
      <c r="AK366" s="237"/>
      <c r="AL366" s="237"/>
      <c r="AM366" s="237"/>
      <c r="AN366" s="237"/>
      <c r="AV366" s="237"/>
      <c r="AW366" s="237"/>
      <c r="AX366" s="237"/>
      <c r="AY366" s="237"/>
      <c r="AZ366" s="237"/>
      <c r="BA366" s="237"/>
      <c r="BB366" s="237"/>
    </row>
    <row r="367">
      <c r="E367" s="133"/>
      <c r="F367" s="237"/>
      <c r="G367" s="237"/>
      <c r="H367" s="131"/>
      <c r="I367" s="131"/>
      <c r="J367" s="131"/>
      <c r="K367" s="131"/>
      <c r="L367" s="131"/>
      <c r="T367" s="237"/>
      <c r="U367" s="237"/>
      <c r="V367" s="237"/>
      <c r="W367" s="237"/>
      <c r="X367" s="237"/>
      <c r="Y367" s="237"/>
      <c r="Z367" s="237"/>
      <c r="AH367" s="237"/>
      <c r="AI367" s="237"/>
      <c r="AJ367" s="237"/>
      <c r="AK367" s="237"/>
      <c r="AL367" s="237"/>
      <c r="AM367" s="237"/>
      <c r="AN367" s="237"/>
      <c r="AV367" s="237"/>
      <c r="AW367" s="237"/>
      <c r="AX367" s="237"/>
      <c r="AY367" s="237"/>
      <c r="AZ367" s="237"/>
      <c r="BA367" s="237"/>
      <c r="BB367" s="237"/>
    </row>
    <row r="368">
      <c r="E368" s="133"/>
      <c r="F368" s="237"/>
      <c r="G368" s="237"/>
      <c r="H368" s="131"/>
      <c r="I368" s="131"/>
      <c r="J368" s="131"/>
      <c r="K368" s="131"/>
      <c r="L368" s="131"/>
      <c r="T368" s="237"/>
      <c r="U368" s="237"/>
      <c r="V368" s="237"/>
      <c r="W368" s="237"/>
      <c r="X368" s="237"/>
      <c r="Y368" s="237"/>
      <c r="Z368" s="237"/>
      <c r="AH368" s="237"/>
      <c r="AI368" s="237"/>
      <c r="AJ368" s="237"/>
      <c r="AK368" s="237"/>
      <c r="AL368" s="237"/>
      <c r="AM368" s="237"/>
      <c r="AN368" s="237"/>
      <c r="AV368" s="237"/>
      <c r="AW368" s="237"/>
      <c r="AX368" s="237"/>
      <c r="AY368" s="237"/>
      <c r="AZ368" s="237"/>
      <c r="BA368" s="237"/>
      <c r="BB368" s="237"/>
    </row>
    <row r="369">
      <c r="E369" s="133"/>
      <c r="F369" s="237"/>
      <c r="G369" s="237"/>
      <c r="H369" s="131"/>
      <c r="I369" s="131"/>
      <c r="J369" s="131"/>
      <c r="K369" s="131"/>
      <c r="L369" s="131"/>
      <c r="T369" s="237"/>
      <c r="U369" s="237"/>
      <c r="V369" s="237"/>
      <c r="W369" s="237"/>
      <c r="X369" s="237"/>
      <c r="Y369" s="237"/>
      <c r="Z369" s="237"/>
      <c r="AH369" s="237"/>
      <c r="AI369" s="237"/>
      <c r="AJ369" s="237"/>
      <c r="AK369" s="237"/>
      <c r="AL369" s="237"/>
      <c r="AM369" s="237"/>
      <c r="AN369" s="237"/>
      <c r="AV369" s="237"/>
      <c r="AW369" s="237"/>
      <c r="AX369" s="237"/>
      <c r="AY369" s="237"/>
      <c r="AZ369" s="237"/>
      <c r="BA369" s="237"/>
      <c r="BB369" s="237"/>
    </row>
    <row r="370">
      <c r="E370" s="133"/>
      <c r="F370" s="237"/>
      <c r="G370" s="237"/>
      <c r="H370" s="131"/>
      <c r="I370" s="131"/>
      <c r="J370" s="131"/>
      <c r="K370" s="131"/>
      <c r="L370" s="131"/>
      <c r="T370" s="237"/>
      <c r="U370" s="237"/>
      <c r="V370" s="237"/>
      <c r="W370" s="237"/>
      <c r="X370" s="237"/>
      <c r="Y370" s="237"/>
      <c r="Z370" s="237"/>
      <c r="AH370" s="237"/>
      <c r="AI370" s="237"/>
      <c r="AJ370" s="237"/>
      <c r="AK370" s="237"/>
      <c r="AL370" s="237"/>
      <c r="AM370" s="237"/>
      <c r="AN370" s="237"/>
      <c r="AV370" s="237"/>
      <c r="AW370" s="237"/>
      <c r="AX370" s="237"/>
      <c r="AY370" s="237"/>
      <c r="AZ370" s="237"/>
      <c r="BA370" s="237"/>
      <c r="BB370" s="237"/>
    </row>
    <row r="371">
      <c r="E371" s="133"/>
      <c r="F371" s="237"/>
      <c r="G371" s="237"/>
      <c r="H371" s="131"/>
      <c r="I371" s="131"/>
      <c r="J371" s="131"/>
      <c r="K371" s="131"/>
      <c r="L371" s="131"/>
      <c r="T371" s="237"/>
      <c r="U371" s="237"/>
      <c r="V371" s="237"/>
      <c r="W371" s="237"/>
      <c r="X371" s="237"/>
      <c r="Y371" s="237"/>
      <c r="Z371" s="237"/>
      <c r="AH371" s="237"/>
      <c r="AI371" s="237"/>
      <c r="AJ371" s="237"/>
      <c r="AK371" s="237"/>
      <c r="AL371" s="237"/>
      <c r="AM371" s="237"/>
      <c r="AN371" s="237"/>
      <c r="AV371" s="237"/>
      <c r="AW371" s="237"/>
      <c r="AX371" s="237"/>
      <c r="AY371" s="237"/>
      <c r="AZ371" s="237"/>
      <c r="BA371" s="237"/>
      <c r="BB371" s="237"/>
    </row>
    <row r="372">
      <c r="E372" s="133"/>
      <c r="F372" s="237"/>
      <c r="G372" s="237"/>
      <c r="H372" s="131"/>
      <c r="I372" s="131"/>
      <c r="J372" s="131"/>
      <c r="K372" s="131"/>
      <c r="L372" s="131"/>
      <c r="T372" s="237"/>
      <c r="U372" s="237"/>
      <c r="V372" s="237"/>
      <c r="W372" s="237"/>
      <c r="X372" s="237"/>
      <c r="Y372" s="237"/>
      <c r="Z372" s="237"/>
      <c r="AH372" s="237"/>
      <c r="AI372" s="237"/>
      <c r="AJ372" s="237"/>
      <c r="AK372" s="237"/>
      <c r="AL372" s="237"/>
      <c r="AM372" s="237"/>
      <c r="AN372" s="237"/>
      <c r="AV372" s="237"/>
      <c r="AW372" s="237"/>
      <c r="AX372" s="237"/>
      <c r="AY372" s="237"/>
      <c r="AZ372" s="237"/>
      <c r="BA372" s="237"/>
      <c r="BB372" s="237"/>
    </row>
    <row r="373">
      <c r="E373" s="133"/>
      <c r="F373" s="237"/>
      <c r="G373" s="237"/>
      <c r="H373" s="131"/>
      <c r="I373" s="131"/>
      <c r="J373" s="131"/>
      <c r="K373" s="131"/>
      <c r="L373" s="131"/>
      <c r="T373" s="237"/>
      <c r="U373" s="237"/>
      <c r="V373" s="237"/>
      <c r="W373" s="237"/>
      <c r="X373" s="237"/>
      <c r="Y373" s="237"/>
      <c r="Z373" s="237"/>
      <c r="AH373" s="237"/>
      <c r="AI373" s="237"/>
      <c r="AJ373" s="237"/>
      <c r="AK373" s="237"/>
      <c r="AL373" s="237"/>
      <c r="AM373" s="237"/>
      <c r="AN373" s="237"/>
      <c r="AV373" s="237"/>
      <c r="AW373" s="237"/>
      <c r="AX373" s="237"/>
      <c r="AY373" s="237"/>
      <c r="AZ373" s="237"/>
      <c r="BA373" s="237"/>
      <c r="BB373" s="237"/>
    </row>
    <row r="374">
      <c r="E374" s="133"/>
      <c r="F374" s="237"/>
      <c r="G374" s="237"/>
      <c r="H374" s="131"/>
      <c r="I374" s="131"/>
      <c r="J374" s="131"/>
      <c r="K374" s="131"/>
      <c r="L374" s="131"/>
      <c r="T374" s="237"/>
      <c r="U374" s="237"/>
      <c r="V374" s="237"/>
      <c r="W374" s="237"/>
      <c r="X374" s="237"/>
      <c r="Y374" s="237"/>
      <c r="Z374" s="237"/>
      <c r="AH374" s="237"/>
      <c r="AI374" s="237"/>
      <c r="AJ374" s="237"/>
      <c r="AK374" s="237"/>
      <c r="AL374" s="237"/>
      <c r="AM374" s="237"/>
      <c r="AN374" s="237"/>
      <c r="AV374" s="237"/>
      <c r="AW374" s="237"/>
      <c r="AX374" s="237"/>
      <c r="AY374" s="237"/>
      <c r="AZ374" s="237"/>
      <c r="BA374" s="237"/>
      <c r="BB374" s="237"/>
    </row>
    <row r="375">
      <c r="E375" s="133"/>
      <c r="F375" s="237"/>
      <c r="G375" s="237"/>
      <c r="H375" s="131"/>
      <c r="I375" s="131"/>
      <c r="J375" s="131"/>
      <c r="K375" s="131"/>
      <c r="L375" s="131"/>
      <c r="T375" s="237"/>
      <c r="U375" s="237"/>
      <c r="V375" s="237"/>
      <c r="W375" s="237"/>
      <c r="X375" s="237"/>
      <c r="Y375" s="237"/>
      <c r="Z375" s="237"/>
      <c r="AH375" s="237"/>
      <c r="AI375" s="237"/>
      <c r="AJ375" s="237"/>
      <c r="AK375" s="237"/>
      <c r="AL375" s="237"/>
      <c r="AM375" s="237"/>
      <c r="AN375" s="237"/>
      <c r="AV375" s="237"/>
      <c r="AW375" s="237"/>
      <c r="AX375" s="237"/>
      <c r="AY375" s="237"/>
      <c r="AZ375" s="237"/>
      <c r="BA375" s="237"/>
      <c r="BB375" s="237"/>
    </row>
    <row r="376">
      <c r="E376" s="133"/>
      <c r="F376" s="237"/>
      <c r="G376" s="237"/>
      <c r="H376" s="131"/>
      <c r="I376" s="131"/>
      <c r="J376" s="131"/>
      <c r="K376" s="131"/>
      <c r="L376" s="131"/>
      <c r="T376" s="237"/>
      <c r="U376" s="237"/>
      <c r="V376" s="237"/>
      <c r="W376" s="237"/>
      <c r="X376" s="237"/>
      <c r="Y376" s="237"/>
      <c r="Z376" s="237"/>
      <c r="AH376" s="237"/>
      <c r="AI376" s="237"/>
      <c r="AJ376" s="237"/>
      <c r="AK376" s="237"/>
      <c r="AL376" s="237"/>
      <c r="AM376" s="237"/>
      <c r="AN376" s="237"/>
      <c r="AV376" s="237"/>
      <c r="AW376" s="237"/>
      <c r="AX376" s="237"/>
      <c r="AY376" s="237"/>
      <c r="AZ376" s="237"/>
      <c r="BA376" s="237"/>
      <c r="BB376" s="237"/>
    </row>
    <row r="377">
      <c r="E377" s="133"/>
      <c r="F377" s="237"/>
      <c r="G377" s="237"/>
      <c r="H377" s="131"/>
      <c r="I377" s="131"/>
      <c r="J377" s="131"/>
      <c r="K377" s="131"/>
      <c r="L377" s="131"/>
      <c r="T377" s="237"/>
      <c r="U377" s="237"/>
      <c r="V377" s="237"/>
      <c r="W377" s="237"/>
      <c r="X377" s="237"/>
      <c r="Y377" s="237"/>
      <c r="Z377" s="237"/>
      <c r="AH377" s="237"/>
      <c r="AI377" s="237"/>
      <c r="AJ377" s="237"/>
      <c r="AK377" s="237"/>
      <c r="AL377" s="237"/>
      <c r="AM377" s="237"/>
      <c r="AN377" s="237"/>
      <c r="AV377" s="237"/>
      <c r="AW377" s="237"/>
      <c r="AX377" s="237"/>
      <c r="AY377" s="237"/>
      <c r="AZ377" s="237"/>
      <c r="BA377" s="237"/>
      <c r="BB377" s="237"/>
    </row>
    <row r="378">
      <c r="E378" s="133"/>
      <c r="F378" s="237"/>
      <c r="G378" s="237"/>
      <c r="H378" s="131"/>
      <c r="I378" s="131"/>
      <c r="J378" s="131"/>
      <c r="K378" s="131"/>
      <c r="L378" s="131"/>
      <c r="T378" s="237"/>
      <c r="U378" s="237"/>
      <c r="V378" s="237"/>
      <c r="W378" s="237"/>
      <c r="X378" s="237"/>
      <c r="Y378" s="237"/>
      <c r="Z378" s="237"/>
      <c r="AH378" s="237"/>
      <c r="AI378" s="237"/>
      <c r="AJ378" s="237"/>
      <c r="AK378" s="237"/>
      <c r="AL378" s="237"/>
      <c r="AM378" s="237"/>
      <c r="AN378" s="237"/>
      <c r="AV378" s="237"/>
      <c r="AW378" s="237"/>
      <c r="AX378" s="237"/>
      <c r="AY378" s="237"/>
      <c r="AZ378" s="237"/>
      <c r="BA378" s="237"/>
      <c r="BB378" s="237"/>
    </row>
    <row r="379">
      <c r="E379" s="133"/>
      <c r="F379" s="237"/>
      <c r="G379" s="237"/>
      <c r="H379" s="131"/>
      <c r="I379" s="131"/>
      <c r="J379" s="131"/>
      <c r="K379" s="131"/>
      <c r="L379" s="131"/>
      <c r="T379" s="237"/>
      <c r="U379" s="237"/>
      <c r="V379" s="237"/>
      <c r="W379" s="237"/>
      <c r="X379" s="237"/>
      <c r="Y379" s="237"/>
      <c r="Z379" s="237"/>
      <c r="AH379" s="237"/>
      <c r="AI379" s="237"/>
      <c r="AJ379" s="237"/>
      <c r="AK379" s="237"/>
      <c r="AL379" s="237"/>
      <c r="AM379" s="237"/>
      <c r="AN379" s="237"/>
      <c r="AV379" s="237"/>
      <c r="AW379" s="237"/>
      <c r="AX379" s="237"/>
      <c r="AY379" s="237"/>
      <c r="AZ379" s="237"/>
      <c r="BA379" s="237"/>
      <c r="BB379" s="237"/>
    </row>
    <row r="380">
      <c r="E380" s="133"/>
      <c r="F380" s="237"/>
      <c r="G380" s="237"/>
      <c r="H380" s="131"/>
      <c r="I380" s="131"/>
      <c r="J380" s="131"/>
      <c r="K380" s="131"/>
      <c r="L380" s="131"/>
      <c r="T380" s="237"/>
      <c r="U380" s="237"/>
      <c r="V380" s="237"/>
      <c r="W380" s="237"/>
      <c r="X380" s="237"/>
      <c r="Y380" s="237"/>
      <c r="Z380" s="237"/>
      <c r="AH380" s="237"/>
      <c r="AI380" s="237"/>
      <c r="AJ380" s="237"/>
      <c r="AK380" s="237"/>
      <c r="AL380" s="237"/>
      <c r="AM380" s="237"/>
      <c r="AN380" s="237"/>
      <c r="AV380" s="237"/>
      <c r="AW380" s="237"/>
      <c r="AX380" s="237"/>
      <c r="AY380" s="237"/>
      <c r="AZ380" s="237"/>
      <c r="BA380" s="237"/>
      <c r="BB380" s="237"/>
    </row>
    <row r="381">
      <c r="E381" s="133"/>
      <c r="F381" s="237"/>
      <c r="G381" s="237"/>
      <c r="H381" s="131"/>
      <c r="I381" s="131"/>
      <c r="J381" s="131"/>
      <c r="K381" s="131"/>
      <c r="L381" s="131"/>
      <c r="T381" s="237"/>
      <c r="U381" s="237"/>
      <c r="V381" s="237"/>
      <c r="W381" s="237"/>
      <c r="X381" s="237"/>
      <c r="Y381" s="237"/>
      <c r="Z381" s="237"/>
      <c r="AH381" s="237"/>
      <c r="AI381" s="237"/>
      <c r="AJ381" s="237"/>
      <c r="AK381" s="237"/>
      <c r="AL381" s="237"/>
      <c r="AM381" s="237"/>
      <c r="AN381" s="237"/>
      <c r="AV381" s="237"/>
      <c r="AW381" s="237"/>
      <c r="AX381" s="237"/>
      <c r="AY381" s="237"/>
      <c r="AZ381" s="237"/>
      <c r="BA381" s="237"/>
      <c r="BB381" s="237"/>
    </row>
    <row r="382">
      <c r="E382" s="133"/>
      <c r="F382" s="237"/>
      <c r="G382" s="237"/>
      <c r="H382" s="131"/>
      <c r="I382" s="131"/>
      <c r="J382" s="131"/>
      <c r="K382" s="131"/>
      <c r="L382" s="131"/>
      <c r="T382" s="237"/>
      <c r="U382" s="237"/>
      <c r="V382" s="237"/>
      <c r="W382" s="237"/>
      <c r="X382" s="237"/>
      <c r="Y382" s="237"/>
      <c r="Z382" s="237"/>
      <c r="AH382" s="237"/>
      <c r="AI382" s="237"/>
      <c r="AJ382" s="237"/>
      <c r="AK382" s="237"/>
      <c r="AL382" s="237"/>
      <c r="AM382" s="237"/>
      <c r="AN382" s="237"/>
      <c r="AV382" s="237"/>
      <c r="AW382" s="237"/>
      <c r="AX382" s="237"/>
      <c r="AY382" s="237"/>
      <c r="AZ382" s="237"/>
      <c r="BA382" s="237"/>
      <c r="BB382" s="237"/>
    </row>
    <row r="383">
      <c r="E383" s="133"/>
      <c r="F383" s="237"/>
      <c r="G383" s="237"/>
      <c r="H383" s="131"/>
      <c r="I383" s="131"/>
      <c r="J383" s="131"/>
      <c r="K383" s="131"/>
      <c r="L383" s="131"/>
      <c r="T383" s="237"/>
      <c r="U383" s="237"/>
      <c r="V383" s="237"/>
      <c r="W383" s="237"/>
      <c r="X383" s="237"/>
      <c r="Y383" s="237"/>
      <c r="Z383" s="237"/>
      <c r="AH383" s="237"/>
      <c r="AI383" s="237"/>
      <c r="AJ383" s="237"/>
      <c r="AK383" s="237"/>
      <c r="AL383" s="237"/>
      <c r="AM383" s="237"/>
      <c r="AN383" s="237"/>
      <c r="AV383" s="237"/>
      <c r="AW383" s="237"/>
      <c r="AX383" s="237"/>
      <c r="AY383" s="237"/>
      <c r="AZ383" s="237"/>
      <c r="BA383" s="237"/>
      <c r="BB383" s="237"/>
    </row>
    <row r="384">
      <c r="E384" s="133"/>
      <c r="F384" s="237"/>
      <c r="G384" s="237"/>
      <c r="H384" s="131"/>
      <c r="I384" s="131"/>
      <c r="J384" s="131"/>
      <c r="K384" s="131"/>
      <c r="L384" s="131"/>
      <c r="T384" s="237"/>
      <c r="U384" s="237"/>
      <c r="V384" s="237"/>
      <c r="W384" s="237"/>
      <c r="X384" s="237"/>
      <c r="Y384" s="237"/>
      <c r="Z384" s="237"/>
      <c r="AH384" s="237"/>
      <c r="AI384" s="237"/>
      <c r="AJ384" s="237"/>
      <c r="AK384" s="237"/>
      <c r="AL384" s="237"/>
      <c r="AM384" s="237"/>
      <c r="AN384" s="237"/>
      <c r="AV384" s="237"/>
      <c r="AW384" s="237"/>
      <c r="AX384" s="237"/>
      <c r="AY384" s="237"/>
      <c r="AZ384" s="237"/>
      <c r="BA384" s="237"/>
      <c r="BB384" s="237"/>
    </row>
    <row r="385">
      <c r="E385" s="133"/>
      <c r="F385" s="237"/>
      <c r="G385" s="237"/>
      <c r="H385" s="131"/>
      <c r="I385" s="131"/>
      <c r="J385" s="131"/>
      <c r="K385" s="131"/>
      <c r="L385" s="131"/>
      <c r="T385" s="237"/>
      <c r="U385" s="237"/>
      <c r="V385" s="237"/>
      <c r="W385" s="237"/>
      <c r="X385" s="237"/>
      <c r="Y385" s="237"/>
      <c r="Z385" s="237"/>
      <c r="AH385" s="237"/>
      <c r="AI385" s="237"/>
      <c r="AJ385" s="237"/>
      <c r="AK385" s="237"/>
      <c r="AL385" s="237"/>
      <c r="AM385" s="237"/>
      <c r="AN385" s="237"/>
      <c r="AV385" s="237"/>
      <c r="AW385" s="237"/>
      <c r="AX385" s="237"/>
      <c r="AY385" s="237"/>
      <c r="AZ385" s="237"/>
      <c r="BA385" s="237"/>
      <c r="BB385" s="237"/>
    </row>
    <row r="386">
      <c r="E386" s="133"/>
      <c r="F386" s="237"/>
      <c r="G386" s="237"/>
      <c r="H386" s="131"/>
      <c r="I386" s="131"/>
      <c r="J386" s="131"/>
      <c r="K386" s="131"/>
      <c r="L386" s="131"/>
      <c r="T386" s="237"/>
      <c r="U386" s="237"/>
      <c r="V386" s="237"/>
      <c r="W386" s="237"/>
      <c r="X386" s="237"/>
      <c r="Y386" s="237"/>
      <c r="Z386" s="237"/>
      <c r="AH386" s="237"/>
      <c r="AI386" s="237"/>
      <c r="AJ386" s="237"/>
      <c r="AK386" s="237"/>
      <c r="AL386" s="237"/>
      <c r="AM386" s="237"/>
      <c r="AN386" s="237"/>
      <c r="AV386" s="237"/>
      <c r="AW386" s="237"/>
      <c r="AX386" s="237"/>
      <c r="AY386" s="237"/>
      <c r="AZ386" s="237"/>
      <c r="BA386" s="237"/>
      <c r="BB386" s="237"/>
    </row>
    <row r="387">
      <c r="E387" s="133"/>
      <c r="F387" s="237"/>
      <c r="G387" s="237"/>
      <c r="H387" s="131"/>
      <c r="I387" s="131"/>
      <c r="J387" s="131"/>
      <c r="K387" s="131"/>
      <c r="L387" s="131"/>
      <c r="T387" s="237"/>
      <c r="U387" s="237"/>
      <c r="V387" s="237"/>
      <c r="W387" s="237"/>
      <c r="X387" s="237"/>
      <c r="Y387" s="237"/>
      <c r="Z387" s="237"/>
      <c r="AH387" s="237"/>
      <c r="AI387" s="237"/>
      <c r="AJ387" s="237"/>
      <c r="AK387" s="237"/>
      <c r="AL387" s="237"/>
      <c r="AM387" s="237"/>
      <c r="AN387" s="237"/>
      <c r="AV387" s="237"/>
      <c r="AW387" s="237"/>
      <c r="AX387" s="237"/>
      <c r="AY387" s="237"/>
      <c r="AZ387" s="237"/>
      <c r="BA387" s="237"/>
      <c r="BB387" s="237"/>
    </row>
    <row r="388">
      <c r="E388" s="133"/>
      <c r="F388" s="237"/>
      <c r="G388" s="237"/>
      <c r="H388" s="131"/>
      <c r="I388" s="131"/>
      <c r="J388" s="131"/>
      <c r="K388" s="131"/>
      <c r="L388" s="131"/>
      <c r="T388" s="237"/>
      <c r="U388" s="237"/>
      <c r="V388" s="237"/>
      <c r="W388" s="237"/>
      <c r="X388" s="237"/>
      <c r="Y388" s="237"/>
      <c r="Z388" s="237"/>
      <c r="AH388" s="237"/>
      <c r="AI388" s="237"/>
      <c r="AJ388" s="237"/>
      <c r="AK388" s="237"/>
      <c r="AL388" s="237"/>
      <c r="AM388" s="237"/>
      <c r="AN388" s="237"/>
      <c r="AV388" s="237"/>
      <c r="AW388" s="237"/>
      <c r="AX388" s="237"/>
      <c r="AY388" s="237"/>
      <c r="AZ388" s="237"/>
      <c r="BA388" s="237"/>
      <c r="BB388" s="237"/>
    </row>
    <row r="389">
      <c r="E389" s="133"/>
      <c r="F389" s="237"/>
      <c r="G389" s="237"/>
      <c r="H389" s="131"/>
      <c r="I389" s="131"/>
      <c r="J389" s="131"/>
      <c r="K389" s="131"/>
      <c r="L389" s="131"/>
      <c r="T389" s="237"/>
      <c r="U389" s="237"/>
      <c r="V389" s="237"/>
      <c r="W389" s="237"/>
      <c r="X389" s="237"/>
      <c r="Y389" s="237"/>
      <c r="Z389" s="237"/>
      <c r="AH389" s="237"/>
      <c r="AI389" s="237"/>
      <c r="AJ389" s="237"/>
      <c r="AK389" s="237"/>
      <c r="AL389" s="237"/>
      <c r="AM389" s="237"/>
      <c r="AN389" s="237"/>
      <c r="AV389" s="237"/>
      <c r="AW389" s="237"/>
      <c r="AX389" s="237"/>
      <c r="AY389" s="237"/>
      <c r="AZ389" s="237"/>
      <c r="BA389" s="237"/>
      <c r="BB389" s="237"/>
    </row>
    <row r="390">
      <c r="E390" s="133"/>
      <c r="F390" s="237"/>
      <c r="G390" s="237"/>
      <c r="H390" s="131"/>
      <c r="I390" s="131"/>
      <c r="J390" s="131"/>
      <c r="K390" s="131"/>
      <c r="L390" s="131"/>
      <c r="T390" s="237"/>
      <c r="U390" s="237"/>
      <c r="V390" s="237"/>
      <c r="W390" s="237"/>
      <c r="X390" s="237"/>
      <c r="Y390" s="237"/>
      <c r="Z390" s="237"/>
      <c r="AH390" s="237"/>
      <c r="AI390" s="237"/>
      <c r="AJ390" s="237"/>
      <c r="AK390" s="237"/>
      <c r="AL390" s="237"/>
      <c r="AM390" s="237"/>
      <c r="AN390" s="237"/>
      <c r="AV390" s="237"/>
      <c r="AW390" s="237"/>
      <c r="AX390" s="237"/>
      <c r="AY390" s="237"/>
      <c r="AZ390" s="237"/>
      <c r="BA390" s="237"/>
      <c r="BB390" s="237"/>
    </row>
    <row r="391">
      <c r="E391" s="133"/>
      <c r="F391" s="237"/>
      <c r="G391" s="237"/>
      <c r="H391" s="131"/>
      <c r="I391" s="131"/>
      <c r="J391" s="131"/>
      <c r="K391" s="131"/>
      <c r="L391" s="131"/>
      <c r="T391" s="237"/>
      <c r="U391" s="237"/>
      <c r="V391" s="237"/>
      <c r="W391" s="237"/>
      <c r="X391" s="237"/>
      <c r="Y391" s="237"/>
      <c r="Z391" s="237"/>
      <c r="AH391" s="237"/>
      <c r="AI391" s="237"/>
      <c r="AJ391" s="237"/>
      <c r="AK391" s="237"/>
      <c r="AL391" s="237"/>
      <c r="AM391" s="237"/>
      <c r="AN391" s="237"/>
      <c r="AV391" s="237"/>
      <c r="AW391" s="237"/>
      <c r="AX391" s="237"/>
      <c r="AY391" s="237"/>
      <c r="AZ391" s="237"/>
      <c r="BA391" s="237"/>
      <c r="BB391" s="237"/>
    </row>
    <row r="392">
      <c r="E392" s="133"/>
      <c r="F392" s="237"/>
      <c r="G392" s="237"/>
      <c r="H392" s="131"/>
      <c r="I392" s="131"/>
      <c r="J392" s="131"/>
      <c r="K392" s="131"/>
      <c r="L392" s="131"/>
      <c r="T392" s="237"/>
      <c r="U392" s="237"/>
      <c r="V392" s="237"/>
      <c r="W392" s="237"/>
      <c r="X392" s="237"/>
      <c r="Y392" s="237"/>
      <c r="Z392" s="237"/>
      <c r="AH392" s="237"/>
      <c r="AI392" s="237"/>
      <c r="AJ392" s="237"/>
      <c r="AK392" s="237"/>
      <c r="AL392" s="237"/>
      <c r="AM392" s="237"/>
      <c r="AN392" s="237"/>
      <c r="AV392" s="237"/>
      <c r="AW392" s="237"/>
      <c r="AX392" s="237"/>
      <c r="AY392" s="237"/>
      <c r="AZ392" s="237"/>
      <c r="BA392" s="237"/>
      <c r="BB392" s="237"/>
    </row>
    <row r="393">
      <c r="E393" s="133"/>
      <c r="F393" s="237"/>
      <c r="G393" s="237"/>
      <c r="H393" s="131"/>
      <c r="I393" s="131"/>
      <c r="J393" s="131"/>
      <c r="K393" s="131"/>
      <c r="L393" s="131"/>
      <c r="T393" s="237"/>
      <c r="U393" s="237"/>
      <c r="V393" s="237"/>
      <c r="W393" s="237"/>
      <c r="X393" s="237"/>
      <c r="Y393" s="237"/>
      <c r="Z393" s="237"/>
      <c r="AH393" s="237"/>
      <c r="AI393" s="237"/>
      <c r="AJ393" s="237"/>
      <c r="AK393" s="237"/>
      <c r="AL393" s="237"/>
      <c r="AM393" s="237"/>
      <c r="AN393" s="237"/>
      <c r="AV393" s="237"/>
      <c r="AW393" s="237"/>
      <c r="AX393" s="237"/>
      <c r="AY393" s="237"/>
      <c r="AZ393" s="237"/>
      <c r="BA393" s="237"/>
      <c r="BB393" s="237"/>
    </row>
    <row r="394">
      <c r="E394" s="133"/>
      <c r="F394" s="237"/>
      <c r="G394" s="237"/>
      <c r="H394" s="131"/>
      <c r="I394" s="131"/>
      <c r="J394" s="131"/>
      <c r="K394" s="131"/>
      <c r="L394" s="131"/>
      <c r="T394" s="237"/>
      <c r="U394" s="237"/>
      <c r="V394" s="237"/>
      <c r="W394" s="237"/>
      <c r="X394" s="237"/>
      <c r="Y394" s="237"/>
      <c r="Z394" s="237"/>
      <c r="AH394" s="237"/>
      <c r="AI394" s="237"/>
      <c r="AJ394" s="237"/>
      <c r="AK394" s="237"/>
      <c r="AL394" s="237"/>
      <c r="AM394" s="237"/>
      <c r="AN394" s="237"/>
      <c r="AV394" s="237"/>
      <c r="AW394" s="237"/>
      <c r="AX394" s="237"/>
      <c r="AY394" s="237"/>
      <c r="AZ394" s="237"/>
      <c r="BA394" s="237"/>
      <c r="BB394" s="237"/>
    </row>
    <row r="395">
      <c r="E395" s="133"/>
      <c r="F395" s="237"/>
      <c r="G395" s="237"/>
      <c r="H395" s="131"/>
      <c r="I395" s="131"/>
      <c r="J395" s="131"/>
      <c r="K395" s="131"/>
      <c r="L395" s="131"/>
      <c r="T395" s="237"/>
      <c r="U395" s="237"/>
      <c r="V395" s="237"/>
      <c r="W395" s="237"/>
      <c r="X395" s="237"/>
      <c r="Y395" s="237"/>
      <c r="Z395" s="237"/>
      <c r="AH395" s="237"/>
      <c r="AI395" s="237"/>
      <c r="AJ395" s="237"/>
      <c r="AK395" s="237"/>
      <c r="AL395" s="237"/>
      <c r="AM395" s="237"/>
      <c r="AN395" s="237"/>
      <c r="AV395" s="237"/>
      <c r="AW395" s="237"/>
      <c r="AX395" s="237"/>
      <c r="AY395" s="237"/>
      <c r="AZ395" s="237"/>
      <c r="BA395" s="237"/>
      <c r="BB395" s="237"/>
    </row>
    <row r="396">
      <c r="E396" s="133"/>
      <c r="F396" s="237"/>
      <c r="G396" s="237"/>
      <c r="H396" s="131"/>
      <c r="I396" s="131"/>
      <c r="J396" s="131"/>
      <c r="K396" s="131"/>
      <c r="L396" s="131"/>
      <c r="T396" s="237"/>
      <c r="U396" s="237"/>
      <c r="V396" s="237"/>
      <c r="W396" s="237"/>
      <c r="X396" s="237"/>
      <c r="Y396" s="237"/>
      <c r="Z396" s="237"/>
      <c r="AH396" s="237"/>
      <c r="AI396" s="237"/>
      <c r="AJ396" s="237"/>
      <c r="AK396" s="237"/>
      <c r="AL396" s="237"/>
      <c r="AM396" s="237"/>
      <c r="AN396" s="237"/>
      <c r="AV396" s="237"/>
      <c r="AW396" s="237"/>
      <c r="AX396" s="237"/>
      <c r="AY396" s="237"/>
      <c r="AZ396" s="237"/>
      <c r="BA396" s="237"/>
      <c r="BB396" s="237"/>
    </row>
    <row r="397">
      <c r="E397" s="133"/>
      <c r="F397" s="237"/>
      <c r="G397" s="237"/>
      <c r="H397" s="131"/>
      <c r="I397" s="131"/>
      <c r="J397" s="131"/>
      <c r="K397" s="131"/>
      <c r="L397" s="131"/>
      <c r="T397" s="237"/>
      <c r="U397" s="237"/>
      <c r="V397" s="237"/>
      <c r="W397" s="237"/>
      <c r="X397" s="237"/>
      <c r="Y397" s="237"/>
      <c r="Z397" s="237"/>
      <c r="AH397" s="237"/>
      <c r="AI397" s="237"/>
      <c r="AJ397" s="237"/>
      <c r="AK397" s="237"/>
      <c r="AL397" s="237"/>
      <c r="AM397" s="237"/>
      <c r="AN397" s="237"/>
      <c r="AV397" s="237"/>
      <c r="AW397" s="237"/>
      <c r="AX397" s="237"/>
      <c r="AY397" s="237"/>
      <c r="AZ397" s="237"/>
      <c r="BA397" s="237"/>
      <c r="BB397" s="237"/>
    </row>
    <row r="398">
      <c r="E398" s="133"/>
      <c r="F398" s="237"/>
      <c r="G398" s="237"/>
      <c r="H398" s="131"/>
      <c r="I398" s="131"/>
      <c r="J398" s="131"/>
      <c r="K398" s="131"/>
      <c r="L398" s="131"/>
      <c r="T398" s="237"/>
      <c r="U398" s="237"/>
      <c r="V398" s="237"/>
      <c r="W398" s="237"/>
      <c r="X398" s="237"/>
      <c r="Y398" s="237"/>
      <c r="Z398" s="237"/>
      <c r="AH398" s="237"/>
      <c r="AI398" s="237"/>
      <c r="AJ398" s="237"/>
      <c r="AK398" s="237"/>
      <c r="AL398" s="237"/>
      <c r="AM398" s="237"/>
      <c r="AN398" s="237"/>
      <c r="AV398" s="237"/>
      <c r="AW398" s="237"/>
      <c r="AX398" s="237"/>
      <c r="AY398" s="237"/>
      <c r="AZ398" s="237"/>
      <c r="BA398" s="237"/>
      <c r="BB398" s="237"/>
    </row>
    <row r="399">
      <c r="E399" s="133"/>
      <c r="F399" s="237"/>
      <c r="G399" s="237"/>
      <c r="H399" s="131"/>
      <c r="I399" s="131"/>
      <c r="J399" s="131"/>
      <c r="K399" s="131"/>
      <c r="L399" s="131"/>
      <c r="T399" s="237"/>
      <c r="U399" s="237"/>
      <c r="V399" s="237"/>
      <c r="W399" s="237"/>
      <c r="X399" s="237"/>
      <c r="Y399" s="237"/>
      <c r="Z399" s="237"/>
      <c r="AH399" s="237"/>
      <c r="AI399" s="237"/>
      <c r="AJ399" s="237"/>
      <c r="AK399" s="237"/>
      <c r="AL399" s="237"/>
      <c r="AM399" s="237"/>
      <c r="AN399" s="237"/>
      <c r="AV399" s="237"/>
      <c r="AW399" s="237"/>
      <c r="AX399" s="237"/>
      <c r="AY399" s="237"/>
      <c r="AZ399" s="237"/>
      <c r="BA399" s="237"/>
      <c r="BB399" s="237"/>
    </row>
    <row r="400">
      <c r="E400" s="133"/>
      <c r="F400" s="237"/>
      <c r="G400" s="237"/>
      <c r="H400" s="131"/>
      <c r="I400" s="131"/>
      <c r="J400" s="131"/>
      <c r="K400" s="131"/>
      <c r="L400" s="131"/>
      <c r="T400" s="237"/>
      <c r="U400" s="237"/>
      <c r="V400" s="237"/>
      <c r="W400" s="237"/>
      <c r="X400" s="237"/>
      <c r="Y400" s="237"/>
      <c r="Z400" s="237"/>
      <c r="AH400" s="237"/>
      <c r="AI400" s="237"/>
      <c r="AJ400" s="237"/>
      <c r="AK400" s="237"/>
      <c r="AL400" s="237"/>
      <c r="AM400" s="237"/>
      <c r="AN400" s="237"/>
      <c r="AV400" s="237"/>
      <c r="AW400" s="237"/>
      <c r="AX400" s="237"/>
      <c r="AY400" s="237"/>
      <c r="AZ400" s="237"/>
      <c r="BA400" s="237"/>
      <c r="BB400" s="237"/>
    </row>
    <row r="401">
      <c r="E401" s="133"/>
      <c r="F401" s="237"/>
      <c r="G401" s="237"/>
      <c r="H401" s="131"/>
      <c r="I401" s="131"/>
      <c r="J401" s="131"/>
      <c r="K401" s="131"/>
      <c r="L401" s="131"/>
      <c r="T401" s="237"/>
      <c r="U401" s="237"/>
      <c r="V401" s="237"/>
      <c r="W401" s="237"/>
      <c r="X401" s="237"/>
      <c r="Y401" s="237"/>
      <c r="Z401" s="237"/>
      <c r="AH401" s="237"/>
      <c r="AI401" s="237"/>
      <c r="AJ401" s="237"/>
      <c r="AK401" s="237"/>
      <c r="AL401" s="237"/>
      <c r="AM401" s="237"/>
      <c r="AN401" s="237"/>
      <c r="AV401" s="237"/>
      <c r="AW401" s="237"/>
      <c r="AX401" s="237"/>
      <c r="AY401" s="237"/>
      <c r="AZ401" s="237"/>
      <c r="BA401" s="237"/>
      <c r="BB401" s="237"/>
    </row>
    <row r="402">
      <c r="E402" s="133"/>
      <c r="F402" s="237"/>
      <c r="G402" s="237"/>
      <c r="H402" s="131"/>
      <c r="I402" s="131"/>
      <c r="J402" s="131"/>
      <c r="K402" s="131"/>
      <c r="L402" s="131"/>
      <c r="T402" s="237"/>
      <c r="U402" s="237"/>
      <c r="V402" s="237"/>
      <c r="W402" s="237"/>
      <c r="X402" s="237"/>
      <c r="Y402" s="237"/>
      <c r="Z402" s="237"/>
      <c r="AH402" s="237"/>
      <c r="AI402" s="237"/>
      <c r="AJ402" s="237"/>
      <c r="AK402" s="237"/>
      <c r="AL402" s="237"/>
      <c r="AM402" s="237"/>
      <c r="AN402" s="237"/>
      <c r="AV402" s="237"/>
      <c r="AW402" s="237"/>
      <c r="AX402" s="237"/>
      <c r="AY402" s="237"/>
      <c r="AZ402" s="237"/>
      <c r="BA402" s="237"/>
      <c r="BB402" s="237"/>
    </row>
    <row r="403">
      <c r="E403" s="133"/>
      <c r="F403" s="237"/>
      <c r="G403" s="237"/>
      <c r="H403" s="131"/>
      <c r="I403" s="131"/>
      <c r="J403" s="131"/>
      <c r="K403" s="131"/>
      <c r="L403" s="131"/>
      <c r="T403" s="237"/>
      <c r="U403" s="237"/>
      <c r="V403" s="237"/>
      <c r="W403" s="237"/>
      <c r="X403" s="237"/>
      <c r="Y403" s="237"/>
      <c r="Z403" s="237"/>
      <c r="AH403" s="237"/>
      <c r="AI403" s="237"/>
      <c r="AJ403" s="237"/>
      <c r="AK403" s="237"/>
      <c r="AL403" s="237"/>
      <c r="AM403" s="237"/>
      <c r="AN403" s="237"/>
      <c r="AV403" s="237"/>
      <c r="AW403" s="237"/>
      <c r="AX403" s="237"/>
      <c r="AY403" s="237"/>
      <c r="AZ403" s="237"/>
      <c r="BA403" s="237"/>
      <c r="BB403" s="237"/>
    </row>
    <row r="404">
      <c r="E404" s="133"/>
      <c r="F404" s="237"/>
      <c r="G404" s="237"/>
      <c r="H404" s="131"/>
      <c r="I404" s="131"/>
      <c r="J404" s="131"/>
      <c r="K404" s="131"/>
      <c r="L404" s="131"/>
      <c r="T404" s="237"/>
      <c r="U404" s="237"/>
      <c r="V404" s="237"/>
      <c r="W404" s="237"/>
      <c r="X404" s="237"/>
      <c r="Y404" s="237"/>
      <c r="Z404" s="237"/>
      <c r="AH404" s="237"/>
      <c r="AI404" s="237"/>
      <c r="AJ404" s="237"/>
      <c r="AK404" s="237"/>
      <c r="AL404" s="237"/>
      <c r="AM404" s="237"/>
      <c r="AN404" s="237"/>
      <c r="AV404" s="237"/>
      <c r="AW404" s="237"/>
      <c r="AX404" s="237"/>
      <c r="AY404" s="237"/>
      <c r="AZ404" s="237"/>
      <c r="BA404" s="237"/>
      <c r="BB404" s="237"/>
    </row>
    <row r="405">
      <c r="E405" s="133"/>
      <c r="F405" s="237"/>
      <c r="G405" s="237"/>
      <c r="H405" s="131"/>
      <c r="I405" s="131"/>
      <c r="J405" s="131"/>
      <c r="K405" s="131"/>
      <c r="L405" s="131"/>
      <c r="T405" s="237"/>
      <c r="U405" s="237"/>
      <c r="V405" s="237"/>
      <c r="W405" s="237"/>
      <c r="X405" s="237"/>
      <c r="Y405" s="237"/>
      <c r="Z405" s="237"/>
      <c r="AH405" s="237"/>
      <c r="AI405" s="237"/>
      <c r="AJ405" s="237"/>
      <c r="AK405" s="237"/>
      <c r="AL405" s="237"/>
      <c r="AM405" s="237"/>
      <c r="AN405" s="237"/>
      <c r="AV405" s="237"/>
      <c r="AW405" s="237"/>
      <c r="AX405" s="237"/>
      <c r="AY405" s="237"/>
      <c r="AZ405" s="237"/>
      <c r="BA405" s="237"/>
      <c r="BB405" s="237"/>
    </row>
    <row r="406">
      <c r="E406" s="133"/>
      <c r="F406" s="237"/>
      <c r="G406" s="237"/>
      <c r="H406" s="131"/>
      <c r="I406" s="131"/>
      <c r="J406" s="131"/>
      <c r="K406" s="131"/>
      <c r="L406" s="131"/>
      <c r="T406" s="237"/>
      <c r="U406" s="237"/>
      <c r="V406" s="237"/>
      <c r="W406" s="237"/>
      <c r="X406" s="237"/>
      <c r="Y406" s="237"/>
      <c r="Z406" s="237"/>
      <c r="AH406" s="237"/>
      <c r="AI406" s="237"/>
      <c r="AJ406" s="237"/>
      <c r="AK406" s="237"/>
      <c r="AL406" s="237"/>
      <c r="AM406" s="237"/>
      <c r="AN406" s="237"/>
      <c r="AV406" s="237"/>
      <c r="AW406" s="237"/>
      <c r="AX406" s="237"/>
      <c r="AY406" s="237"/>
      <c r="AZ406" s="237"/>
      <c r="BA406" s="237"/>
      <c r="BB406" s="237"/>
    </row>
    <row r="407">
      <c r="E407" s="133"/>
      <c r="F407" s="237"/>
      <c r="G407" s="237"/>
      <c r="H407" s="131"/>
      <c r="I407" s="131"/>
      <c r="J407" s="131"/>
      <c r="K407" s="131"/>
      <c r="L407" s="131"/>
      <c r="T407" s="237"/>
      <c r="U407" s="237"/>
      <c r="V407" s="237"/>
      <c r="W407" s="237"/>
      <c r="X407" s="237"/>
      <c r="Y407" s="237"/>
      <c r="Z407" s="237"/>
      <c r="AH407" s="237"/>
      <c r="AI407" s="237"/>
      <c r="AJ407" s="237"/>
      <c r="AK407" s="237"/>
      <c r="AL407" s="237"/>
      <c r="AM407" s="237"/>
      <c r="AN407" s="237"/>
      <c r="AV407" s="237"/>
      <c r="AW407" s="237"/>
      <c r="AX407" s="237"/>
      <c r="AY407" s="237"/>
      <c r="AZ407" s="237"/>
      <c r="BA407" s="237"/>
      <c r="BB407" s="237"/>
    </row>
    <row r="408">
      <c r="E408" s="133"/>
      <c r="F408" s="237"/>
      <c r="G408" s="237"/>
      <c r="H408" s="131"/>
      <c r="I408" s="131"/>
      <c r="J408" s="131"/>
      <c r="K408" s="131"/>
      <c r="L408" s="131"/>
      <c r="T408" s="237"/>
      <c r="U408" s="237"/>
      <c r="V408" s="237"/>
      <c r="W408" s="237"/>
      <c r="X408" s="237"/>
      <c r="Y408" s="237"/>
      <c r="Z408" s="237"/>
      <c r="AH408" s="237"/>
      <c r="AI408" s="237"/>
      <c r="AJ408" s="237"/>
      <c r="AK408" s="237"/>
      <c r="AL408" s="237"/>
      <c r="AM408" s="237"/>
      <c r="AN408" s="237"/>
      <c r="AV408" s="237"/>
      <c r="AW408" s="237"/>
      <c r="AX408" s="237"/>
      <c r="AY408" s="237"/>
      <c r="AZ408" s="237"/>
      <c r="BA408" s="237"/>
      <c r="BB408" s="237"/>
    </row>
    <row r="409">
      <c r="E409" s="133"/>
      <c r="F409" s="237"/>
      <c r="G409" s="237"/>
      <c r="H409" s="131"/>
      <c r="I409" s="131"/>
      <c r="J409" s="131"/>
      <c r="K409" s="131"/>
      <c r="L409" s="131"/>
      <c r="T409" s="237"/>
      <c r="U409" s="237"/>
      <c r="V409" s="237"/>
      <c r="W409" s="237"/>
      <c r="X409" s="237"/>
      <c r="Y409" s="237"/>
      <c r="Z409" s="237"/>
      <c r="AH409" s="237"/>
      <c r="AI409" s="237"/>
      <c r="AJ409" s="237"/>
      <c r="AK409" s="237"/>
      <c r="AL409" s="237"/>
      <c r="AM409" s="237"/>
      <c r="AN409" s="237"/>
      <c r="AV409" s="237"/>
      <c r="AW409" s="237"/>
      <c r="AX409" s="237"/>
      <c r="AY409" s="237"/>
      <c r="AZ409" s="237"/>
      <c r="BA409" s="237"/>
      <c r="BB409" s="237"/>
    </row>
    <row r="410">
      <c r="E410" s="133"/>
      <c r="F410" s="237"/>
      <c r="G410" s="237"/>
      <c r="H410" s="131"/>
      <c r="I410" s="131"/>
      <c r="J410" s="131"/>
      <c r="K410" s="131"/>
      <c r="L410" s="131"/>
      <c r="T410" s="237"/>
      <c r="U410" s="237"/>
      <c r="V410" s="237"/>
      <c r="W410" s="237"/>
      <c r="X410" s="237"/>
      <c r="Y410" s="237"/>
      <c r="Z410" s="237"/>
      <c r="AH410" s="237"/>
      <c r="AI410" s="237"/>
      <c r="AJ410" s="237"/>
      <c r="AK410" s="237"/>
      <c r="AL410" s="237"/>
      <c r="AM410" s="237"/>
      <c r="AN410" s="237"/>
      <c r="AV410" s="237"/>
      <c r="AW410" s="237"/>
      <c r="AX410" s="237"/>
      <c r="AY410" s="237"/>
      <c r="AZ410" s="237"/>
      <c r="BA410" s="237"/>
      <c r="BB410" s="237"/>
    </row>
    <row r="411">
      <c r="E411" s="133"/>
      <c r="F411" s="237"/>
      <c r="G411" s="237"/>
      <c r="H411" s="131"/>
      <c r="I411" s="131"/>
      <c r="J411" s="131"/>
      <c r="K411" s="131"/>
      <c r="L411" s="131"/>
      <c r="T411" s="237"/>
      <c r="U411" s="237"/>
      <c r="V411" s="237"/>
      <c r="W411" s="237"/>
      <c r="X411" s="237"/>
      <c r="Y411" s="237"/>
      <c r="Z411" s="237"/>
      <c r="AH411" s="237"/>
      <c r="AI411" s="237"/>
      <c r="AJ411" s="237"/>
      <c r="AK411" s="237"/>
      <c r="AL411" s="237"/>
      <c r="AM411" s="237"/>
      <c r="AN411" s="237"/>
      <c r="AV411" s="237"/>
      <c r="AW411" s="237"/>
      <c r="AX411" s="237"/>
      <c r="AY411" s="237"/>
      <c r="AZ411" s="237"/>
      <c r="BA411" s="237"/>
      <c r="BB411" s="237"/>
    </row>
    <row r="412">
      <c r="E412" s="133"/>
      <c r="F412" s="237"/>
      <c r="G412" s="237"/>
      <c r="H412" s="131"/>
      <c r="I412" s="131"/>
      <c r="J412" s="131"/>
      <c r="K412" s="131"/>
      <c r="L412" s="131"/>
      <c r="T412" s="237"/>
      <c r="U412" s="237"/>
      <c r="V412" s="237"/>
      <c r="W412" s="237"/>
      <c r="X412" s="237"/>
      <c r="Y412" s="237"/>
      <c r="Z412" s="237"/>
      <c r="AH412" s="237"/>
      <c r="AI412" s="237"/>
      <c r="AJ412" s="237"/>
      <c r="AK412" s="237"/>
      <c r="AL412" s="237"/>
      <c r="AM412" s="237"/>
      <c r="AN412" s="237"/>
      <c r="AV412" s="237"/>
      <c r="AW412" s="237"/>
      <c r="AX412" s="237"/>
      <c r="AY412" s="237"/>
      <c r="AZ412" s="237"/>
      <c r="BA412" s="237"/>
      <c r="BB412" s="237"/>
    </row>
    <row r="413">
      <c r="E413" s="133"/>
      <c r="F413" s="237"/>
      <c r="G413" s="237"/>
      <c r="H413" s="131"/>
      <c r="I413" s="131"/>
      <c r="J413" s="131"/>
      <c r="K413" s="131"/>
      <c r="L413" s="131"/>
      <c r="T413" s="237"/>
      <c r="U413" s="237"/>
      <c r="V413" s="237"/>
      <c r="W413" s="237"/>
      <c r="X413" s="237"/>
      <c r="Y413" s="237"/>
      <c r="Z413" s="237"/>
      <c r="AH413" s="237"/>
      <c r="AI413" s="237"/>
      <c r="AJ413" s="237"/>
      <c r="AK413" s="237"/>
      <c r="AL413" s="237"/>
      <c r="AM413" s="237"/>
      <c r="AN413" s="237"/>
      <c r="AV413" s="237"/>
      <c r="AW413" s="237"/>
      <c r="AX413" s="237"/>
      <c r="AY413" s="237"/>
      <c r="AZ413" s="237"/>
      <c r="BA413" s="237"/>
      <c r="BB413" s="237"/>
    </row>
    <row r="414">
      <c r="E414" s="133"/>
      <c r="F414" s="237"/>
      <c r="G414" s="237"/>
      <c r="H414" s="131"/>
      <c r="I414" s="131"/>
      <c r="J414" s="131"/>
      <c r="K414" s="131"/>
      <c r="L414" s="131"/>
      <c r="T414" s="237"/>
      <c r="U414" s="237"/>
      <c r="V414" s="237"/>
      <c r="W414" s="237"/>
      <c r="X414" s="237"/>
      <c r="Y414" s="237"/>
      <c r="Z414" s="237"/>
      <c r="AH414" s="237"/>
      <c r="AI414" s="237"/>
      <c r="AJ414" s="237"/>
      <c r="AK414" s="237"/>
      <c r="AL414" s="237"/>
      <c r="AM414" s="237"/>
      <c r="AN414" s="237"/>
      <c r="AV414" s="237"/>
      <c r="AW414" s="237"/>
      <c r="AX414" s="237"/>
      <c r="AY414" s="237"/>
      <c r="AZ414" s="237"/>
      <c r="BA414" s="237"/>
      <c r="BB414" s="237"/>
    </row>
    <row r="415">
      <c r="E415" s="133"/>
      <c r="F415" s="237"/>
      <c r="G415" s="237"/>
      <c r="H415" s="131"/>
      <c r="I415" s="131"/>
      <c r="J415" s="131"/>
      <c r="K415" s="131"/>
      <c r="L415" s="131"/>
      <c r="T415" s="237"/>
      <c r="U415" s="237"/>
      <c r="V415" s="237"/>
      <c r="W415" s="237"/>
      <c r="X415" s="237"/>
      <c r="Y415" s="237"/>
      <c r="Z415" s="237"/>
      <c r="AH415" s="237"/>
      <c r="AI415" s="237"/>
      <c r="AJ415" s="237"/>
      <c r="AK415" s="237"/>
      <c r="AL415" s="237"/>
      <c r="AM415" s="237"/>
      <c r="AN415" s="237"/>
      <c r="AV415" s="237"/>
      <c r="AW415" s="237"/>
      <c r="AX415" s="237"/>
      <c r="AY415" s="237"/>
      <c r="AZ415" s="237"/>
      <c r="BA415" s="237"/>
      <c r="BB415" s="237"/>
    </row>
    <row r="416">
      <c r="E416" s="133"/>
      <c r="F416" s="237"/>
      <c r="G416" s="237"/>
      <c r="H416" s="131"/>
      <c r="I416" s="131"/>
      <c r="J416" s="131"/>
      <c r="K416" s="131"/>
      <c r="L416" s="131"/>
      <c r="T416" s="237"/>
      <c r="U416" s="237"/>
      <c r="V416" s="237"/>
      <c r="W416" s="237"/>
      <c r="X416" s="237"/>
      <c r="Y416" s="237"/>
      <c r="Z416" s="237"/>
      <c r="AH416" s="237"/>
      <c r="AI416" s="237"/>
      <c r="AJ416" s="237"/>
      <c r="AK416" s="237"/>
      <c r="AL416" s="237"/>
      <c r="AM416" s="237"/>
      <c r="AN416" s="237"/>
      <c r="AV416" s="237"/>
      <c r="AW416" s="237"/>
      <c r="AX416" s="237"/>
      <c r="AY416" s="237"/>
      <c r="AZ416" s="237"/>
      <c r="BA416" s="237"/>
      <c r="BB416" s="237"/>
    </row>
    <row r="417">
      <c r="E417" s="133"/>
      <c r="F417" s="237"/>
      <c r="G417" s="237"/>
      <c r="H417" s="131"/>
      <c r="I417" s="131"/>
      <c r="J417" s="131"/>
      <c r="K417" s="131"/>
      <c r="L417" s="131"/>
      <c r="T417" s="237"/>
      <c r="U417" s="237"/>
      <c r="V417" s="237"/>
      <c r="W417" s="237"/>
      <c r="X417" s="237"/>
      <c r="Y417" s="237"/>
      <c r="Z417" s="237"/>
      <c r="AH417" s="237"/>
      <c r="AI417" s="237"/>
      <c r="AJ417" s="237"/>
      <c r="AK417" s="237"/>
      <c r="AL417" s="237"/>
      <c r="AM417" s="237"/>
      <c r="AN417" s="237"/>
      <c r="AV417" s="237"/>
      <c r="AW417" s="237"/>
      <c r="AX417" s="237"/>
      <c r="AY417" s="237"/>
      <c r="AZ417" s="237"/>
      <c r="BA417" s="237"/>
      <c r="BB417" s="237"/>
    </row>
    <row r="418">
      <c r="E418" s="133"/>
      <c r="F418" s="237"/>
      <c r="G418" s="237"/>
      <c r="H418" s="131"/>
      <c r="I418" s="131"/>
      <c r="J418" s="131"/>
      <c r="K418" s="131"/>
      <c r="L418" s="131"/>
      <c r="T418" s="237"/>
      <c r="U418" s="237"/>
      <c r="V418" s="237"/>
      <c r="W418" s="237"/>
      <c r="X418" s="237"/>
      <c r="Y418" s="237"/>
      <c r="Z418" s="237"/>
      <c r="AH418" s="237"/>
      <c r="AI418" s="237"/>
      <c r="AJ418" s="237"/>
      <c r="AK418" s="237"/>
      <c r="AL418" s="237"/>
      <c r="AM418" s="237"/>
      <c r="AN418" s="237"/>
      <c r="AV418" s="237"/>
      <c r="AW418" s="237"/>
      <c r="AX418" s="237"/>
      <c r="AY418" s="237"/>
      <c r="AZ418" s="237"/>
      <c r="BA418" s="237"/>
      <c r="BB418" s="237"/>
    </row>
    <row r="419">
      <c r="E419" s="133"/>
      <c r="F419" s="237"/>
      <c r="G419" s="237"/>
      <c r="H419" s="131"/>
      <c r="I419" s="131"/>
      <c r="J419" s="131"/>
      <c r="K419" s="131"/>
      <c r="L419" s="131"/>
      <c r="T419" s="237"/>
      <c r="U419" s="237"/>
      <c r="V419" s="237"/>
      <c r="W419" s="237"/>
      <c r="X419" s="237"/>
      <c r="Y419" s="237"/>
      <c r="Z419" s="237"/>
      <c r="AH419" s="237"/>
      <c r="AI419" s="237"/>
      <c r="AJ419" s="237"/>
      <c r="AK419" s="237"/>
      <c r="AL419" s="237"/>
      <c r="AM419" s="237"/>
      <c r="AN419" s="237"/>
      <c r="AV419" s="237"/>
      <c r="AW419" s="237"/>
      <c r="AX419" s="237"/>
      <c r="AY419" s="237"/>
      <c r="AZ419" s="237"/>
      <c r="BA419" s="237"/>
      <c r="BB419" s="237"/>
    </row>
    <row r="420">
      <c r="E420" s="133"/>
      <c r="F420" s="237"/>
      <c r="G420" s="237"/>
      <c r="H420" s="131"/>
      <c r="I420" s="131"/>
      <c r="J420" s="131"/>
      <c r="K420" s="131"/>
      <c r="L420" s="131"/>
      <c r="T420" s="237"/>
      <c r="U420" s="237"/>
      <c r="V420" s="237"/>
      <c r="W420" s="237"/>
      <c r="X420" s="237"/>
      <c r="Y420" s="237"/>
      <c r="Z420" s="237"/>
      <c r="AH420" s="237"/>
      <c r="AI420" s="237"/>
      <c r="AJ420" s="237"/>
      <c r="AK420" s="237"/>
      <c r="AL420" s="237"/>
      <c r="AM420" s="237"/>
      <c r="AN420" s="237"/>
      <c r="AV420" s="237"/>
      <c r="AW420" s="237"/>
      <c r="AX420" s="237"/>
      <c r="AY420" s="237"/>
      <c r="AZ420" s="237"/>
      <c r="BA420" s="237"/>
      <c r="BB420" s="237"/>
    </row>
    <row r="421">
      <c r="E421" s="133"/>
      <c r="F421" s="237"/>
      <c r="G421" s="237"/>
      <c r="H421" s="131"/>
      <c r="I421" s="131"/>
      <c r="J421" s="131"/>
      <c r="K421" s="131"/>
      <c r="L421" s="131"/>
      <c r="T421" s="237"/>
      <c r="U421" s="237"/>
      <c r="V421" s="237"/>
      <c r="W421" s="237"/>
      <c r="X421" s="237"/>
      <c r="Y421" s="237"/>
      <c r="Z421" s="237"/>
      <c r="AH421" s="237"/>
      <c r="AI421" s="237"/>
      <c r="AJ421" s="237"/>
      <c r="AK421" s="237"/>
      <c r="AL421" s="237"/>
      <c r="AM421" s="237"/>
      <c r="AN421" s="237"/>
      <c r="AV421" s="237"/>
      <c r="AW421" s="237"/>
      <c r="AX421" s="237"/>
      <c r="AY421" s="237"/>
      <c r="AZ421" s="237"/>
      <c r="BA421" s="237"/>
      <c r="BB421" s="237"/>
    </row>
    <row r="422">
      <c r="E422" s="133"/>
      <c r="F422" s="237"/>
      <c r="G422" s="237"/>
      <c r="H422" s="131"/>
      <c r="I422" s="131"/>
      <c r="J422" s="131"/>
      <c r="K422" s="131"/>
      <c r="L422" s="131"/>
      <c r="T422" s="237"/>
      <c r="U422" s="237"/>
      <c r="V422" s="237"/>
      <c r="W422" s="237"/>
      <c r="X422" s="237"/>
      <c r="Y422" s="237"/>
      <c r="Z422" s="237"/>
      <c r="AH422" s="237"/>
      <c r="AI422" s="237"/>
      <c r="AJ422" s="237"/>
      <c r="AK422" s="237"/>
      <c r="AL422" s="237"/>
      <c r="AM422" s="237"/>
      <c r="AN422" s="237"/>
      <c r="AV422" s="237"/>
      <c r="AW422" s="237"/>
      <c r="AX422" s="237"/>
      <c r="AY422" s="237"/>
      <c r="AZ422" s="237"/>
      <c r="BA422" s="237"/>
      <c r="BB422" s="237"/>
    </row>
    <row r="423">
      <c r="E423" s="133"/>
      <c r="F423" s="237"/>
      <c r="G423" s="237"/>
      <c r="H423" s="131"/>
      <c r="I423" s="131"/>
      <c r="J423" s="131"/>
      <c r="K423" s="131"/>
      <c r="L423" s="131"/>
      <c r="T423" s="237"/>
      <c r="U423" s="237"/>
      <c r="V423" s="237"/>
      <c r="W423" s="237"/>
      <c r="X423" s="237"/>
      <c r="Y423" s="237"/>
      <c r="Z423" s="237"/>
      <c r="AH423" s="237"/>
      <c r="AI423" s="237"/>
      <c r="AJ423" s="237"/>
      <c r="AK423" s="237"/>
      <c r="AL423" s="237"/>
      <c r="AM423" s="237"/>
      <c r="AN423" s="237"/>
      <c r="AV423" s="237"/>
      <c r="AW423" s="237"/>
      <c r="AX423" s="237"/>
      <c r="AY423" s="237"/>
      <c r="AZ423" s="237"/>
      <c r="BA423" s="237"/>
      <c r="BB423" s="237"/>
    </row>
    <row r="424">
      <c r="E424" s="133"/>
      <c r="F424" s="237"/>
      <c r="G424" s="237"/>
      <c r="H424" s="131"/>
      <c r="I424" s="131"/>
      <c r="J424" s="131"/>
      <c r="K424" s="131"/>
      <c r="L424" s="131"/>
      <c r="T424" s="237"/>
      <c r="U424" s="237"/>
      <c r="V424" s="237"/>
      <c r="W424" s="237"/>
      <c r="X424" s="237"/>
      <c r="Y424" s="237"/>
      <c r="Z424" s="237"/>
      <c r="AH424" s="237"/>
      <c r="AI424" s="237"/>
      <c r="AJ424" s="237"/>
      <c r="AK424" s="237"/>
      <c r="AL424" s="237"/>
      <c r="AM424" s="237"/>
      <c r="AN424" s="237"/>
      <c r="AV424" s="237"/>
      <c r="AW424" s="237"/>
      <c r="AX424" s="237"/>
      <c r="AY424" s="237"/>
      <c r="AZ424" s="237"/>
      <c r="BA424" s="237"/>
      <c r="BB424" s="237"/>
    </row>
    <row r="425">
      <c r="E425" s="133"/>
      <c r="F425" s="237"/>
      <c r="G425" s="237"/>
      <c r="H425" s="131"/>
      <c r="I425" s="131"/>
      <c r="J425" s="131"/>
      <c r="K425" s="131"/>
      <c r="L425" s="131"/>
      <c r="T425" s="237"/>
      <c r="U425" s="237"/>
      <c r="V425" s="237"/>
      <c r="W425" s="237"/>
      <c r="X425" s="237"/>
      <c r="Y425" s="237"/>
      <c r="Z425" s="237"/>
      <c r="AH425" s="237"/>
      <c r="AI425" s="237"/>
      <c r="AJ425" s="237"/>
      <c r="AK425" s="237"/>
      <c r="AL425" s="237"/>
      <c r="AM425" s="237"/>
      <c r="AN425" s="237"/>
      <c r="AV425" s="237"/>
      <c r="AW425" s="237"/>
      <c r="AX425" s="237"/>
      <c r="AY425" s="237"/>
      <c r="AZ425" s="237"/>
      <c r="BA425" s="237"/>
      <c r="BB425" s="237"/>
    </row>
    <row r="426">
      <c r="E426" s="133"/>
      <c r="F426" s="237"/>
      <c r="G426" s="237"/>
      <c r="H426" s="131"/>
      <c r="I426" s="131"/>
      <c r="J426" s="131"/>
      <c r="K426" s="131"/>
      <c r="L426" s="131"/>
      <c r="T426" s="237"/>
      <c r="U426" s="237"/>
      <c r="V426" s="237"/>
      <c r="W426" s="237"/>
      <c r="X426" s="237"/>
      <c r="Y426" s="237"/>
      <c r="Z426" s="237"/>
      <c r="AH426" s="237"/>
      <c r="AI426" s="237"/>
      <c r="AJ426" s="237"/>
      <c r="AK426" s="237"/>
      <c r="AL426" s="237"/>
      <c r="AM426" s="237"/>
      <c r="AN426" s="237"/>
      <c r="AV426" s="237"/>
      <c r="AW426" s="237"/>
      <c r="AX426" s="237"/>
      <c r="AY426" s="237"/>
      <c r="AZ426" s="237"/>
      <c r="BA426" s="237"/>
      <c r="BB426" s="237"/>
    </row>
    <row r="427">
      <c r="E427" s="133"/>
      <c r="F427" s="237"/>
      <c r="G427" s="237"/>
      <c r="H427" s="131"/>
      <c r="I427" s="131"/>
      <c r="J427" s="131"/>
      <c r="K427" s="131"/>
      <c r="L427" s="131"/>
      <c r="T427" s="237"/>
      <c r="U427" s="237"/>
      <c r="V427" s="237"/>
      <c r="W427" s="237"/>
      <c r="X427" s="237"/>
      <c r="Y427" s="237"/>
      <c r="Z427" s="237"/>
      <c r="AH427" s="237"/>
      <c r="AI427" s="237"/>
      <c r="AJ427" s="237"/>
      <c r="AK427" s="237"/>
      <c r="AL427" s="237"/>
      <c r="AM427" s="237"/>
      <c r="AN427" s="237"/>
      <c r="AV427" s="237"/>
      <c r="AW427" s="237"/>
      <c r="AX427" s="237"/>
      <c r="AY427" s="237"/>
      <c r="AZ427" s="237"/>
      <c r="BA427" s="237"/>
      <c r="BB427" s="237"/>
    </row>
    <row r="428">
      <c r="E428" s="133"/>
      <c r="F428" s="237"/>
      <c r="G428" s="237"/>
      <c r="H428" s="131"/>
      <c r="I428" s="131"/>
      <c r="J428" s="131"/>
      <c r="K428" s="131"/>
      <c r="L428" s="131"/>
      <c r="T428" s="237"/>
      <c r="U428" s="237"/>
      <c r="V428" s="237"/>
      <c r="W428" s="237"/>
      <c r="X428" s="237"/>
      <c r="Y428" s="237"/>
      <c r="Z428" s="237"/>
      <c r="AH428" s="237"/>
      <c r="AI428" s="237"/>
      <c r="AJ428" s="237"/>
      <c r="AK428" s="237"/>
      <c r="AL428" s="237"/>
      <c r="AM428" s="237"/>
      <c r="AN428" s="237"/>
      <c r="AV428" s="237"/>
      <c r="AW428" s="237"/>
      <c r="AX428" s="237"/>
      <c r="AY428" s="237"/>
      <c r="AZ428" s="237"/>
      <c r="BA428" s="237"/>
      <c r="BB428" s="237"/>
    </row>
    <row r="429">
      <c r="E429" s="133"/>
      <c r="F429" s="237"/>
      <c r="G429" s="237"/>
      <c r="H429" s="131"/>
      <c r="I429" s="131"/>
      <c r="J429" s="131"/>
      <c r="K429" s="131"/>
      <c r="L429" s="131"/>
      <c r="T429" s="237"/>
      <c r="U429" s="237"/>
      <c r="V429" s="237"/>
      <c r="W429" s="237"/>
      <c r="X429" s="237"/>
      <c r="Y429" s="237"/>
      <c r="Z429" s="237"/>
      <c r="AH429" s="237"/>
      <c r="AI429" s="237"/>
      <c r="AJ429" s="237"/>
      <c r="AK429" s="237"/>
      <c r="AL429" s="237"/>
      <c r="AM429" s="237"/>
      <c r="AN429" s="237"/>
      <c r="AV429" s="237"/>
      <c r="AW429" s="237"/>
      <c r="AX429" s="237"/>
      <c r="AY429" s="237"/>
      <c r="AZ429" s="237"/>
      <c r="BA429" s="237"/>
      <c r="BB429" s="237"/>
    </row>
    <row r="430">
      <c r="E430" s="133"/>
      <c r="F430" s="237"/>
      <c r="G430" s="237"/>
      <c r="H430" s="131"/>
      <c r="I430" s="131"/>
      <c r="J430" s="131"/>
      <c r="K430" s="131"/>
      <c r="L430" s="131"/>
      <c r="T430" s="237"/>
      <c r="U430" s="237"/>
      <c r="V430" s="237"/>
      <c r="W430" s="237"/>
      <c r="X430" s="237"/>
      <c r="Y430" s="237"/>
      <c r="Z430" s="237"/>
      <c r="AH430" s="237"/>
      <c r="AI430" s="237"/>
      <c r="AJ430" s="237"/>
      <c r="AK430" s="237"/>
      <c r="AL430" s="237"/>
      <c r="AM430" s="237"/>
      <c r="AN430" s="237"/>
      <c r="AV430" s="237"/>
      <c r="AW430" s="237"/>
      <c r="AX430" s="237"/>
      <c r="AY430" s="237"/>
      <c r="AZ430" s="237"/>
      <c r="BA430" s="237"/>
      <c r="BB430" s="237"/>
    </row>
    <row r="431">
      <c r="E431" s="133"/>
      <c r="F431" s="237"/>
      <c r="G431" s="237"/>
      <c r="H431" s="131"/>
      <c r="I431" s="131"/>
      <c r="J431" s="131"/>
      <c r="K431" s="131"/>
      <c r="L431" s="131"/>
      <c r="T431" s="237"/>
      <c r="U431" s="237"/>
      <c r="V431" s="237"/>
      <c r="W431" s="237"/>
      <c r="X431" s="237"/>
      <c r="Y431" s="237"/>
      <c r="Z431" s="237"/>
      <c r="AH431" s="237"/>
      <c r="AI431" s="237"/>
      <c r="AJ431" s="237"/>
      <c r="AK431" s="237"/>
      <c r="AL431" s="237"/>
      <c r="AM431" s="237"/>
      <c r="AN431" s="237"/>
      <c r="AV431" s="237"/>
      <c r="AW431" s="237"/>
      <c r="AX431" s="237"/>
      <c r="AY431" s="237"/>
      <c r="AZ431" s="237"/>
      <c r="BA431" s="237"/>
      <c r="BB431" s="237"/>
    </row>
    <row r="432">
      <c r="E432" s="133"/>
      <c r="F432" s="237"/>
      <c r="G432" s="237"/>
      <c r="H432" s="131"/>
      <c r="I432" s="131"/>
      <c r="J432" s="131"/>
      <c r="K432" s="131"/>
      <c r="L432" s="131"/>
      <c r="T432" s="237"/>
      <c r="U432" s="237"/>
      <c r="V432" s="237"/>
      <c r="W432" s="237"/>
      <c r="X432" s="237"/>
      <c r="Y432" s="237"/>
      <c r="Z432" s="237"/>
      <c r="AH432" s="237"/>
      <c r="AI432" s="237"/>
      <c r="AJ432" s="237"/>
      <c r="AK432" s="237"/>
      <c r="AL432" s="237"/>
      <c r="AM432" s="237"/>
      <c r="AN432" s="237"/>
      <c r="AV432" s="237"/>
      <c r="AW432" s="237"/>
      <c r="AX432" s="237"/>
      <c r="AY432" s="237"/>
      <c r="AZ432" s="237"/>
      <c r="BA432" s="237"/>
      <c r="BB432" s="237"/>
    </row>
    <row r="433">
      <c r="E433" s="133"/>
      <c r="F433" s="237"/>
      <c r="G433" s="237"/>
      <c r="H433" s="131"/>
      <c r="I433" s="131"/>
      <c r="J433" s="131"/>
      <c r="K433" s="131"/>
      <c r="L433" s="131"/>
      <c r="T433" s="237"/>
      <c r="U433" s="237"/>
      <c r="V433" s="237"/>
      <c r="W433" s="237"/>
      <c r="X433" s="237"/>
      <c r="Y433" s="237"/>
      <c r="Z433" s="237"/>
      <c r="AH433" s="237"/>
      <c r="AI433" s="237"/>
      <c r="AJ433" s="237"/>
      <c r="AK433" s="237"/>
      <c r="AL433" s="237"/>
      <c r="AM433" s="237"/>
      <c r="AN433" s="237"/>
      <c r="AV433" s="237"/>
      <c r="AW433" s="237"/>
      <c r="AX433" s="237"/>
      <c r="AY433" s="237"/>
      <c r="AZ433" s="237"/>
      <c r="BA433" s="237"/>
      <c r="BB433" s="237"/>
    </row>
    <row r="434">
      <c r="E434" s="133"/>
      <c r="F434" s="237"/>
      <c r="G434" s="237"/>
      <c r="H434" s="131"/>
      <c r="I434" s="131"/>
      <c r="J434" s="131"/>
      <c r="K434" s="131"/>
      <c r="L434" s="131"/>
      <c r="T434" s="237"/>
      <c r="U434" s="237"/>
      <c r="V434" s="237"/>
      <c r="W434" s="237"/>
      <c r="X434" s="237"/>
      <c r="Y434" s="237"/>
      <c r="Z434" s="237"/>
      <c r="AH434" s="237"/>
      <c r="AI434" s="237"/>
      <c r="AJ434" s="237"/>
      <c r="AK434" s="237"/>
      <c r="AL434" s="237"/>
      <c r="AM434" s="237"/>
      <c r="AN434" s="237"/>
      <c r="AV434" s="237"/>
      <c r="AW434" s="237"/>
      <c r="AX434" s="237"/>
      <c r="AY434" s="237"/>
      <c r="AZ434" s="237"/>
      <c r="BA434" s="237"/>
      <c r="BB434" s="237"/>
    </row>
    <row r="435">
      <c r="E435" s="133"/>
      <c r="F435" s="237"/>
      <c r="G435" s="237"/>
      <c r="H435" s="131"/>
      <c r="I435" s="131"/>
      <c r="J435" s="131"/>
      <c r="K435" s="131"/>
      <c r="L435" s="131"/>
      <c r="T435" s="237"/>
      <c r="U435" s="237"/>
      <c r="V435" s="237"/>
      <c r="W435" s="237"/>
      <c r="X435" s="237"/>
      <c r="Y435" s="237"/>
      <c r="Z435" s="237"/>
      <c r="AH435" s="237"/>
      <c r="AI435" s="237"/>
      <c r="AJ435" s="237"/>
      <c r="AK435" s="237"/>
      <c r="AL435" s="237"/>
      <c r="AM435" s="237"/>
      <c r="AN435" s="237"/>
      <c r="AV435" s="237"/>
      <c r="AW435" s="237"/>
      <c r="AX435" s="237"/>
      <c r="AY435" s="237"/>
      <c r="AZ435" s="237"/>
      <c r="BA435" s="237"/>
      <c r="BB435" s="237"/>
    </row>
    <row r="436">
      <c r="E436" s="133"/>
      <c r="F436" s="237"/>
      <c r="G436" s="237"/>
      <c r="H436" s="131"/>
      <c r="I436" s="131"/>
      <c r="J436" s="131"/>
      <c r="K436" s="131"/>
      <c r="L436" s="131"/>
      <c r="T436" s="237"/>
      <c r="U436" s="237"/>
      <c r="V436" s="237"/>
      <c r="W436" s="237"/>
      <c r="X436" s="237"/>
      <c r="Y436" s="237"/>
      <c r="Z436" s="237"/>
      <c r="AH436" s="237"/>
      <c r="AI436" s="237"/>
      <c r="AJ436" s="237"/>
      <c r="AK436" s="237"/>
      <c r="AL436" s="237"/>
      <c r="AM436" s="237"/>
      <c r="AN436" s="237"/>
      <c r="AV436" s="237"/>
      <c r="AW436" s="237"/>
      <c r="AX436" s="237"/>
      <c r="AY436" s="237"/>
      <c r="AZ436" s="237"/>
      <c r="BA436" s="237"/>
      <c r="BB436" s="237"/>
    </row>
    <row r="437">
      <c r="E437" s="133"/>
      <c r="F437" s="237"/>
      <c r="G437" s="237"/>
      <c r="H437" s="131"/>
      <c r="I437" s="131"/>
      <c r="J437" s="131"/>
      <c r="K437" s="131"/>
      <c r="L437" s="131"/>
      <c r="T437" s="237"/>
      <c r="U437" s="237"/>
      <c r="V437" s="237"/>
      <c r="W437" s="237"/>
      <c r="X437" s="237"/>
      <c r="Y437" s="237"/>
      <c r="Z437" s="237"/>
      <c r="AH437" s="237"/>
      <c r="AI437" s="237"/>
      <c r="AJ437" s="237"/>
      <c r="AK437" s="237"/>
      <c r="AL437" s="237"/>
      <c r="AM437" s="237"/>
      <c r="AN437" s="237"/>
      <c r="AV437" s="237"/>
      <c r="AW437" s="237"/>
      <c r="AX437" s="237"/>
      <c r="AY437" s="237"/>
      <c r="AZ437" s="237"/>
      <c r="BA437" s="237"/>
      <c r="BB437" s="237"/>
    </row>
    <row r="438">
      <c r="E438" s="133"/>
      <c r="F438" s="237"/>
      <c r="G438" s="237"/>
      <c r="H438" s="131"/>
      <c r="I438" s="131"/>
      <c r="J438" s="131"/>
      <c r="K438" s="131"/>
      <c r="L438" s="131"/>
      <c r="T438" s="237"/>
      <c r="U438" s="237"/>
      <c r="V438" s="237"/>
      <c r="W438" s="237"/>
      <c r="X438" s="237"/>
      <c r="Y438" s="237"/>
      <c r="Z438" s="237"/>
      <c r="AH438" s="237"/>
      <c r="AI438" s="237"/>
      <c r="AJ438" s="237"/>
      <c r="AK438" s="237"/>
      <c r="AL438" s="237"/>
      <c r="AM438" s="237"/>
      <c r="AN438" s="237"/>
      <c r="AV438" s="237"/>
      <c r="AW438" s="237"/>
      <c r="AX438" s="237"/>
      <c r="AY438" s="237"/>
      <c r="AZ438" s="237"/>
      <c r="BA438" s="237"/>
      <c r="BB438" s="237"/>
    </row>
    <row r="439">
      <c r="E439" s="133"/>
      <c r="F439" s="237"/>
      <c r="G439" s="237"/>
      <c r="H439" s="131"/>
      <c r="I439" s="131"/>
      <c r="J439" s="131"/>
      <c r="K439" s="131"/>
      <c r="L439" s="131"/>
      <c r="T439" s="237"/>
      <c r="U439" s="237"/>
      <c r="V439" s="237"/>
      <c r="W439" s="237"/>
      <c r="X439" s="237"/>
      <c r="Y439" s="237"/>
      <c r="Z439" s="237"/>
      <c r="AH439" s="237"/>
      <c r="AI439" s="237"/>
      <c r="AJ439" s="237"/>
      <c r="AK439" s="237"/>
      <c r="AL439" s="237"/>
      <c r="AM439" s="237"/>
      <c r="AN439" s="237"/>
      <c r="AV439" s="237"/>
      <c r="AW439" s="237"/>
      <c r="AX439" s="237"/>
      <c r="AY439" s="237"/>
      <c r="AZ439" s="237"/>
      <c r="BA439" s="237"/>
      <c r="BB439" s="237"/>
    </row>
    <row r="440">
      <c r="E440" s="133"/>
      <c r="F440" s="237"/>
      <c r="G440" s="237"/>
      <c r="H440" s="131"/>
      <c r="I440" s="131"/>
      <c r="J440" s="131"/>
      <c r="K440" s="131"/>
      <c r="L440" s="131"/>
      <c r="T440" s="237"/>
      <c r="U440" s="237"/>
      <c r="V440" s="237"/>
      <c r="W440" s="237"/>
      <c r="X440" s="237"/>
      <c r="Y440" s="237"/>
      <c r="Z440" s="237"/>
      <c r="AH440" s="237"/>
      <c r="AI440" s="237"/>
      <c r="AJ440" s="237"/>
      <c r="AK440" s="237"/>
      <c r="AL440" s="237"/>
      <c r="AM440" s="237"/>
      <c r="AN440" s="237"/>
      <c r="AV440" s="237"/>
      <c r="AW440" s="237"/>
      <c r="AX440" s="237"/>
      <c r="AY440" s="237"/>
      <c r="AZ440" s="237"/>
      <c r="BA440" s="237"/>
      <c r="BB440" s="237"/>
    </row>
    <row r="441">
      <c r="E441" s="133"/>
      <c r="F441" s="237"/>
      <c r="G441" s="237"/>
      <c r="H441" s="131"/>
      <c r="I441" s="131"/>
      <c r="J441" s="131"/>
      <c r="K441" s="131"/>
      <c r="L441" s="131"/>
      <c r="T441" s="237"/>
      <c r="U441" s="237"/>
      <c r="V441" s="237"/>
      <c r="W441" s="237"/>
      <c r="X441" s="237"/>
      <c r="Y441" s="237"/>
      <c r="Z441" s="237"/>
      <c r="AH441" s="237"/>
      <c r="AI441" s="237"/>
      <c r="AJ441" s="237"/>
      <c r="AK441" s="237"/>
      <c r="AL441" s="237"/>
      <c r="AM441" s="237"/>
      <c r="AN441" s="237"/>
      <c r="AV441" s="237"/>
      <c r="AW441" s="237"/>
      <c r="AX441" s="237"/>
      <c r="AY441" s="237"/>
      <c r="AZ441" s="237"/>
      <c r="BA441" s="237"/>
      <c r="BB441" s="237"/>
    </row>
    <row r="442">
      <c r="E442" s="133"/>
      <c r="F442" s="237"/>
      <c r="G442" s="237"/>
      <c r="H442" s="131"/>
      <c r="I442" s="131"/>
      <c r="J442" s="131"/>
      <c r="K442" s="131"/>
      <c r="L442" s="131"/>
      <c r="T442" s="237"/>
      <c r="U442" s="237"/>
      <c r="V442" s="237"/>
      <c r="W442" s="237"/>
      <c r="X442" s="237"/>
      <c r="Y442" s="237"/>
      <c r="Z442" s="237"/>
      <c r="AH442" s="237"/>
      <c r="AI442" s="237"/>
      <c r="AJ442" s="237"/>
      <c r="AK442" s="237"/>
      <c r="AL442" s="237"/>
      <c r="AM442" s="237"/>
      <c r="AN442" s="237"/>
      <c r="AV442" s="237"/>
      <c r="AW442" s="237"/>
      <c r="AX442" s="237"/>
      <c r="AY442" s="237"/>
      <c r="AZ442" s="237"/>
      <c r="BA442" s="237"/>
      <c r="BB442" s="237"/>
    </row>
    <row r="443">
      <c r="E443" s="133"/>
      <c r="F443" s="237"/>
      <c r="G443" s="237"/>
      <c r="H443" s="131"/>
      <c r="I443" s="131"/>
      <c r="J443" s="131"/>
      <c r="K443" s="131"/>
      <c r="L443" s="131"/>
      <c r="T443" s="237"/>
      <c r="U443" s="237"/>
      <c r="V443" s="237"/>
      <c r="W443" s="237"/>
      <c r="X443" s="237"/>
      <c r="Y443" s="237"/>
      <c r="Z443" s="237"/>
      <c r="AH443" s="237"/>
      <c r="AI443" s="237"/>
      <c r="AJ443" s="237"/>
      <c r="AK443" s="237"/>
      <c r="AL443" s="237"/>
      <c r="AM443" s="237"/>
      <c r="AN443" s="237"/>
      <c r="AV443" s="237"/>
      <c r="AW443" s="237"/>
      <c r="AX443" s="237"/>
      <c r="AY443" s="237"/>
      <c r="AZ443" s="237"/>
      <c r="BA443" s="237"/>
      <c r="BB443" s="237"/>
    </row>
    <row r="444">
      <c r="E444" s="133"/>
      <c r="F444" s="237"/>
      <c r="G444" s="237"/>
      <c r="H444" s="131"/>
      <c r="I444" s="131"/>
      <c r="J444" s="131"/>
      <c r="K444" s="131"/>
      <c r="L444" s="131"/>
      <c r="T444" s="237"/>
      <c r="U444" s="237"/>
      <c r="V444" s="237"/>
      <c r="W444" s="237"/>
      <c r="X444" s="237"/>
      <c r="Y444" s="237"/>
      <c r="Z444" s="237"/>
      <c r="AH444" s="237"/>
      <c r="AI444" s="237"/>
      <c r="AJ444" s="237"/>
      <c r="AK444" s="237"/>
      <c r="AL444" s="237"/>
      <c r="AM444" s="237"/>
      <c r="AN444" s="237"/>
      <c r="AV444" s="237"/>
      <c r="AW444" s="237"/>
      <c r="AX444" s="237"/>
      <c r="AY444" s="237"/>
      <c r="AZ444" s="237"/>
      <c r="BA444" s="237"/>
      <c r="BB444" s="237"/>
    </row>
    <row r="445">
      <c r="E445" s="133"/>
      <c r="F445" s="237"/>
      <c r="G445" s="237"/>
      <c r="H445" s="131"/>
      <c r="I445" s="131"/>
      <c r="J445" s="131"/>
      <c r="K445" s="131"/>
      <c r="L445" s="131"/>
      <c r="T445" s="237"/>
      <c r="U445" s="237"/>
      <c r="V445" s="237"/>
      <c r="W445" s="237"/>
      <c r="X445" s="237"/>
      <c r="Y445" s="237"/>
      <c r="Z445" s="237"/>
      <c r="AH445" s="237"/>
      <c r="AI445" s="237"/>
      <c r="AJ445" s="237"/>
      <c r="AK445" s="237"/>
      <c r="AL445" s="237"/>
      <c r="AM445" s="237"/>
      <c r="AN445" s="237"/>
      <c r="AV445" s="237"/>
      <c r="AW445" s="237"/>
      <c r="AX445" s="237"/>
      <c r="AY445" s="237"/>
      <c r="AZ445" s="237"/>
      <c r="BA445" s="237"/>
      <c r="BB445" s="237"/>
    </row>
    <row r="446">
      <c r="E446" s="133"/>
      <c r="F446" s="237"/>
      <c r="G446" s="237"/>
      <c r="H446" s="131"/>
      <c r="I446" s="131"/>
      <c r="J446" s="131"/>
      <c r="K446" s="131"/>
      <c r="L446" s="131"/>
      <c r="T446" s="237"/>
      <c r="U446" s="237"/>
      <c r="V446" s="237"/>
      <c r="W446" s="237"/>
      <c r="X446" s="237"/>
      <c r="Y446" s="237"/>
      <c r="Z446" s="237"/>
      <c r="AH446" s="237"/>
      <c r="AI446" s="237"/>
      <c r="AJ446" s="237"/>
      <c r="AK446" s="237"/>
      <c r="AL446" s="237"/>
      <c r="AM446" s="237"/>
      <c r="AN446" s="237"/>
      <c r="AV446" s="237"/>
      <c r="AW446" s="237"/>
      <c r="AX446" s="237"/>
      <c r="AY446" s="237"/>
      <c r="AZ446" s="237"/>
      <c r="BA446" s="237"/>
      <c r="BB446" s="237"/>
    </row>
    <row r="447">
      <c r="E447" s="133"/>
      <c r="F447" s="237"/>
      <c r="G447" s="237"/>
      <c r="H447" s="131"/>
      <c r="I447" s="131"/>
      <c r="J447" s="131"/>
      <c r="K447" s="131"/>
      <c r="L447" s="131"/>
      <c r="T447" s="237"/>
      <c r="U447" s="237"/>
      <c r="V447" s="237"/>
      <c r="W447" s="237"/>
      <c r="X447" s="237"/>
      <c r="Y447" s="237"/>
      <c r="Z447" s="237"/>
      <c r="AH447" s="237"/>
      <c r="AI447" s="237"/>
      <c r="AJ447" s="237"/>
      <c r="AK447" s="237"/>
      <c r="AL447" s="237"/>
      <c r="AM447" s="237"/>
      <c r="AN447" s="237"/>
      <c r="AV447" s="237"/>
      <c r="AW447" s="237"/>
      <c r="AX447" s="237"/>
      <c r="AY447" s="237"/>
      <c r="AZ447" s="237"/>
      <c r="BA447" s="237"/>
      <c r="BB447" s="237"/>
    </row>
    <row r="448">
      <c r="E448" s="133"/>
      <c r="F448" s="237"/>
      <c r="G448" s="237"/>
      <c r="H448" s="131"/>
      <c r="I448" s="131"/>
      <c r="J448" s="131"/>
      <c r="K448" s="131"/>
      <c r="L448" s="131"/>
      <c r="T448" s="237"/>
      <c r="U448" s="237"/>
      <c r="V448" s="237"/>
      <c r="W448" s="237"/>
      <c r="X448" s="237"/>
      <c r="Y448" s="237"/>
      <c r="Z448" s="237"/>
      <c r="AH448" s="237"/>
      <c r="AI448" s="237"/>
      <c r="AJ448" s="237"/>
      <c r="AK448" s="237"/>
      <c r="AL448" s="237"/>
      <c r="AM448" s="237"/>
      <c r="AN448" s="237"/>
      <c r="AV448" s="237"/>
      <c r="AW448" s="237"/>
      <c r="AX448" s="237"/>
      <c r="AY448" s="237"/>
      <c r="AZ448" s="237"/>
      <c r="BA448" s="237"/>
      <c r="BB448" s="237"/>
    </row>
    <row r="449">
      <c r="E449" s="133"/>
      <c r="F449" s="237"/>
      <c r="G449" s="237"/>
      <c r="H449" s="131"/>
      <c r="I449" s="131"/>
      <c r="J449" s="131"/>
      <c r="K449" s="131"/>
      <c r="L449" s="131"/>
      <c r="T449" s="237"/>
      <c r="U449" s="237"/>
      <c r="V449" s="237"/>
      <c r="W449" s="237"/>
      <c r="X449" s="237"/>
      <c r="Y449" s="237"/>
      <c r="Z449" s="237"/>
      <c r="AH449" s="237"/>
      <c r="AI449" s="237"/>
      <c r="AJ449" s="237"/>
      <c r="AK449" s="237"/>
      <c r="AL449" s="237"/>
      <c r="AM449" s="237"/>
      <c r="AN449" s="237"/>
      <c r="AV449" s="237"/>
      <c r="AW449" s="237"/>
      <c r="AX449" s="237"/>
      <c r="AY449" s="237"/>
      <c r="AZ449" s="237"/>
      <c r="BA449" s="237"/>
      <c r="BB449" s="237"/>
    </row>
    <row r="450">
      <c r="E450" s="133"/>
      <c r="F450" s="237"/>
      <c r="G450" s="237"/>
      <c r="H450" s="131"/>
      <c r="I450" s="131"/>
      <c r="J450" s="131"/>
      <c r="K450" s="131"/>
      <c r="L450" s="131"/>
      <c r="T450" s="237"/>
      <c r="U450" s="237"/>
      <c r="V450" s="237"/>
      <c r="W450" s="237"/>
      <c r="X450" s="237"/>
      <c r="Y450" s="237"/>
      <c r="Z450" s="237"/>
      <c r="AH450" s="237"/>
      <c r="AI450" s="237"/>
      <c r="AJ450" s="237"/>
      <c r="AK450" s="237"/>
      <c r="AL450" s="237"/>
      <c r="AM450" s="237"/>
      <c r="AN450" s="237"/>
      <c r="AV450" s="237"/>
      <c r="AW450" s="237"/>
      <c r="AX450" s="237"/>
      <c r="AY450" s="237"/>
      <c r="AZ450" s="237"/>
      <c r="BA450" s="237"/>
      <c r="BB450" s="237"/>
    </row>
    <row r="451">
      <c r="E451" s="133"/>
      <c r="F451" s="237"/>
      <c r="G451" s="237"/>
      <c r="H451" s="131"/>
      <c r="I451" s="131"/>
      <c r="J451" s="131"/>
      <c r="K451" s="131"/>
      <c r="L451" s="131"/>
      <c r="T451" s="237"/>
      <c r="U451" s="237"/>
      <c r="V451" s="237"/>
      <c r="W451" s="237"/>
      <c r="X451" s="237"/>
      <c r="Y451" s="237"/>
      <c r="Z451" s="237"/>
      <c r="AH451" s="237"/>
      <c r="AI451" s="237"/>
      <c r="AJ451" s="237"/>
      <c r="AK451" s="237"/>
      <c r="AL451" s="237"/>
      <c r="AM451" s="237"/>
      <c r="AN451" s="237"/>
      <c r="AV451" s="237"/>
      <c r="AW451" s="237"/>
      <c r="AX451" s="237"/>
      <c r="AY451" s="237"/>
      <c r="AZ451" s="237"/>
      <c r="BA451" s="237"/>
      <c r="BB451" s="237"/>
    </row>
    <row r="452">
      <c r="E452" s="133"/>
      <c r="F452" s="237"/>
      <c r="G452" s="237"/>
      <c r="H452" s="131"/>
      <c r="I452" s="131"/>
      <c r="J452" s="131"/>
      <c r="K452" s="131"/>
      <c r="L452" s="131"/>
      <c r="T452" s="237"/>
      <c r="U452" s="237"/>
      <c r="V452" s="237"/>
      <c r="W452" s="237"/>
      <c r="X452" s="237"/>
      <c r="Y452" s="237"/>
      <c r="Z452" s="237"/>
      <c r="AH452" s="237"/>
      <c r="AI452" s="237"/>
      <c r="AJ452" s="237"/>
      <c r="AK452" s="237"/>
      <c r="AL452" s="237"/>
      <c r="AM452" s="237"/>
      <c r="AN452" s="237"/>
      <c r="AV452" s="237"/>
      <c r="AW452" s="237"/>
      <c r="AX452" s="237"/>
      <c r="AY452" s="237"/>
      <c r="AZ452" s="237"/>
      <c r="BA452" s="237"/>
      <c r="BB452" s="237"/>
    </row>
    <row r="453">
      <c r="E453" s="133"/>
      <c r="F453" s="237"/>
      <c r="G453" s="237"/>
      <c r="H453" s="131"/>
      <c r="I453" s="131"/>
      <c r="J453" s="131"/>
      <c r="K453" s="131"/>
      <c r="L453" s="131"/>
      <c r="T453" s="237"/>
      <c r="U453" s="237"/>
      <c r="V453" s="237"/>
      <c r="W453" s="237"/>
      <c r="X453" s="237"/>
      <c r="Y453" s="237"/>
      <c r="Z453" s="237"/>
      <c r="AH453" s="237"/>
      <c r="AI453" s="237"/>
      <c r="AJ453" s="237"/>
      <c r="AK453" s="237"/>
      <c r="AL453" s="237"/>
      <c r="AM453" s="237"/>
      <c r="AN453" s="237"/>
      <c r="AV453" s="237"/>
      <c r="AW453" s="237"/>
      <c r="AX453" s="237"/>
      <c r="AY453" s="237"/>
      <c r="AZ453" s="237"/>
      <c r="BA453" s="237"/>
      <c r="BB453" s="237"/>
    </row>
    <row r="454">
      <c r="E454" s="133"/>
      <c r="F454" s="237"/>
      <c r="G454" s="237"/>
      <c r="H454" s="131"/>
      <c r="I454" s="131"/>
      <c r="J454" s="131"/>
      <c r="K454" s="131"/>
      <c r="L454" s="131"/>
      <c r="T454" s="237"/>
      <c r="U454" s="237"/>
      <c r="V454" s="237"/>
      <c r="W454" s="237"/>
      <c r="X454" s="237"/>
      <c r="Y454" s="237"/>
      <c r="Z454" s="237"/>
      <c r="AH454" s="237"/>
      <c r="AI454" s="237"/>
      <c r="AJ454" s="237"/>
      <c r="AK454" s="237"/>
      <c r="AL454" s="237"/>
      <c r="AM454" s="237"/>
      <c r="AN454" s="237"/>
      <c r="AV454" s="237"/>
      <c r="AW454" s="237"/>
      <c r="AX454" s="237"/>
      <c r="AY454" s="237"/>
      <c r="AZ454" s="237"/>
      <c r="BA454" s="237"/>
      <c r="BB454" s="237"/>
    </row>
    <row r="455">
      <c r="E455" s="133"/>
      <c r="F455" s="237"/>
      <c r="G455" s="237"/>
      <c r="H455" s="131"/>
      <c r="I455" s="131"/>
      <c r="J455" s="131"/>
      <c r="K455" s="131"/>
      <c r="L455" s="131"/>
      <c r="T455" s="237"/>
      <c r="U455" s="237"/>
      <c r="V455" s="237"/>
      <c r="W455" s="237"/>
      <c r="X455" s="237"/>
      <c r="Y455" s="237"/>
      <c r="Z455" s="237"/>
      <c r="AH455" s="237"/>
      <c r="AI455" s="237"/>
      <c r="AJ455" s="237"/>
      <c r="AK455" s="237"/>
      <c r="AL455" s="237"/>
      <c r="AM455" s="237"/>
      <c r="AN455" s="237"/>
      <c r="AV455" s="237"/>
      <c r="AW455" s="237"/>
      <c r="AX455" s="237"/>
      <c r="AY455" s="237"/>
      <c r="AZ455" s="237"/>
      <c r="BA455" s="237"/>
      <c r="BB455" s="237"/>
    </row>
    <row r="456">
      <c r="E456" s="133"/>
      <c r="F456" s="237"/>
      <c r="G456" s="237"/>
      <c r="H456" s="131"/>
      <c r="I456" s="131"/>
      <c r="J456" s="131"/>
      <c r="K456" s="131"/>
      <c r="L456" s="131"/>
      <c r="T456" s="237"/>
      <c r="U456" s="237"/>
      <c r="V456" s="237"/>
      <c r="W456" s="237"/>
      <c r="X456" s="237"/>
      <c r="Y456" s="237"/>
      <c r="Z456" s="237"/>
      <c r="AH456" s="237"/>
      <c r="AI456" s="237"/>
      <c r="AJ456" s="237"/>
      <c r="AK456" s="237"/>
      <c r="AL456" s="237"/>
      <c r="AM456" s="237"/>
      <c r="AN456" s="237"/>
      <c r="AV456" s="237"/>
      <c r="AW456" s="237"/>
      <c r="AX456" s="237"/>
      <c r="AY456" s="237"/>
      <c r="AZ456" s="237"/>
      <c r="BA456" s="237"/>
      <c r="BB456" s="237"/>
    </row>
    <row r="457">
      <c r="E457" s="133"/>
      <c r="F457" s="237"/>
      <c r="G457" s="237"/>
      <c r="H457" s="131"/>
      <c r="I457" s="131"/>
      <c r="J457" s="131"/>
      <c r="K457" s="131"/>
      <c r="L457" s="131"/>
      <c r="T457" s="237"/>
      <c r="U457" s="237"/>
      <c r="V457" s="237"/>
      <c r="W457" s="237"/>
      <c r="X457" s="237"/>
      <c r="Y457" s="237"/>
      <c r="Z457" s="237"/>
      <c r="AH457" s="237"/>
      <c r="AI457" s="237"/>
      <c r="AJ457" s="237"/>
      <c r="AK457" s="237"/>
      <c r="AL457" s="237"/>
      <c r="AM457" s="237"/>
      <c r="AN457" s="237"/>
      <c r="AV457" s="237"/>
      <c r="AW457" s="237"/>
      <c r="AX457" s="237"/>
      <c r="AY457" s="237"/>
      <c r="AZ457" s="237"/>
      <c r="BA457" s="237"/>
      <c r="BB457" s="237"/>
    </row>
    <row r="458">
      <c r="E458" s="133"/>
      <c r="F458" s="237"/>
      <c r="G458" s="237"/>
      <c r="H458" s="131"/>
      <c r="I458" s="131"/>
      <c r="J458" s="131"/>
      <c r="K458" s="131"/>
      <c r="L458" s="131"/>
      <c r="T458" s="237"/>
      <c r="U458" s="237"/>
      <c r="V458" s="237"/>
      <c r="W458" s="237"/>
      <c r="X458" s="237"/>
      <c r="Y458" s="237"/>
      <c r="Z458" s="237"/>
      <c r="AH458" s="237"/>
      <c r="AI458" s="237"/>
      <c r="AJ458" s="237"/>
      <c r="AK458" s="237"/>
      <c r="AL458" s="237"/>
      <c r="AM458" s="237"/>
      <c r="AN458" s="237"/>
      <c r="AV458" s="237"/>
      <c r="AW458" s="237"/>
      <c r="AX458" s="237"/>
      <c r="AY458" s="237"/>
      <c r="AZ458" s="237"/>
      <c r="BA458" s="237"/>
      <c r="BB458" s="237"/>
    </row>
    <row r="459">
      <c r="E459" s="133"/>
      <c r="F459" s="237"/>
      <c r="G459" s="237"/>
      <c r="H459" s="131"/>
      <c r="I459" s="131"/>
      <c r="J459" s="131"/>
      <c r="K459" s="131"/>
      <c r="L459" s="131"/>
      <c r="T459" s="237"/>
      <c r="U459" s="237"/>
      <c r="V459" s="237"/>
      <c r="W459" s="237"/>
      <c r="X459" s="237"/>
      <c r="Y459" s="237"/>
      <c r="Z459" s="237"/>
      <c r="AH459" s="237"/>
      <c r="AI459" s="237"/>
      <c r="AJ459" s="237"/>
      <c r="AK459" s="237"/>
      <c r="AL459" s="237"/>
      <c r="AM459" s="237"/>
      <c r="AN459" s="237"/>
      <c r="AV459" s="237"/>
      <c r="AW459" s="237"/>
      <c r="AX459" s="237"/>
      <c r="AY459" s="237"/>
      <c r="AZ459" s="237"/>
      <c r="BA459" s="237"/>
      <c r="BB459" s="237"/>
    </row>
    <row r="460">
      <c r="E460" s="133"/>
      <c r="F460" s="237"/>
      <c r="G460" s="237"/>
      <c r="H460" s="131"/>
      <c r="I460" s="131"/>
      <c r="J460" s="131"/>
      <c r="K460" s="131"/>
      <c r="L460" s="131"/>
      <c r="T460" s="237"/>
      <c r="U460" s="237"/>
      <c r="V460" s="237"/>
      <c r="W460" s="237"/>
      <c r="X460" s="237"/>
      <c r="Y460" s="237"/>
      <c r="Z460" s="237"/>
      <c r="AH460" s="237"/>
      <c r="AI460" s="237"/>
      <c r="AJ460" s="237"/>
      <c r="AK460" s="237"/>
      <c r="AL460" s="237"/>
      <c r="AM460" s="237"/>
      <c r="AN460" s="237"/>
      <c r="AV460" s="237"/>
      <c r="AW460" s="237"/>
      <c r="AX460" s="237"/>
      <c r="AY460" s="237"/>
      <c r="AZ460" s="237"/>
      <c r="BA460" s="237"/>
      <c r="BB460" s="237"/>
    </row>
    <row r="461">
      <c r="E461" s="133"/>
      <c r="F461" s="237"/>
      <c r="G461" s="237"/>
      <c r="H461" s="131"/>
      <c r="I461" s="131"/>
      <c r="J461" s="131"/>
      <c r="K461" s="131"/>
      <c r="L461" s="131"/>
      <c r="T461" s="237"/>
      <c r="U461" s="237"/>
      <c r="V461" s="237"/>
      <c r="W461" s="237"/>
      <c r="X461" s="237"/>
      <c r="Y461" s="237"/>
      <c r="Z461" s="237"/>
      <c r="AH461" s="237"/>
      <c r="AI461" s="237"/>
      <c r="AJ461" s="237"/>
      <c r="AK461" s="237"/>
      <c r="AL461" s="237"/>
      <c r="AM461" s="237"/>
      <c r="AN461" s="237"/>
      <c r="AV461" s="237"/>
      <c r="AW461" s="237"/>
      <c r="AX461" s="237"/>
      <c r="AY461" s="237"/>
      <c r="AZ461" s="237"/>
      <c r="BA461" s="237"/>
      <c r="BB461" s="237"/>
    </row>
    <row r="462">
      <c r="E462" s="133"/>
      <c r="F462" s="237"/>
      <c r="G462" s="237"/>
      <c r="H462" s="131"/>
      <c r="I462" s="131"/>
      <c r="J462" s="131"/>
      <c r="K462" s="131"/>
      <c r="L462" s="131"/>
      <c r="T462" s="237"/>
      <c r="U462" s="237"/>
      <c r="V462" s="237"/>
      <c r="W462" s="237"/>
      <c r="X462" s="237"/>
      <c r="Y462" s="237"/>
      <c r="Z462" s="237"/>
      <c r="AH462" s="237"/>
      <c r="AI462" s="237"/>
      <c r="AJ462" s="237"/>
      <c r="AK462" s="237"/>
      <c r="AL462" s="237"/>
      <c r="AM462" s="237"/>
      <c r="AN462" s="237"/>
      <c r="AV462" s="237"/>
      <c r="AW462" s="237"/>
      <c r="AX462" s="237"/>
      <c r="AY462" s="237"/>
      <c r="AZ462" s="237"/>
      <c r="BA462" s="237"/>
      <c r="BB462" s="237"/>
    </row>
    <row r="463">
      <c r="E463" s="133"/>
      <c r="F463" s="237"/>
      <c r="G463" s="237"/>
      <c r="H463" s="131"/>
      <c r="I463" s="131"/>
      <c r="J463" s="131"/>
      <c r="K463" s="131"/>
      <c r="L463" s="131"/>
      <c r="T463" s="237"/>
      <c r="U463" s="237"/>
      <c r="V463" s="237"/>
      <c r="W463" s="237"/>
      <c r="X463" s="237"/>
      <c r="Y463" s="237"/>
      <c r="Z463" s="237"/>
      <c r="AH463" s="237"/>
      <c r="AI463" s="237"/>
      <c r="AJ463" s="237"/>
      <c r="AK463" s="237"/>
      <c r="AL463" s="237"/>
      <c r="AM463" s="237"/>
      <c r="AN463" s="237"/>
      <c r="AV463" s="237"/>
      <c r="AW463" s="237"/>
      <c r="AX463" s="237"/>
      <c r="AY463" s="237"/>
      <c r="AZ463" s="237"/>
      <c r="BA463" s="237"/>
      <c r="BB463" s="237"/>
    </row>
    <row r="464">
      <c r="E464" s="133"/>
      <c r="F464" s="237"/>
      <c r="G464" s="237"/>
      <c r="H464" s="131"/>
      <c r="I464" s="131"/>
      <c r="J464" s="131"/>
      <c r="K464" s="131"/>
      <c r="L464" s="131"/>
      <c r="T464" s="237"/>
      <c r="U464" s="237"/>
      <c r="V464" s="237"/>
      <c r="W464" s="237"/>
      <c r="X464" s="237"/>
      <c r="Y464" s="237"/>
      <c r="Z464" s="237"/>
      <c r="AH464" s="237"/>
      <c r="AI464" s="237"/>
      <c r="AJ464" s="237"/>
      <c r="AK464" s="237"/>
      <c r="AL464" s="237"/>
      <c r="AM464" s="237"/>
      <c r="AN464" s="237"/>
      <c r="AV464" s="237"/>
      <c r="AW464" s="237"/>
      <c r="AX464" s="237"/>
      <c r="AY464" s="237"/>
      <c r="AZ464" s="237"/>
      <c r="BA464" s="237"/>
      <c r="BB464" s="237"/>
    </row>
    <row r="465">
      <c r="E465" s="133"/>
      <c r="F465" s="237"/>
      <c r="G465" s="237"/>
      <c r="H465" s="131"/>
      <c r="I465" s="131"/>
      <c r="J465" s="131"/>
      <c r="K465" s="131"/>
      <c r="L465" s="131"/>
      <c r="T465" s="237"/>
      <c r="U465" s="237"/>
      <c r="V465" s="237"/>
      <c r="W465" s="237"/>
      <c r="X465" s="237"/>
      <c r="Y465" s="237"/>
      <c r="Z465" s="237"/>
      <c r="AH465" s="237"/>
      <c r="AI465" s="237"/>
      <c r="AJ465" s="237"/>
      <c r="AK465" s="237"/>
      <c r="AL465" s="237"/>
      <c r="AM465" s="237"/>
      <c r="AN465" s="237"/>
      <c r="AV465" s="237"/>
      <c r="AW465" s="237"/>
      <c r="AX465" s="237"/>
      <c r="AY465" s="237"/>
      <c r="AZ465" s="237"/>
      <c r="BA465" s="237"/>
      <c r="BB465" s="237"/>
    </row>
    <row r="466">
      <c r="E466" s="133"/>
      <c r="F466" s="237"/>
      <c r="G466" s="237"/>
      <c r="H466" s="131"/>
      <c r="I466" s="131"/>
      <c r="J466" s="131"/>
      <c r="K466" s="131"/>
      <c r="L466" s="131"/>
      <c r="T466" s="237"/>
      <c r="U466" s="237"/>
      <c r="V466" s="237"/>
      <c r="W466" s="237"/>
      <c r="X466" s="237"/>
      <c r="Y466" s="237"/>
      <c r="Z466" s="237"/>
      <c r="AH466" s="237"/>
      <c r="AI466" s="237"/>
      <c r="AJ466" s="237"/>
      <c r="AK466" s="237"/>
      <c r="AL466" s="237"/>
      <c r="AM466" s="237"/>
      <c r="AN466" s="237"/>
      <c r="AV466" s="237"/>
      <c r="AW466" s="237"/>
      <c r="AX466" s="237"/>
      <c r="AY466" s="237"/>
      <c r="AZ466" s="237"/>
      <c r="BA466" s="237"/>
      <c r="BB466" s="237"/>
    </row>
    <row r="467">
      <c r="E467" s="133"/>
      <c r="F467" s="237"/>
      <c r="G467" s="237"/>
      <c r="H467" s="131"/>
      <c r="I467" s="131"/>
      <c r="J467" s="131"/>
      <c r="K467" s="131"/>
      <c r="L467" s="131"/>
      <c r="T467" s="237"/>
      <c r="U467" s="237"/>
      <c r="V467" s="237"/>
      <c r="W467" s="237"/>
      <c r="X467" s="237"/>
      <c r="Y467" s="237"/>
      <c r="Z467" s="237"/>
      <c r="AH467" s="237"/>
      <c r="AI467" s="237"/>
      <c r="AJ467" s="237"/>
      <c r="AK467" s="237"/>
      <c r="AL467" s="237"/>
      <c r="AM467" s="237"/>
      <c r="AN467" s="237"/>
      <c r="AV467" s="237"/>
      <c r="AW467" s="237"/>
      <c r="AX467" s="237"/>
      <c r="AY467" s="237"/>
      <c r="AZ467" s="237"/>
      <c r="BA467" s="237"/>
      <c r="BB467" s="237"/>
    </row>
    <row r="468">
      <c r="E468" s="133"/>
      <c r="F468" s="237"/>
      <c r="G468" s="237"/>
      <c r="H468" s="131"/>
      <c r="I468" s="131"/>
      <c r="J468" s="131"/>
      <c r="K468" s="131"/>
      <c r="L468" s="131"/>
      <c r="T468" s="237"/>
      <c r="U468" s="237"/>
      <c r="V468" s="237"/>
      <c r="W468" s="237"/>
      <c r="X468" s="237"/>
      <c r="Y468" s="237"/>
      <c r="Z468" s="237"/>
      <c r="AH468" s="237"/>
      <c r="AI468" s="237"/>
      <c r="AJ468" s="237"/>
      <c r="AK468" s="237"/>
      <c r="AL468" s="237"/>
      <c r="AM468" s="237"/>
      <c r="AN468" s="237"/>
      <c r="AV468" s="237"/>
      <c r="AW468" s="237"/>
      <c r="AX468" s="237"/>
      <c r="AY468" s="237"/>
      <c r="AZ468" s="237"/>
      <c r="BA468" s="237"/>
      <c r="BB468" s="237"/>
    </row>
    <row r="469">
      <c r="E469" s="133"/>
      <c r="F469" s="237"/>
      <c r="G469" s="237"/>
      <c r="H469" s="131"/>
      <c r="I469" s="131"/>
      <c r="J469" s="131"/>
      <c r="K469" s="131"/>
      <c r="L469" s="131"/>
      <c r="T469" s="237"/>
      <c r="U469" s="237"/>
      <c r="V469" s="237"/>
      <c r="W469" s="237"/>
      <c r="X469" s="237"/>
      <c r="Y469" s="237"/>
      <c r="Z469" s="237"/>
      <c r="AH469" s="237"/>
      <c r="AI469" s="237"/>
      <c r="AJ469" s="237"/>
      <c r="AK469" s="237"/>
      <c r="AL469" s="237"/>
      <c r="AM469" s="237"/>
      <c r="AN469" s="237"/>
      <c r="AV469" s="237"/>
      <c r="AW469" s="237"/>
      <c r="AX469" s="237"/>
      <c r="AY469" s="237"/>
      <c r="AZ469" s="237"/>
      <c r="BA469" s="237"/>
      <c r="BB469" s="237"/>
    </row>
    <row r="470">
      <c r="E470" s="133"/>
      <c r="F470" s="237"/>
      <c r="G470" s="237"/>
      <c r="H470" s="131"/>
      <c r="I470" s="131"/>
      <c r="J470" s="131"/>
      <c r="K470" s="131"/>
      <c r="L470" s="131"/>
      <c r="T470" s="237"/>
      <c r="U470" s="237"/>
      <c r="V470" s="237"/>
      <c r="W470" s="237"/>
      <c r="X470" s="237"/>
      <c r="Y470" s="237"/>
      <c r="Z470" s="237"/>
      <c r="AH470" s="237"/>
      <c r="AI470" s="237"/>
      <c r="AJ470" s="237"/>
      <c r="AK470" s="237"/>
      <c r="AL470" s="237"/>
      <c r="AM470" s="237"/>
      <c r="AN470" s="237"/>
      <c r="AV470" s="237"/>
      <c r="AW470" s="237"/>
      <c r="AX470" s="237"/>
      <c r="AY470" s="237"/>
      <c r="AZ470" s="237"/>
      <c r="BA470" s="237"/>
      <c r="BB470" s="237"/>
    </row>
    <row r="471">
      <c r="E471" s="133"/>
      <c r="F471" s="237"/>
      <c r="G471" s="237"/>
      <c r="H471" s="131"/>
      <c r="I471" s="131"/>
      <c r="J471" s="131"/>
      <c r="K471" s="131"/>
      <c r="L471" s="131"/>
      <c r="T471" s="237"/>
      <c r="U471" s="237"/>
      <c r="V471" s="237"/>
      <c r="W471" s="237"/>
      <c r="X471" s="237"/>
      <c r="Y471" s="237"/>
      <c r="Z471" s="237"/>
      <c r="AH471" s="237"/>
      <c r="AI471" s="237"/>
      <c r="AJ471" s="237"/>
      <c r="AK471" s="237"/>
      <c r="AL471" s="237"/>
      <c r="AM471" s="237"/>
      <c r="AN471" s="237"/>
      <c r="AV471" s="237"/>
      <c r="AW471" s="237"/>
      <c r="AX471" s="237"/>
      <c r="AY471" s="237"/>
      <c r="AZ471" s="237"/>
      <c r="BA471" s="237"/>
      <c r="BB471" s="237"/>
    </row>
    <row r="472">
      <c r="E472" s="133"/>
      <c r="F472" s="237"/>
      <c r="G472" s="237"/>
      <c r="H472" s="131"/>
      <c r="I472" s="131"/>
      <c r="J472" s="131"/>
      <c r="K472" s="131"/>
      <c r="L472" s="131"/>
      <c r="T472" s="237"/>
      <c r="U472" s="237"/>
      <c r="V472" s="237"/>
      <c r="W472" s="237"/>
      <c r="X472" s="237"/>
      <c r="Y472" s="237"/>
      <c r="Z472" s="237"/>
      <c r="AH472" s="237"/>
      <c r="AI472" s="237"/>
      <c r="AJ472" s="237"/>
      <c r="AK472" s="237"/>
      <c r="AL472" s="237"/>
      <c r="AM472" s="237"/>
      <c r="AN472" s="237"/>
      <c r="AV472" s="237"/>
      <c r="AW472" s="237"/>
      <c r="AX472" s="237"/>
      <c r="AY472" s="237"/>
      <c r="AZ472" s="237"/>
      <c r="BA472" s="237"/>
      <c r="BB472" s="237"/>
    </row>
    <row r="473">
      <c r="E473" s="133"/>
      <c r="F473" s="237"/>
      <c r="G473" s="237"/>
      <c r="H473" s="131"/>
      <c r="I473" s="131"/>
      <c r="J473" s="131"/>
      <c r="K473" s="131"/>
      <c r="L473" s="131"/>
      <c r="T473" s="237"/>
      <c r="U473" s="237"/>
      <c r="V473" s="237"/>
      <c r="W473" s="237"/>
      <c r="X473" s="237"/>
      <c r="Y473" s="237"/>
      <c r="Z473" s="237"/>
      <c r="AH473" s="237"/>
      <c r="AI473" s="237"/>
      <c r="AJ473" s="237"/>
      <c r="AK473" s="237"/>
      <c r="AL473" s="237"/>
      <c r="AM473" s="237"/>
      <c r="AN473" s="237"/>
      <c r="AV473" s="237"/>
      <c r="AW473" s="237"/>
      <c r="AX473" s="237"/>
      <c r="AY473" s="237"/>
      <c r="AZ473" s="237"/>
      <c r="BA473" s="237"/>
      <c r="BB473" s="237"/>
    </row>
    <row r="474">
      <c r="E474" s="133"/>
      <c r="F474" s="237"/>
      <c r="G474" s="237"/>
      <c r="H474" s="131"/>
      <c r="I474" s="131"/>
      <c r="J474" s="131"/>
      <c r="K474" s="131"/>
      <c r="L474" s="131"/>
      <c r="T474" s="237"/>
      <c r="U474" s="237"/>
      <c r="V474" s="237"/>
      <c r="W474" s="237"/>
      <c r="X474" s="237"/>
      <c r="Y474" s="237"/>
      <c r="Z474" s="237"/>
      <c r="AH474" s="237"/>
      <c r="AI474" s="237"/>
      <c r="AJ474" s="237"/>
      <c r="AK474" s="237"/>
      <c r="AL474" s="237"/>
      <c r="AM474" s="237"/>
      <c r="AN474" s="237"/>
      <c r="AV474" s="237"/>
      <c r="AW474" s="237"/>
      <c r="AX474" s="237"/>
      <c r="AY474" s="237"/>
      <c r="AZ474" s="237"/>
      <c r="BA474" s="237"/>
      <c r="BB474" s="237"/>
    </row>
    <row r="475">
      <c r="E475" s="133"/>
      <c r="F475" s="237"/>
      <c r="G475" s="237"/>
      <c r="H475" s="131"/>
      <c r="I475" s="131"/>
      <c r="J475" s="131"/>
      <c r="K475" s="131"/>
      <c r="L475" s="131"/>
      <c r="T475" s="237"/>
      <c r="U475" s="237"/>
      <c r="V475" s="237"/>
      <c r="W475" s="237"/>
      <c r="X475" s="237"/>
      <c r="Y475" s="237"/>
      <c r="Z475" s="237"/>
      <c r="AH475" s="237"/>
      <c r="AI475" s="237"/>
      <c r="AJ475" s="237"/>
      <c r="AK475" s="237"/>
      <c r="AL475" s="237"/>
      <c r="AM475" s="237"/>
      <c r="AN475" s="237"/>
      <c r="AV475" s="237"/>
      <c r="AW475" s="237"/>
      <c r="AX475" s="237"/>
      <c r="AY475" s="237"/>
      <c r="AZ475" s="237"/>
      <c r="BA475" s="237"/>
      <c r="BB475" s="237"/>
    </row>
    <row r="476">
      <c r="E476" s="133"/>
      <c r="F476" s="237"/>
      <c r="G476" s="237"/>
      <c r="H476" s="131"/>
      <c r="I476" s="131"/>
      <c r="J476" s="131"/>
      <c r="K476" s="131"/>
      <c r="L476" s="131"/>
      <c r="T476" s="237"/>
      <c r="U476" s="237"/>
      <c r="V476" s="237"/>
      <c r="W476" s="237"/>
      <c r="X476" s="237"/>
      <c r="Y476" s="237"/>
      <c r="Z476" s="237"/>
      <c r="AH476" s="237"/>
      <c r="AI476" s="237"/>
      <c r="AJ476" s="237"/>
      <c r="AK476" s="237"/>
      <c r="AL476" s="237"/>
      <c r="AM476" s="237"/>
      <c r="AN476" s="237"/>
      <c r="AV476" s="237"/>
      <c r="AW476" s="237"/>
      <c r="AX476" s="237"/>
      <c r="AY476" s="237"/>
      <c r="AZ476" s="237"/>
      <c r="BA476" s="237"/>
      <c r="BB476" s="237"/>
    </row>
    <row r="477">
      <c r="E477" s="133"/>
      <c r="F477" s="237"/>
      <c r="G477" s="237"/>
      <c r="H477" s="131"/>
      <c r="I477" s="131"/>
      <c r="J477" s="131"/>
      <c r="K477" s="131"/>
      <c r="L477" s="131"/>
      <c r="T477" s="237"/>
      <c r="U477" s="237"/>
      <c r="V477" s="237"/>
      <c r="W477" s="237"/>
      <c r="X477" s="237"/>
      <c r="Y477" s="237"/>
      <c r="Z477" s="237"/>
      <c r="AH477" s="237"/>
      <c r="AI477" s="237"/>
      <c r="AJ477" s="237"/>
      <c r="AK477" s="237"/>
      <c r="AL477" s="237"/>
      <c r="AM477" s="237"/>
      <c r="AN477" s="237"/>
      <c r="AV477" s="237"/>
      <c r="AW477" s="237"/>
      <c r="AX477" s="237"/>
      <c r="AY477" s="237"/>
      <c r="AZ477" s="237"/>
      <c r="BA477" s="237"/>
      <c r="BB477" s="237"/>
    </row>
    <row r="478">
      <c r="E478" s="133"/>
      <c r="F478" s="237"/>
      <c r="G478" s="237"/>
      <c r="H478" s="131"/>
      <c r="I478" s="131"/>
      <c r="J478" s="131"/>
      <c r="K478" s="131"/>
      <c r="L478" s="131"/>
      <c r="T478" s="237"/>
      <c r="U478" s="237"/>
      <c r="V478" s="237"/>
      <c r="W478" s="237"/>
      <c r="X478" s="237"/>
      <c r="Y478" s="237"/>
      <c r="Z478" s="237"/>
      <c r="AH478" s="237"/>
      <c r="AI478" s="237"/>
      <c r="AJ478" s="237"/>
      <c r="AK478" s="237"/>
      <c r="AL478" s="237"/>
      <c r="AM478" s="237"/>
      <c r="AN478" s="237"/>
      <c r="AV478" s="237"/>
      <c r="AW478" s="237"/>
      <c r="AX478" s="237"/>
      <c r="AY478" s="237"/>
      <c r="AZ478" s="237"/>
      <c r="BA478" s="237"/>
      <c r="BB478" s="237"/>
    </row>
    <row r="479">
      <c r="E479" s="133"/>
      <c r="F479" s="237"/>
      <c r="G479" s="237"/>
      <c r="H479" s="131"/>
      <c r="I479" s="131"/>
      <c r="J479" s="131"/>
      <c r="K479" s="131"/>
      <c r="L479" s="131"/>
      <c r="T479" s="237"/>
      <c r="U479" s="237"/>
      <c r="V479" s="237"/>
      <c r="W479" s="237"/>
      <c r="X479" s="237"/>
      <c r="Y479" s="237"/>
      <c r="Z479" s="237"/>
      <c r="AH479" s="237"/>
      <c r="AI479" s="237"/>
      <c r="AJ479" s="237"/>
      <c r="AK479" s="237"/>
      <c r="AL479" s="237"/>
      <c r="AM479" s="237"/>
      <c r="AN479" s="237"/>
      <c r="AV479" s="237"/>
      <c r="AW479" s="237"/>
      <c r="AX479" s="237"/>
      <c r="AY479" s="237"/>
      <c r="AZ479" s="237"/>
      <c r="BA479" s="237"/>
      <c r="BB479" s="237"/>
    </row>
    <row r="480">
      <c r="E480" s="133"/>
      <c r="F480" s="237"/>
      <c r="G480" s="237"/>
      <c r="H480" s="131"/>
      <c r="I480" s="131"/>
      <c r="J480" s="131"/>
      <c r="K480" s="131"/>
      <c r="L480" s="131"/>
      <c r="T480" s="237"/>
      <c r="U480" s="237"/>
      <c r="V480" s="237"/>
      <c r="W480" s="237"/>
      <c r="X480" s="237"/>
      <c r="Y480" s="237"/>
      <c r="Z480" s="237"/>
      <c r="AH480" s="237"/>
      <c r="AI480" s="237"/>
      <c r="AJ480" s="237"/>
      <c r="AK480" s="237"/>
      <c r="AL480" s="237"/>
      <c r="AM480" s="237"/>
      <c r="AN480" s="237"/>
      <c r="AV480" s="237"/>
      <c r="AW480" s="237"/>
      <c r="AX480" s="237"/>
      <c r="AY480" s="237"/>
      <c r="AZ480" s="237"/>
      <c r="BA480" s="237"/>
      <c r="BB480" s="237"/>
    </row>
    <row r="481">
      <c r="E481" s="133"/>
      <c r="F481" s="237"/>
      <c r="G481" s="237"/>
      <c r="H481" s="131"/>
      <c r="I481" s="131"/>
      <c r="J481" s="131"/>
      <c r="K481" s="131"/>
      <c r="L481" s="131"/>
      <c r="T481" s="237"/>
      <c r="U481" s="237"/>
      <c r="V481" s="237"/>
      <c r="W481" s="237"/>
      <c r="X481" s="237"/>
      <c r="Y481" s="237"/>
      <c r="Z481" s="237"/>
      <c r="AH481" s="237"/>
      <c r="AI481" s="237"/>
      <c r="AJ481" s="237"/>
      <c r="AK481" s="237"/>
      <c r="AL481" s="237"/>
      <c r="AM481" s="237"/>
      <c r="AN481" s="237"/>
      <c r="AV481" s="237"/>
      <c r="AW481" s="237"/>
      <c r="AX481" s="237"/>
      <c r="AY481" s="237"/>
      <c r="AZ481" s="237"/>
      <c r="BA481" s="237"/>
      <c r="BB481" s="237"/>
    </row>
    <row r="482">
      <c r="E482" s="133"/>
      <c r="F482" s="237"/>
      <c r="G482" s="237"/>
      <c r="H482" s="131"/>
      <c r="I482" s="131"/>
      <c r="J482" s="131"/>
      <c r="K482" s="131"/>
      <c r="L482" s="131"/>
      <c r="T482" s="237"/>
      <c r="U482" s="237"/>
      <c r="V482" s="237"/>
      <c r="W482" s="237"/>
      <c r="X482" s="237"/>
      <c r="Y482" s="237"/>
      <c r="Z482" s="237"/>
      <c r="AH482" s="237"/>
      <c r="AI482" s="237"/>
      <c r="AJ482" s="237"/>
      <c r="AK482" s="237"/>
      <c r="AL482" s="237"/>
      <c r="AM482" s="237"/>
      <c r="AN482" s="237"/>
      <c r="AV482" s="237"/>
      <c r="AW482" s="237"/>
      <c r="AX482" s="237"/>
      <c r="AY482" s="237"/>
      <c r="AZ482" s="237"/>
      <c r="BA482" s="237"/>
      <c r="BB482" s="237"/>
    </row>
    <row r="483">
      <c r="E483" s="133"/>
      <c r="F483" s="237"/>
      <c r="G483" s="237"/>
      <c r="H483" s="131"/>
      <c r="I483" s="131"/>
      <c r="J483" s="131"/>
      <c r="K483" s="131"/>
      <c r="L483" s="131"/>
      <c r="T483" s="237"/>
      <c r="U483" s="237"/>
      <c r="V483" s="237"/>
      <c r="W483" s="237"/>
      <c r="X483" s="237"/>
      <c r="Y483" s="237"/>
      <c r="Z483" s="237"/>
      <c r="AH483" s="237"/>
      <c r="AI483" s="237"/>
      <c r="AJ483" s="237"/>
      <c r="AK483" s="237"/>
      <c r="AL483" s="237"/>
      <c r="AM483" s="237"/>
      <c r="AN483" s="237"/>
      <c r="AV483" s="237"/>
      <c r="AW483" s="237"/>
      <c r="AX483" s="237"/>
      <c r="AY483" s="237"/>
      <c r="AZ483" s="237"/>
      <c r="BA483" s="237"/>
      <c r="BB483" s="237"/>
    </row>
    <row r="484">
      <c r="E484" s="133"/>
      <c r="F484" s="237"/>
      <c r="G484" s="237"/>
      <c r="H484" s="131"/>
      <c r="I484" s="131"/>
      <c r="J484" s="131"/>
      <c r="K484" s="131"/>
      <c r="L484" s="131"/>
      <c r="T484" s="237"/>
      <c r="U484" s="237"/>
      <c r="V484" s="237"/>
      <c r="W484" s="237"/>
      <c r="X484" s="237"/>
      <c r="Y484" s="237"/>
      <c r="Z484" s="237"/>
      <c r="AH484" s="237"/>
      <c r="AI484" s="237"/>
      <c r="AJ484" s="237"/>
      <c r="AK484" s="237"/>
      <c r="AL484" s="237"/>
      <c r="AM484" s="237"/>
      <c r="AN484" s="237"/>
      <c r="AV484" s="237"/>
      <c r="AW484" s="237"/>
      <c r="AX484" s="237"/>
      <c r="AY484" s="237"/>
      <c r="AZ484" s="237"/>
      <c r="BA484" s="237"/>
      <c r="BB484" s="237"/>
    </row>
    <row r="485">
      <c r="E485" s="133"/>
      <c r="F485" s="237"/>
      <c r="G485" s="237"/>
      <c r="H485" s="131"/>
      <c r="I485" s="131"/>
      <c r="J485" s="131"/>
      <c r="K485" s="131"/>
      <c r="L485" s="131"/>
      <c r="T485" s="237"/>
      <c r="U485" s="237"/>
      <c r="V485" s="237"/>
      <c r="W485" s="237"/>
      <c r="X485" s="237"/>
      <c r="Y485" s="237"/>
      <c r="Z485" s="237"/>
      <c r="AH485" s="237"/>
      <c r="AI485" s="237"/>
      <c r="AJ485" s="237"/>
      <c r="AK485" s="237"/>
      <c r="AL485" s="237"/>
      <c r="AM485" s="237"/>
      <c r="AN485" s="237"/>
      <c r="AV485" s="237"/>
      <c r="AW485" s="237"/>
      <c r="AX485" s="237"/>
      <c r="AY485" s="237"/>
      <c r="AZ485" s="237"/>
      <c r="BA485" s="237"/>
      <c r="BB485" s="237"/>
    </row>
    <row r="486">
      <c r="E486" s="133"/>
      <c r="F486" s="237"/>
      <c r="G486" s="237"/>
      <c r="H486" s="131"/>
      <c r="I486" s="131"/>
      <c r="J486" s="131"/>
      <c r="K486" s="131"/>
      <c r="L486" s="131"/>
      <c r="T486" s="237"/>
      <c r="U486" s="237"/>
      <c r="V486" s="237"/>
      <c r="W486" s="237"/>
      <c r="X486" s="237"/>
      <c r="Y486" s="237"/>
      <c r="Z486" s="237"/>
      <c r="AH486" s="237"/>
      <c r="AI486" s="237"/>
      <c r="AJ486" s="237"/>
      <c r="AK486" s="237"/>
      <c r="AL486" s="237"/>
      <c r="AM486" s="237"/>
      <c r="AN486" s="237"/>
      <c r="AV486" s="237"/>
      <c r="AW486" s="237"/>
      <c r="AX486" s="237"/>
      <c r="AY486" s="237"/>
      <c r="AZ486" s="237"/>
      <c r="BA486" s="237"/>
      <c r="BB486" s="237"/>
    </row>
    <row r="487">
      <c r="E487" s="133"/>
      <c r="F487" s="237"/>
      <c r="G487" s="237"/>
      <c r="H487" s="131"/>
      <c r="I487" s="131"/>
      <c r="J487" s="131"/>
      <c r="K487" s="131"/>
      <c r="L487" s="131"/>
      <c r="T487" s="237"/>
      <c r="U487" s="237"/>
      <c r="V487" s="237"/>
      <c r="W487" s="237"/>
      <c r="X487" s="237"/>
      <c r="Y487" s="237"/>
      <c r="Z487" s="237"/>
      <c r="AH487" s="237"/>
      <c r="AI487" s="237"/>
      <c r="AJ487" s="237"/>
      <c r="AK487" s="237"/>
      <c r="AL487" s="237"/>
      <c r="AM487" s="237"/>
      <c r="AN487" s="237"/>
      <c r="AV487" s="237"/>
      <c r="AW487" s="237"/>
      <c r="AX487" s="237"/>
      <c r="AY487" s="237"/>
      <c r="AZ487" s="237"/>
      <c r="BA487" s="237"/>
      <c r="BB487" s="237"/>
    </row>
    <row r="488">
      <c r="E488" s="133"/>
      <c r="F488" s="237"/>
      <c r="G488" s="237"/>
      <c r="H488" s="131"/>
      <c r="I488" s="131"/>
      <c r="J488" s="131"/>
      <c r="K488" s="131"/>
      <c r="L488" s="131"/>
      <c r="T488" s="237"/>
      <c r="U488" s="237"/>
      <c r="V488" s="237"/>
      <c r="W488" s="237"/>
      <c r="X488" s="237"/>
      <c r="Y488" s="237"/>
      <c r="Z488" s="237"/>
      <c r="AH488" s="237"/>
      <c r="AI488" s="237"/>
      <c r="AJ488" s="237"/>
      <c r="AK488" s="237"/>
      <c r="AL488" s="237"/>
      <c r="AM488" s="237"/>
      <c r="AN488" s="237"/>
      <c r="AV488" s="237"/>
      <c r="AW488" s="237"/>
      <c r="AX488" s="237"/>
      <c r="AY488" s="237"/>
      <c r="AZ488" s="237"/>
      <c r="BA488" s="237"/>
      <c r="BB488" s="237"/>
    </row>
    <row r="489">
      <c r="E489" s="133"/>
      <c r="F489" s="237"/>
      <c r="G489" s="237"/>
      <c r="H489" s="131"/>
      <c r="I489" s="131"/>
      <c r="J489" s="131"/>
      <c r="K489" s="131"/>
      <c r="L489" s="131"/>
      <c r="T489" s="237"/>
      <c r="U489" s="237"/>
      <c r="V489" s="237"/>
      <c r="W489" s="237"/>
      <c r="X489" s="237"/>
      <c r="Y489" s="237"/>
      <c r="Z489" s="237"/>
      <c r="AH489" s="237"/>
      <c r="AI489" s="237"/>
      <c r="AJ489" s="237"/>
      <c r="AK489" s="237"/>
      <c r="AL489" s="237"/>
      <c r="AM489" s="237"/>
      <c r="AN489" s="237"/>
      <c r="AV489" s="237"/>
      <c r="AW489" s="237"/>
      <c r="AX489" s="237"/>
      <c r="AY489" s="237"/>
      <c r="AZ489" s="237"/>
      <c r="BA489" s="237"/>
      <c r="BB489" s="237"/>
    </row>
    <row r="490">
      <c r="E490" s="133"/>
      <c r="F490" s="237"/>
      <c r="G490" s="237"/>
      <c r="H490" s="131"/>
      <c r="I490" s="131"/>
      <c r="J490" s="131"/>
      <c r="K490" s="131"/>
      <c r="L490" s="131"/>
      <c r="T490" s="237"/>
      <c r="U490" s="237"/>
      <c r="V490" s="237"/>
      <c r="W490" s="237"/>
      <c r="X490" s="237"/>
      <c r="Y490" s="237"/>
      <c r="Z490" s="237"/>
      <c r="AH490" s="237"/>
      <c r="AI490" s="237"/>
      <c r="AJ490" s="237"/>
      <c r="AK490" s="237"/>
      <c r="AL490" s="237"/>
      <c r="AM490" s="237"/>
      <c r="AN490" s="237"/>
      <c r="AV490" s="237"/>
      <c r="AW490" s="237"/>
      <c r="AX490" s="237"/>
      <c r="AY490" s="237"/>
      <c r="AZ490" s="237"/>
      <c r="BA490" s="237"/>
      <c r="BB490" s="237"/>
    </row>
    <row r="491">
      <c r="E491" s="133"/>
      <c r="F491" s="237"/>
      <c r="G491" s="237"/>
      <c r="H491" s="131"/>
      <c r="I491" s="131"/>
      <c r="J491" s="131"/>
      <c r="K491" s="131"/>
      <c r="L491" s="131"/>
      <c r="T491" s="237"/>
      <c r="U491" s="237"/>
      <c r="V491" s="237"/>
      <c r="W491" s="237"/>
      <c r="X491" s="237"/>
      <c r="Y491" s="237"/>
      <c r="Z491" s="237"/>
      <c r="AH491" s="237"/>
      <c r="AI491" s="237"/>
      <c r="AJ491" s="237"/>
      <c r="AK491" s="237"/>
      <c r="AL491" s="237"/>
      <c r="AM491" s="237"/>
      <c r="AN491" s="237"/>
      <c r="AV491" s="237"/>
      <c r="AW491" s="237"/>
      <c r="AX491" s="237"/>
      <c r="AY491" s="237"/>
      <c r="AZ491" s="237"/>
      <c r="BA491" s="237"/>
      <c r="BB491" s="237"/>
    </row>
    <row r="492">
      <c r="E492" s="133"/>
      <c r="F492" s="237"/>
      <c r="G492" s="237"/>
      <c r="H492" s="131"/>
      <c r="I492" s="131"/>
      <c r="J492" s="131"/>
      <c r="K492" s="131"/>
      <c r="L492" s="131"/>
      <c r="T492" s="237"/>
      <c r="U492" s="237"/>
      <c r="V492" s="237"/>
      <c r="W492" s="237"/>
      <c r="X492" s="237"/>
      <c r="Y492" s="237"/>
      <c r="Z492" s="237"/>
      <c r="AH492" s="237"/>
      <c r="AI492" s="237"/>
      <c r="AJ492" s="237"/>
      <c r="AK492" s="237"/>
      <c r="AL492" s="237"/>
      <c r="AM492" s="237"/>
      <c r="AN492" s="237"/>
      <c r="AV492" s="237"/>
      <c r="AW492" s="237"/>
      <c r="AX492" s="237"/>
      <c r="AY492" s="237"/>
      <c r="AZ492" s="237"/>
      <c r="BA492" s="237"/>
      <c r="BB492" s="237"/>
    </row>
    <row r="493">
      <c r="E493" s="133"/>
      <c r="F493" s="237"/>
      <c r="G493" s="237"/>
      <c r="H493" s="131"/>
      <c r="I493" s="131"/>
      <c r="J493" s="131"/>
      <c r="K493" s="131"/>
      <c r="L493" s="131"/>
      <c r="T493" s="237"/>
      <c r="U493" s="237"/>
      <c r="V493" s="237"/>
      <c r="W493" s="237"/>
      <c r="X493" s="237"/>
      <c r="Y493" s="237"/>
      <c r="Z493" s="237"/>
      <c r="AH493" s="237"/>
      <c r="AI493" s="237"/>
      <c r="AJ493" s="237"/>
      <c r="AK493" s="237"/>
      <c r="AL493" s="237"/>
      <c r="AM493" s="237"/>
      <c r="AN493" s="237"/>
      <c r="AV493" s="237"/>
      <c r="AW493" s="237"/>
      <c r="AX493" s="237"/>
      <c r="AY493" s="237"/>
      <c r="AZ493" s="237"/>
      <c r="BA493" s="237"/>
      <c r="BB493" s="237"/>
    </row>
    <row r="494">
      <c r="E494" s="133"/>
      <c r="F494" s="237"/>
      <c r="G494" s="237"/>
      <c r="H494" s="131"/>
      <c r="I494" s="131"/>
      <c r="J494" s="131"/>
      <c r="K494" s="131"/>
      <c r="L494" s="131"/>
      <c r="T494" s="237"/>
      <c r="U494" s="237"/>
      <c r="V494" s="237"/>
      <c r="W494" s="237"/>
      <c r="X494" s="237"/>
      <c r="Y494" s="237"/>
      <c r="Z494" s="237"/>
      <c r="AH494" s="237"/>
      <c r="AI494" s="237"/>
      <c r="AJ494" s="237"/>
      <c r="AK494" s="237"/>
      <c r="AL494" s="237"/>
      <c r="AM494" s="237"/>
      <c r="AN494" s="237"/>
      <c r="AV494" s="237"/>
      <c r="AW494" s="237"/>
      <c r="AX494" s="237"/>
      <c r="AY494" s="237"/>
      <c r="AZ494" s="237"/>
      <c r="BA494" s="237"/>
      <c r="BB494" s="237"/>
    </row>
    <row r="495">
      <c r="E495" s="133"/>
      <c r="F495" s="237"/>
      <c r="G495" s="237"/>
      <c r="H495" s="131"/>
      <c r="I495" s="131"/>
      <c r="J495" s="131"/>
      <c r="K495" s="131"/>
      <c r="L495" s="131"/>
      <c r="T495" s="237"/>
      <c r="U495" s="237"/>
      <c r="V495" s="237"/>
      <c r="W495" s="237"/>
      <c r="X495" s="237"/>
      <c r="Y495" s="237"/>
      <c r="Z495" s="237"/>
      <c r="AH495" s="237"/>
      <c r="AI495" s="237"/>
      <c r="AJ495" s="237"/>
      <c r="AK495" s="237"/>
      <c r="AL495" s="237"/>
      <c r="AM495" s="237"/>
      <c r="AN495" s="237"/>
      <c r="AV495" s="237"/>
      <c r="AW495" s="237"/>
      <c r="AX495" s="237"/>
      <c r="AY495" s="237"/>
      <c r="AZ495" s="237"/>
      <c r="BA495" s="237"/>
      <c r="BB495" s="237"/>
    </row>
    <row r="496">
      <c r="E496" s="133"/>
      <c r="F496" s="237"/>
      <c r="G496" s="237"/>
      <c r="H496" s="131"/>
      <c r="I496" s="131"/>
      <c r="J496" s="131"/>
      <c r="K496" s="131"/>
      <c r="L496" s="131"/>
      <c r="T496" s="237"/>
      <c r="U496" s="237"/>
      <c r="V496" s="237"/>
      <c r="W496" s="237"/>
      <c r="X496" s="237"/>
      <c r="Y496" s="237"/>
      <c r="Z496" s="237"/>
      <c r="AH496" s="237"/>
      <c r="AI496" s="237"/>
      <c r="AJ496" s="237"/>
      <c r="AK496" s="237"/>
      <c r="AL496" s="237"/>
      <c r="AM496" s="237"/>
      <c r="AN496" s="237"/>
      <c r="AV496" s="237"/>
      <c r="AW496" s="237"/>
      <c r="AX496" s="237"/>
      <c r="AY496" s="237"/>
      <c r="AZ496" s="237"/>
      <c r="BA496" s="237"/>
      <c r="BB496" s="237"/>
    </row>
    <row r="497">
      <c r="E497" s="133"/>
      <c r="F497" s="237"/>
      <c r="G497" s="237"/>
      <c r="H497" s="131"/>
      <c r="I497" s="131"/>
      <c r="J497" s="131"/>
      <c r="K497" s="131"/>
      <c r="L497" s="131"/>
      <c r="T497" s="237"/>
      <c r="U497" s="237"/>
      <c r="V497" s="237"/>
      <c r="W497" s="237"/>
      <c r="X497" s="237"/>
      <c r="Y497" s="237"/>
      <c r="Z497" s="237"/>
      <c r="AH497" s="237"/>
      <c r="AI497" s="237"/>
      <c r="AJ497" s="237"/>
      <c r="AK497" s="237"/>
      <c r="AL497" s="237"/>
      <c r="AM497" s="237"/>
      <c r="AN497" s="237"/>
      <c r="AV497" s="237"/>
      <c r="AW497" s="237"/>
      <c r="AX497" s="237"/>
      <c r="AY497" s="237"/>
      <c r="AZ497" s="237"/>
      <c r="BA497" s="237"/>
      <c r="BB497" s="237"/>
    </row>
    <row r="498">
      <c r="E498" s="133"/>
      <c r="F498" s="237"/>
      <c r="G498" s="237"/>
      <c r="H498" s="131"/>
      <c r="I498" s="131"/>
      <c r="J498" s="131"/>
      <c r="K498" s="131"/>
      <c r="L498" s="131"/>
      <c r="T498" s="237"/>
      <c r="U498" s="237"/>
      <c r="V498" s="237"/>
      <c r="W498" s="237"/>
      <c r="X498" s="237"/>
      <c r="Y498" s="237"/>
      <c r="Z498" s="237"/>
      <c r="AH498" s="237"/>
      <c r="AI498" s="237"/>
      <c r="AJ498" s="237"/>
      <c r="AK498" s="237"/>
      <c r="AL498" s="237"/>
      <c r="AM498" s="237"/>
      <c r="AN498" s="237"/>
      <c r="AV498" s="237"/>
      <c r="AW498" s="237"/>
      <c r="AX498" s="237"/>
      <c r="AY498" s="237"/>
      <c r="AZ498" s="237"/>
      <c r="BA498" s="237"/>
      <c r="BB498" s="237"/>
    </row>
    <row r="499">
      <c r="E499" s="133"/>
      <c r="F499" s="237"/>
      <c r="G499" s="237"/>
      <c r="H499" s="131"/>
      <c r="I499" s="131"/>
      <c r="J499" s="131"/>
      <c r="K499" s="131"/>
      <c r="L499" s="131"/>
      <c r="T499" s="237"/>
      <c r="U499" s="237"/>
      <c r="V499" s="237"/>
      <c r="W499" s="237"/>
      <c r="X499" s="237"/>
      <c r="Y499" s="237"/>
      <c r="Z499" s="237"/>
      <c r="AH499" s="237"/>
      <c r="AI499" s="237"/>
      <c r="AJ499" s="237"/>
      <c r="AK499" s="237"/>
      <c r="AL499" s="237"/>
      <c r="AM499" s="237"/>
      <c r="AN499" s="237"/>
      <c r="AV499" s="237"/>
      <c r="AW499" s="237"/>
      <c r="AX499" s="237"/>
      <c r="AY499" s="237"/>
      <c r="AZ499" s="237"/>
      <c r="BA499" s="237"/>
      <c r="BB499" s="237"/>
    </row>
    <row r="500">
      <c r="E500" s="133"/>
      <c r="F500" s="237"/>
      <c r="G500" s="237"/>
      <c r="H500" s="131"/>
      <c r="I500" s="131"/>
      <c r="J500" s="131"/>
      <c r="K500" s="131"/>
      <c r="L500" s="131"/>
      <c r="T500" s="237"/>
      <c r="U500" s="237"/>
      <c r="V500" s="237"/>
      <c r="W500" s="237"/>
      <c r="X500" s="237"/>
      <c r="Y500" s="237"/>
      <c r="Z500" s="237"/>
      <c r="AH500" s="237"/>
      <c r="AI500" s="237"/>
      <c r="AJ500" s="237"/>
      <c r="AK500" s="237"/>
      <c r="AL500" s="237"/>
      <c r="AM500" s="237"/>
      <c r="AN500" s="237"/>
      <c r="AV500" s="237"/>
      <c r="AW500" s="237"/>
      <c r="AX500" s="237"/>
      <c r="AY500" s="237"/>
      <c r="AZ500" s="237"/>
      <c r="BA500" s="237"/>
      <c r="BB500" s="237"/>
    </row>
    <row r="501">
      <c r="E501" s="133"/>
      <c r="F501" s="237"/>
      <c r="G501" s="237"/>
      <c r="H501" s="131"/>
      <c r="I501" s="131"/>
      <c r="J501" s="131"/>
      <c r="K501" s="131"/>
      <c r="L501" s="131"/>
      <c r="T501" s="237"/>
      <c r="U501" s="237"/>
      <c r="V501" s="237"/>
      <c r="W501" s="237"/>
      <c r="X501" s="237"/>
      <c r="Y501" s="237"/>
      <c r="Z501" s="237"/>
      <c r="AH501" s="237"/>
      <c r="AI501" s="237"/>
      <c r="AJ501" s="237"/>
      <c r="AK501" s="237"/>
      <c r="AL501" s="237"/>
      <c r="AM501" s="237"/>
      <c r="AN501" s="237"/>
      <c r="AV501" s="237"/>
      <c r="AW501" s="237"/>
      <c r="AX501" s="237"/>
      <c r="AY501" s="237"/>
      <c r="AZ501" s="237"/>
      <c r="BA501" s="237"/>
      <c r="BB501" s="237"/>
    </row>
    <row r="502">
      <c r="E502" s="133"/>
      <c r="F502" s="237"/>
      <c r="G502" s="237"/>
      <c r="H502" s="131"/>
      <c r="I502" s="131"/>
      <c r="J502" s="131"/>
      <c r="K502" s="131"/>
      <c r="L502" s="131"/>
      <c r="T502" s="237"/>
      <c r="U502" s="237"/>
      <c r="V502" s="237"/>
      <c r="W502" s="237"/>
      <c r="X502" s="237"/>
      <c r="Y502" s="237"/>
      <c r="Z502" s="237"/>
      <c r="AH502" s="237"/>
      <c r="AI502" s="237"/>
      <c r="AJ502" s="237"/>
      <c r="AK502" s="237"/>
      <c r="AL502" s="237"/>
      <c r="AM502" s="237"/>
      <c r="AN502" s="237"/>
      <c r="AV502" s="237"/>
      <c r="AW502" s="237"/>
      <c r="AX502" s="237"/>
      <c r="AY502" s="237"/>
      <c r="AZ502" s="237"/>
      <c r="BA502" s="237"/>
      <c r="BB502" s="237"/>
    </row>
    <row r="503">
      <c r="E503" s="133"/>
      <c r="F503" s="237"/>
      <c r="G503" s="237"/>
      <c r="H503" s="131"/>
      <c r="I503" s="131"/>
      <c r="J503" s="131"/>
      <c r="K503" s="131"/>
      <c r="L503" s="131"/>
      <c r="T503" s="237"/>
      <c r="U503" s="237"/>
      <c r="V503" s="237"/>
      <c r="W503" s="237"/>
      <c r="X503" s="237"/>
      <c r="Y503" s="237"/>
      <c r="Z503" s="237"/>
      <c r="AH503" s="237"/>
      <c r="AI503" s="237"/>
      <c r="AJ503" s="237"/>
      <c r="AK503" s="237"/>
      <c r="AL503" s="237"/>
      <c r="AM503" s="237"/>
      <c r="AN503" s="237"/>
      <c r="AV503" s="237"/>
      <c r="AW503" s="237"/>
      <c r="AX503" s="237"/>
      <c r="AY503" s="237"/>
      <c r="AZ503" s="237"/>
      <c r="BA503" s="237"/>
      <c r="BB503" s="237"/>
    </row>
    <row r="504">
      <c r="E504" s="133"/>
      <c r="F504" s="237"/>
      <c r="G504" s="237"/>
      <c r="H504" s="131"/>
      <c r="I504" s="131"/>
      <c r="J504" s="131"/>
      <c r="K504" s="131"/>
      <c r="L504" s="131"/>
      <c r="T504" s="237"/>
      <c r="U504" s="237"/>
      <c r="V504" s="237"/>
      <c r="W504" s="237"/>
      <c r="X504" s="237"/>
      <c r="Y504" s="237"/>
      <c r="Z504" s="237"/>
      <c r="AH504" s="237"/>
      <c r="AI504" s="237"/>
      <c r="AJ504" s="237"/>
      <c r="AK504" s="237"/>
      <c r="AL504" s="237"/>
      <c r="AM504" s="237"/>
      <c r="AN504" s="237"/>
      <c r="AV504" s="237"/>
      <c r="AW504" s="237"/>
      <c r="AX504" s="237"/>
      <c r="AY504" s="237"/>
      <c r="AZ504" s="237"/>
      <c r="BA504" s="237"/>
      <c r="BB504" s="237"/>
    </row>
    <row r="505">
      <c r="E505" s="133"/>
      <c r="F505" s="237"/>
      <c r="G505" s="237"/>
      <c r="H505" s="131"/>
      <c r="I505" s="131"/>
      <c r="J505" s="131"/>
      <c r="K505" s="131"/>
      <c r="L505" s="131"/>
      <c r="T505" s="237"/>
      <c r="U505" s="237"/>
      <c r="V505" s="237"/>
      <c r="W505" s="237"/>
      <c r="X505" s="237"/>
      <c r="Y505" s="237"/>
      <c r="Z505" s="237"/>
      <c r="AH505" s="237"/>
      <c r="AI505" s="237"/>
      <c r="AJ505" s="237"/>
      <c r="AK505" s="237"/>
      <c r="AL505" s="237"/>
      <c r="AM505" s="237"/>
      <c r="AN505" s="237"/>
      <c r="AV505" s="237"/>
      <c r="AW505" s="237"/>
      <c r="AX505" s="237"/>
      <c r="AY505" s="237"/>
      <c r="AZ505" s="237"/>
      <c r="BA505" s="237"/>
      <c r="BB505" s="237"/>
    </row>
    <row r="506">
      <c r="E506" s="133"/>
      <c r="F506" s="237"/>
      <c r="G506" s="237"/>
      <c r="H506" s="131"/>
      <c r="I506" s="131"/>
      <c r="J506" s="131"/>
      <c r="K506" s="131"/>
      <c r="L506" s="131"/>
      <c r="T506" s="237"/>
      <c r="U506" s="237"/>
      <c r="V506" s="237"/>
      <c r="W506" s="237"/>
      <c r="X506" s="237"/>
      <c r="Y506" s="237"/>
      <c r="Z506" s="237"/>
      <c r="AH506" s="237"/>
      <c r="AI506" s="237"/>
      <c r="AJ506" s="237"/>
      <c r="AK506" s="237"/>
      <c r="AL506" s="237"/>
      <c r="AM506" s="237"/>
      <c r="AN506" s="237"/>
      <c r="AV506" s="237"/>
      <c r="AW506" s="237"/>
      <c r="AX506" s="237"/>
      <c r="AY506" s="237"/>
      <c r="AZ506" s="237"/>
      <c r="BA506" s="237"/>
      <c r="BB506" s="237"/>
    </row>
    <row r="507">
      <c r="E507" s="133"/>
      <c r="F507" s="237"/>
      <c r="G507" s="237"/>
      <c r="H507" s="131"/>
      <c r="I507" s="131"/>
      <c r="J507" s="131"/>
      <c r="K507" s="131"/>
      <c r="L507" s="131"/>
      <c r="T507" s="237"/>
      <c r="U507" s="237"/>
      <c r="V507" s="237"/>
      <c r="W507" s="237"/>
      <c r="X507" s="237"/>
      <c r="Y507" s="237"/>
      <c r="Z507" s="237"/>
      <c r="AH507" s="237"/>
      <c r="AI507" s="237"/>
      <c r="AJ507" s="237"/>
      <c r="AK507" s="237"/>
      <c r="AL507" s="237"/>
      <c r="AM507" s="237"/>
      <c r="AN507" s="237"/>
      <c r="AV507" s="237"/>
      <c r="AW507" s="237"/>
      <c r="AX507" s="237"/>
      <c r="AY507" s="237"/>
      <c r="AZ507" s="237"/>
      <c r="BA507" s="237"/>
      <c r="BB507" s="237"/>
    </row>
    <row r="508">
      <c r="E508" s="133"/>
      <c r="F508" s="237"/>
      <c r="G508" s="237"/>
      <c r="H508" s="131"/>
      <c r="I508" s="131"/>
      <c r="J508" s="131"/>
      <c r="K508" s="131"/>
      <c r="L508" s="131"/>
      <c r="T508" s="237"/>
      <c r="U508" s="237"/>
      <c r="V508" s="237"/>
      <c r="W508" s="237"/>
      <c r="X508" s="237"/>
      <c r="Y508" s="237"/>
      <c r="Z508" s="237"/>
      <c r="AH508" s="237"/>
      <c r="AI508" s="237"/>
      <c r="AJ508" s="237"/>
      <c r="AK508" s="237"/>
      <c r="AL508" s="237"/>
      <c r="AM508" s="237"/>
      <c r="AN508" s="237"/>
      <c r="AV508" s="237"/>
      <c r="AW508" s="237"/>
      <c r="AX508" s="237"/>
      <c r="AY508" s="237"/>
      <c r="AZ508" s="237"/>
      <c r="BA508" s="237"/>
      <c r="BB508" s="237"/>
    </row>
    <row r="509">
      <c r="E509" s="133"/>
      <c r="F509" s="237"/>
      <c r="G509" s="237"/>
      <c r="H509" s="131"/>
      <c r="I509" s="131"/>
      <c r="J509" s="131"/>
      <c r="K509" s="131"/>
      <c r="L509" s="131"/>
      <c r="T509" s="237"/>
      <c r="U509" s="237"/>
      <c r="V509" s="237"/>
      <c r="W509" s="237"/>
      <c r="X509" s="237"/>
      <c r="Y509" s="237"/>
      <c r="Z509" s="237"/>
      <c r="AH509" s="237"/>
      <c r="AI509" s="237"/>
      <c r="AJ509" s="237"/>
      <c r="AK509" s="237"/>
      <c r="AL509" s="237"/>
      <c r="AM509" s="237"/>
      <c r="AN509" s="237"/>
      <c r="AV509" s="237"/>
      <c r="AW509" s="237"/>
      <c r="AX509" s="237"/>
      <c r="AY509" s="237"/>
      <c r="AZ509" s="237"/>
      <c r="BA509" s="237"/>
      <c r="BB509" s="237"/>
    </row>
    <row r="510">
      <c r="E510" s="133"/>
      <c r="F510" s="237"/>
      <c r="G510" s="237"/>
      <c r="H510" s="131"/>
      <c r="I510" s="131"/>
      <c r="J510" s="131"/>
      <c r="K510" s="131"/>
      <c r="L510" s="131"/>
      <c r="T510" s="237"/>
      <c r="U510" s="237"/>
      <c r="V510" s="237"/>
      <c r="W510" s="237"/>
      <c r="X510" s="237"/>
      <c r="Y510" s="237"/>
      <c r="Z510" s="237"/>
      <c r="AH510" s="237"/>
      <c r="AI510" s="237"/>
      <c r="AJ510" s="237"/>
      <c r="AK510" s="237"/>
      <c r="AL510" s="237"/>
      <c r="AM510" s="237"/>
      <c r="AN510" s="237"/>
      <c r="AV510" s="237"/>
      <c r="AW510" s="237"/>
      <c r="AX510" s="237"/>
      <c r="AY510" s="237"/>
      <c r="AZ510" s="237"/>
      <c r="BA510" s="237"/>
      <c r="BB510" s="237"/>
    </row>
    <row r="511">
      <c r="E511" s="133"/>
      <c r="F511" s="237"/>
      <c r="G511" s="237"/>
      <c r="H511" s="131"/>
      <c r="I511" s="131"/>
      <c r="J511" s="131"/>
      <c r="K511" s="131"/>
      <c r="L511" s="131"/>
      <c r="T511" s="237"/>
      <c r="U511" s="237"/>
      <c r="V511" s="237"/>
      <c r="W511" s="237"/>
      <c r="X511" s="237"/>
      <c r="Y511" s="237"/>
      <c r="Z511" s="237"/>
      <c r="AH511" s="237"/>
      <c r="AI511" s="237"/>
      <c r="AJ511" s="237"/>
      <c r="AK511" s="237"/>
      <c r="AL511" s="237"/>
      <c r="AM511" s="237"/>
      <c r="AN511" s="237"/>
      <c r="AV511" s="237"/>
      <c r="AW511" s="237"/>
      <c r="AX511" s="237"/>
      <c r="AY511" s="237"/>
      <c r="AZ511" s="237"/>
      <c r="BA511" s="237"/>
      <c r="BB511" s="237"/>
    </row>
    <row r="512">
      <c r="E512" s="133"/>
      <c r="F512" s="237"/>
      <c r="G512" s="237"/>
      <c r="H512" s="131"/>
      <c r="I512" s="131"/>
      <c r="J512" s="131"/>
      <c r="K512" s="131"/>
      <c r="L512" s="131"/>
      <c r="T512" s="237"/>
      <c r="U512" s="237"/>
      <c r="V512" s="237"/>
      <c r="W512" s="237"/>
      <c r="X512" s="237"/>
      <c r="Y512" s="237"/>
      <c r="Z512" s="237"/>
      <c r="AH512" s="237"/>
      <c r="AI512" s="237"/>
      <c r="AJ512" s="237"/>
      <c r="AK512" s="237"/>
      <c r="AL512" s="237"/>
      <c r="AM512" s="237"/>
      <c r="AN512" s="237"/>
      <c r="AV512" s="237"/>
      <c r="AW512" s="237"/>
      <c r="AX512" s="237"/>
      <c r="AY512" s="237"/>
      <c r="AZ512" s="237"/>
      <c r="BA512" s="237"/>
      <c r="BB512" s="237"/>
    </row>
    <row r="513">
      <c r="E513" s="133"/>
      <c r="F513" s="237"/>
      <c r="G513" s="237"/>
      <c r="H513" s="131"/>
      <c r="I513" s="131"/>
      <c r="J513" s="131"/>
      <c r="K513" s="131"/>
      <c r="L513" s="131"/>
      <c r="T513" s="237"/>
      <c r="U513" s="237"/>
      <c r="V513" s="237"/>
      <c r="W513" s="237"/>
      <c r="X513" s="237"/>
      <c r="Y513" s="237"/>
      <c r="Z513" s="237"/>
      <c r="AH513" s="237"/>
      <c r="AI513" s="237"/>
      <c r="AJ513" s="237"/>
      <c r="AK513" s="237"/>
      <c r="AL513" s="237"/>
      <c r="AM513" s="237"/>
      <c r="AN513" s="237"/>
      <c r="AV513" s="237"/>
      <c r="AW513" s="237"/>
      <c r="AX513" s="237"/>
      <c r="AY513" s="237"/>
      <c r="AZ513" s="237"/>
      <c r="BA513" s="237"/>
      <c r="BB513" s="237"/>
    </row>
    <row r="514">
      <c r="E514" s="133"/>
      <c r="F514" s="237"/>
      <c r="G514" s="237"/>
      <c r="H514" s="131"/>
      <c r="I514" s="131"/>
      <c r="J514" s="131"/>
      <c r="K514" s="131"/>
      <c r="L514" s="131"/>
      <c r="T514" s="237"/>
      <c r="U514" s="237"/>
      <c r="V514" s="237"/>
      <c r="W514" s="237"/>
      <c r="X514" s="237"/>
      <c r="Y514" s="237"/>
      <c r="Z514" s="237"/>
      <c r="AH514" s="237"/>
      <c r="AI514" s="237"/>
      <c r="AJ514" s="237"/>
      <c r="AK514" s="237"/>
      <c r="AL514" s="237"/>
      <c r="AM514" s="237"/>
      <c r="AN514" s="237"/>
      <c r="AV514" s="237"/>
      <c r="AW514" s="237"/>
      <c r="AX514" s="237"/>
      <c r="AY514" s="237"/>
      <c r="AZ514" s="237"/>
      <c r="BA514" s="237"/>
      <c r="BB514" s="237"/>
    </row>
    <row r="515">
      <c r="E515" s="133"/>
      <c r="F515" s="237"/>
      <c r="G515" s="237"/>
      <c r="H515" s="131"/>
      <c r="I515" s="131"/>
      <c r="J515" s="131"/>
      <c r="K515" s="131"/>
      <c r="L515" s="131"/>
      <c r="T515" s="237"/>
      <c r="U515" s="237"/>
      <c r="V515" s="237"/>
      <c r="W515" s="237"/>
      <c r="X515" s="237"/>
      <c r="Y515" s="237"/>
      <c r="Z515" s="237"/>
      <c r="AH515" s="237"/>
      <c r="AI515" s="237"/>
      <c r="AJ515" s="237"/>
      <c r="AK515" s="237"/>
      <c r="AL515" s="237"/>
      <c r="AM515" s="237"/>
      <c r="AN515" s="237"/>
      <c r="AV515" s="237"/>
      <c r="AW515" s="237"/>
      <c r="AX515" s="237"/>
      <c r="AY515" s="237"/>
      <c r="AZ515" s="237"/>
      <c r="BA515" s="237"/>
      <c r="BB515" s="237"/>
    </row>
    <row r="516">
      <c r="E516" s="133"/>
      <c r="F516" s="237"/>
      <c r="G516" s="237"/>
      <c r="H516" s="131"/>
      <c r="I516" s="131"/>
      <c r="J516" s="131"/>
      <c r="K516" s="131"/>
      <c r="L516" s="131"/>
      <c r="T516" s="237"/>
      <c r="U516" s="237"/>
      <c r="V516" s="237"/>
      <c r="W516" s="237"/>
      <c r="X516" s="237"/>
      <c r="Y516" s="237"/>
      <c r="Z516" s="237"/>
      <c r="AH516" s="237"/>
      <c r="AI516" s="237"/>
      <c r="AJ516" s="237"/>
      <c r="AK516" s="237"/>
      <c r="AL516" s="237"/>
      <c r="AM516" s="237"/>
      <c r="AN516" s="237"/>
      <c r="AV516" s="237"/>
      <c r="AW516" s="237"/>
      <c r="AX516" s="237"/>
      <c r="AY516" s="237"/>
      <c r="AZ516" s="237"/>
      <c r="BA516" s="237"/>
      <c r="BB516" s="237"/>
    </row>
    <row r="517">
      <c r="E517" s="133"/>
      <c r="F517" s="237"/>
      <c r="G517" s="237"/>
      <c r="H517" s="131"/>
      <c r="I517" s="131"/>
      <c r="J517" s="131"/>
      <c r="K517" s="131"/>
      <c r="L517" s="131"/>
      <c r="T517" s="237"/>
      <c r="U517" s="237"/>
      <c r="V517" s="237"/>
      <c r="W517" s="237"/>
      <c r="X517" s="237"/>
      <c r="Y517" s="237"/>
      <c r="Z517" s="237"/>
      <c r="AH517" s="237"/>
      <c r="AI517" s="237"/>
      <c r="AJ517" s="237"/>
      <c r="AK517" s="237"/>
      <c r="AL517" s="237"/>
      <c r="AM517" s="237"/>
      <c r="AN517" s="237"/>
      <c r="AV517" s="237"/>
      <c r="AW517" s="237"/>
      <c r="AX517" s="237"/>
      <c r="AY517" s="237"/>
      <c r="AZ517" s="237"/>
      <c r="BA517" s="237"/>
      <c r="BB517" s="237"/>
    </row>
    <row r="518">
      <c r="E518" s="133"/>
      <c r="F518" s="237"/>
      <c r="G518" s="237"/>
      <c r="H518" s="131"/>
      <c r="I518" s="131"/>
      <c r="J518" s="131"/>
      <c r="K518" s="131"/>
      <c r="L518" s="131"/>
      <c r="T518" s="237"/>
      <c r="U518" s="237"/>
      <c r="V518" s="237"/>
      <c r="W518" s="237"/>
      <c r="X518" s="237"/>
      <c r="Y518" s="237"/>
      <c r="Z518" s="237"/>
      <c r="AH518" s="237"/>
      <c r="AI518" s="237"/>
      <c r="AJ518" s="237"/>
      <c r="AK518" s="237"/>
      <c r="AL518" s="237"/>
      <c r="AM518" s="237"/>
      <c r="AN518" s="237"/>
      <c r="AV518" s="237"/>
      <c r="AW518" s="237"/>
      <c r="AX518" s="237"/>
      <c r="AY518" s="237"/>
      <c r="AZ518" s="237"/>
      <c r="BA518" s="237"/>
      <c r="BB518" s="237"/>
    </row>
    <row r="519">
      <c r="E519" s="133"/>
      <c r="F519" s="237"/>
      <c r="G519" s="237"/>
      <c r="H519" s="131"/>
      <c r="I519" s="131"/>
      <c r="J519" s="131"/>
      <c r="K519" s="131"/>
      <c r="L519" s="131"/>
      <c r="T519" s="237"/>
      <c r="U519" s="237"/>
      <c r="V519" s="237"/>
      <c r="W519" s="237"/>
      <c r="X519" s="237"/>
      <c r="Y519" s="237"/>
      <c r="Z519" s="237"/>
      <c r="AH519" s="237"/>
      <c r="AI519" s="237"/>
      <c r="AJ519" s="237"/>
      <c r="AK519" s="237"/>
      <c r="AL519" s="237"/>
      <c r="AM519" s="237"/>
      <c r="AN519" s="237"/>
      <c r="AV519" s="237"/>
      <c r="AW519" s="237"/>
      <c r="AX519" s="237"/>
      <c r="AY519" s="237"/>
      <c r="AZ519" s="237"/>
      <c r="BA519" s="237"/>
      <c r="BB519" s="237"/>
    </row>
    <row r="520">
      <c r="E520" s="133"/>
      <c r="F520" s="237"/>
      <c r="G520" s="237"/>
      <c r="H520" s="131"/>
      <c r="I520" s="131"/>
      <c r="J520" s="131"/>
      <c r="K520" s="131"/>
      <c r="L520" s="131"/>
      <c r="T520" s="237"/>
      <c r="U520" s="237"/>
      <c r="V520" s="237"/>
      <c r="W520" s="237"/>
      <c r="X520" s="237"/>
      <c r="Y520" s="237"/>
      <c r="Z520" s="237"/>
      <c r="AH520" s="237"/>
      <c r="AI520" s="237"/>
      <c r="AJ520" s="237"/>
      <c r="AK520" s="237"/>
      <c r="AL520" s="237"/>
      <c r="AM520" s="237"/>
      <c r="AN520" s="237"/>
      <c r="AV520" s="237"/>
      <c r="AW520" s="237"/>
      <c r="AX520" s="237"/>
      <c r="AY520" s="237"/>
      <c r="AZ520" s="237"/>
      <c r="BA520" s="237"/>
      <c r="BB520" s="237"/>
    </row>
    <row r="521">
      <c r="E521" s="133"/>
      <c r="F521" s="237"/>
      <c r="G521" s="237"/>
      <c r="H521" s="131"/>
      <c r="I521" s="131"/>
      <c r="J521" s="131"/>
      <c r="K521" s="131"/>
      <c r="L521" s="131"/>
      <c r="T521" s="237"/>
      <c r="U521" s="237"/>
      <c r="V521" s="237"/>
      <c r="W521" s="237"/>
      <c r="X521" s="237"/>
      <c r="Y521" s="237"/>
      <c r="Z521" s="237"/>
      <c r="AH521" s="237"/>
      <c r="AI521" s="237"/>
      <c r="AJ521" s="237"/>
      <c r="AK521" s="237"/>
      <c r="AL521" s="237"/>
      <c r="AM521" s="237"/>
      <c r="AN521" s="237"/>
      <c r="AV521" s="237"/>
      <c r="AW521" s="237"/>
      <c r="AX521" s="237"/>
      <c r="AY521" s="237"/>
      <c r="AZ521" s="237"/>
      <c r="BA521" s="237"/>
      <c r="BB521" s="237"/>
    </row>
    <row r="522">
      <c r="E522" s="133"/>
      <c r="F522" s="237"/>
      <c r="G522" s="237"/>
      <c r="H522" s="131"/>
      <c r="I522" s="131"/>
      <c r="J522" s="131"/>
      <c r="K522" s="131"/>
      <c r="L522" s="131"/>
      <c r="T522" s="237"/>
      <c r="U522" s="237"/>
      <c r="V522" s="237"/>
      <c r="W522" s="237"/>
      <c r="X522" s="237"/>
      <c r="Y522" s="237"/>
      <c r="Z522" s="237"/>
      <c r="AH522" s="237"/>
      <c r="AI522" s="237"/>
      <c r="AJ522" s="237"/>
      <c r="AK522" s="237"/>
      <c r="AL522" s="237"/>
      <c r="AM522" s="237"/>
      <c r="AN522" s="237"/>
      <c r="AV522" s="237"/>
      <c r="AW522" s="237"/>
      <c r="AX522" s="237"/>
      <c r="AY522" s="237"/>
      <c r="AZ522" s="237"/>
      <c r="BA522" s="237"/>
      <c r="BB522" s="237"/>
    </row>
    <row r="523">
      <c r="E523" s="133"/>
      <c r="F523" s="237"/>
      <c r="G523" s="237"/>
      <c r="H523" s="131"/>
      <c r="I523" s="131"/>
      <c r="J523" s="131"/>
      <c r="K523" s="131"/>
      <c r="L523" s="131"/>
      <c r="T523" s="237"/>
      <c r="U523" s="237"/>
      <c r="V523" s="237"/>
      <c r="W523" s="237"/>
      <c r="X523" s="237"/>
      <c r="Y523" s="237"/>
      <c r="Z523" s="237"/>
      <c r="AH523" s="237"/>
      <c r="AI523" s="237"/>
      <c r="AJ523" s="237"/>
      <c r="AK523" s="237"/>
      <c r="AL523" s="237"/>
      <c r="AM523" s="237"/>
      <c r="AN523" s="237"/>
      <c r="AV523" s="237"/>
      <c r="AW523" s="237"/>
      <c r="AX523" s="237"/>
      <c r="AY523" s="237"/>
      <c r="AZ523" s="237"/>
      <c r="BA523" s="237"/>
      <c r="BB523" s="237"/>
    </row>
    <row r="524">
      <c r="E524" s="133"/>
      <c r="F524" s="237"/>
      <c r="G524" s="237"/>
      <c r="H524" s="131"/>
      <c r="I524" s="131"/>
      <c r="J524" s="131"/>
      <c r="K524" s="131"/>
      <c r="L524" s="131"/>
      <c r="T524" s="237"/>
      <c r="U524" s="237"/>
      <c r="V524" s="237"/>
      <c r="W524" s="237"/>
      <c r="X524" s="237"/>
      <c r="Y524" s="237"/>
      <c r="Z524" s="237"/>
      <c r="AH524" s="237"/>
      <c r="AI524" s="237"/>
      <c r="AJ524" s="237"/>
      <c r="AK524" s="237"/>
      <c r="AL524" s="237"/>
      <c r="AM524" s="237"/>
      <c r="AN524" s="237"/>
      <c r="AV524" s="237"/>
      <c r="AW524" s="237"/>
      <c r="AX524" s="237"/>
      <c r="AY524" s="237"/>
      <c r="AZ524" s="237"/>
      <c r="BA524" s="237"/>
      <c r="BB524" s="237"/>
    </row>
    <row r="525">
      <c r="E525" s="133"/>
      <c r="F525" s="237"/>
      <c r="G525" s="237"/>
      <c r="H525" s="131"/>
      <c r="I525" s="131"/>
      <c r="J525" s="131"/>
      <c r="K525" s="131"/>
      <c r="L525" s="131"/>
      <c r="T525" s="237"/>
      <c r="U525" s="237"/>
      <c r="V525" s="237"/>
      <c r="W525" s="237"/>
      <c r="X525" s="237"/>
      <c r="Y525" s="237"/>
      <c r="Z525" s="237"/>
      <c r="AH525" s="237"/>
      <c r="AI525" s="237"/>
      <c r="AJ525" s="237"/>
      <c r="AK525" s="237"/>
      <c r="AL525" s="237"/>
      <c r="AM525" s="237"/>
      <c r="AN525" s="237"/>
      <c r="AV525" s="237"/>
      <c r="AW525" s="237"/>
      <c r="AX525" s="237"/>
      <c r="AY525" s="237"/>
      <c r="AZ525" s="237"/>
      <c r="BA525" s="237"/>
      <c r="BB525" s="237"/>
    </row>
    <row r="526">
      <c r="E526" s="133"/>
      <c r="F526" s="237"/>
      <c r="G526" s="237"/>
      <c r="H526" s="131"/>
      <c r="I526" s="131"/>
      <c r="J526" s="131"/>
      <c r="K526" s="131"/>
      <c r="L526" s="131"/>
      <c r="T526" s="237"/>
      <c r="U526" s="237"/>
      <c r="V526" s="237"/>
      <c r="W526" s="237"/>
      <c r="X526" s="237"/>
      <c r="Y526" s="237"/>
      <c r="Z526" s="237"/>
      <c r="AH526" s="237"/>
      <c r="AI526" s="237"/>
      <c r="AJ526" s="237"/>
      <c r="AK526" s="237"/>
      <c r="AL526" s="237"/>
      <c r="AM526" s="237"/>
      <c r="AN526" s="237"/>
      <c r="AV526" s="237"/>
      <c r="AW526" s="237"/>
      <c r="AX526" s="237"/>
      <c r="AY526" s="237"/>
      <c r="AZ526" s="237"/>
      <c r="BA526" s="237"/>
      <c r="BB526" s="237"/>
    </row>
    <row r="527">
      <c r="E527" s="133"/>
      <c r="F527" s="237"/>
      <c r="G527" s="237"/>
      <c r="H527" s="131"/>
      <c r="I527" s="131"/>
      <c r="J527" s="131"/>
      <c r="K527" s="131"/>
      <c r="L527" s="131"/>
      <c r="T527" s="237"/>
      <c r="U527" s="237"/>
      <c r="V527" s="237"/>
      <c r="W527" s="237"/>
      <c r="X527" s="237"/>
      <c r="Y527" s="237"/>
      <c r="Z527" s="237"/>
      <c r="AH527" s="237"/>
      <c r="AI527" s="237"/>
      <c r="AJ527" s="237"/>
      <c r="AK527" s="237"/>
      <c r="AL527" s="237"/>
      <c r="AM527" s="237"/>
      <c r="AN527" s="237"/>
      <c r="AV527" s="237"/>
      <c r="AW527" s="237"/>
      <c r="AX527" s="237"/>
      <c r="AY527" s="237"/>
      <c r="AZ527" s="237"/>
      <c r="BA527" s="237"/>
      <c r="BB527" s="237"/>
    </row>
    <row r="528">
      <c r="E528" s="133"/>
      <c r="F528" s="237"/>
      <c r="G528" s="237"/>
      <c r="H528" s="131"/>
      <c r="I528" s="131"/>
      <c r="J528" s="131"/>
      <c r="K528" s="131"/>
      <c r="L528" s="131"/>
      <c r="T528" s="237"/>
      <c r="U528" s="237"/>
      <c r="V528" s="237"/>
      <c r="W528" s="237"/>
      <c r="X528" s="237"/>
      <c r="Y528" s="237"/>
      <c r="Z528" s="237"/>
      <c r="AH528" s="237"/>
      <c r="AI528" s="237"/>
      <c r="AJ528" s="237"/>
      <c r="AK528" s="237"/>
      <c r="AL528" s="237"/>
      <c r="AM528" s="237"/>
      <c r="AN528" s="237"/>
      <c r="AV528" s="237"/>
      <c r="AW528" s="237"/>
      <c r="AX528" s="237"/>
      <c r="AY528" s="237"/>
      <c r="AZ528" s="237"/>
      <c r="BA528" s="237"/>
      <c r="BB528" s="237"/>
    </row>
    <row r="529">
      <c r="E529" s="133"/>
      <c r="F529" s="237"/>
      <c r="G529" s="237"/>
      <c r="H529" s="131"/>
      <c r="I529" s="131"/>
      <c r="J529" s="131"/>
      <c r="K529" s="131"/>
      <c r="L529" s="131"/>
      <c r="T529" s="237"/>
      <c r="U529" s="237"/>
      <c r="V529" s="237"/>
      <c r="W529" s="237"/>
      <c r="X529" s="237"/>
      <c r="Y529" s="237"/>
      <c r="Z529" s="237"/>
      <c r="AH529" s="237"/>
      <c r="AI529" s="237"/>
      <c r="AJ529" s="237"/>
      <c r="AK529" s="237"/>
      <c r="AL529" s="237"/>
      <c r="AM529" s="237"/>
      <c r="AN529" s="237"/>
      <c r="AV529" s="237"/>
      <c r="AW529" s="237"/>
      <c r="AX529" s="237"/>
      <c r="AY529" s="237"/>
      <c r="AZ529" s="237"/>
      <c r="BA529" s="237"/>
      <c r="BB529" s="237"/>
    </row>
    <row r="530">
      <c r="E530" s="133"/>
      <c r="F530" s="237"/>
      <c r="G530" s="237"/>
      <c r="H530" s="131"/>
      <c r="I530" s="131"/>
      <c r="J530" s="131"/>
      <c r="K530" s="131"/>
      <c r="L530" s="131"/>
      <c r="T530" s="237"/>
      <c r="U530" s="237"/>
      <c r="V530" s="237"/>
      <c r="W530" s="237"/>
      <c r="X530" s="237"/>
      <c r="Y530" s="237"/>
      <c r="Z530" s="237"/>
      <c r="AH530" s="237"/>
      <c r="AI530" s="237"/>
      <c r="AJ530" s="237"/>
      <c r="AK530" s="237"/>
      <c r="AL530" s="237"/>
      <c r="AM530" s="237"/>
      <c r="AN530" s="237"/>
      <c r="AV530" s="237"/>
      <c r="AW530" s="237"/>
      <c r="AX530" s="237"/>
      <c r="AY530" s="237"/>
      <c r="AZ530" s="237"/>
      <c r="BA530" s="237"/>
      <c r="BB530" s="237"/>
    </row>
    <row r="531">
      <c r="E531" s="133"/>
      <c r="F531" s="237"/>
      <c r="G531" s="237"/>
      <c r="H531" s="131"/>
      <c r="I531" s="131"/>
      <c r="J531" s="131"/>
      <c r="K531" s="131"/>
      <c r="L531" s="131"/>
      <c r="T531" s="237"/>
      <c r="U531" s="237"/>
      <c r="V531" s="237"/>
      <c r="W531" s="237"/>
      <c r="X531" s="237"/>
      <c r="Y531" s="237"/>
      <c r="Z531" s="237"/>
      <c r="AH531" s="237"/>
      <c r="AI531" s="237"/>
      <c r="AJ531" s="237"/>
      <c r="AK531" s="237"/>
      <c r="AL531" s="237"/>
      <c r="AM531" s="237"/>
      <c r="AN531" s="237"/>
      <c r="AV531" s="237"/>
      <c r="AW531" s="237"/>
      <c r="AX531" s="237"/>
      <c r="AY531" s="237"/>
      <c r="AZ531" s="237"/>
      <c r="BA531" s="237"/>
      <c r="BB531" s="237"/>
    </row>
    <row r="532">
      <c r="E532" s="133"/>
      <c r="F532" s="237"/>
      <c r="G532" s="237"/>
      <c r="H532" s="131"/>
      <c r="I532" s="131"/>
      <c r="J532" s="131"/>
      <c r="K532" s="131"/>
      <c r="L532" s="131"/>
      <c r="T532" s="237"/>
      <c r="U532" s="237"/>
      <c r="V532" s="237"/>
      <c r="W532" s="237"/>
      <c r="X532" s="237"/>
      <c r="Y532" s="237"/>
      <c r="Z532" s="237"/>
      <c r="AH532" s="237"/>
      <c r="AI532" s="237"/>
      <c r="AJ532" s="237"/>
      <c r="AK532" s="237"/>
      <c r="AL532" s="237"/>
      <c r="AM532" s="237"/>
      <c r="AN532" s="237"/>
      <c r="AV532" s="237"/>
      <c r="AW532" s="237"/>
      <c r="AX532" s="237"/>
      <c r="AY532" s="237"/>
      <c r="AZ532" s="237"/>
      <c r="BA532" s="237"/>
      <c r="BB532" s="237"/>
    </row>
    <row r="533">
      <c r="E533" s="133"/>
      <c r="F533" s="237"/>
      <c r="G533" s="237"/>
      <c r="H533" s="131"/>
      <c r="I533" s="131"/>
      <c r="J533" s="131"/>
      <c r="K533" s="131"/>
      <c r="L533" s="131"/>
      <c r="T533" s="237"/>
      <c r="U533" s="237"/>
      <c r="V533" s="237"/>
      <c r="W533" s="237"/>
      <c r="X533" s="237"/>
      <c r="Y533" s="237"/>
      <c r="Z533" s="237"/>
      <c r="AH533" s="237"/>
      <c r="AI533" s="237"/>
      <c r="AJ533" s="237"/>
      <c r="AK533" s="237"/>
      <c r="AL533" s="237"/>
      <c r="AM533" s="237"/>
      <c r="AN533" s="237"/>
      <c r="AV533" s="237"/>
      <c r="AW533" s="237"/>
      <c r="AX533" s="237"/>
      <c r="AY533" s="237"/>
      <c r="AZ533" s="237"/>
      <c r="BA533" s="237"/>
      <c r="BB533" s="237"/>
    </row>
    <row r="534">
      <c r="E534" s="133"/>
      <c r="F534" s="237"/>
      <c r="G534" s="237"/>
      <c r="H534" s="131"/>
      <c r="I534" s="131"/>
      <c r="J534" s="131"/>
      <c r="K534" s="131"/>
      <c r="L534" s="131"/>
      <c r="T534" s="237"/>
      <c r="U534" s="237"/>
      <c r="V534" s="237"/>
      <c r="W534" s="237"/>
      <c r="X534" s="237"/>
      <c r="Y534" s="237"/>
      <c r="Z534" s="237"/>
      <c r="AH534" s="237"/>
      <c r="AI534" s="237"/>
      <c r="AJ534" s="237"/>
      <c r="AK534" s="237"/>
      <c r="AL534" s="237"/>
      <c r="AM534" s="237"/>
      <c r="AN534" s="237"/>
      <c r="AV534" s="237"/>
      <c r="AW534" s="237"/>
      <c r="AX534" s="237"/>
      <c r="AY534" s="237"/>
      <c r="AZ534" s="237"/>
      <c r="BA534" s="237"/>
      <c r="BB534" s="237"/>
    </row>
    <row r="535">
      <c r="E535" s="133"/>
      <c r="F535" s="237"/>
      <c r="G535" s="237"/>
      <c r="H535" s="131"/>
      <c r="I535" s="131"/>
      <c r="J535" s="131"/>
      <c r="K535" s="131"/>
      <c r="L535" s="131"/>
      <c r="T535" s="237"/>
      <c r="U535" s="237"/>
      <c r="V535" s="237"/>
      <c r="W535" s="237"/>
      <c r="X535" s="237"/>
      <c r="Y535" s="237"/>
      <c r="Z535" s="237"/>
      <c r="AH535" s="237"/>
      <c r="AI535" s="237"/>
      <c r="AJ535" s="237"/>
      <c r="AK535" s="237"/>
      <c r="AL535" s="237"/>
      <c r="AM535" s="237"/>
      <c r="AN535" s="237"/>
      <c r="AV535" s="237"/>
      <c r="AW535" s="237"/>
      <c r="AX535" s="237"/>
      <c r="AY535" s="237"/>
      <c r="AZ535" s="237"/>
      <c r="BA535" s="237"/>
      <c r="BB535" s="237"/>
    </row>
    <row r="536">
      <c r="E536" s="133"/>
      <c r="F536" s="237"/>
      <c r="G536" s="237"/>
      <c r="H536" s="131"/>
      <c r="I536" s="131"/>
      <c r="J536" s="131"/>
      <c r="K536" s="131"/>
      <c r="L536" s="131"/>
      <c r="T536" s="237"/>
      <c r="U536" s="237"/>
      <c r="V536" s="237"/>
      <c r="W536" s="237"/>
      <c r="X536" s="237"/>
      <c r="Y536" s="237"/>
      <c r="Z536" s="237"/>
      <c r="AH536" s="237"/>
      <c r="AI536" s="237"/>
      <c r="AJ536" s="237"/>
      <c r="AK536" s="237"/>
      <c r="AL536" s="237"/>
      <c r="AM536" s="237"/>
      <c r="AN536" s="237"/>
      <c r="AV536" s="237"/>
      <c r="AW536" s="237"/>
      <c r="AX536" s="237"/>
      <c r="AY536" s="237"/>
      <c r="AZ536" s="237"/>
      <c r="BA536" s="237"/>
      <c r="BB536" s="237"/>
    </row>
    <row r="537">
      <c r="E537" s="133"/>
      <c r="F537" s="237"/>
      <c r="G537" s="237"/>
      <c r="H537" s="131"/>
      <c r="I537" s="131"/>
      <c r="J537" s="131"/>
      <c r="K537" s="131"/>
      <c r="L537" s="131"/>
      <c r="T537" s="237"/>
      <c r="U537" s="237"/>
      <c r="V537" s="237"/>
      <c r="W537" s="237"/>
      <c r="X537" s="237"/>
      <c r="Y537" s="237"/>
      <c r="Z537" s="237"/>
      <c r="AH537" s="237"/>
      <c r="AI537" s="237"/>
      <c r="AJ537" s="237"/>
      <c r="AK537" s="237"/>
      <c r="AL537" s="237"/>
      <c r="AM537" s="237"/>
      <c r="AN537" s="237"/>
      <c r="AV537" s="237"/>
      <c r="AW537" s="237"/>
      <c r="AX537" s="237"/>
      <c r="AY537" s="237"/>
      <c r="AZ537" s="237"/>
      <c r="BA537" s="237"/>
      <c r="BB537" s="237"/>
    </row>
    <row r="538">
      <c r="E538" s="133"/>
      <c r="F538" s="237"/>
      <c r="G538" s="237"/>
      <c r="H538" s="131"/>
      <c r="I538" s="131"/>
      <c r="J538" s="131"/>
      <c r="K538" s="131"/>
      <c r="L538" s="131"/>
      <c r="T538" s="237"/>
      <c r="U538" s="237"/>
      <c r="V538" s="237"/>
      <c r="W538" s="237"/>
      <c r="X538" s="237"/>
      <c r="Y538" s="237"/>
      <c r="Z538" s="237"/>
      <c r="AH538" s="237"/>
      <c r="AI538" s="237"/>
      <c r="AJ538" s="237"/>
      <c r="AK538" s="237"/>
      <c r="AL538" s="237"/>
      <c r="AM538" s="237"/>
      <c r="AN538" s="237"/>
      <c r="AV538" s="237"/>
      <c r="AW538" s="237"/>
      <c r="AX538" s="237"/>
      <c r="AY538" s="237"/>
      <c r="AZ538" s="237"/>
      <c r="BA538" s="237"/>
      <c r="BB538" s="237"/>
    </row>
    <row r="539">
      <c r="E539" s="133"/>
      <c r="F539" s="237"/>
      <c r="G539" s="237"/>
      <c r="H539" s="131"/>
      <c r="I539" s="131"/>
      <c r="J539" s="131"/>
      <c r="K539" s="131"/>
      <c r="L539" s="131"/>
      <c r="T539" s="237"/>
      <c r="U539" s="237"/>
      <c r="V539" s="237"/>
      <c r="W539" s="237"/>
      <c r="X539" s="237"/>
      <c r="Y539" s="237"/>
      <c r="Z539" s="237"/>
      <c r="AH539" s="237"/>
      <c r="AI539" s="237"/>
      <c r="AJ539" s="237"/>
      <c r="AK539" s="237"/>
      <c r="AL539" s="237"/>
      <c r="AM539" s="237"/>
      <c r="AN539" s="237"/>
      <c r="AV539" s="237"/>
      <c r="AW539" s="237"/>
      <c r="AX539" s="237"/>
      <c r="AY539" s="237"/>
      <c r="AZ539" s="237"/>
      <c r="BA539" s="237"/>
      <c r="BB539" s="237"/>
    </row>
    <row r="540">
      <c r="E540" s="133"/>
      <c r="F540" s="237"/>
      <c r="G540" s="237"/>
      <c r="H540" s="131"/>
      <c r="I540" s="131"/>
      <c r="J540" s="131"/>
      <c r="K540" s="131"/>
      <c r="L540" s="131"/>
      <c r="T540" s="237"/>
      <c r="U540" s="237"/>
      <c r="V540" s="237"/>
      <c r="W540" s="237"/>
      <c r="X540" s="237"/>
      <c r="Y540" s="237"/>
      <c r="Z540" s="237"/>
      <c r="AH540" s="237"/>
      <c r="AI540" s="237"/>
      <c r="AJ540" s="237"/>
      <c r="AK540" s="237"/>
      <c r="AL540" s="237"/>
      <c r="AM540" s="237"/>
      <c r="AN540" s="237"/>
      <c r="AV540" s="237"/>
      <c r="AW540" s="237"/>
      <c r="AX540" s="237"/>
      <c r="AY540" s="237"/>
      <c r="AZ540" s="237"/>
      <c r="BA540" s="237"/>
      <c r="BB540" s="237"/>
    </row>
    <row r="541">
      <c r="E541" s="133"/>
      <c r="F541" s="237"/>
      <c r="G541" s="237"/>
      <c r="H541" s="131"/>
      <c r="I541" s="131"/>
      <c r="J541" s="131"/>
      <c r="K541" s="131"/>
      <c r="L541" s="131"/>
      <c r="T541" s="237"/>
      <c r="U541" s="237"/>
      <c r="V541" s="237"/>
      <c r="W541" s="237"/>
      <c r="X541" s="237"/>
      <c r="Y541" s="237"/>
      <c r="Z541" s="237"/>
      <c r="AH541" s="237"/>
      <c r="AI541" s="237"/>
      <c r="AJ541" s="237"/>
      <c r="AK541" s="237"/>
      <c r="AL541" s="237"/>
      <c r="AM541" s="237"/>
      <c r="AN541" s="237"/>
      <c r="AV541" s="237"/>
      <c r="AW541" s="237"/>
      <c r="AX541" s="237"/>
      <c r="AY541" s="237"/>
      <c r="AZ541" s="237"/>
      <c r="BA541" s="237"/>
      <c r="BB541" s="237"/>
    </row>
    <row r="542">
      <c r="E542" s="133"/>
      <c r="F542" s="237"/>
      <c r="G542" s="237"/>
      <c r="H542" s="131"/>
      <c r="I542" s="131"/>
      <c r="J542" s="131"/>
      <c r="K542" s="131"/>
      <c r="L542" s="131"/>
      <c r="T542" s="237"/>
      <c r="U542" s="237"/>
      <c r="V542" s="237"/>
      <c r="W542" s="237"/>
      <c r="X542" s="237"/>
      <c r="Y542" s="237"/>
      <c r="Z542" s="237"/>
      <c r="AH542" s="237"/>
      <c r="AI542" s="237"/>
      <c r="AJ542" s="237"/>
      <c r="AK542" s="237"/>
      <c r="AL542" s="237"/>
      <c r="AM542" s="237"/>
      <c r="AN542" s="237"/>
      <c r="AV542" s="237"/>
      <c r="AW542" s="237"/>
      <c r="AX542" s="237"/>
      <c r="AY542" s="237"/>
      <c r="AZ542" s="237"/>
      <c r="BA542" s="237"/>
      <c r="BB542" s="237"/>
    </row>
    <row r="543">
      <c r="E543" s="133"/>
      <c r="F543" s="237"/>
      <c r="G543" s="237"/>
      <c r="H543" s="131"/>
      <c r="I543" s="131"/>
      <c r="J543" s="131"/>
      <c r="K543" s="131"/>
      <c r="L543" s="131"/>
      <c r="T543" s="237"/>
      <c r="U543" s="237"/>
      <c r="V543" s="237"/>
      <c r="W543" s="237"/>
      <c r="X543" s="237"/>
      <c r="Y543" s="237"/>
      <c r="Z543" s="237"/>
      <c r="AH543" s="237"/>
      <c r="AI543" s="237"/>
      <c r="AJ543" s="237"/>
      <c r="AK543" s="237"/>
      <c r="AL543" s="237"/>
      <c r="AM543" s="237"/>
      <c r="AN543" s="237"/>
      <c r="AV543" s="237"/>
      <c r="AW543" s="237"/>
      <c r="AX543" s="237"/>
      <c r="AY543" s="237"/>
      <c r="AZ543" s="237"/>
      <c r="BA543" s="237"/>
      <c r="BB543" s="237"/>
    </row>
    <row r="544">
      <c r="E544" s="133"/>
      <c r="F544" s="237"/>
      <c r="G544" s="237"/>
      <c r="H544" s="131"/>
      <c r="I544" s="131"/>
      <c r="J544" s="131"/>
      <c r="K544" s="131"/>
      <c r="L544" s="131"/>
      <c r="T544" s="237"/>
      <c r="U544" s="237"/>
      <c r="V544" s="237"/>
      <c r="W544" s="237"/>
      <c r="X544" s="237"/>
      <c r="Y544" s="237"/>
      <c r="Z544" s="237"/>
      <c r="AH544" s="237"/>
      <c r="AI544" s="237"/>
      <c r="AJ544" s="237"/>
      <c r="AK544" s="237"/>
      <c r="AL544" s="237"/>
      <c r="AM544" s="237"/>
      <c r="AN544" s="237"/>
      <c r="AV544" s="237"/>
      <c r="AW544" s="237"/>
      <c r="AX544" s="237"/>
      <c r="AY544" s="237"/>
      <c r="AZ544" s="237"/>
      <c r="BA544" s="237"/>
      <c r="BB544" s="237"/>
    </row>
    <row r="545">
      <c r="E545" s="133"/>
      <c r="F545" s="237"/>
      <c r="G545" s="237"/>
      <c r="H545" s="131"/>
      <c r="I545" s="131"/>
      <c r="J545" s="131"/>
      <c r="K545" s="131"/>
      <c r="L545" s="131"/>
      <c r="T545" s="237"/>
      <c r="U545" s="237"/>
      <c r="V545" s="237"/>
      <c r="W545" s="237"/>
      <c r="X545" s="237"/>
      <c r="Y545" s="237"/>
      <c r="Z545" s="237"/>
      <c r="AH545" s="237"/>
      <c r="AI545" s="237"/>
      <c r="AJ545" s="237"/>
      <c r="AK545" s="237"/>
      <c r="AL545" s="237"/>
      <c r="AM545" s="237"/>
      <c r="AN545" s="237"/>
      <c r="AV545" s="237"/>
      <c r="AW545" s="237"/>
      <c r="AX545" s="237"/>
      <c r="AY545" s="237"/>
      <c r="AZ545" s="237"/>
      <c r="BA545" s="237"/>
      <c r="BB545" s="237"/>
    </row>
    <row r="546">
      <c r="E546" s="133"/>
      <c r="F546" s="237"/>
      <c r="G546" s="237"/>
      <c r="H546" s="131"/>
      <c r="I546" s="131"/>
      <c r="J546" s="131"/>
      <c r="K546" s="131"/>
      <c r="L546" s="131"/>
      <c r="T546" s="237"/>
      <c r="U546" s="237"/>
      <c r="V546" s="237"/>
      <c r="W546" s="237"/>
      <c r="X546" s="237"/>
      <c r="Y546" s="237"/>
      <c r="Z546" s="237"/>
      <c r="AH546" s="237"/>
      <c r="AI546" s="237"/>
      <c r="AJ546" s="237"/>
      <c r="AK546" s="237"/>
      <c r="AL546" s="237"/>
      <c r="AM546" s="237"/>
      <c r="AN546" s="237"/>
      <c r="AV546" s="237"/>
      <c r="AW546" s="237"/>
      <c r="AX546" s="237"/>
      <c r="AY546" s="237"/>
      <c r="AZ546" s="237"/>
      <c r="BA546" s="237"/>
      <c r="BB546" s="237"/>
    </row>
    <row r="547">
      <c r="E547" s="133"/>
      <c r="F547" s="237"/>
      <c r="G547" s="237"/>
      <c r="H547" s="131"/>
      <c r="I547" s="131"/>
      <c r="J547" s="131"/>
      <c r="K547" s="131"/>
      <c r="L547" s="131"/>
      <c r="T547" s="237"/>
      <c r="U547" s="237"/>
      <c r="V547" s="237"/>
      <c r="W547" s="237"/>
      <c r="X547" s="237"/>
      <c r="Y547" s="237"/>
      <c r="Z547" s="237"/>
      <c r="AH547" s="237"/>
      <c r="AI547" s="237"/>
      <c r="AJ547" s="237"/>
      <c r="AK547" s="237"/>
      <c r="AL547" s="237"/>
      <c r="AM547" s="237"/>
      <c r="AN547" s="237"/>
      <c r="AV547" s="237"/>
      <c r="AW547" s="237"/>
      <c r="AX547" s="237"/>
      <c r="AY547" s="237"/>
      <c r="AZ547" s="237"/>
      <c r="BA547" s="237"/>
      <c r="BB547" s="237"/>
    </row>
    <row r="548">
      <c r="E548" s="133"/>
      <c r="F548" s="237"/>
      <c r="G548" s="237"/>
      <c r="H548" s="131"/>
      <c r="I548" s="131"/>
      <c r="J548" s="131"/>
      <c r="K548" s="131"/>
      <c r="L548" s="131"/>
      <c r="T548" s="237"/>
      <c r="U548" s="237"/>
      <c r="V548" s="237"/>
      <c r="W548" s="237"/>
      <c r="X548" s="237"/>
      <c r="Y548" s="237"/>
      <c r="Z548" s="237"/>
      <c r="AH548" s="237"/>
      <c r="AI548" s="237"/>
      <c r="AJ548" s="237"/>
      <c r="AK548" s="237"/>
      <c r="AL548" s="237"/>
      <c r="AM548" s="237"/>
      <c r="AN548" s="237"/>
      <c r="AV548" s="237"/>
      <c r="AW548" s="237"/>
      <c r="AX548" s="237"/>
      <c r="AY548" s="237"/>
      <c r="AZ548" s="237"/>
      <c r="BA548" s="237"/>
      <c r="BB548" s="237"/>
    </row>
    <row r="549">
      <c r="E549" s="133"/>
      <c r="F549" s="237"/>
      <c r="G549" s="237"/>
      <c r="H549" s="131"/>
      <c r="I549" s="131"/>
      <c r="J549" s="131"/>
      <c r="K549" s="131"/>
      <c r="L549" s="131"/>
      <c r="T549" s="237"/>
      <c r="U549" s="237"/>
      <c r="V549" s="237"/>
      <c r="W549" s="237"/>
      <c r="X549" s="237"/>
      <c r="Y549" s="237"/>
      <c r="Z549" s="237"/>
      <c r="AH549" s="237"/>
      <c r="AI549" s="237"/>
      <c r="AJ549" s="237"/>
      <c r="AK549" s="237"/>
      <c r="AL549" s="237"/>
      <c r="AM549" s="237"/>
      <c r="AN549" s="237"/>
      <c r="AV549" s="237"/>
      <c r="AW549" s="237"/>
      <c r="AX549" s="237"/>
      <c r="AY549" s="237"/>
      <c r="AZ549" s="237"/>
      <c r="BA549" s="237"/>
      <c r="BB549" s="237"/>
    </row>
    <row r="550">
      <c r="E550" s="133"/>
      <c r="F550" s="237"/>
      <c r="G550" s="237"/>
      <c r="H550" s="131"/>
      <c r="I550" s="131"/>
      <c r="J550" s="131"/>
      <c r="K550" s="131"/>
      <c r="L550" s="131"/>
      <c r="T550" s="237"/>
      <c r="U550" s="237"/>
      <c r="V550" s="237"/>
      <c r="W550" s="237"/>
      <c r="X550" s="237"/>
      <c r="Y550" s="237"/>
      <c r="Z550" s="237"/>
      <c r="AH550" s="237"/>
      <c r="AI550" s="237"/>
      <c r="AJ550" s="237"/>
      <c r="AK550" s="237"/>
      <c r="AL550" s="237"/>
      <c r="AM550" s="237"/>
      <c r="AN550" s="237"/>
      <c r="AV550" s="237"/>
      <c r="AW550" s="237"/>
      <c r="AX550" s="237"/>
      <c r="AY550" s="237"/>
      <c r="AZ550" s="237"/>
      <c r="BA550" s="237"/>
      <c r="BB550" s="237"/>
    </row>
    <row r="551">
      <c r="E551" s="133"/>
      <c r="F551" s="237"/>
      <c r="G551" s="237"/>
      <c r="H551" s="131"/>
      <c r="I551" s="131"/>
      <c r="J551" s="131"/>
      <c r="K551" s="131"/>
      <c r="L551" s="131"/>
      <c r="T551" s="237"/>
      <c r="U551" s="237"/>
      <c r="V551" s="237"/>
      <c r="W551" s="237"/>
      <c r="X551" s="237"/>
      <c r="Y551" s="237"/>
      <c r="Z551" s="237"/>
      <c r="AH551" s="237"/>
      <c r="AI551" s="237"/>
      <c r="AJ551" s="237"/>
      <c r="AK551" s="237"/>
      <c r="AL551" s="237"/>
      <c r="AM551" s="237"/>
      <c r="AN551" s="237"/>
      <c r="AV551" s="237"/>
      <c r="AW551" s="237"/>
      <c r="AX551" s="237"/>
      <c r="AY551" s="237"/>
      <c r="AZ551" s="237"/>
      <c r="BA551" s="237"/>
      <c r="BB551" s="237"/>
    </row>
    <row r="552">
      <c r="E552" s="133"/>
      <c r="F552" s="237"/>
      <c r="G552" s="237"/>
      <c r="H552" s="131"/>
      <c r="I552" s="131"/>
      <c r="J552" s="131"/>
      <c r="K552" s="131"/>
      <c r="L552" s="131"/>
      <c r="T552" s="237"/>
      <c r="U552" s="237"/>
      <c r="V552" s="237"/>
      <c r="W552" s="237"/>
      <c r="X552" s="237"/>
      <c r="Y552" s="237"/>
      <c r="Z552" s="237"/>
      <c r="AH552" s="237"/>
      <c r="AI552" s="237"/>
      <c r="AJ552" s="237"/>
      <c r="AK552" s="237"/>
      <c r="AL552" s="237"/>
      <c r="AM552" s="237"/>
      <c r="AN552" s="237"/>
      <c r="AV552" s="237"/>
      <c r="AW552" s="237"/>
      <c r="AX552" s="237"/>
      <c r="AY552" s="237"/>
      <c r="AZ552" s="237"/>
      <c r="BA552" s="237"/>
      <c r="BB552" s="237"/>
    </row>
    <row r="553">
      <c r="E553" s="133"/>
      <c r="F553" s="237"/>
      <c r="G553" s="237"/>
      <c r="H553" s="131"/>
      <c r="I553" s="131"/>
      <c r="J553" s="131"/>
      <c r="K553" s="131"/>
      <c r="L553" s="131"/>
      <c r="T553" s="237"/>
      <c r="U553" s="237"/>
      <c r="V553" s="237"/>
      <c r="W553" s="237"/>
      <c r="X553" s="237"/>
      <c r="Y553" s="237"/>
      <c r="Z553" s="237"/>
      <c r="AH553" s="237"/>
      <c r="AI553" s="237"/>
      <c r="AJ553" s="237"/>
      <c r="AK553" s="237"/>
      <c r="AL553" s="237"/>
      <c r="AM553" s="237"/>
      <c r="AN553" s="237"/>
      <c r="AV553" s="237"/>
      <c r="AW553" s="237"/>
      <c r="AX553" s="237"/>
      <c r="AY553" s="237"/>
      <c r="AZ553" s="237"/>
      <c r="BA553" s="237"/>
      <c r="BB553" s="237"/>
    </row>
    <row r="554">
      <c r="E554" s="133"/>
      <c r="F554" s="237"/>
      <c r="G554" s="237"/>
      <c r="H554" s="131"/>
      <c r="I554" s="131"/>
      <c r="J554" s="131"/>
      <c r="K554" s="131"/>
      <c r="L554" s="131"/>
      <c r="T554" s="237"/>
      <c r="U554" s="237"/>
      <c r="V554" s="237"/>
      <c r="W554" s="237"/>
      <c r="X554" s="237"/>
      <c r="Y554" s="237"/>
      <c r="Z554" s="237"/>
      <c r="AH554" s="237"/>
      <c r="AI554" s="237"/>
      <c r="AJ554" s="237"/>
      <c r="AK554" s="237"/>
      <c r="AL554" s="237"/>
      <c r="AM554" s="237"/>
      <c r="AN554" s="237"/>
      <c r="AV554" s="237"/>
      <c r="AW554" s="237"/>
      <c r="AX554" s="237"/>
      <c r="AY554" s="237"/>
      <c r="AZ554" s="237"/>
      <c r="BA554" s="237"/>
      <c r="BB554" s="237"/>
    </row>
    <row r="555">
      <c r="E555" s="133"/>
      <c r="F555" s="237"/>
      <c r="G555" s="237"/>
      <c r="H555" s="131"/>
      <c r="I555" s="131"/>
      <c r="J555" s="131"/>
      <c r="K555" s="131"/>
      <c r="L555" s="131"/>
      <c r="T555" s="237"/>
      <c r="U555" s="237"/>
      <c r="V555" s="237"/>
      <c r="W555" s="237"/>
      <c r="X555" s="237"/>
      <c r="Y555" s="237"/>
      <c r="Z555" s="237"/>
      <c r="AH555" s="237"/>
      <c r="AI555" s="237"/>
      <c r="AJ555" s="237"/>
      <c r="AK555" s="237"/>
      <c r="AL555" s="237"/>
      <c r="AM555" s="237"/>
      <c r="AN555" s="237"/>
      <c r="AV555" s="237"/>
      <c r="AW555" s="237"/>
      <c r="AX555" s="237"/>
      <c r="AY555" s="237"/>
      <c r="AZ555" s="237"/>
      <c r="BA555" s="237"/>
      <c r="BB555" s="237"/>
    </row>
    <row r="556">
      <c r="E556" s="133"/>
      <c r="F556" s="237"/>
      <c r="G556" s="237"/>
      <c r="H556" s="131"/>
      <c r="I556" s="131"/>
      <c r="J556" s="131"/>
      <c r="K556" s="131"/>
      <c r="L556" s="131"/>
      <c r="T556" s="237"/>
      <c r="U556" s="237"/>
      <c r="V556" s="237"/>
      <c r="W556" s="237"/>
      <c r="X556" s="237"/>
      <c r="Y556" s="237"/>
      <c r="Z556" s="237"/>
      <c r="AH556" s="237"/>
      <c r="AI556" s="237"/>
      <c r="AJ556" s="237"/>
      <c r="AK556" s="237"/>
      <c r="AL556" s="237"/>
      <c r="AM556" s="237"/>
      <c r="AN556" s="237"/>
      <c r="AV556" s="237"/>
      <c r="AW556" s="237"/>
      <c r="AX556" s="237"/>
      <c r="AY556" s="237"/>
      <c r="AZ556" s="237"/>
      <c r="BA556" s="237"/>
      <c r="BB556" s="237"/>
    </row>
    <row r="557">
      <c r="E557" s="133"/>
      <c r="F557" s="237"/>
      <c r="G557" s="237"/>
      <c r="H557" s="131"/>
      <c r="I557" s="131"/>
      <c r="J557" s="131"/>
      <c r="K557" s="131"/>
      <c r="L557" s="131"/>
      <c r="T557" s="237"/>
      <c r="U557" s="237"/>
      <c r="V557" s="237"/>
      <c r="W557" s="237"/>
      <c r="X557" s="237"/>
      <c r="Y557" s="237"/>
      <c r="Z557" s="237"/>
      <c r="AH557" s="237"/>
      <c r="AI557" s="237"/>
      <c r="AJ557" s="237"/>
      <c r="AK557" s="237"/>
      <c r="AL557" s="237"/>
      <c r="AM557" s="237"/>
      <c r="AN557" s="237"/>
      <c r="AV557" s="237"/>
      <c r="AW557" s="237"/>
      <c r="AX557" s="237"/>
      <c r="AY557" s="237"/>
      <c r="AZ557" s="237"/>
      <c r="BA557" s="237"/>
      <c r="BB557" s="237"/>
    </row>
    <row r="558">
      <c r="E558" s="133"/>
      <c r="F558" s="237"/>
      <c r="G558" s="237"/>
      <c r="H558" s="131"/>
      <c r="I558" s="131"/>
      <c r="J558" s="131"/>
      <c r="K558" s="131"/>
      <c r="L558" s="131"/>
      <c r="T558" s="237"/>
      <c r="U558" s="237"/>
      <c r="V558" s="237"/>
      <c r="W558" s="237"/>
      <c r="X558" s="237"/>
      <c r="Y558" s="237"/>
      <c r="Z558" s="237"/>
      <c r="AH558" s="237"/>
      <c r="AI558" s="237"/>
      <c r="AJ558" s="237"/>
      <c r="AK558" s="237"/>
      <c r="AL558" s="237"/>
      <c r="AM558" s="237"/>
      <c r="AN558" s="237"/>
      <c r="AV558" s="237"/>
      <c r="AW558" s="237"/>
      <c r="AX558" s="237"/>
      <c r="AY558" s="237"/>
      <c r="AZ558" s="237"/>
      <c r="BA558" s="237"/>
      <c r="BB558" s="237"/>
    </row>
    <row r="559">
      <c r="E559" s="133"/>
      <c r="F559" s="237"/>
      <c r="G559" s="237"/>
      <c r="H559" s="131"/>
      <c r="I559" s="131"/>
      <c r="J559" s="131"/>
      <c r="K559" s="131"/>
      <c r="L559" s="131"/>
      <c r="T559" s="237"/>
      <c r="U559" s="237"/>
      <c r="V559" s="237"/>
      <c r="W559" s="237"/>
      <c r="X559" s="237"/>
      <c r="Y559" s="237"/>
      <c r="Z559" s="237"/>
      <c r="AH559" s="237"/>
      <c r="AI559" s="237"/>
      <c r="AJ559" s="237"/>
      <c r="AK559" s="237"/>
      <c r="AL559" s="237"/>
      <c r="AM559" s="237"/>
      <c r="AN559" s="237"/>
      <c r="AV559" s="237"/>
      <c r="AW559" s="237"/>
      <c r="AX559" s="237"/>
      <c r="AY559" s="237"/>
      <c r="AZ559" s="237"/>
      <c r="BA559" s="237"/>
      <c r="BB559" s="237"/>
    </row>
    <row r="560">
      <c r="E560" s="133"/>
      <c r="F560" s="237"/>
      <c r="G560" s="237"/>
      <c r="H560" s="131"/>
      <c r="I560" s="131"/>
      <c r="J560" s="131"/>
      <c r="K560" s="131"/>
      <c r="L560" s="131"/>
      <c r="T560" s="237"/>
      <c r="U560" s="237"/>
      <c r="V560" s="237"/>
      <c r="W560" s="237"/>
      <c r="X560" s="237"/>
      <c r="Y560" s="237"/>
      <c r="Z560" s="237"/>
      <c r="AH560" s="237"/>
      <c r="AI560" s="237"/>
      <c r="AJ560" s="237"/>
      <c r="AK560" s="237"/>
      <c r="AL560" s="237"/>
      <c r="AM560" s="237"/>
      <c r="AN560" s="237"/>
      <c r="AV560" s="237"/>
      <c r="AW560" s="237"/>
      <c r="AX560" s="237"/>
      <c r="AY560" s="237"/>
      <c r="AZ560" s="237"/>
      <c r="BA560" s="237"/>
      <c r="BB560" s="237"/>
    </row>
    <row r="561">
      <c r="E561" s="133"/>
      <c r="F561" s="237"/>
      <c r="G561" s="237"/>
      <c r="H561" s="131"/>
      <c r="I561" s="131"/>
      <c r="J561" s="131"/>
      <c r="K561" s="131"/>
      <c r="L561" s="131"/>
      <c r="T561" s="237"/>
      <c r="U561" s="237"/>
      <c r="V561" s="237"/>
      <c r="W561" s="237"/>
      <c r="X561" s="237"/>
      <c r="Y561" s="237"/>
      <c r="Z561" s="237"/>
      <c r="AH561" s="237"/>
      <c r="AI561" s="237"/>
      <c r="AJ561" s="237"/>
      <c r="AK561" s="237"/>
      <c r="AL561" s="237"/>
      <c r="AM561" s="237"/>
      <c r="AN561" s="237"/>
      <c r="AV561" s="237"/>
      <c r="AW561" s="237"/>
      <c r="AX561" s="237"/>
      <c r="AY561" s="237"/>
      <c r="AZ561" s="237"/>
      <c r="BA561" s="237"/>
      <c r="BB561" s="237"/>
    </row>
    <row r="562">
      <c r="E562" s="133"/>
      <c r="F562" s="237"/>
      <c r="G562" s="237"/>
      <c r="H562" s="131"/>
      <c r="I562" s="131"/>
      <c r="J562" s="131"/>
      <c r="K562" s="131"/>
      <c r="L562" s="131"/>
      <c r="T562" s="237"/>
      <c r="U562" s="237"/>
      <c r="V562" s="237"/>
      <c r="W562" s="237"/>
      <c r="X562" s="237"/>
      <c r="Y562" s="237"/>
      <c r="Z562" s="237"/>
      <c r="AH562" s="237"/>
      <c r="AI562" s="237"/>
      <c r="AJ562" s="237"/>
      <c r="AK562" s="237"/>
      <c r="AL562" s="237"/>
      <c r="AM562" s="237"/>
      <c r="AN562" s="237"/>
      <c r="AV562" s="237"/>
      <c r="AW562" s="237"/>
      <c r="AX562" s="237"/>
      <c r="AY562" s="237"/>
      <c r="AZ562" s="237"/>
      <c r="BA562" s="237"/>
      <c r="BB562" s="237"/>
    </row>
    <row r="563">
      <c r="E563" s="133"/>
      <c r="F563" s="237"/>
      <c r="G563" s="237"/>
      <c r="H563" s="131"/>
      <c r="I563" s="131"/>
      <c r="J563" s="131"/>
      <c r="K563" s="131"/>
      <c r="L563" s="131"/>
      <c r="T563" s="237"/>
      <c r="U563" s="237"/>
      <c r="V563" s="237"/>
      <c r="W563" s="237"/>
      <c r="X563" s="237"/>
      <c r="Y563" s="237"/>
      <c r="Z563" s="237"/>
      <c r="AH563" s="237"/>
      <c r="AI563" s="237"/>
      <c r="AJ563" s="237"/>
      <c r="AK563" s="237"/>
      <c r="AL563" s="237"/>
      <c r="AM563" s="237"/>
      <c r="AN563" s="237"/>
      <c r="AV563" s="237"/>
      <c r="AW563" s="237"/>
      <c r="AX563" s="237"/>
      <c r="AY563" s="237"/>
      <c r="AZ563" s="237"/>
      <c r="BA563" s="237"/>
      <c r="BB563" s="237"/>
    </row>
    <row r="564">
      <c r="E564" s="133"/>
      <c r="F564" s="237"/>
      <c r="G564" s="237"/>
      <c r="H564" s="131"/>
      <c r="I564" s="131"/>
      <c r="J564" s="131"/>
      <c r="K564" s="131"/>
      <c r="L564" s="131"/>
      <c r="T564" s="237"/>
      <c r="U564" s="237"/>
      <c r="V564" s="237"/>
      <c r="W564" s="237"/>
      <c r="X564" s="237"/>
      <c r="Y564" s="237"/>
      <c r="Z564" s="237"/>
      <c r="AH564" s="237"/>
      <c r="AI564" s="237"/>
      <c r="AJ564" s="237"/>
      <c r="AK564" s="237"/>
      <c r="AL564" s="237"/>
      <c r="AM564" s="237"/>
      <c r="AN564" s="237"/>
      <c r="AV564" s="237"/>
      <c r="AW564" s="237"/>
      <c r="AX564" s="237"/>
      <c r="AY564" s="237"/>
      <c r="AZ564" s="237"/>
      <c r="BA564" s="237"/>
      <c r="BB564" s="237"/>
    </row>
    <row r="565">
      <c r="E565" s="133"/>
      <c r="F565" s="237"/>
      <c r="G565" s="237"/>
      <c r="H565" s="131"/>
      <c r="I565" s="131"/>
      <c r="J565" s="131"/>
      <c r="K565" s="131"/>
      <c r="L565" s="131"/>
      <c r="T565" s="237"/>
      <c r="U565" s="237"/>
      <c r="V565" s="237"/>
      <c r="W565" s="237"/>
      <c r="X565" s="237"/>
      <c r="Y565" s="237"/>
      <c r="Z565" s="237"/>
      <c r="AH565" s="237"/>
      <c r="AI565" s="237"/>
      <c r="AJ565" s="237"/>
      <c r="AK565" s="237"/>
      <c r="AL565" s="237"/>
      <c r="AM565" s="237"/>
      <c r="AN565" s="237"/>
      <c r="AV565" s="237"/>
      <c r="AW565" s="237"/>
      <c r="AX565" s="237"/>
      <c r="AY565" s="237"/>
      <c r="AZ565" s="237"/>
      <c r="BA565" s="237"/>
      <c r="BB565" s="237"/>
    </row>
    <row r="566">
      <c r="E566" s="133"/>
      <c r="F566" s="237"/>
      <c r="G566" s="237"/>
      <c r="H566" s="131"/>
      <c r="I566" s="131"/>
      <c r="J566" s="131"/>
      <c r="K566" s="131"/>
      <c r="L566" s="131"/>
      <c r="T566" s="237"/>
      <c r="U566" s="237"/>
      <c r="V566" s="237"/>
      <c r="W566" s="237"/>
      <c r="X566" s="237"/>
      <c r="Y566" s="237"/>
      <c r="Z566" s="237"/>
      <c r="AH566" s="237"/>
      <c r="AI566" s="237"/>
      <c r="AJ566" s="237"/>
      <c r="AK566" s="237"/>
      <c r="AL566" s="237"/>
      <c r="AM566" s="237"/>
      <c r="AN566" s="237"/>
      <c r="AV566" s="237"/>
      <c r="AW566" s="237"/>
      <c r="AX566" s="237"/>
      <c r="AY566" s="237"/>
      <c r="AZ566" s="237"/>
      <c r="BA566" s="237"/>
      <c r="BB566" s="237"/>
    </row>
    <row r="567">
      <c r="E567" s="133"/>
      <c r="F567" s="237"/>
      <c r="G567" s="237"/>
      <c r="H567" s="131"/>
      <c r="I567" s="131"/>
      <c r="J567" s="131"/>
      <c r="K567" s="131"/>
      <c r="L567" s="131"/>
      <c r="T567" s="237"/>
      <c r="U567" s="237"/>
      <c r="V567" s="237"/>
      <c r="W567" s="237"/>
      <c r="X567" s="237"/>
      <c r="Y567" s="237"/>
      <c r="Z567" s="237"/>
      <c r="AH567" s="237"/>
      <c r="AI567" s="237"/>
      <c r="AJ567" s="237"/>
      <c r="AK567" s="237"/>
      <c r="AL567" s="237"/>
      <c r="AM567" s="237"/>
      <c r="AN567" s="237"/>
      <c r="AV567" s="237"/>
      <c r="AW567" s="237"/>
      <c r="AX567" s="237"/>
      <c r="AY567" s="237"/>
      <c r="AZ567" s="237"/>
      <c r="BA567" s="237"/>
      <c r="BB567" s="237"/>
    </row>
    <row r="568">
      <c r="E568" s="133"/>
      <c r="F568" s="237"/>
      <c r="G568" s="237"/>
      <c r="H568" s="131"/>
      <c r="I568" s="131"/>
      <c r="J568" s="131"/>
      <c r="K568" s="131"/>
      <c r="L568" s="131"/>
      <c r="T568" s="237"/>
      <c r="U568" s="237"/>
      <c r="V568" s="237"/>
      <c r="W568" s="237"/>
      <c r="X568" s="237"/>
      <c r="Y568" s="237"/>
      <c r="Z568" s="237"/>
      <c r="AH568" s="237"/>
      <c r="AI568" s="237"/>
      <c r="AJ568" s="237"/>
      <c r="AK568" s="237"/>
      <c r="AL568" s="237"/>
      <c r="AM568" s="237"/>
      <c r="AN568" s="237"/>
      <c r="AV568" s="237"/>
      <c r="AW568" s="237"/>
      <c r="AX568" s="237"/>
      <c r="AY568" s="237"/>
      <c r="AZ568" s="237"/>
      <c r="BA568" s="237"/>
      <c r="BB568" s="237"/>
    </row>
    <row r="569">
      <c r="E569" s="133"/>
      <c r="F569" s="237"/>
      <c r="G569" s="237"/>
      <c r="H569" s="131"/>
      <c r="I569" s="131"/>
      <c r="J569" s="131"/>
      <c r="K569" s="131"/>
      <c r="L569" s="131"/>
      <c r="T569" s="237"/>
      <c r="U569" s="237"/>
      <c r="V569" s="237"/>
      <c r="W569" s="237"/>
      <c r="X569" s="237"/>
      <c r="Y569" s="237"/>
      <c r="Z569" s="237"/>
      <c r="AH569" s="237"/>
      <c r="AI569" s="237"/>
      <c r="AJ569" s="237"/>
      <c r="AK569" s="237"/>
      <c r="AL569" s="237"/>
      <c r="AM569" s="237"/>
      <c r="AN569" s="237"/>
      <c r="AV569" s="237"/>
      <c r="AW569" s="237"/>
      <c r="AX569" s="237"/>
      <c r="AY569" s="237"/>
      <c r="AZ569" s="237"/>
      <c r="BA569" s="237"/>
      <c r="BB569" s="237"/>
    </row>
    <row r="570">
      <c r="E570" s="133"/>
      <c r="F570" s="237"/>
      <c r="G570" s="237"/>
      <c r="H570" s="131"/>
      <c r="I570" s="131"/>
      <c r="J570" s="131"/>
      <c r="K570" s="131"/>
      <c r="L570" s="131"/>
      <c r="T570" s="237"/>
      <c r="U570" s="237"/>
      <c r="V570" s="237"/>
      <c r="W570" s="237"/>
      <c r="X570" s="237"/>
      <c r="Y570" s="237"/>
      <c r="Z570" s="237"/>
      <c r="AH570" s="237"/>
      <c r="AI570" s="237"/>
      <c r="AJ570" s="237"/>
      <c r="AK570" s="237"/>
      <c r="AL570" s="237"/>
      <c r="AM570" s="237"/>
      <c r="AN570" s="237"/>
      <c r="AV570" s="237"/>
      <c r="AW570" s="237"/>
      <c r="AX570" s="237"/>
      <c r="AY570" s="237"/>
      <c r="AZ570" s="237"/>
      <c r="BA570" s="237"/>
      <c r="BB570" s="237"/>
    </row>
    <row r="571">
      <c r="E571" s="133"/>
      <c r="F571" s="237"/>
      <c r="G571" s="237"/>
      <c r="H571" s="131"/>
      <c r="I571" s="131"/>
      <c r="J571" s="131"/>
      <c r="K571" s="131"/>
      <c r="L571" s="131"/>
      <c r="T571" s="237"/>
      <c r="U571" s="237"/>
      <c r="V571" s="237"/>
      <c r="W571" s="237"/>
      <c r="X571" s="237"/>
      <c r="Y571" s="237"/>
      <c r="Z571" s="237"/>
      <c r="AH571" s="237"/>
      <c r="AI571" s="237"/>
      <c r="AJ571" s="237"/>
      <c r="AK571" s="237"/>
      <c r="AL571" s="237"/>
      <c r="AM571" s="237"/>
      <c r="AN571" s="237"/>
      <c r="AV571" s="237"/>
      <c r="AW571" s="237"/>
      <c r="AX571" s="237"/>
      <c r="AY571" s="237"/>
      <c r="AZ571" s="237"/>
      <c r="BA571" s="237"/>
      <c r="BB571" s="237"/>
    </row>
    <row r="572">
      <c r="E572" s="133"/>
      <c r="F572" s="237"/>
      <c r="G572" s="237"/>
      <c r="H572" s="131"/>
      <c r="I572" s="131"/>
      <c r="J572" s="131"/>
      <c r="K572" s="131"/>
      <c r="L572" s="131"/>
      <c r="T572" s="237"/>
      <c r="U572" s="237"/>
      <c r="V572" s="237"/>
      <c r="W572" s="237"/>
      <c r="X572" s="237"/>
      <c r="Y572" s="237"/>
      <c r="Z572" s="237"/>
      <c r="AH572" s="237"/>
      <c r="AI572" s="237"/>
      <c r="AJ572" s="237"/>
      <c r="AK572" s="237"/>
      <c r="AL572" s="237"/>
      <c r="AM572" s="237"/>
      <c r="AN572" s="237"/>
      <c r="AV572" s="237"/>
      <c r="AW572" s="237"/>
      <c r="AX572" s="237"/>
      <c r="AY572" s="237"/>
      <c r="AZ572" s="237"/>
      <c r="BA572" s="237"/>
      <c r="BB572" s="237"/>
    </row>
    <row r="573">
      <c r="E573" s="133"/>
      <c r="F573" s="237"/>
      <c r="G573" s="237"/>
      <c r="H573" s="131"/>
      <c r="I573" s="131"/>
      <c r="J573" s="131"/>
      <c r="K573" s="131"/>
      <c r="L573" s="131"/>
      <c r="T573" s="237"/>
      <c r="U573" s="237"/>
      <c r="V573" s="237"/>
      <c r="W573" s="237"/>
      <c r="X573" s="237"/>
      <c r="Y573" s="237"/>
      <c r="Z573" s="237"/>
      <c r="AH573" s="237"/>
      <c r="AI573" s="237"/>
      <c r="AJ573" s="237"/>
      <c r="AK573" s="237"/>
      <c r="AL573" s="237"/>
      <c r="AM573" s="237"/>
      <c r="AN573" s="237"/>
      <c r="AV573" s="237"/>
      <c r="AW573" s="237"/>
      <c r="AX573" s="237"/>
      <c r="AY573" s="237"/>
      <c r="AZ573" s="237"/>
      <c r="BA573" s="237"/>
      <c r="BB573" s="237"/>
    </row>
    <row r="574">
      <c r="E574" s="133"/>
      <c r="F574" s="237"/>
      <c r="G574" s="237"/>
      <c r="H574" s="131"/>
      <c r="I574" s="131"/>
      <c r="J574" s="131"/>
      <c r="K574" s="131"/>
      <c r="L574" s="131"/>
      <c r="T574" s="237"/>
      <c r="U574" s="237"/>
      <c r="V574" s="237"/>
      <c r="W574" s="237"/>
      <c r="X574" s="237"/>
      <c r="Y574" s="237"/>
      <c r="Z574" s="237"/>
      <c r="AH574" s="237"/>
      <c r="AI574" s="237"/>
      <c r="AJ574" s="237"/>
      <c r="AK574" s="237"/>
      <c r="AL574" s="237"/>
      <c r="AM574" s="237"/>
      <c r="AN574" s="237"/>
      <c r="AV574" s="237"/>
      <c r="AW574" s="237"/>
      <c r="AX574" s="237"/>
      <c r="AY574" s="237"/>
      <c r="AZ574" s="237"/>
      <c r="BA574" s="237"/>
      <c r="BB574" s="237"/>
    </row>
    <row r="575">
      <c r="E575" s="133"/>
      <c r="F575" s="237"/>
      <c r="G575" s="237"/>
      <c r="H575" s="131"/>
      <c r="I575" s="131"/>
      <c r="J575" s="131"/>
      <c r="K575" s="131"/>
      <c r="L575" s="131"/>
      <c r="T575" s="237"/>
      <c r="U575" s="237"/>
      <c r="V575" s="237"/>
      <c r="W575" s="237"/>
      <c r="X575" s="237"/>
      <c r="Y575" s="237"/>
      <c r="Z575" s="237"/>
      <c r="AH575" s="237"/>
      <c r="AI575" s="237"/>
      <c r="AJ575" s="237"/>
      <c r="AK575" s="237"/>
      <c r="AL575" s="237"/>
      <c r="AM575" s="237"/>
      <c r="AN575" s="237"/>
      <c r="AV575" s="237"/>
      <c r="AW575" s="237"/>
      <c r="AX575" s="237"/>
      <c r="AY575" s="237"/>
      <c r="AZ575" s="237"/>
      <c r="BA575" s="237"/>
      <c r="BB575" s="237"/>
    </row>
    <row r="576">
      <c r="E576" s="133"/>
      <c r="F576" s="237"/>
      <c r="G576" s="237"/>
      <c r="H576" s="131"/>
      <c r="I576" s="131"/>
      <c r="J576" s="131"/>
      <c r="K576" s="131"/>
      <c r="L576" s="131"/>
      <c r="T576" s="237"/>
      <c r="U576" s="237"/>
      <c r="V576" s="237"/>
      <c r="W576" s="237"/>
      <c r="X576" s="237"/>
      <c r="Y576" s="237"/>
      <c r="Z576" s="237"/>
      <c r="AH576" s="237"/>
      <c r="AI576" s="237"/>
      <c r="AJ576" s="237"/>
      <c r="AK576" s="237"/>
      <c r="AL576" s="237"/>
      <c r="AM576" s="237"/>
      <c r="AN576" s="237"/>
      <c r="AV576" s="237"/>
      <c r="AW576" s="237"/>
      <c r="AX576" s="237"/>
      <c r="AY576" s="237"/>
      <c r="AZ576" s="237"/>
      <c r="BA576" s="237"/>
      <c r="BB576" s="237"/>
    </row>
    <row r="577">
      <c r="E577" s="133"/>
      <c r="F577" s="237"/>
      <c r="G577" s="237"/>
      <c r="H577" s="131"/>
      <c r="I577" s="131"/>
      <c r="J577" s="131"/>
      <c r="K577" s="131"/>
      <c r="L577" s="131"/>
      <c r="T577" s="237"/>
      <c r="U577" s="237"/>
      <c r="V577" s="237"/>
      <c r="W577" s="237"/>
      <c r="X577" s="237"/>
      <c r="Y577" s="237"/>
      <c r="Z577" s="237"/>
      <c r="AH577" s="237"/>
      <c r="AI577" s="237"/>
      <c r="AJ577" s="237"/>
      <c r="AK577" s="237"/>
      <c r="AL577" s="237"/>
      <c r="AM577" s="237"/>
      <c r="AN577" s="237"/>
      <c r="AV577" s="237"/>
      <c r="AW577" s="237"/>
      <c r="AX577" s="237"/>
      <c r="AY577" s="237"/>
      <c r="AZ577" s="237"/>
      <c r="BA577" s="237"/>
      <c r="BB577" s="237"/>
    </row>
    <row r="578">
      <c r="E578" s="133"/>
      <c r="F578" s="237"/>
      <c r="G578" s="237"/>
      <c r="H578" s="131"/>
      <c r="I578" s="131"/>
      <c r="J578" s="131"/>
      <c r="K578" s="131"/>
      <c r="L578" s="131"/>
      <c r="T578" s="237"/>
      <c r="U578" s="237"/>
      <c r="V578" s="237"/>
      <c r="W578" s="237"/>
      <c r="X578" s="237"/>
      <c r="Y578" s="237"/>
      <c r="Z578" s="237"/>
      <c r="AH578" s="237"/>
      <c r="AI578" s="237"/>
      <c r="AJ578" s="237"/>
      <c r="AK578" s="237"/>
      <c r="AL578" s="237"/>
      <c r="AM578" s="237"/>
      <c r="AN578" s="237"/>
      <c r="AV578" s="237"/>
      <c r="AW578" s="237"/>
      <c r="AX578" s="237"/>
      <c r="AY578" s="237"/>
      <c r="AZ578" s="237"/>
      <c r="BA578" s="237"/>
      <c r="BB578" s="237"/>
    </row>
    <row r="579">
      <c r="E579" s="133"/>
      <c r="F579" s="237"/>
      <c r="G579" s="237"/>
      <c r="H579" s="131"/>
      <c r="I579" s="131"/>
      <c r="J579" s="131"/>
      <c r="K579" s="131"/>
      <c r="L579" s="131"/>
      <c r="T579" s="237"/>
      <c r="U579" s="237"/>
      <c r="V579" s="237"/>
      <c r="W579" s="237"/>
      <c r="X579" s="237"/>
      <c r="Y579" s="237"/>
      <c r="Z579" s="237"/>
      <c r="AH579" s="237"/>
      <c r="AI579" s="237"/>
      <c r="AJ579" s="237"/>
      <c r="AK579" s="237"/>
      <c r="AL579" s="237"/>
      <c r="AM579" s="237"/>
      <c r="AN579" s="237"/>
      <c r="AV579" s="237"/>
      <c r="AW579" s="237"/>
      <c r="AX579" s="237"/>
      <c r="AY579" s="237"/>
      <c r="AZ579" s="237"/>
      <c r="BA579" s="237"/>
      <c r="BB579" s="237"/>
    </row>
    <row r="580">
      <c r="E580" s="133"/>
      <c r="F580" s="237"/>
      <c r="G580" s="237"/>
      <c r="H580" s="131"/>
      <c r="I580" s="131"/>
      <c r="J580" s="131"/>
      <c r="K580" s="131"/>
      <c r="L580" s="131"/>
      <c r="T580" s="237"/>
      <c r="U580" s="237"/>
      <c r="V580" s="237"/>
      <c r="W580" s="237"/>
      <c r="X580" s="237"/>
      <c r="Y580" s="237"/>
      <c r="Z580" s="237"/>
      <c r="AH580" s="237"/>
      <c r="AI580" s="237"/>
      <c r="AJ580" s="237"/>
      <c r="AK580" s="237"/>
      <c r="AL580" s="237"/>
      <c r="AM580" s="237"/>
      <c r="AN580" s="237"/>
      <c r="AV580" s="237"/>
      <c r="AW580" s="237"/>
      <c r="AX580" s="237"/>
      <c r="AY580" s="237"/>
      <c r="AZ580" s="237"/>
      <c r="BA580" s="237"/>
      <c r="BB580" s="237"/>
    </row>
    <row r="581">
      <c r="E581" s="133"/>
      <c r="F581" s="237"/>
      <c r="G581" s="237"/>
      <c r="H581" s="131"/>
      <c r="I581" s="131"/>
      <c r="J581" s="131"/>
      <c r="K581" s="131"/>
      <c r="L581" s="131"/>
      <c r="T581" s="237"/>
      <c r="U581" s="237"/>
      <c r="V581" s="237"/>
      <c r="W581" s="237"/>
      <c r="X581" s="237"/>
      <c r="Y581" s="237"/>
      <c r="Z581" s="237"/>
      <c r="AH581" s="237"/>
      <c r="AI581" s="237"/>
      <c r="AJ581" s="237"/>
      <c r="AK581" s="237"/>
      <c r="AL581" s="237"/>
      <c r="AM581" s="237"/>
      <c r="AN581" s="237"/>
      <c r="AV581" s="237"/>
      <c r="AW581" s="237"/>
      <c r="AX581" s="237"/>
      <c r="AY581" s="237"/>
      <c r="AZ581" s="237"/>
      <c r="BA581" s="237"/>
      <c r="BB581" s="237"/>
    </row>
    <row r="582">
      <c r="E582" s="133"/>
      <c r="F582" s="237"/>
      <c r="G582" s="237"/>
      <c r="H582" s="131"/>
      <c r="I582" s="131"/>
      <c r="J582" s="131"/>
      <c r="K582" s="131"/>
      <c r="L582" s="131"/>
      <c r="T582" s="237"/>
      <c r="U582" s="237"/>
      <c r="V582" s="237"/>
      <c r="W582" s="237"/>
      <c r="X582" s="237"/>
      <c r="Y582" s="237"/>
      <c r="Z582" s="237"/>
      <c r="AH582" s="237"/>
      <c r="AI582" s="237"/>
      <c r="AJ582" s="237"/>
      <c r="AK582" s="237"/>
      <c r="AL582" s="237"/>
      <c r="AM582" s="237"/>
      <c r="AN582" s="237"/>
      <c r="AV582" s="237"/>
      <c r="AW582" s="237"/>
      <c r="AX582" s="237"/>
      <c r="AY582" s="237"/>
      <c r="AZ582" s="237"/>
      <c r="BA582" s="237"/>
      <c r="BB582" s="237"/>
    </row>
    <row r="583">
      <c r="E583" s="133"/>
      <c r="F583" s="237"/>
      <c r="G583" s="237"/>
      <c r="H583" s="131"/>
      <c r="I583" s="131"/>
      <c r="J583" s="131"/>
      <c r="K583" s="131"/>
      <c r="L583" s="131"/>
      <c r="T583" s="237"/>
      <c r="U583" s="237"/>
      <c r="V583" s="237"/>
      <c r="W583" s="237"/>
      <c r="X583" s="237"/>
      <c r="Y583" s="237"/>
      <c r="Z583" s="237"/>
      <c r="AH583" s="237"/>
      <c r="AI583" s="237"/>
      <c r="AJ583" s="237"/>
      <c r="AK583" s="237"/>
      <c r="AL583" s="237"/>
      <c r="AM583" s="237"/>
      <c r="AN583" s="237"/>
      <c r="AV583" s="237"/>
      <c r="AW583" s="237"/>
      <c r="AX583" s="237"/>
      <c r="AY583" s="237"/>
      <c r="AZ583" s="237"/>
      <c r="BA583" s="237"/>
      <c r="BB583" s="237"/>
    </row>
    <row r="584">
      <c r="E584" s="133"/>
      <c r="F584" s="237"/>
      <c r="G584" s="237"/>
      <c r="H584" s="131"/>
      <c r="I584" s="131"/>
      <c r="J584" s="131"/>
      <c r="K584" s="131"/>
      <c r="L584" s="131"/>
      <c r="T584" s="237"/>
      <c r="U584" s="237"/>
      <c r="V584" s="237"/>
      <c r="W584" s="237"/>
      <c r="X584" s="237"/>
      <c r="Y584" s="237"/>
      <c r="Z584" s="237"/>
      <c r="AH584" s="237"/>
      <c r="AI584" s="237"/>
      <c r="AJ584" s="237"/>
      <c r="AK584" s="237"/>
      <c r="AL584" s="237"/>
      <c r="AM584" s="237"/>
      <c r="AN584" s="237"/>
      <c r="AV584" s="237"/>
      <c r="AW584" s="237"/>
      <c r="AX584" s="237"/>
      <c r="AY584" s="237"/>
      <c r="AZ584" s="237"/>
      <c r="BA584" s="237"/>
      <c r="BB584" s="237"/>
    </row>
    <row r="585">
      <c r="E585" s="133"/>
      <c r="F585" s="237"/>
      <c r="G585" s="237"/>
      <c r="H585" s="131"/>
      <c r="I585" s="131"/>
      <c r="J585" s="131"/>
      <c r="K585" s="131"/>
      <c r="L585" s="131"/>
      <c r="T585" s="237"/>
      <c r="U585" s="237"/>
      <c r="V585" s="237"/>
      <c r="W585" s="237"/>
      <c r="X585" s="237"/>
      <c r="Y585" s="237"/>
      <c r="Z585" s="237"/>
      <c r="AH585" s="237"/>
      <c r="AI585" s="237"/>
      <c r="AJ585" s="237"/>
      <c r="AK585" s="237"/>
      <c r="AL585" s="237"/>
      <c r="AM585" s="237"/>
      <c r="AN585" s="237"/>
      <c r="AV585" s="237"/>
      <c r="AW585" s="237"/>
      <c r="AX585" s="237"/>
      <c r="AY585" s="237"/>
      <c r="AZ585" s="237"/>
      <c r="BA585" s="237"/>
      <c r="BB585" s="237"/>
    </row>
    <row r="586">
      <c r="E586" s="133"/>
      <c r="F586" s="237"/>
      <c r="G586" s="237"/>
      <c r="H586" s="131"/>
      <c r="I586" s="131"/>
      <c r="J586" s="131"/>
      <c r="K586" s="131"/>
      <c r="L586" s="131"/>
      <c r="T586" s="237"/>
      <c r="U586" s="237"/>
      <c r="V586" s="237"/>
      <c r="W586" s="237"/>
      <c r="X586" s="237"/>
      <c r="Y586" s="237"/>
      <c r="Z586" s="237"/>
      <c r="AH586" s="237"/>
      <c r="AI586" s="237"/>
      <c r="AJ586" s="237"/>
      <c r="AK586" s="237"/>
      <c r="AL586" s="237"/>
      <c r="AM586" s="237"/>
      <c r="AN586" s="237"/>
      <c r="AV586" s="237"/>
      <c r="AW586" s="237"/>
      <c r="AX586" s="237"/>
      <c r="AY586" s="237"/>
      <c r="AZ586" s="237"/>
      <c r="BA586" s="237"/>
      <c r="BB586" s="237"/>
    </row>
    <row r="587">
      <c r="E587" s="133"/>
      <c r="F587" s="237"/>
      <c r="G587" s="237"/>
      <c r="H587" s="131"/>
      <c r="I587" s="131"/>
      <c r="J587" s="131"/>
      <c r="K587" s="131"/>
      <c r="L587" s="131"/>
      <c r="T587" s="237"/>
      <c r="U587" s="237"/>
      <c r="V587" s="237"/>
      <c r="W587" s="237"/>
      <c r="X587" s="237"/>
      <c r="Y587" s="237"/>
      <c r="Z587" s="237"/>
      <c r="AH587" s="237"/>
      <c r="AI587" s="237"/>
      <c r="AJ587" s="237"/>
      <c r="AK587" s="237"/>
      <c r="AL587" s="237"/>
      <c r="AM587" s="237"/>
      <c r="AN587" s="237"/>
      <c r="AV587" s="237"/>
      <c r="AW587" s="237"/>
      <c r="AX587" s="237"/>
      <c r="AY587" s="237"/>
      <c r="AZ587" s="237"/>
      <c r="BA587" s="237"/>
      <c r="BB587" s="237"/>
    </row>
    <row r="588">
      <c r="E588" s="133"/>
      <c r="F588" s="237"/>
      <c r="G588" s="237"/>
      <c r="H588" s="131"/>
      <c r="I588" s="131"/>
      <c r="J588" s="131"/>
      <c r="K588" s="131"/>
      <c r="L588" s="131"/>
      <c r="T588" s="237"/>
      <c r="U588" s="237"/>
      <c r="V588" s="237"/>
      <c r="W588" s="237"/>
      <c r="X588" s="237"/>
      <c r="Y588" s="237"/>
      <c r="Z588" s="237"/>
      <c r="AH588" s="237"/>
      <c r="AI588" s="237"/>
      <c r="AJ588" s="237"/>
      <c r="AK588" s="237"/>
      <c r="AL588" s="237"/>
      <c r="AM588" s="237"/>
      <c r="AN588" s="237"/>
      <c r="AV588" s="237"/>
      <c r="AW588" s="237"/>
      <c r="AX588" s="237"/>
      <c r="AY588" s="237"/>
      <c r="AZ588" s="237"/>
      <c r="BA588" s="237"/>
      <c r="BB588" s="237"/>
    </row>
    <row r="589">
      <c r="E589" s="133"/>
      <c r="F589" s="237"/>
      <c r="G589" s="237"/>
      <c r="H589" s="131"/>
      <c r="I589" s="131"/>
      <c r="J589" s="131"/>
      <c r="K589" s="131"/>
      <c r="L589" s="131"/>
      <c r="T589" s="237"/>
      <c r="U589" s="237"/>
      <c r="V589" s="237"/>
      <c r="W589" s="237"/>
      <c r="X589" s="237"/>
      <c r="Y589" s="237"/>
      <c r="Z589" s="237"/>
      <c r="AH589" s="237"/>
      <c r="AI589" s="237"/>
      <c r="AJ589" s="237"/>
      <c r="AK589" s="237"/>
      <c r="AL589" s="237"/>
      <c r="AM589" s="237"/>
      <c r="AN589" s="237"/>
      <c r="AV589" s="237"/>
      <c r="AW589" s="237"/>
      <c r="AX589" s="237"/>
      <c r="AY589" s="237"/>
      <c r="AZ589" s="237"/>
      <c r="BA589" s="237"/>
      <c r="BB589" s="237"/>
    </row>
    <row r="590">
      <c r="E590" s="133"/>
      <c r="F590" s="237"/>
      <c r="G590" s="237"/>
      <c r="H590" s="131"/>
      <c r="I590" s="131"/>
      <c r="J590" s="131"/>
      <c r="K590" s="131"/>
      <c r="L590" s="131"/>
      <c r="T590" s="237"/>
      <c r="U590" s="237"/>
      <c r="V590" s="237"/>
      <c r="W590" s="237"/>
      <c r="X590" s="237"/>
      <c r="Y590" s="237"/>
      <c r="Z590" s="237"/>
      <c r="AH590" s="237"/>
      <c r="AI590" s="237"/>
      <c r="AJ590" s="237"/>
      <c r="AK590" s="237"/>
      <c r="AL590" s="237"/>
      <c r="AM590" s="237"/>
      <c r="AN590" s="237"/>
      <c r="AV590" s="237"/>
      <c r="AW590" s="237"/>
      <c r="AX590" s="237"/>
      <c r="AY590" s="237"/>
      <c r="AZ590" s="237"/>
      <c r="BA590" s="237"/>
      <c r="BB590" s="237"/>
    </row>
    <row r="591">
      <c r="E591" s="133"/>
      <c r="F591" s="237"/>
      <c r="G591" s="237"/>
      <c r="H591" s="131"/>
      <c r="I591" s="131"/>
      <c r="J591" s="131"/>
      <c r="K591" s="131"/>
      <c r="L591" s="131"/>
      <c r="T591" s="237"/>
      <c r="U591" s="237"/>
      <c r="V591" s="237"/>
      <c r="W591" s="237"/>
      <c r="X591" s="237"/>
      <c r="Y591" s="237"/>
      <c r="Z591" s="237"/>
      <c r="AH591" s="237"/>
      <c r="AI591" s="237"/>
      <c r="AJ591" s="237"/>
      <c r="AK591" s="237"/>
      <c r="AL591" s="237"/>
      <c r="AM591" s="237"/>
      <c r="AN591" s="237"/>
      <c r="AV591" s="237"/>
      <c r="AW591" s="237"/>
      <c r="AX591" s="237"/>
      <c r="AY591" s="237"/>
      <c r="AZ591" s="237"/>
      <c r="BA591" s="237"/>
      <c r="BB591" s="237"/>
    </row>
    <row r="592">
      <c r="E592" s="133"/>
      <c r="F592" s="237"/>
      <c r="G592" s="237"/>
      <c r="H592" s="131"/>
      <c r="I592" s="131"/>
      <c r="J592" s="131"/>
      <c r="K592" s="131"/>
      <c r="L592" s="131"/>
      <c r="T592" s="237"/>
      <c r="U592" s="237"/>
      <c r="V592" s="237"/>
      <c r="W592" s="237"/>
      <c r="X592" s="237"/>
      <c r="Y592" s="237"/>
      <c r="Z592" s="237"/>
      <c r="AH592" s="237"/>
      <c r="AI592" s="237"/>
      <c r="AJ592" s="237"/>
      <c r="AK592" s="237"/>
      <c r="AL592" s="237"/>
      <c r="AM592" s="237"/>
      <c r="AN592" s="237"/>
      <c r="AV592" s="237"/>
      <c r="AW592" s="237"/>
      <c r="AX592" s="237"/>
      <c r="AY592" s="237"/>
      <c r="AZ592" s="237"/>
      <c r="BA592" s="237"/>
      <c r="BB592" s="237"/>
    </row>
    <row r="593">
      <c r="E593" s="133"/>
      <c r="F593" s="237"/>
      <c r="G593" s="237"/>
      <c r="H593" s="131"/>
      <c r="I593" s="131"/>
      <c r="J593" s="131"/>
      <c r="K593" s="131"/>
      <c r="L593" s="131"/>
      <c r="T593" s="237"/>
      <c r="U593" s="237"/>
      <c r="V593" s="237"/>
      <c r="W593" s="237"/>
      <c r="X593" s="237"/>
      <c r="Y593" s="237"/>
      <c r="Z593" s="237"/>
      <c r="AH593" s="237"/>
      <c r="AI593" s="237"/>
      <c r="AJ593" s="237"/>
      <c r="AK593" s="237"/>
      <c r="AL593" s="237"/>
      <c r="AM593" s="237"/>
      <c r="AN593" s="237"/>
      <c r="AV593" s="237"/>
      <c r="AW593" s="237"/>
      <c r="AX593" s="237"/>
      <c r="AY593" s="237"/>
      <c r="AZ593" s="237"/>
      <c r="BA593" s="237"/>
      <c r="BB593" s="237"/>
    </row>
    <row r="594">
      <c r="E594" s="133"/>
      <c r="F594" s="237"/>
      <c r="G594" s="237"/>
      <c r="H594" s="131"/>
      <c r="I594" s="131"/>
      <c r="J594" s="131"/>
      <c r="K594" s="131"/>
      <c r="L594" s="131"/>
      <c r="T594" s="237"/>
      <c r="U594" s="237"/>
      <c r="V594" s="237"/>
      <c r="W594" s="237"/>
      <c r="X594" s="237"/>
      <c r="Y594" s="237"/>
      <c r="Z594" s="237"/>
      <c r="AH594" s="237"/>
      <c r="AI594" s="237"/>
      <c r="AJ594" s="237"/>
      <c r="AK594" s="237"/>
      <c r="AL594" s="237"/>
      <c r="AM594" s="237"/>
      <c r="AN594" s="237"/>
      <c r="AV594" s="237"/>
      <c r="AW594" s="237"/>
      <c r="AX594" s="237"/>
      <c r="AY594" s="237"/>
      <c r="AZ594" s="237"/>
      <c r="BA594" s="237"/>
      <c r="BB594" s="237"/>
    </row>
    <row r="595">
      <c r="E595" s="133"/>
      <c r="F595" s="237"/>
      <c r="G595" s="237"/>
      <c r="H595" s="131"/>
      <c r="I595" s="131"/>
      <c r="J595" s="131"/>
      <c r="K595" s="131"/>
      <c r="L595" s="131"/>
      <c r="T595" s="237"/>
      <c r="U595" s="237"/>
      <c r="V595" s="237"/>
      <c r="W595" s="237"/>
      <c r="X595" s="237"/>
      <c r="Y595" s="237"/>
      <c r="Z595" s="237"/>
      <c r="AH595" s="237"/>
      <c r="AI595" s="237"/>
      <c r="AJ595" s="237"/>
      <c r="AK595" s="237"/>
      <c r="AL595" s="237"/>
      <c r="AM595" s="237"/>
      <c r="AN595" s="237"/>
      <c r="AV595" s="237"/>
      <c r="AW595" s="237"/>
      <c r="AX595" s="237"/>
      <c r="AY595" s="237"/>
      <c r="AZ595" s="237"/>
      <c r="BA595" s="237"/>
      <c r="BB595" s="237"/>
    </row>
    <row r="596">
      <c r="E596" s="133"/>
      <c r="F596" s="237"/>
      <c r="G596" s="237"/>
      <c r="H596" s="131"/>
      <c r="I596" s="131"/>
      <c r="J596" s="131"/>
      <c r="K596" s="131"/>
      <c r="L596" s="131"/>
      <c r="T596" s="237"/>
      <c r="U596" s="237"/>
      <c r="V596" s="237"/>
      <c r="W596" s="237"/>
      <c r="X596" s="237"/>
      <c r="Y596" s="237"/>
      <c r="Z596" s="237"/>
      <c r="AH596" s="237"/>
      <c r="AI596" s="237"/>
      <c r="AJ596" s="237"/>
      <c r="AK596" s="237"/>
      <c r="AL596" s="237"/>
      <c r="AM596" s="237"/>
      <c r="AN596" s="237"/>
      <c r="AV596" s="237"/>
      <c r="AW596" s="237"/>
      <c r="AX596" s="237"/>
      <c r="AY596" s="237"/>
      <c r="AZ596" s="237"/>
      <c r="BA596" s="237"/>
      <c r="BB596" s="237"/>
    </row>
    <row r="597">
      <c r="E597" s="133"/>
      <c r="F597" s="237"/>
      <c r="G597" s="237"/>
      <c r="H597" s="131"/>
      <c r="I597" s="131"/>
      <c r="J597" s="131"/>
      <c r="K597" s="131"/>
      <c r="L597" s="131"/>
      <c r="T597" s="237"/>
      <c r="U597" s="237"/>
      <c r="V597" s="237"/>
      <c r="W597" s="237"/>
      <c r="X597" s="237"/>
      <c r="Y597" s="237"/>
      <c r="Z597" s="237"/>
      <c r="AH597" s="237"/>
      <c r="AI597" s="237"/>
      <c r="AJ597" s="237"/>
      <c r="AK597" s="237"/>
      <c r="AL597" s="237"/>
      <c r="AM597" s="237"/>
      <c r="AN597" s="237"/>
      <c r="AV597" s="237"/>
      <c r="AW597" s="237"/>
      <c r="AX597" s="237"/>
      <c r="AY597" s="237"/>
      <c r="AZ597" s="237"/>
      <c r="BA597" s="237"/>
      <c r="BB597" s="237"/>
    </row>
    <row r="598">
      <c r="E598" s="133"/>
      <c r="F598" s="237"/>
      <c r="G598" s="237"/>
      <c r="H598" s="131"/>
      <c r="I598" s="131"/>
      <c r="J598" s="131"/>
      <c r="K598" s="131"/>
      <c r="L598" s="131"/>
      <c r="T598" s="237"/>
      <c r="U598" s="237"/>
      <c r="V598" s="237"/>
      <c r="W598" s="237"/>
      <c r="X598" s="237"/>
      <c r="Y598" s="237"/>
      <c r="Z598" s="237"/>
      <c r="AH598" s="237"/>
      <c r="AI598" s="237"/>
      <c r="AJ598" s="237"/>
      <c r="AK598" s="237"/>
      <c r="AL598" s="237"/>
      <c r="AM598" s="237"/>
      <c r="AN598" s="237"/>
      <c r="AV598" s="237"/>
      <c r="AW598" s="237"/>
      <c r="AX598" s="237"/>
      <c r="AY598" s="237"/>
      <c r="AZ598" s="237"/>
      <c r="BA598" s="237"/>
      <c r="BB598" s="237"/>
    </row>
    <row r="599">
      <c r="E599" s="133"/>
      <c r="F599" s="237"/>
      <c r="G599" s="237"/>
      <c r="H599" s="131"/>
      <c r="I599" s="131"/>
      <c r="J599" s="131"/>
      <c r="K599" s="131"/>
      <c r="L599" s="131"/>
      <c r="T599" s="237"/>
      <c r="U599" s="237"/>
      <c r="V599" s="237"/>
      <c r="W599" s="237"/>
      <c r="X599" s="237"/>
      <c r="Y599" s="237"/>
      <c r="Z599" s="237"/>
      <c r="AH599" s="237"/>
      <c r="AI599" s="237"/>
      <c r="AJ599" s="237"/>
      <c r="AK599" s="237"/>
      <c r="AL599" s="237"/>
      <c r="AM599" s="237"/>
      <c r="AN599" s="237"/>
      <c r="AV599" s="237"/>
      <c r="AW599" s="237"/>
      <c r="AX599" s="237"/>
      <c r="AY599" s="237"/>
      <c r="AZ599" s="237"/>
      <c r="BA599" s="237"/>
      <c r="BB599" s="237"/>
    </row>
    <row r="600">
      <c r="E600" s="133"/>
      <c r="F600" s="237"/>
      <c r="G600" s="237"/>
      <c r="H600" s="131"/>
      <c r="I600" s="131"/>
      <c r="J600" s="131"/>
      <c r="K600" s="131"/>
      <c r="L600" s="131"/>
      <c r="T600" s="237"/>
      <c r="U600" s="237"/>
      <c r="V600" s="237"/>
      <c r="W600" s="237"/>
      <c r="X600" s="237"/>
      <c r="Y600" s="237"/>
      <c r="Z600" s="237"/>
      <c r="AH600" s="237"/>
      <c r="AI600" s="237"/>
      <c r="AJ600" s="237"/>
      <c r="AK600" s="237"/>
      <c r="AL600" s="237"/>
      <c r="AM600" s="237"/>
      <c r="AN600" s="237"/>
      <c r="AV600" s="237"/>
      <c r="AW600" s="237"/>
      <c r="AX600" s="237"/>
      <c r="AY600" s="237"/>
      <c r="AZ600" s="237"/>
      <c r="BA600" s="237"/>
      <c r="BB600" s="237"/>
    </row>
    <row r="601">
      <c r="E601" s="133"/>
      <c r="F601" s="237"/>
      <c r="G601" s="237"/>
      <c r="H601" s="131"/>
      <c r="I601" s="131"/>
      <c r="J601" s="131"/>
      <c r="K601" s="131"/>
      <c r="L601" s="131"/>
      <c r="T601" s="237"/>
      <c r="U601" s="237"/>
      <c r="V601" s="237"/>
      <c r="W601" s="237"/>
      <c r="X601" s="237"/>
      <c r="Y601" s="237"/>
      <c r="Z601" s="237"/>
      <c r="AH601" s="237"/>
      <c r="AI601" s="237"/>
      <c r="AJ601" s="237"/>
      <c r="AK601" s="237"/>
      <c r="AL601" s="237"/>
      <c r="AM601" s="237"/>
      <c r="AN601" s="237"/>
      <c r="AV601" s="237"/>
      <c r="AW601" s="237"/>
      <c r="AX601" s="237"/>
      <c r="AY601" s="237"/>
      <c r="AZ601" s="237"/>
      <c r="BA601" s="237"/>
      <c r="BB601" s="237"/>
    </row>
    <row r="602">
      <c r="E602" s="133"/>
      <c r="F602" s="237"/>
      <c r="G602" s="237"/>
      <c r="H602" s="131"/>
      <c r="I602" s="131"/>
      <c r="J602" s="131"/>
      <c r="K602" s="131"/>
      <c r="L602" s="131"/>
      <c r="T602" s="237"/>
      <c r="U602" s="237"/>
      <c r="V602" s="237"/>
      <c r="W602" s="237"/>
      <c r="X602" s="237"/>
      <c r="Y602" s="237"/>
      <c r="Z602" s="237"/>
      <c r="AH602" s="237"/>
      <c r="AI602" s="237"/>
      <c r="AJ602" s="237"/>
      <c r="AK602" s="237"/>
      <c r="AL602" s="237"/>
      <c r="AM602" s="237"/>
      <c r="AN602" s="237"/>
      <c r="AV602" s="237"/>
      <c r="AW602" s="237"/>
      <c r="AX602" s="237"/>
      <c r="AY602" s="237"/>
      <c r="AZ602" s="237"/>
      <c r="BA602" s="237"/>
      <c r="BB602" s="237"/>
    </row>
    <row r="603">
      <c r="E603" s="133"/>
      <c r="F603" s="237"/>
      <c r="G603" s="237"/>
      <c r="H603" s="131"/>
      <c r="I603" s="131"/>
      <c r="J603" s="131"/>
      <c r="K603" s="131"/>
      <c r="L603" s="131"/>
      <c r="T603" s="237"/>
      <c r="U603" s="237"/>
      <c r="V603" s="237"/>
      <c r="W603" s="237"/>
      <c r="X603" s="237"/>
      <c r="Y603" s="237"/>
      <c r="Z603" s="237"/>
      <c r="AH603" s="237"/>
      <c r="AI603" s="237"/>
      <c r="AJ603" s="237"/>
      <c r="AK603" s="237"/>
      <c r="AL603" s="237"/>
      <c r="AM603" s="237"/>
      <c r="AN603" s="237"/>
      <c r="AV603" s="237"/>
      <c r="AW603" s="237"/>
      <c r="AX603" s="237"/>
      <c r="AY603" s="237"/>
      <c r="AZ603" s="237"/>
      <c r="BA603" s="237"/>
      <c r="BB603" s="237"/>
    </row>
    <row r="604">
      <c r="E604" s="133"/>
      <c r="F604" s="237"/>
      <c r="G604" s="237"/>
      <c r="H604" s="131"/>
      <c r="I604" s="131"/>
      <c r="J604" s="131"/>
      <c r="K604" s="131"/>
      <c r="L604" s="131"/>
      <c r="T604" s="237"/>
      <c r="U604" s="237"/>
      <c r="V604" s="237"/>
      <c r="W604" s="237"/>
      <c r="X604" s="237"/>
      <c r="Y604" s="237"/>
      <c r="Z604" s="237"/>
      <c r="AH604" s="237"/>
      <c r="AI604" s="237"/>
      <c r="AJ604" s="237"/>
      <c r="AK604" s="237"/>
      <c r="AL604" s="237"/>
      <c r="AM604" s="237"/>
      <c r="AN604" s="237"/>
      <c r="AV604" s="237"/>
      <c r="AW604" s="237"/>
      <c r="AX604" s="237"/>
      <c r="AY604" s="237"/>
      <c r="AZ604" s="237"/>
      <c r="BA604" s="237"/>
      <c r="BB604" s="237"/>
    </row>
    <row r="605">
      <c r="E605" s="133"/>
      <c r="F605" s="237"/>
      <c r="G605" s="237"/>
      <c r="H605" s="131"/>
      <c r="I605" s="131"/>
      <c r="J605" s="131"/>
      <c r="K605" s="131"/>
      <c r="L605" s="131"/>
      <c r="T605" s="237"/>
      <c r="U605" s="237"/>
      <c r="V605" s="237"/>
      <c r="W605" s="237"/>
      <c r="X605" s="237"/>
      <c r="Y605" s="237"/>
      <c r="Z605" s="237"/>
      <c r="AH605" s="237"/>
      <c r="AI605" s="237"/>
      <c r="AJ605" s="237"/>
      <c r="AK605" s="237"/>
      <c r="AL605" s="237"/>
      <c r="AM605" s="237"/>
      <c r="AN605" s="237"/>
      <c r="AV605" s="237"/>
      <c r="AW605" s="237"/>
      <c r="AX605" s="237"/>
      <c r="AY605" s="237"/>
      <c r="AZ605" s="237"/>
      <c r="BA605" s="237"/>
      <c r="BB605" s="237"/>
    </row>
    <row r="606">
      <c r="E606" s="133"/>
      <c r="F606" s="237"/>
      <c r="G606" s="237"/>
      <c r="H606" s="131"/>
      <c r="I606" s="131"/>
      <c r="J606" s="131"/>
      <c r="K606" s="131"/>
      <c r="L606" s="131"/>
      <c r="T606" s="237"/>
      <c r="U606" s="237"/>
      <c r="V606" s="237"/>
      <c r="W606" s="237"/>
      <c r="X606" s="237"/>
      <c r="Y606" s="237"/>
      <c r="Z606" s="237"/>
      <c r="AH606" s="237"/>
      <c r="AI606" s="237"/>
      <c r="AJ606" s="237"/>
      <c r="AK606" s="237"/>
      <c r="AL606" s="237"/>
      <c r="AM606" s="237"/>
      <c r="AN606" s="237"/>
      <c r="AV606" s="237"/>
      <c r="AW606" s="237"/>
      <c r="AX606" s="237"/>
      <c r="AY606" s="237"/>
      <c r="AZ606" s="237"/>
      <c r="BA606" s="237"/>
      <c r="BB606" s="237"/>
    </row>
    <row r="607">
      <c r="E607" s="133"/>
      <c r="F607" s="237"/>
      <c r="G607" s="237"/>
      <c r="H607" s="131"/>
      <c r="I607" s="131"/>
      <c r="J607" s="131"/>
      <c r="K607" s="131"/>
      <c r="L607" s="131"/>
      <c r="T607" s="237"/>
      <c r="U607" s="237"/>
      <c r="V607" s="237"/>
      <c r="W607" s="237"/>
      <c r="X607" s="237"/>
      <c r="Y607" s="237"/>
      <c r="Z607" s="237"/>
      <c r="AH607" s="237"/>
      <c r="AI607" s="237"/>
      <c r="AJ607" s="237"/>
      <c r="AK607" s="237"/>
      <c r="AL607" s="237"/>
      <c r="AM607" s="237"/>
      <c r="AN607" s="237"/>
      <c r="AV607" s="237"/>
      <c r="AW607" s="237"/>
      <c r="AX607" s="237"/>
      <c r="AY607" s="237"/>
      <c r="AZ607" s="237"/>
      <c r="BA607" s="237"/>
      <c r="BB607" s="237"/>
    </row>
    <row r="608">
      <c r="E608" s="133"/>
      <c r="F608" s="237"/>
      <c r="G608" s="237"/>
      <c r="H608" s="131"/>
      <c r="I608" s="131"/>
      <c r="J608" s="131"/>
      <c r="K608" s="131"/>
      <c r="L608" s="131"/>
      <c r="T608" s="237"/>
      <c r="U608" s="237"/>
      <c r="V608" s="237"/>
      <c r="W608" s="237"/>
      <c r="X608" s="237"/>
      <c r="Y608" s="237"/>
      <c r="Z608" s="237"/>
      <c r="AH608" s="237"/>
      <c r="AI608" s="237"/>
      <c r="AJ608" s="237"/>
      <c r="AK608" s="237"/>
      <c r="AL608" s="237"/>
      <c r="AM608" s="237"/>
      <c r="AN608" s="237"/>
      <c r="AV608" s="237"/>
      <c r="AW608" s="237"/>
      <c r="AX608" s="237"/>
      <c r="AY608" s="237"/>
      <c r="AZ608" s="237"/>
      <c r="BA608" s="237"/>
      <c r="BB608" s="237"/>
    </row>
    <row r="609">
      <c r="E609" s="133"/>
      <c r="F609" s="237"/>
      <c r="G609" s="237"/>
      <c r="H609" s="131"/>
      <c r="I609" s="131"/>
      <c r="J609" s="131"/>
      <c r="K609" s="131"/>
      <c r="L609" s="131"/>
      <c r="T609" s="237"/>
      <c r="U609" s="237"/>
      <c r="V609" s="237"/>
      <c r="W609" s="237"/>
      <c r="X609" s="237"/>
      <c r="Y609" s="237"/>
      <c r="Z609" s="237"/>
      <c r="AH609" s="237"/>
      <c r="AI609" s="237"/>
      <c r="AJ609" s="237"/>
      <c r="AK609" s="237"/>
      <c r="AL609" s="237"/>
      <c r="AM609" s="237"/>
      <c r="AN609" s="237"/>
      <c r="AV609" s="237"/>
      <c r="AW609" s="237"/>
      <c r="AX609" s="237"/>
      <c r="AY609" s="237"/>
      <c r="AZ609" s="237"/>
      <c r="BA609" s="237"/>
      <c r="BB609" s="237"/>
    </row>
    <row r="610">
      <c r="E610" s="133"/>
      <c r="F610" s="237"/>
      <c r="G610" s="237"/>
      <c r="H610" s="131"/>
      <c r="I610" s="131"/>
      <c r="J610" s="131"/>
      <c r="K610" s="131"/>
      <c r="L610" s="131"/>
      <c r="T610" s="237"/>
      <c r="U610" s="237"/>
      <c r="V610" s="237"/>
      <c r="W610" s="237"/>
      <c r="X610" s="237"/>
      <c r="Y610" s="237"/>
      <c r="Z610" s="237"/>
      <c r="AH610" s="237"/>
      <c r="AI610" s="237"/>
      <c r="AJ610" s="237"/>
      <c r="AK610" s="237"/>
      <c r="AL610" s="237"/>
      <c r="AM610" s="237"/>
      <c r="AN610" s="237"/>
      <c r="AV610" s="237"/>
      <c r="AW610" s="237"/>
      <c r="AX610" s="237"/>
      <c r="AY610" s="237"/>
      <c r="AZ610" s="237"/>
      <c r="BA610" s="237"/>
      <c r="BB610" s="237"/>
    </row>
    <row r="611">
      <c r="E611" s="133"/>
      <c r="F611" s="237"/>
      <c r="G611" s="237"/>
      <c r="H611" s="131"/>
      <c r="I611" s="131"/>
      <c r="J611" s="131"/>
      <c r="K611" s="131"/>
      <c r="L611" s="131"/>
      <c r="T611" s="237"/>
      <c r="U611" s="237"/>
      <c r="V611" s="237"/>
      <c r="W611" s="237"/>
      <c r="X611" s="237"/>
      <c r="Y611" s="237"/>
      <c r="Z611" s="237"/>
      <c r="AH611" s="237"/>
      <c r="AI611" s="237"/>
      <c r="AJ611" s="237"/>
      <c r="AK611" s="237"/>
      <c r="AL611" s="237"/>
      <c r="AM611" s="237"/>
      <c r="AN611" s="237"/>
      <c r="AV611" s="237"/>
      <c r="AW611" s="237"/>
      <c r="AX611" s="237"/>
      <c r="AY611" s="237"/>
      <c r="AZ611" s="237"/>
      <c r="BA611" s="237"/>
      <c r="BB611" s="237"/>
    </row>
    <row r="612">
      <c r="E612" s="133"/>
      <c r="F612" s="237"/>
      <c r="G612" s="237"/>
      <c r="H612" s="131"/>
      <c r="I612" s="131"/>
      <c r="J612" s="131"/>
      <c r="K612" s="131"/>
      <c r="L612" s="131"/>
      <c r="T612" s="237"/>
      <c r="U612" s="237"/>
      <c r="V612" s="237"/>
      <c r="W612" s="237"/>
      <c r="X612" s="237"/>
      <c r="Y612" s="237"/>
      <c r="Z612" s="237"/>
      <c r="AH612" s="237"/>
      <c r="AI612" s="237"/>
      <c r="AJ612" s="237"/>
      <c r="AK612" s="237"/>
      <c r="AL612" s="237"/>
      <c r="AM612" s="237"/>
      <c r="AN612" s="237"/>
      <c r="AV612" s="237"/>
      <c r="AW612" s="237"/>
      <c r="AX612" s="237"/>
      <c r="AY612" s="237"/>
      <c r="AZ612" s="237"/>
      <c r="BA612" s="237"/>
      <c r="BB612" s="237"/>
    </row>
    <row r="613">
      <c r="E613" s="133"/>
      <c r="F613" s="237"/>
      <c r="G613" s="237"/>
      <c r="H613" s="131"/>
      <c r="I613" s="131"/>
      <c r="J613" s="131"/>
      <c r="K613" s="131"/>
      <c r="L613" s="131"/>
      <c r="T613" s="237"/>
      <c r="U613" s="237"/>
      <c r="V613" s="237"/>
      <c r="W613" s="237"/>
      <c r="X613" s="237"/>
      <c r="Y613" s="237"/>
      <c r="Z613" s="237"/>
      <c r="AH613" s="237"/>
      <c r="AI613" s="237"/>
      <c r="AJ613" s="237"/>
      <c r="AK613" s="237"/>
      <c r="AL613" s="237"/>
      <c r="AM613" s="237"/>
      <c r="AN613" s="237"/>
      <c r="AV613" s="237"/>
      <c r="AW613" s="237"/>
      <c r="AX613" s="237"/>
      <c r="AY613" s="237"/>
      <c r="AZ613" s="237"/>
      <c r="BA613" s="237"/>
      <c r="BB613" s="237"/>
    </row>
    <row r="614">
      <c r="E614" s="133"/>
      <c r="F614" s="237"/>
      <c r="G614" s="237"/>
      <c r="H614" s="131"/>
      <c r="I614" s="131"/>
      <c r="J614" s="131"/>
      <c r="K614" s="131"/>
      <c r="L614" s="131"/>
      <c r="T614" s="237"/>
      <c r="U614" s="237"/>
      <c r="V614" s="237"/>
      <c r="W614" s="237"/>
      <c r="X614" s="237"/>
      <c r="Y614" s="237"/>
      <c r="Z614" s="237"/>
      <c r="AH614" s="237"/>
      <c r="AI614" s="237"/>
      <c r="AJ614" s="237"/>
      <c r="AK614" s="237"/>
      <c r="AL614" s="237"/>
      <c r="AM614" s="237"/>
      <c r="AN614" s="237"/>
      <c r="AV614" s="237"/>
      <c r="AW614" s="237"/>
      <c r="AX614" s="237"/>
      <c r="AY614" s="237"/>
      <c r="AZ614" s="237"/>
      <c r="BA614" s="237"/>
      <c r="BB614" s="237"/>
    </row>
    <row r="615">
      <c r="E615" s="133"/>
      <c r="F615" s="237"/>
      <c r="G615" s="237"/>
      <c r="H615" s="131"/>
      <c r="I615" s="131"/>
      <c r="J615" s="131"/>
      <c r="K615" s="131"/>
      <c r="L615" s="131"/>
      <c r="T615" s="237"/>
      <c r="U615" s="237"/>
      <c r="V615" s="237"/>
      <c r="W615" s="237"/>
      <c r="X615" s="237"/>
      <c r="Y615" s="237"/>
      <c r="Z615" s="237"/>
      <c r="AH615" s="237"/>
      <c r="AI615" s="237"/>
      <c r="AJ615" s="237"/>
      <c r="AK615" s="237"/>
      <c r="AL615" s="237"/>
      <c r="AM615" s="237"/>
      <c r="AN615" s="237"/>
      <c r="AV615" s="237"/>
      <c r="AW615" s="237"/>
      <c r="AX615" s="237"/>
      <c r="AY615" s="237"/>
      <c r="AZ615" s="237"/>
      <c r="BA615" s="237"/>
      <c r="BB615" s="237"/>
    </row>
    <row r="616">
      <c r="E616" s="133"/>
      <c r="F616" s="237"/>
      <c r="G616" s="237"/>
      <c r="H616" s="131"/>
      <c r="I616" s="131"/>
      <c r="J616" s="131"/>
      <c r="K616" s="131"/>
      <c r="L616" s="131"/>
      <c r="T616" s="237"/>
      <c r="U616" s="237"/>
      <c r="V616" s="237"/>
      <c r="W616" s="237"/>
      <c r="X616" s="237"/>
      <c r="Y616" s="237"/>
      <c r="Z616" s="237"/>
      <c r="AH616" s="237"/>
      <c r="AI616" s="237"/>
      <c r="AJ616" s="237"/>
      <c r="AK616" s="237"/>
      <c r="AL616" s="237"/>
      <c r="AM616" s="237"/>
      <c r="AN616" s="237"/>
      <c r="AV616" s="237"/>
      <c r="AW616" s="237"/>
      <c r="AX616" s="237"/>
      <c r="AY616" s="237"/>
      <c r="AZ616" s="237"/>
      <c r="BA616" s="237"/>
      <c r="BB616" s="237"/>
    </row>
    <row r="617">
      <c r="E617" s="133"/>
      <c r="F617" s="237"/>
      <c r="G617" s="237"/>
      <c r="H617" s="131"/>
      <c r="I617" s="131"/>
      <c r="J617" s="131"/>
      <c r="K617" s="131"/>
      <c r="L617" s="131"/>
      <c r="T617" s="237"/>
      <c r="U617" s="237"/>
      <c r="V617" s="237"/>
      <c r="W617" s="237"/>
      <c r="X617" s="237"/>
      <c r="Y617" s="237"/>
      <c r="Z617" s="237"/>
      <c r="AH617" s="237"/>
      <c r="AI617" s="237"/>
      <c r="AJ617" s="237"/>
      <c r="AK617" s="237"/>
      <c r="AL617" s="237"/>
      <c r="AM617" s="237"/>
      <c r="AN617" s="237"/>
      <c r="AV617" s="237"/>
      <c r="AW617" s="237"/>
      <c r="AX617" s="237"/>
      <c r="AY617" s="237"/>
      <c r="AZ617" s="237"/>
      <c r="BA617" s="237"/>
      <c r="BB617" s="237"/>
    </row>
    <row r="618">
      <c r="E618" s="133"/>
      <c r="F618" s="237"/>
      <c r="G618" s="237"/>
      <c r="H618" s="131"/>
      <c r="I618" s="131"/>
      <c r="J618" s="131"/>
      <c r="K618" s="131"/>
      <c r="L618" s="131"/>
      <c r="T618" s="237"/>
      <c r="U618" s="237"/>
      <c r="V618" s="237"/>
      <c r="W618" s="237"/>
      <c r="X618" s="237"/>
      <c r="Y618" s="237"/>
      <c r="Z618" s="237"/>
      <c r="AH618" s="237"/>
      <c r="AI618" s="237"/>
      <c r="AJ618" s="237"/>
      <c r="AK618" s="237"/>
      <c r="AL618" s="237"/>
      <c r="AM618" s="237"/>
      <c r="AN618" s="237"/>
      <c r="AV618" s="237"/>
      <c r="AW618" s="237"/>
      <c r="AX618" s="237"/>
      <c r="AY618" s="237"/>
      <c r="AZ618" s="237"/>
      <c r="BA618" s="237"/>
      <c r="BB618" s="237"/>
    </row>
    <row r="619">
      <c r="E619" s="133"/>
      <c r="F619" s="237"/>
      <c r="G619" s="237"/>
      <c r="H619" s="131"/>
      <c r="I619" s="131"/>
      <c r="J619" s="131"/>
      <c r="K619" s="131"/>
      <c r="L619" s="131"/>
      <c r="T619" s="237"/>
      <c r="U619" s="237"/>
      <c r="V619" s="237"/>
      <c r="W619" s="237"/>
      <c r="X619" s="237"/>
      <c r="Y619" s="237"/>
      <c r="Z619" s="237"/>
      <c r="AH619" s="237"/>
      <c r="AI619" s="237"/>
      <c r="AJ619" s="237"/>
      <c r="AK619" s="237"/>
      <c r="AL619" s="237"/>
      <c r="AM619" s="237"/>
      <c r="AN619" s="237"/>
      <c r="AV619" s="237"/>
      <c r="AW619" s="237"/>
      <c r="AX619" s="237"/>
      <c r="AY619" s="237"/>
      <c r="AZ619" s="237"/>
      <c r="BA619" s="237"/>
      <c r="BB619" s="237"/>
    </row>
    <row r="620">
      <c r="E620" s="133"/>
      <c r="F620" s="237"/>
      <c r="G620" s="237"/>
      <c r="H620" s="131"/>
      <c r="I620" s="131"/>
      <c r="J620" s="131"/>
      <c r="K620" s="131"/>
      <c r="L620" s="131"/>
      <c r="T620" s="237"/>
      <c r="U620" s="237"/>
      <c r="V620" s="237"/>
      <c r="W620" s="237"/>
      <c r="X620" s="237"/>
      <c r="Y620" s="237"/>
      <c r="Z620" s="237"/>
      <c r="AH620" s="237"/>
      <c r="AI620" s="237"/>
      <c r="AJ620" s="237"/>
      <c r="AK620" s="237"/>
      <c r="AL620" s="237"/>
      <c r="AM620" s="237"/>
      <c r="AN620" s="237"/>
      <c r="AV620" s="237"/>
      <c r="AW620" s="237"/>
      <c r="AX620" s="237"/>
      <c r="AY620" s="237"/>
      <c r="AZ620" s="237"/>
      <c r="BA620" s="237"/>
      <c r="BB620" s="237"/>
    </row>
    <row r="621">
      <c r="E621" s="133"/>
      <c r="F621" s="237"/>
      <c r="G621" s="237"/>
      <c r="H621" s="131"/>
      <c r="I621" s="131"/>
      <c r="J621" s="131"/>
      <c r="K621" s="131"/>
      <c r="L621" s="131"/>
      <c r="T621" s="237"/>
      <c r="U621" s="237"/>
      <c r="V621" s="237"/>
      <c r="W621" s="237"/>
      <c r="X621" s="237"/>
      <c r="Y621" s="237"/>
      <c r="Z621" s="237"/>
      <c r="AH621" s="237"/>
      <c r="AI621" s="237"/>
      <c r="AJ621" s="237"/>
      <c r="AK621" s="237"/>
      <c r="AL621" s="237"/>
      <c r="AM621" s="237"/>
      <c r="AN621" s="237"/>
      <c r="AV621" s="237"/>
      <c r="AW621" s="237"/>
      <c r="AX621" s="237"/>
      <c r="AY621" s="237"/>
      <c r="AZ621" s="237"/>
      <c r="BA621" s="237"/>
      <c r="BB621" s="237"/>
    </row>
    <row r="622">
      <c r="E622" s="133"/>
      <c r="F622" s="237"/>
      <c r="G622" s="237"/>
      <c r="H622" s="131"/>
      <c r="I622" s="131"/>
      <c r="J622" s="131"/>
      <c r="K622" s="131"/>
      <c r="L622" s="131"/>
      <c r="T622" s="237"/>
      <c r="U622" s="237"/>
      <c r="V622" s="237"/>
      <c r="W622" s="237"/>
      <c r="X622" s="237"/>
      <c r="Y622" s="237"/>
      <c r="Z622" s="237"/>
      <c r="AH622" s="237"/>
      <c r="AI622" s="237"/>
      <c r="AJ622" s="237"/>
      <c r="AK622" s="237"/>
      <c r="AL622" s="237"/>
      <c r="AM622" s="237"/>
      <c r="AN622" s="237"/>
      <c r="AV622" s="237"/>
      <c r="AW622" s="237"/>
      <c r="AX622" s="237"/>
      <c r="AY622" s="237"/>
      <c r="AZ622" s="237"/>
      <c r="BA622" s="237"/>
      <c r="BB622" s="237"/>
    </row>
    <row r="623">
      <c r="E623" s="133"/>
      <c r="F623" s="237"/>
      <c r="G623" s="237"/>
      <c r="H623" s="131"/>
      <c r="I623" s="131"/>
      <c r="J623" s="131"/>
      <c r="K623" s="131"/>
      <c r="L623" s="131"/>
      <c r="T623" s="237"/>
      <c r="U623" s="237"/>
      <c r="V623" s="237"/>
      <c r="W623" s="237"/>
      <c r="X623" s="237"/>
      <c r="Y623" s="237"/>
      <c r="Z623" s="237"/>
      <c r="AH623" s="237"/>
      <c r="AI623" s="237"/>
      <c r="AJ623" s="237"/>
      <c r="AK623" s="237"/>
      <c r="AL623" s="237"/>
      <c r="AM623" s="237"/>
      <c r="AN623" s="237"/>
      <c r="AV623" s="237"/>
      <c r="AW623" s="237"/>
      <c r="AX623" s="237"/>
      <c r="AY623" s="237"/>
      <c r="AZ623" s="237"/>
      <c r="BA623" s="237"/>
      <c r="BB623" s="237"/>
    </row>
    <row r="624">
      <c r="E624" s="133"/>
      <c r="F624" s="237"/>
      <c r="G624" s="237"/>
      <c r="H624" s="131"/>
      <c r="I624" s="131"/>
      <c r="J624" s="131"/>
      <c r="K624" s="131"/>
      <c r="L624" s="131"/>
      <c r="T624" s="237"/>
      <c r="U624" s="237"/>
      <c r="V624" s="237"/>
      <c r="W624" s="237"/>
      <c r="X624" s="237"/>
      <c r="Y624" s="237"/>
      <c r="Z624" s="237"/>
      <c r="AH624" s="237"/>
      <c r="AI624" s="237"/>
      <c r="AJ624" s="237"/>
      <c r="AK624" s="237"/>
      <c r="AL624" s="237"/>
      <c r="AM624" s="237"/>
      <c r="AN624" s="237"/>
      <c r="AV624" s="237"/>
      <c r="AW624" s="237"/>
      <c r="AX624" s="237"/>
      <c r="AY624" s="237"/>
      <c r="AZ624" s="237"/>
      <c r="BA624" s="237"/>
      <c r="BB624" s="237"/>
    </row>
    <row r="625">
      <c r="E625" s="133"/>
      <c r="F625" s="237"/>
      <c r="G625" s="237"/>
      <c r="H625" s="131"/>
      <c r="I625" s="131"/>
      <c r="J625" s="131"/>
      <c r="K625" s="131"/>
      <c r="L625" s="131"/>
      <c r="T625" s="237"/>
      <c r="U625" s="237"/>
      <c r="V625" s="237"/>
      <c r="W625" s="237"/>
      <c r="X625" s="237"/>
      <c r="Y625" s="237"/>
      <c r="Z625" s="237"/>
      <c r="AH625" s="237"/>
      <c r="AI625" s="237"/>
      <c r="AJ625" s="237"/>
      <c r="AK625" s="237"/>
      <c r="AL625" s="237"/>
      <c r="AM625" s="237"/>
      <c r="AN625" s="237"/>
      <c r="AV625" s="237"/>
      <c r="AW625" s="237"/>
      <c r="AX625" s="237"/>
      <c r="AY625" s="237"/>
      <c r="AZ625" s="237"/>
      <c r="BA625" s="237"/>
      <c r="BB625" s="237"/>
    </row>
    <row r="626">
      <c r="E626" s="133"/>
      <c r="F626" s="237"/>
      <c r="G626" s="237"/>
      <c r="H626" s="131"/>
      <c r="I626" s="131"/>
      <c r="J626" s="131"/>
      <c r="K626" s="131"/>
      <c r="L626" s="131"/>
      <c r="T626" s="237"/>
      <c r="U626" s="237"/>
      <c r="V626" s="237"/>
      <c r="W626" s="237"/>
      <c r="X626" s="237"/>
      <c r="Y626" s="237"/>
      <c r="Z626" s="237"/>
      <c r="AH626" s="237"/>
      <c r="AI626" s="237"/>
      <c r="AJ626" s="237"/>
      <c r="AK626" s="237"/>
      <c r="AL626" s="237"/>
      <c r="AM626" s="237"/>
      <c r="AN626" s="237"/>
      <c r="AV626" s="237"/>
      <c r="AW626" s="237"/>
      <c r="AX626" s="237"/>
      <c r="AY626" s="237"/>
      <c r="AZ626" s="237"/>
      <c r="BA626" s="237"/>
      <c r="BB626" s="237"/>
    </row>
    <row r="627">
      <c r="E627" s="133"/>
      <c r="F627" s="237"/>
      <c r="G627" s="237"/>
      <c r="H627" s="131"/>
      <c r="I627" s="131"/>
      <c r="J627" s="131"/>
      <c r="K627" s="131"/>
      <c r="L627" s="131"/>
      <c r="T627" s="237"/>
      <c r="U627" s="237"/>
      <c r="V627" s="237"/>
      <c r="W627" s="237"/>
      <c r="X627" s="237"/>
      <c r="Y627" s="237"/>
      <c r="Z627" s="237"/>
      <c r="AH627" s="237"/>
      <c r="AI627" s="237"/>
      <c r="AJ627" s="237"/>
      <c r="AK627" s="237"/>
      <c r="AL627" s="237"/>
      <c r="AM627" s="237"/>
      <c r="AN627" s="237"/>
      <c r="AV627" s="237"/>
      <c r="AW627" s="237"/>
      <c r="AX627" s="237"/>
      <c r="AY627" s="237"/>
      <c r="AZ627" s="237"/>
      <c r="BA627" s="237"/>
      <c r="BB627" s="237"/>
    </row>
    <row r="628">
      <c r="E628" s="133"/>
      <c r="F628" s="237"/>
      <c r="G628" s="237"/>
      <c r="H628" s="131"/>
      <c r="I628" s="131"/>
      <c r="J628" s="131"/>
      <c r="K628" s="131"/>
      <c r="L628" s="131"/>
      <c r="T628" s="237"/>
      <c r="U628" s="237"/>
      <c r="V628" s="237"/>
      <c r="W628" s="237"/>
      <c r="X628" s="237"/>
      <c r="Y628" s="237"/>
      <c r="Z628" s="237"/>
      <c r="AH628" s="237"/>
      <c r="AI628" s="237"/>
      <c r="AJ628" s="237"/>
      <c r="AK628" s="237"/>
      <c r="AL628" s="237"/>
      <c r="AM628" s="237"/>
      <c r="AN628" s="237"/>
      <c r="AV628" s="237"/>
      <c r="AW628" s="237"/>
      <c r="AX628" s="237"/>
      <c r="AY628" s="237"/>
      <c r="AZ628" s="237"/>
      <c r="BA628" s="237"/>
      <c r="BB628" s="237"/>
    </row>
    <row r="629">
      <c r="E629" s="133"/>
      <c r="F629" s="237"/>
      <c r="G629" s="237"/>
      <c r="H629" s="131"/>
      <c r="I629" s="131"/>
      <c r="J629" s="131"/>
      <c r="K629" s="131"/>
      <c r="L629" s="131"/>
      <c r="T629" s="237"/>
      <c r="U629" s="237"/>
      <c r="V629" s="237"/>
      <c r="W629" s="237"/>
      <c r="X629" s="237"/>
      <c r="Y629" s="237"/>
      <c r="Z629" s="237"/>
      <c r="AH629" s="237"/>
      <c r="AI629" s="237"/>
      <c r="AJ629" s="237"/>
      <c r="AK629" s="237"/>
      <c r="AL629" s="237"/>
      <c r="AM629" s="237"/>
      <c r="AN629" s="237"/>
      <c r="AV629" s="237"/>
      <c r="AW629" s="237"/>
      <c r="AX629" s="237"/>
      <c r="AY629" s="237"/>
      <c r="AZ629" s="237"/>
      <c r="BA629" s="237"/>
      <c r="BB629" s="237"/>
    </row>
    <row r="630">
      <c r="E630" s="133"/>
      <c r="F630" s="237"/>
      <c r="G630" s="237"/>
      <c r="H630" s="131"/>
      <c r="I630" s="131"/>
      <c r="J630" s="131"/>
      <c r="K630" s="131"/>
      <c r="L630" s="131"/>
      <c r="T630" s="237"/>
      <c r="U630" s="237"/>
      <c r="V630" s="237"/>
      <c r="W630" s="237"/>
      <c r="X630" s="237"/>
      <c r="Y630" s="237"/>
      <c r="Z630" s="237"/>
      <c r="AH630" s="237"/>
      <c r="AI630" s="237"/>
      <c r="AJ630" s="237"/>
      <c r="AK630" s="237"/>
      <c r="AL630" s="237"/>
      <c r="AM630" s="237"/>
      <c r="AN630" s="237"/>
      <c r="AV630" s="237"/>
      <c r="AW630" s="237"/>
      <c r="AX630" s="237"/>
      <c r="AY630" s="237"/>
      <c r="AZ630" s="237"/>
      <c r="BA630" s="237"/>
      <c r="BB630" s="237"/>
    </row>
    <row r="631">
      <c r="E631" s="133"/>
      <c r="F631" s="237"/>
      <c r="G631" s="237"/>
      <c r="H631" s="131"/>
      <c r="I631" s="131"/>
      <c r="J631" s="131"/>
      <c r="K631" s="131"/>
      <c r="L631" s="131"/>
      <c r="T631" s="237"/>
      <c r="U631" s="237"/>
      <c r="V631" s="237"/>
      <c r="W631" s="237"/>
      <c r="X631" s="237"/>
      <c r="Y631" s="237"/>
      <c r="Z631" s="237"/>
      <c r="AH631" s="237"/>
      <c r="AI631" s="237"/>
      <c r="AJ631" s="237"/>
      <c r="AK631" s="237"/>
      <c r="AL631" s="237"/>
      <c r="AM631" s="237"/>
      <c r="AN631" s="237"/>
      <c r="AV631" s="237"/>
      <c r="AW631" s="237"/>
      <c r="AX631" s="237"/>
      <c r="AY631" s="237"/>
      <c r="AZ631" s="237"/>
      <c r="BA631" s="237"/>
      <c r="BB631" s="237"/>
    </row>
    <row r="632">
      <c r="E632" s="133"/>
      <c r="F632" s="237"/>
      <c r="G632" s="237"/>
      <c r="H632" s="131"/>
      <c r="I632" s="131"/>
      <c r="J632" s="131"/>
      <c r="K632" s="131"/>
      <c r="L632" s="131"/>
      <c r="T632" s="237"/>
      <c r="U632" s="237"/>
      <c r="V632" s="237"/>
      <c r="W632" s="237"/>
      <c r="X632" s="237"/>
      <c r="Y632" s="237"/>
      <c r="Z632" s="237"/>
      <c r="AH632" s="237"/>
      <c r="AI632" s="237"/>
      <c r="AJ632" s="237"/>
      <c r="AK632" s="237"/>
      <c r="AL632" s="237"/>
      <c r="AM632" s="237"/>
      <c r="AN632" s="237"/>
      <c r="AV632" s="237"/>
      <c r="AW632" s="237"/>
      <c r="AX632" s="237"/>
      <c r="AY632" s="237"/>
      <c r="AZ632" s="237"/>
      <c r="BA632" s="237"/>
      <c r="BB632" s="237"/>
    </row>
    <row r="633">
      <c r="E633" s="133"/>
      <c r="F633" s="237"/>
      <c r="G633" s="237"/>
      <c r="H633" s="131"/>
      <c r="I633" s="131"/>
      <c r="J633" s="131"/>
      <c r="K633" s="131"/>
      <c r="L633" s="131"/>
      <c r="T633" s="237"/>
      <c r="U633" s="237"/>
      <c r="V633" s="237"/>
      <c r="W633" s="237"/>
      <c r="X633" s="237"/>
      <c r="Y633" s="237"/>
      <c r="Z633" s="237"/>
      <c r="AH633" s="237"/>
      <c r="AI633" s="237"/>
      <c r="AJ633" s="237"/>
      <c r="AK633" s="237"/>
      <c r="AL633" s="237"/>
      <c r="AM633" s="237"/>
      <c r="AN633" s="237"/>
      <c r="AV633" s="237"/>
      <c r="AW633" s="237"/>
      <c r="AX633" s="237"/>
      <c r="AY633" s="237"/>
      <c r="AZ633" s="237"/>
      <c r="BA633" s="237"/>
      <c r="BB633" s="237"/>
    </row>
    <row r="634">
      <c r="E634" s="133"/>
      <c r="F634" s="237"/>
      <c r="G634" s="237"/>
      <c r="H634" s="131"/>
      <c r="I634" s="131"/>
      <c r="J634" s="131"/>
      <c r="K634" s="131"/>
      <c r="L634" s="131"/>
      <c r="T634" s="237"/>
      <c r="U634" s="237"/>
      <c r="V634" s="237"/>
      <c r="W634" s="237"/>
      <c r="X634" s="237"/>
      <c r="Y634" s="237"/>
      <c r="Z634" s="237"/>
      <c r="AH634" s="237"/>
      <c r="AI634" s="237"/>
      <c r="AJ634" s="237"/>
      <c r="AK634" s="237"/>
      <c r="AL634" s="237"/>
      <c r="AM634" s="237"/>
      <c r="AN634" s="237"/>
      <c r="AV634" s="237"/>
      <c r="AW634" s="237"/>
      <c r="AX634" s="237"/>
      <c r="AY634" s="237"/>
      <c r="AZ634" s="237"/>
      <c r="BA634" s="237"/>
      <c r="BB634" s="237"/>
    </row>
    <row r="635">
      <c r="E635" s="133"/>
      <c r="F635" s="237"/>
      <c r="G635" s="237"/>
      <c r="H635" s="131"/>
      <c r="I635" s="131"/>
      <c r="J635" s="131"/>
      <c r="K635" s="131"/>
      <c r="L635" s="131"/>
      <c r="T635" s="237"/>
      <c r="U635" s="237"/>
      <c r="V635" s="237"/>
      <c r="W635" s="237"/>
      <c r="X635" s="237"/>
      <c r="Y635" s="237"/>
      <c r="Z635" s="237"/>
      <c r="AH635" s="237"/>
      <c r="AI635" s="237"/>
      <c r="AJ635" s="237"/>
      <c r="AK635" s="237"/>
      <c r="AL635" s="237"/>
      <c r="AM635" s="237"/>
      <c r="AN635" s="237"/>
      <c r="AV635" s="237"/>
      <c r="AW635" s="237"/>
      <c r="AX635" s="237"/>
      <c r="AY635" s="237"/>
      <c r="AZ635" s="237"/>
      <c r="BA635" s="237"/>
      <c r="BB635" s="237"/>
    </row>
    <row r="636">
      <c r="E636" s="133"/>
      <c r="F636" s="237"/>
      <c r="G636" s="237"/>
      <c r="H636" s="131"/>
      <c r="I636" s="131"/>
      <c r="J636" s="131"/>
      <c r="K636" s="131"/>
      <c r="L636" s="131"/>
      <c r="T636" s="237"/>
      <c r="U636" s="237"/>
      <c r="V636" s="237"/>
      <c r="W636" s="237"/>
      <c r="X636" s="237"/>
      <c r="Y636" s="237"/>
      <c r="Z636" s="237"/>
      <c r="AH636" s="237"/>
      <c r="AI636" s="237"/>
      <c r="AJ636" s="237"/>
      <c r="AK636" s="237"/>
      <c r="AL636" s="237"/>
      <c r="AM636" s="237"/>
      <c r="AN636" s="237"/>
      <c r="AV636" s="237"/>
      <c r="AW636" s="237"/>
      <c r="AX636" s="237"/>
      <c r="AY636" s="237"/>
      <c r="AZ636" s="237"/>
      <c r="BA636" s="237"/>
      <c r="BB636" s="237"/>
    </row>
    <row r="637">
      <c r="E637" s="133"/>
      <c r="F637" s="237"/>
      <c r="G637" s="237"/>
      <c r="H637" s="131"/>
      <c r="I637" s="131"/>
      <c r="J637" s="131"/>
      <c r="K637" s="131"/>
      <c r="L637" s="131"/>
      <c r="T637" s="237"/>
      <c r="U637" s="237"/>
      <c r="V637" s="237"/>
      <c r="W637" s="237"/>
      <c r="X637" s="237"/>
      <c r="Y637" s="237"/>
      <c r="Z637" s="237"/>
      <c r="AH637" s="237"/>
      <c r="AI637" s="237"/>
      <c r="AJ637" s="237"/>
      <c r="AK637" s="237"/>
      <c r="AL637" s="237"/>
      <c r="AM637" s="237"/>
      <c r="AN637" s="237"/>
      <c r="AV637" s="237"/>
      <c r="AW637" s="237"/>
      <c r="AX637" s="237"/>
      <c r="AY637" s="237"/>
      <c r="AZ637" s="237"/>
      <c r="BA637" s="237"/>
      <c r="BB637" s="237"/>
    </row>
    <row r="638">
      <c r="E638" s="133"/>
      <c r="F638" s="237"/>
      <c r="G638" s="237"/>
      <c r="H638" s="131"/>
      <c r="I638" s="131"/>
      <c r="J638" s="131"/>
      <c r="K638" s="131"/>
      <c r="L638" s="131"/>
      <c r="T638" s="237"/>
      <c r="U638" s="237"/>
      <c r="V638" s="237"/>
      <c r="W638" s="237"/>
      <c r="X638" s="237"/>
      <c r="Y638" s="237"/>
      <c r="Z638" s="237"/>
      <c r="AH638" s="237"/>
      <c r="AI638" s="237"/>
      <c r="AJ638" s="237"/>
      <c r="AK638" s="237"/>
      <c r="AL638" s="237"/>
      <c r="AM638" s="237"/>
      <c r="AN638" s="237"/>
      <c r="AV638" s="237"/>
      <c r="AW638" s="237"/>
      <c r="AX638" s="237"/>
      <c r="AY638" s="237"/>
      <c r="AZ638" s="237"/>
      <c r="BA638" s="237"/>
      <c r="BB638" s="237"/>
    </row>
    <row r="639">
      <c r="E639" s="133"/>
      <c r="F639" s="237"/>
      <c r="G639" s="237"/>
      <c r="H639" s="131"/>
      <c r="I639" s="131"/>
      <c r="J639" s="131"/>
      <c r="K639" s="131"/>
      <c r="L639" s="131"/>
      <c r="T639" s="237"/>
      <c r="U639" s="237"/>
      <c r="V639" s="237"/>
      <c r="W639" s="237"/>
      <c r="X639" s="237"/>
      <c r="Y639" s="237"/>
      <c r="Z639" s="237"/>
      <c r="AH639" s="237"/>
      <c r="AI639" s="237"/>
      <c r="AJ639" s="237"/>
      <c r="AK639" s="237"/>
      <c r="AL639" s="237"/>
      <c r="AM639" s="237"/>
      <c r="AN639" s="237"/>
      <c r="AV639" s="237"/>
      <c r="AW639" s="237"/>
      <c r="AX639" s="237"/>
      <c r="AY639" s="237"/>
      <c r="AZ639" s="237"/>
      <c r="BA639" s="237"/>
      <c r="BB639" s="237"/>
    </row>
    <row r="640">
      <c r="E640" s="133"/>
      <c r="F640" s="237"/>
      <c r="G640" s="237"/>
      <c r="H640" s="131"/>
      <c r="I640" s="131"/>
      <c r="J640" s="131"/>
      <c r="K640" s="131"/>
      <c r="L640" s="131"/>
      <c r="T640" s="237"/>
      <c r="U640" s="237"/>
      <c r="V640" s="237"/>
      <c r="W640" s="237"/>
      <c r="X640" s="237"/>
      <c r="Y640" s="237"/>
      <c r="Z640" s="237"/>
      <c r="AH640" s="237"/>
      <c r="AI640" s="237"/>
      <c r="AJ640" s="237"/>
      <c r="AK640" s="237"/>
      <c r="AL640" s="237"/>
      <c r="AM640" s="237"/>
      <c r="AN640" s="237"/>
      <c r="AV640" s="237"/>
      <c r="AW640" s="237"/>
      <c r="AX640" s="237"/>
      <c r="AY640" s="237"/>
      <c r="AZ640" s="237"/>
      <c r="BA640" s="237"/>
      <c r="BB640" s="237"/>
    </row>
    <row r="641">
      <c r="E641" s="133"/>
      <c r="F641" s="237"/>
      <c r="G641" s="237"/>
      <c r="H641" s="131"/>
      <c r="I641" s="131"/>
      <c r="J641" s="131"/>
      <c r="K641" s="131"/>
      <c r="L641" s="131"/>
      <c r="T641" s="237"/>
      <c r="U641" s="237"/>
      <c r="V641" s="237"/>
      <c r="W641" s="237"/>
      <c r="X641" s="237"/>
      <c r="Y641" s="237"/>
      <c r="Z641" s="237"/>
      <c r="AH641" s="237"/>
      <c r="AI641" s="237"/>
      <c r="AJ641" s="237"/>
      <c r="AK641" s="237"/>
      <c r="AL641" s="237"/>
      <c r="AM641" s="237"/>
      <c r="AN641" s="237"/>
      <c r="AV641" s="237"/>
      <c r="AW641" s="237"/>
      <c r="AX641" s="237"/>
      <c r="AY641" s="237"/>
      <c r="AZ641" s="237"/>
      <c r="BA641" s="237"/>
      <c r="BB641" s="237"/>
    </row>
    <row r="642">
      <c r="E642" s="133"/>
      <c r="F642" s="237"/>
      <c r="G642" s="237"/>
      <c r="H642" s="131"/>
      <c r="I642" s="131"/>
      <c r="J642" s="131"/>
      <c r="K642" s="131"/>
      <c r="L642" s="131"/>
      <c r="T642" s="237"/>
      <c r="U642" s="237"/>
      <c r="V642" s="237"/>
      <c r="W642" s="237"/>
      <c r="X642" s="237"/>
      <c r="Y642" s="237"/>
      <c r="Z642" s="237"/>
      <c r="AH642" s="237"/>
      <c r="AI642" s="237"/>
      <c r="AJ642" s="237"/>
      <c r="AK642" s="237"/>
      <c r="AL642" s="237"/>
      <c r="AM642" s="237"/>
      <c r="AN642" s="237"/>
      <c r="AV642" s="237"/>
      <c r="AW642" s="237"/>
      <c r="AX642" s="237"/>
      <c r="AY642" s="237"/>
      <c r="AZ642" s="237"/>
      <c r="BA642" s="237"/>
      <c r="BB642" s="237"/>
    </row>
    <row r="643">
      <c r="E643" s="133"/>
      <c r="F643" s="237"/>
      <c r="G643" s="237"/>
      <c r="H643" s="131"/>
      <c r="I643" s="131"/>
      <c r="J643" s="131"/>
      <c r="K643" s="131"/>
      <c r="L643" s="131"/>
      <c r="T643" s="237"/>
      <c r="U643" s="237"/>
      <c r="V643" s="237"/>
      <c r="W643" s="237"/>
      <c r="X643" s="237"/>
      <c r="Y643" s="237"/>
      <c r="Z643" s="237"/>
      <c r="AH643" s="237"/>
      <c r="AI643" s="237"/>
      <c r="AJ643" s="237"/>
      <c r="AK643" s="237"/>
      <c r="AL643" s="237"/>
      <c r="AM643" s="237"/>
      <c r="AN643" s="237"/>
      <c r="AV643" s="237"/>
      <c r="AW643" s="237"/>
      <c r="AX643" s="237"/>
      <c r="AY643" s="237"/>
      <c r="AZ643" s="237"/>
      <c r="BA643" s="237"/>
      <c r="BB643" s="237"/>
    </row>
    <row r="644">
      <c r="E644" s="133"/>
      <c r="F644" s="237"/>
      <c r="G644" s="237"/>
      <c r="H644" s="131"/>
      <c r="I644" s="131"/>
      <c r="J644" s="131"/>
      <c r="K644" s="131"/>
      <c r="L644" s="131"/>
      <c r="T644" s="237"/>
      <c r="U644" s="237"/>
      <c r="V644" s="237"/>
      <c r="W644" s="237"/>
      <c r="X644" s="237"/>
      <c r="Y644" s="237"/>
      <c r="Z644" s="237"/>
      <c r="AH644" s="237"/>
      <c r="AI644" s="237"/>
      <c r="AJ644" s="237"/>
      <c r="AK644" s="237"/>
      <c r="AL644" s="237"/>
      <c r="AM644" s="237"/>
      <c r="AN644" s="237"/>
      <c r="AV644" s="237"/>
      <c r="AW644" s="237"/>
      <c r="AX644" s="237"/>
      <c r="AY644" s="237"/>
      <c r="AZ644" s="237"/>
      <c r="BA644" s="237"/>
      <c r="BB644" s="237"/>
    </row>
    <row r="645">
      <c r="E645" s="133"/>
      <c r="F645" s="237"/>
      <c r="G645" s="237"/>
      <c r="H645" s="131"/>
      <c r="I645" s="131"/>
      <c r="J645" s="131"/>
      <c r="K645" s="131"/>
      <c r="L645" s="131"/>
      <c r="T645" s="237"/>
      <c r="U645" s="237"/>
      <c r="V645" s="237"/>
      <c r="W645" s="237"/>
      <c r="X645" s="237"/>
      <c r="Y645" s="237"/>
      <c r="Z645" s="237"/>
      <c r="AH645" s="237"/>
      <c r="AI645" s="237"/>
      <c r="AJ645" s="237"/>
      <c r="AK645" s="237"/>
      <c r="AL645" s="237"/>
      <c r="AM645" s="237"/>
      <c r="AN645" s="237"/>
      <c r="AV645" s="237"/>
      <c r="AW645" s="237"/>
      <c r="AX645" s="237"/>
      <c r="AY645" s="237"/>
      <c r="AZ645" s="237"/>
      <c r="BA645" s="237"/>
      <c r="BB645" s="237"/>
    </row>
    <row r="646">
      <c r="E646" s="133"/>
      <c r="F646" s="237"/>
      <c r="G646" s="237"/>
      <c r="H646" s="131"/>
      <c r="I646" s="131"/>
      <c r="J646" s="131"/>
      <c r="K646" s="131"/>
      <c r="L646" s="131"/>
      <c r="T646" s="237"/>
      <c r="U646" s="237"/>
      <c r="V646" s="237"/>
      <c r="W646" s="237"/>
      <c r="X646" s="237"/>
      <c r="Y646" s="237"/>
      <c r="Z646" s="237"/>
      <c r="AH646" s="237"/>
      <c r="AI646" s="237"/>
      <c r="AJ646" s="237"/>
      <c r="AK646" s="237"/>
      <c r="AL646" s="237"/>
      <c r="AM646" s="237"/>
      <c r="AN646" s="237"/>
      <c r="AV646" s="237"/>
      <c r="AW646" s="237"/>
      <c r="AX646" s="237"/>
      <c r="AY646" s="237"/>
      <c r="AZ646" s="237"/>
      <c r="BA646" s="237"/>
      <c r="BB646" s="237"/>
    </row>
    <row r="647">
      <c r="E647" s="133"/>
      <c r="F647" s="237"/>
      <c r="G647" s="237"/>
      <c r="H647" s="131"/>
      <c r="I647" s="131"/>
      <c r="J647" s="131"/>
      <c r="K647" s="131"/>
      <c r="L647" s="131"/>
      <c r="T647" s="237"/>
      <c r="U647" s="237"/>
      <c r="V647" s="237"/>
      <c r="W647" s="237"/>
      <c r="X647" s="237"/>
      <c r="Y647" s="237"/>
      <c r="Z647" s="237"/>
      <c r="AH647" s="237"/>
      <c r="AI647" s="237"/>
      <c r="AJ647" s="237"/>
      <c r="AK647" s="237"/>
      <c r="AL647" s="237"/>
      <c r="AM647" s="237"/>
      <c r="AN647" s="237"/>
      <c r="AV647" s="237"/>
      <c r="AW647" s="237"/>
      <c r="AX647" s="237"/>
      <c r="AY647" s="237"/>
      <c r="AZ647" s="237"/>
      <c r="BA647" s="237"/>
      <c r="BB647" s="237"/>
    </row>
    <row r="648">
      <c r="E648" s="133"/>
      <c r="F648" s="237"/>
      <c r="G648" s="237"/>
      <c r="H648" s="131"/>
      <c r="I648" s="131"/>
      <c r="J648" s="131"/>
      <c r="K648" s="131"/>
      <c r="L648" s="131"/>
      <c r="T648" s="237"/>
      <c r="U648" s="237"/>
      <c r="V648" s="237"/>
      <c r="W648" s="237"/>
      <c r="X648" s="237"/>
      <c r="Y648" s="237"/>
      <c r="Z648" s="237"/>
      <c r="AH648" s="237"/>
      <c r="AI648" s="237"/>
      <c r="AJ648" s="237"/>
      <c r="AK648" s="237"/>
      <c r="AL648" s="237"/>
      <c r="AM648" s="237"/>
      <c r="AN648" s="237"/>
      <c r="AV648" s="237"/>
      <c r="AW648" s="237"/>
      <c r="AX648" s="237"/>
      <c r="AY648" s="237"/>
      <c r="AZ648" s="237"/>
      <c r="BA648" s="237"/>
      <c r="BB648" s="237"/>
    </row>
    <row r="649">
      <c r="E649" s="133"/>
      <c r="F649" s="237"/>
      <c r="G649" s="237"/>
      <c r="H649" s="131"/>
      <c r="I649" s="131"/>
      <c r="J649" s="131"/>
      <c r="K649" s="131"/>
      <c r="L649" s="131"/>
      <c r="T649" s="237"/>
      <c r="U649" s="237"/>
      <c r="V649" s="237"/>
      <c r="W649" s="237"/>
      <c r="X649" s="237"/>
      <c r="Y649" s="237"/>
      <c r="Z649" s="237"/>
      <c r="AH649" s="237"/>
      <c r="AI649" s="237"/>
      <c r="AJ649" s="237"/>
      <c r="AK649" s="237"/>
      <c r="AL649" s="237"/>
      <c r="AM649" s="237"/>
      <c r="AN649" s="237"/>
      <c r="AV649" s="237"/>
      <c r="AW649" s="237"/>
      <c r="AX649" s="237"/>
      <c r="AY649" s="237"/>
      <c r="AZ649" s="237"/>
      <c r="BA649" s="237"/>
      <c r="BB649" s="237"/>
    </row>
    <row r="650">
      <c r="E650" s="133"/>
      <c r="F650" s="237"/>
      <c r="G650" s="237"/>
      <c r="H650" s="131"/>
      <c r="I650" s="131"/>
      <c r="J650" s="131"/>
      <c r="K650" s="131"/>
      <c r="L650" s="131"/>
      <c r="T650" s="237"/>
      <c r="U650" s="237"/>
      <c r="V650" s="237"/>
      <c r="W650" s="237"/>
      <c r="X650" s="237"/>
      <c r="Y650" s="237"/>
      <c r="Z650" s="237"/>
      <c r="AH650" s="237"/>
      <c r="AI650" s="237"/>
      <c r="AJ650" s="237"/>
      <c r="AK650" s="237"/>
      <c r="AL650" s="237"/>
      <c r="AM650" s="237"/>
      <c r="AN650" s="237"/>
      <c r="AV650" s="237"/>
      <c r="AW650" s="237"/>
      <c r="AX650" s="237"/>
      <c r="AY650" s="237"/>
      <c r="AZ650" s="237"/>
      <c r="BA650" s="237"/>
      <c r="BB650" s="237"/>
    </row>
    <row r="651">
      <c r="E651" s="133"/>
      <c r="F651" s="237"/>
      <c r="G651" s="237"/>
      <c r="H651" s="131"/>
      <c r="I651" s="131"/>
      <c r="J651" s="131"/>
      <c r="K651" s="131"/>
      <c r="L651" s="131"/>
      <c r="T651" s="237"/>
      <c r="U651" s="237"/>
      <c r="V651" s="237"/>
      <c r="W651" s="237"/>
      <c r="X651" s="237"/>
      <c r="Y651" s="237"/>
      <c r="Z651" s="237"/>
      <c r="AH651" s="237"/>
      <c r="AI651" s="237"/>
      <c r="AJ651" s="237"/>
      <c r="AK651" s="237"/>
      <c r="AL651" s="237"/>
      <c r="AM651" s="237"/>
      <c r="AN651" s="237"/>
      <c r="AV651" s="237"/>
      <c r="AW651" s="237"/>
      <c r="AX651" s="237"/>
      <c r="AY651" s="237"/>
      <c r="AZ651" s="237"/>
      <c r="BA651" s="237"/>
      <c r="BB651" s="237"/>
    </row>
    <row r="652">
      <c r="E652" s="133"/>
      <c r="F652" s="237"/>
      <c r="G652" s="237"/>
      <c r="H652" s="131"/>
      <c r="I652" s="131"/>
      <c r="J652" s="131"/>
      <c r="K652" s="131"/>
      <c r="L652" s="131"/>
      <c r="T652" s="237"/>
      <c r="U652" s="237"/>
      <c r="V652" s="237"/>
      <c r="W652" s="237"/>
      <c r="X652" s="237"/>
      <c r="Y652" s="237"/>
      <c r="Z652" s="237"/>
      <c r="AH652" s="237"/>
      <c r="AI652" s="237"/>
      <c r="AJ652" s="237"/>
      <c r="AK652" s="237"/>
      <c r="AL652" s="237"/>
      <c r="AM652" s="237"/>
      <c r="AN652" s="237"/>
      <c r="AV652" s="237"/>
      <c r="AW652" s="237"/>
      <c r="AX652" s="237"/>
      <c r="AY652" s="237"/>
      <c r="AZ652" s="237"/>
      <c r="BA652" s="237"/>
      <c r="BB652" s="237"/>
    </row>
    <row r="653">
      <c r="E653" s="133"/>
      <c r="F653" s="237"/>
      <c r="G653" s="237"/>
      <c r="H653" s="131"/>
      <c r="I653" s="131"/>
      <c r="J653" s="131"/>
      <c r="K653" s="131"/>
      <c r="L653" s="131"/>
      <c r="T653" s="237"/>
      <c r="U653" s="237"/>
      <c r="V653" s="237"/>
      <c r="W653" s="237"/>
      <c r="X653" s="237"/>
      <c r="Y653" s="237"/>
      <c r="Z653" s="237"/>
      <c r="AH653" s="237"/>
      <c r="AI653" s="237"/>
      <c r="AJ653" s="237"/>
      <c r="AK653" s="237"/>
      <c r="AL653" s="237"/>
      <c r="AM653" s="237"/>
      <c r="AN653" s="237"/>
      <c r="AV653" s="237"/>
      <c r="AW653" s="237"/>
      <c r="AX653" s="237"/>
      <c r="AY653" s="237"/>
      <c r="AZ653" s="237"/>
      <c r="BA653" s="237"/>
      <c r="BB653" s="237"/>
    </row>
    <row r="654">
      <c r="E654" s="133"/>
      <c r="F654" s="237"/>
      <c r="G654" s="237"/>
      <c r="H654" s="131"/>
      <c r="I654" s="131"/>
      <c r="J654" s="131"/>
      <c r="K654" s="131"/>
      <c r="L654" s="131"/>
      <c r="T654" s="237"/>
      <c r="U654" s="237"/>
      <c r="V654" s="237"/>
      <c r="W654" s="237"/>
      <c r="X654" s="237"/>
      <c r="Y654" s="237"/>
      <c r="Z654" s="237"/>
      <c r="AH654" s="237"/>
      <c r="AI654" s="237"/>
      <c r="AJ654" s="237"/>
      <c r="AK654" s="237"/>
      <c r="AL654" s="237"/>
      <c r="AM654" s="237"/>
      <c r="AN654" s="237"/>
      <c r="AV654" s="237"/>
      <c r="AW654" s="237"/>
      <c r="AX654" s="237"/>
      <c r="AY654" s="237"/>
      <c r="AZ654" s="237"/>
      <c r="BA654" s="237"/>
      <c r="BB654" s="237"/>
    </row>
    <row r="655">
      <c r="E655" s="133"/>
      <c r="F655" s="237"/>
      <c r="G655" s="237"/>
      <c r="H655" s="131"/>
      <c r="I655" s="131"/>
      <c r="J655" s="131"/>
      <c r="K655" s="131"/>
      <c r="L655" s="131"/>
      <c r="T655" s="237"/>
      <c r="U655" s="237"/>
      <c r="V655" s="237"/>
      <c r="W655" s="237"/>
      <c r="X655" s="237"/>
      <c r="Y655" s="237"/>
      <c r="Z655" s="237"/>
      <c r="AH655" s="237"/>
      <c r="AI655" s="237"/>
      <c r="AJ655" s="237"/>
      <c r="AK655" s="237"/>
      <c r="AL655" s="237"/>
      <c r="AM655" s="237"/>
      <c r="AN655" s="237"/>
      <c r="AV655" s="237"/>
      <c r="AW655" s="237"/>
      <c r="AX655" s="237"/>
      <c r="AY655" s="237"/>
      <c r="AZ655" s="237"/>
      <c r="BA655" s="237"/>
      <c r="BB655" s="237"/>
    </row>
    <row r="656">
      <c r="E656" s="133"/>
      <c r="F656" s="237"/>
      <c r="G656" s="237"/>
      <c r="H656" s="131"/>
      <c r="I656" s="131"/>
      <c r="J656" s="131"/>
      <c r="K656" s="131"/>
      <c r="L656" s="131"/>
      <c r="T656" s="237"/>
      <c r="U656" s="237"/>
      <c r="V656" s="237"/>
      <c r="W656" s="237"/>
      <c r="X656" s="237"/>
      <c r="Y656" s="237"/>
      <c r="Z656" s="237"/>
      <c r="AH656" s="237"/>
      <c r="AI656" s="237"/>
      <c r="AJ656" s="237"/>
      <c r="AK656" s="237"/>
      <c r="AL656" s="237"/>
      <c r="AM656" s="237"/>
      <c r="AN656" s="237"/>
      <c r="AV656" s="237"/>
      <c r="AW656" s="237"/>
      <c r="AX656" s="237"/>
      <c r="AY656" s="237"/>
      <c r="AZ656" s="237"/>
      <c r="BA656" s="237"/>
      <c r="BB656" s="237"/>
    </row>
    <row r="657">
      <c r="E657" s="133"/>
      <c r="F657" s="237"/>
      <c r="G657" s="237"/>
      <c r="H657" s="131"/>
      <c r="I657" s="131"/>
      <c r="J657" s="131"/>
      <c r="K657" s="131"/>
      <c r="L657" s="131"/>
      <c r="T657" s="237"/>
      <c r="U657" s="237"/>
      <c r="V657" s="237"/>
      <c r="W657" s="237"/>
      <c r="X657" s="237"/>
      <c r="Y657" s="237"/>
      <c r="Z657" s="237"/>
      <c r="AH657" s="237"/>
      <c r="AI657" s="237"/>
      <c r="AJ657" s="237"/>
      <c r="AK657" s="237"/>
      <c r="AL657" s="237"/>
      <c r="AM657" s="237"/>
      <c r="AN657" s="237"/>
      <c r="AV657" s="237"/>
      <c r="AW657" s="237"/>
      <c r="AX657" s="237"/>
      <c r="AY657" s="237"/>
      <c r="AZ657" s="237"/>
      <c r="BA657" s="237"/>
      <c r="BB657" s="237"/>
    </row>
    <row r="658">
      <c r="E658" s="133"/>
      <c r="F658" s="237"/>
      <c r="G658" s="237"/>
      <c r="H658" s="131"/>
      <c r="I658" s="131"/>
      <c r="J658" s="131"/>
      <c r="K658" s="131"/>
      <c r="L658" s="131"/>
      <c r="T658" s="237"/>
      <c r="U658" s="237"/>
      <c r="V658" s="237"/>
      <c r="W658" s="237"/>
      <c r="X658" s="237"/>
      <c r="Y658" s="237"/>
      <c r="Z658" s="237"/>
      <c r="AH658" s="237"/>
      <c r="AI658" s="237"/>
      <c r="AJ658" s="237"/>
      <c r="AK658" s="237"/>
      <c r="AL658" s="237"/>
      <c r="AM658" s="237"/>
      <c r="AN658" s="237"/>
      <c r="AV658" s="237"/>
      <c r="AW658" s="237"/>
      <c r="AX658" s="237"/>
      <c r="AY658" s="237"/>
      <c r="AZ658" s="237"/>
      <c r="BA658" s="237"/>
      <c r="BB658" s="237"/>
    </row>
    <row r="659">
      <c r="E659" s="133"/>
      <c r="F659" s="237"/>
      <c r="G659" s="237"/>
      <c r="H659" s="131"/>
      <c r="I659" s="131"/>
      <c r="J659" s="131"/>
      <c r="K659" s="131"/>
      <c r="L659" s="131"/>
      <c r="T659" s="237"/>
      <c r="U659" s="237"/>
      <c r="V659" s="237"/>
      <c r="W659" s="237"/>
      <c r="X659" s="237"/>
      <c r="Y659" s="237"/>
      <c r="Z659" s="237"/>
      <c r="AH659" s="237"/>
      <c r="AI659" s="237"/>
      <c r="AJ659" s="237"/>
      <c r="AK659" s="237"/>
      <c r="AL659" s="237"/>
      <c r="AM659" s="237"/>
      <c r="AN659" s="237"/>
      <c r="AV659" s="237"/>
      <c r="AW659" s="237"/>
      <c r="AX659" s="237"/>
      <c r="AY659" s="237"/>
      <c r="AZ659" s="237"/>
      <c r="BA659" s="237"/>
      <c r="BB659" s="237"/>
    </row>
    <row r="660">
      <c r="E660" s="133"/>
      <c r="F660" s="237"/>
      <c r="G660" s="237"/>
      <c r="H660" s="131"/>
      <c r="I660" s="131"/>
      <c r="J660" s="131"/>
      <c r="K660" s="131"/>
      <c r="L660" s="131"/>
      <c r="T660" s="237"/>
      <c r="U660" s="237"/>
      <c r="V660" s="237"/>
      <c r="W660" s="237"/>
      <c r="X660" s="237"/>
      <c r="Y660" s="237"/>
      <c r="Z660" s="237"/>
      <c r="AH660" s="237"/>
      <c r="AI660" s="237"/>
      <c r="AJ660" s="237"/>
      <c r="AK660" s="237"/>
      <c r="AL660" s="237"/>
      <c r="AM660" s="237"/>
      <c r="AN660" s="237"/>
      <c r="AV660" s="237"/>
      <c r="AW660" s="237"/>
      <c r="AX660" s="237"/>
      <c r="AY660" s="237"/>
      <c r="AZ660" s="237"/>
      <c r="BA660" s="237"/>
      <c r="BB660" s="237"/>
    </row>
    <row r="661">
      <c r="E661" s="133"/>
      <c r="F661" s="237"/>
      <c r="G661" s="237"/>
      <c r="H661" s="131"/>
      <c r="I661" s="131"/>
      <c r="J661" s="131"/>
      <c r="K661" s="131"/>
      <c r="L661" s="131"/>
      <c r="T661" s="237"/>
      <c r="U661" s="237"/>
      <c r="V661" s="237"/>
      <c r="W661" s="237"/>
      <c r="X661" s="237"/>
      <c r="Y661" s="237"/>
      <c r="Z661" s="237"/>
      <c r="AH661" s="237"/>
      <c r="AI661" s="237"/>
      <c r="AJ661" s="237"/>
      <c r="AK661" s="237"/>
      <c r="AL661" s="237"/>
      <c r="AM661" s="237"/>
      <c r="AN661" s="237"/>
      <c r="AV661" s="237"/>
      <c r="AW661" s="237"/>
      <c r="AX661" s="237"/>
      <c r="AY661" s="237"/>
      <c r="AZ661" s="237"/>
      <c r="BA661" s="237"/>
      <c r="BB661" s="237"/>
    </row>
    <row r="662">
      <c r="E662" s="133"/>
      <c r="F662" s="237"/>
      <c r="G662" s="237"/>
      <c r="H662" s="131"/>
      <c r="I662" s="131"/>
      <c r="J662" s="131"/>
      <c r="K662" s="131"/>
      <c r="L662" s="131"/>
      <c r="T662" s="237"/>
      <c r="U662" s="237"/>
      <c r="V662" s="237"/>
      <c r="W662" s="237"/>
      <c r="X662" s="237"/>
      <c r="Y662" s="237"/>
      <c r="Z662" s="237"/>
      <c r="AH662" s="237"/>
      <c r="AI662" s="237"/>
      <c r="AJ662" s="237"/>
      <c r="AK662" s="237"/>
      <c r="AL662" s="237"/>
      <c r="AM662" s="237"/>
      <c r="AN662" s="237"/>
      <c r="AV662" s="237"/>
      <c r="AW662" s="237"/>
      <c r="AX662" s="237"/>
      <c r="AY662" s="237"/>
      <c r="AZ662" s="237"/>
      <c r="BA662" s="237"/>
      <c r="BB662" s="237"/>
    </row>
    <row r="663">
      <c r="E663" s="133"/>
      <c r="F663" s="237"/>
      <c r="G663" s="237"/>
      <c r="H663" s="131"/>
      <c r="I663" s="131"/>
      <c r="J663" s="131"/>
      <c r="K663" s="131"/>
      <c r="L663" s="131"/>
      <c r="T663" s="237"/>
      <c r="U663" s="237"/>
      <c r="V663" s="237"/>
      <c r="W663" s="237"/>
      <c r="X663" s="237"/>
      <c r="Y663" s="237"/>
      <c r="Z663" s="237"/>
      <c r="AH663" s="237"/>
      <c r="AI663" s="237"/>
      <c r="AJ663" s="237"/>
      <c r="AK663" s="237"/>
      <c r="AL663" s="237"/>
      <c r="AM663" s="237"/>
      <c r="AN663" s="237"/>
      <c r="AV663" s="237"/>
      <c r="AW663" s="237"/>
      <c r="AX663" s="237"/>
      <c r="AY663" s="237"/>
      <c r="AZ663" s="237"/>
      <c r="BA663" s="237"/>
      <c r="BB663" s="237"/>
    </row>
    <row r="664">
      <c r="E664" s="133"/>
      <c r="F664" s="237"/>
      <c r="G664" s="237"/>
      <c r="H664" s="131"/>
      <c r="I664" s="131"/>
      <c r="J664" s="131"/>
      <c r="K664" s="131"/>
      <c r="L664" s="131"/>
      <c r="T664" s="237"/>
      <c r="U664" s="237"/>
      <c r="V664" s="237"/>
      <c r="W664" s="237"/>
      <c r="X664" s="237"/>
      <c r="Y664" s="237"/>
      <c r="Z664" s="237"/>
      <c r="AH664" s="237"/>
      <c r="AI664" s="237"/>
      <c r="AJ664" s="237"/>
      <c r="AK664" s="237"/>
      <c r="AL664" s="237"/>
      <c r="AM664" s="237"/>
      <c r="AN664" s="237"/>
      <c r="AV664" s="237"/>
      <c r="AW664" s="237"/>
      <c r="AX664" s="237"/>
      <c r="AY664" s="237"/>
      <c r="AZ664" s="237"/>
      <c r="BA664" s="237"/>
      <c r="BB664" s="237"/>
    </row>
    <row r="665">
      <c r="E665" s="133"/>
      <c r="F665" s="237"/>
      <c r="G665" s="237"/>
      <c r="H665" s="131"/>
      <c r="I665" s="131"/>
      <c r="J665" s="131"/>
      <c r="K665" s="131"/>
      <c r="L665" s="131"/>
      <c r="T665" s="237"/>
      <c r="U665" s="237"/>
      <c r="V665" s="237"/>
      <c r="W665" s="237"/>
      <c r="X665" s="237"/>
      <c r="Y665" s="237"/>
      <c r="Z665" s="237"/>
      <c r="AH665" s="237"/>
      <c r="AI665" s="237"/>
      <c r="AJ665" s="237"/>
      <c r="AK665" s="237"/>
      <c r="AL665" s="237"/>
      <c r="AM665" s="237"/>
      <c r="AN665" s="237"/>
      <c r="AV665" s="237"/>
      <c r="AW665" s="237"/>
      <c r="AX665" s="237"/>
      <c r="AY665" s="237"/>
      <c r="AZ665" s="237"/>
      <c r="BA665" s="237"/>
      <c r="BB665" s="237"/>
    </row>
    <row r="666">
      <c r="E666" s="133"/>
      <c r="F666" s="237"/>
      <c r="G666" s="237"/>
      <c r="H666" s="131"/>
      <c r="I666" s="131"/>
      <c r="J666" s="131"/>
      <c r="K666" s="131"/>
      <c r="L666" s="131"/>
      <c r="T666" s="237"/>
      <c r="U666" s="237"/>
      <c r="V666" s="237"/>
      <c r="W666" s="237"/>
      <c r="X666" s="237"/>
      <c r="Y666" s="237"/>
      <c r="Z666" s="237"/>
      <c r="AH666" s="237"/>
      <c r="AI666" s="237"/>
      <c r="AJ666" s="237"/>
      <c r="AK666" s="237"/>
      <c r="AL666" s="237"/>
      <c r="AM666" s="237"/>
      <c r="AN666" s="237"/>
      <c r="AV666" s="237"/>
      <c r="AW666" s="237"/>
      <c r="AX666" s="237"/>
      <c r="AY666" s="237"/>
      <c r="AZ666" s="237"/>
      <c r="BA666" s="237"/>
      <c r="BB666" s="237"/>
    </row>
    <row r="667">
      <c r="E667" s="133"/>
      <c r="F667" s="237"/>
      <c r="G667" s="237"/>
      <c r="H667" s="131"/>
      <c r="I667" s="131"/>
      <c r="J667" s="131"/>
      <c r="K667" s="131"/>
      <c r="L667" s="131"/>
      <c r="T667" s="237"/>
      <c r="U667" s="237"/>
      <c r="V667" s="237"/>
      <c r="W667" s="237"/>
      <c r="X667" s="237"/>
      <c r="Y667" s="237"/>
      <c r="Z667" s="237"/>
      <c r="AH667" s="237"/>
      <c r="AI667" s="237"/>
      <c r="AJ667" s="237"/>
      <c r="AK667" s="237"/>
      <c r="AL667" s="237"/>
      <c r="AM667" s="237"/>
      <c r="AN667" s="237"/>
      <c r="AV667" s="237"/>
      <c r="AW667" s="237"/>
      <c r="AX667" s="237"/>
      <c r="AY667" s="237"/>
      <c r="AZ667" s="237"/>
      <c r="BA667" s="237"/>
      <c r="BB667" s="237"/>
    </row>
    <row r="668">
      <c r="E668" s="133"/>
      <c r="F668" s="237"/>
      <c r="G668" s="237"/>
      <c r="H668" s="131"/>
      <c r="I668" s="131"/>
      <c r="J668" s="131"/>
      <c r="K668" s="131"/>
      <c r="L668" s="131"/>
      <c r="T668" s="237"/>
      <c r="U668" s="237"/>
      <c r="V668" s="237"/>
      <c r="W668" s="237"/>
      <c r="X668" s="237"/>
      <c r="Y668" s="237"/>
      <c r="Z668" s="237"/>
      <c r="AH668" s="237"/>
      <c r="AI668" s="237"/>
      <c r="AJ668" s="237"/>
      <c r="AK668" s="237"/>
      <c r="AL668" s="237"/>
      <c r="AM668" s="237"/>
      <c r="AN668" s="237"/>
      <c r="AV668" s="237"/>
      <c r="AW668" s="237"/>
      <c r="AX668" s="237"/>
      <c r="AY668" s="237"/>
      <c r="AZ668" s="237"/>
      <c r="BA668" s="237"/>
      <c r="BB668" s="237"/>
    </row>
    <row r="669">
      <c r="E669" s="133"/>
      <c r="F669" s="237"/>
      <c r="G669" s="237"/>
      <c r="H669" s="131"/>
      <c r="I669" s="131"/>
      <c r="J669" s="131"/>
      <c r="K669" s="131"/>
      <c r="L669" s="131"/>
      <c r="T669" s="237"/>
      <c r="U669" s="237"/>
      <c r="V669" s="237"/>
      <c r="W669" s="237"/>
      <c r="X669" s="237"/>
      <c r="Y669" s="237"/>
      <c r="Z669" s="237"/>
      <c r="AH669" s="237"/>
      <c r="AI669" s="237"/>
      <c r="AJ669" s="237"/>
      <c r="AK669" s="237"/>
      <c r="AL669" s="237"/>
      <c r="AM669" s="237"/>
      <c r="AN669" s="237"/>
      <c r="AV669" s="237"/>
      <c r="AW669" s="237"/>
      <c r="AX669" s="237"/>
      <c r="AY669" s="237"/>
      <c r="AZ669" s="237"/>
      <c r="BA669" s="237"/>
      <c r="BB669" s="237"/>
    </row>
    <row r="670">
      <c r="E670" s="133"/>
      <c r="F670" s="237"/>
      <c r="G670" s="237"/>
      <c r="H670" s="131"/>
      <c r="I670" s="131"/>
      <c r="J670" s="131"/>
      <c r="K670" s="131"/>
      <c r="L670" s="131"/>
      <c r="T670" s="237"/>
      <c r="U670" s="237"/>
      <c r="V670" s="237"/>
      <c r="W670" s="237"/>
      <c r="X670" s="237"/>
      <c r="Y670" s="237"/>
      <c r="Z670" s="237"/>
      <c r="AH670" s="237"/>
      <c r="AI670" s="237"/>
      <c r="AJ670" s="237"/>
      <c r="AK670" s="237"/>
      <c r="AL670" s="237"/>
      <c r="AM670" s="237"/>
      <c r="AN670" s="237"/>
      <c r="AV670" s="237"/>
      <c r="AW670" s="237"/>
      <c r="AX670" s="237"/>
      <c r="AY670" s="237"/>
      <c r="AZ670" s="237"/>
      <c r="BA670" s="237"/>
      <c r="BB670" s="237"/>
    </row>
    <row r="671">
      <c r="E671" s="133"/>
      <c r="F671" s="237"/>
      <c r="G671" s="237"/>
      <c r="H671" s="131"/>
      <c r="I671" s="131"/>
      <c r="J671" s="131"/>
      <c r="K671" s="131"/>
      <c r="L671" s="131"/>
      <c r="T671" s="237"/>
      <c r="U671" s="237"/>
      <c r="V671" s="237"/>
      <c r="W671" s="237"/>
      <c r="X671" s="237"/>
      <c r="Y671" s="237"/>
      <c r="Z671" s="237"/>
      <c r="AH671" s="237"/>
      <c r="AI671" s="237"/>
      <c r="AJ671" s="237"/>
      <c r="AK671" s="237"/>
      <c r="AL671" s="237"/>
      <c r="AM671" s="237"/>
      <c r="AN671" s="237"/>
      <c r="AV671" s="237"/>
      <c r="AW671" s="237"/>
      <c r="AX671" s="237"/>
      <c r="AY671" s="237"/>
      <c r="AZ671" s="237"/>
      <c r="BA671" s="237"/>
      <c r="BB671" s="237"/>
    </row>
    <row r="672">
      <c r="E672" s="133"/>
      <c r="F672" s="237"/>
      <c r="G672" s="237"/>
      <c r="H672" s="131"/>
      <c r="I672" s="131"/>
      <c r="J672" s="131"/>
      <c r="K672" s="131"/>
      <c r="L672" s="131"/>
      <c r="T672" s="237"/>
      <c r="U672" s="237"/>
      <c r="V672" s="237"/>
      <c r="W672" s="237"/>
      <c r="X672" s="237"/>
      <c r="Y672" s="237"/>
      <c r="Z672" s="237"/>
      <c r="AH672" s="237"/>
      <c r="AI672" s="237"/>
      <c r="AJ672" s="237"/>
      <c r="AK672" s="237"/>
      <c r="AL672" s="237"/>
      <c r="AM672" s="237"/>
      <c r="AN672" s="237"/>
      <c r="AV672" s="237"/>
      <c r="AW672" s="237"/>
      <c r="AX672" s="237"/>
      <c r="AY672" s="237"/>
      <c r="AZ672" s="237"/>
      <c r="BA672" s="237"/>
      <c r="BB672" s="237"/>
    </row>
    <row r="673">
      <c r="E673" s="133"/>
      <c r="F673" s="237"/>
      <c r="G673" s="237"/>
      <c r="H673" s="131"/>
      <c r="I673" s="131"/>
      <c r="J673" s="131"/>
      <c r="K673" s="131"/>
      <c r="L673" s="131"/>
      <c r="T673" s="237"/>
      <c r="U673" s="237"/>
      <c r="V673" s="237"/>
      <c r="W673" s="237"/>
      <c r="X673" s="237"/>
      <c r="Y673" s="237"/>
      <c r="Z673" s="237"/>
      <c r="AH673" s="237"/>
      <c r="AI673" s="237"/>
      <c r="AJ673" s="237"/>
      <c r="AK673" s="237"/>
      <c r="AL673" s="237"/>
      <c r="AM673" s="237"/>
      <c r="AN673" s="237"/>
      <c r="AV673" s="237"/>
      <c r="AW673" s="237"/>
      <c r="AX673" s="237"/>
      <c r="AY673" s="237"/>
      <c r="AZ673" s="237"/>
      <c r="BA673" s="237"/>
      <c r="BB673" s="237"/>
    </row>
    <row r="674">
      <c r="E674" s="133"/>
      <c r="F674" s="237"/>
      <c r="G674" s="237"/>
      <c r="H674" s="131"/>
      <c r="I674" s="131"/>
      <c r="J674" s="131"/>
      <c r="K674" s="131"/>
      <c r="L674" s="131"/>
      <c r="T674" s="237"/>
      <c r="U674" s="237"/>
      <c r="V674" s="237"/>
      <c r="W674" s="237"/>
      <c r="X674" s="237"/>
      <c r="Y674" s="237"/>
      <c r="Z674" s="237"/>
      <c r="AH674" s="237"/>
      <c r="AI674" s="237"/>
      <c r="AJ674" s="237"/>
      <c r="AK674" s="237"/>
      <c r="AL674" s="237"/>
      <c r="AM674" s="237"/>
      <c r="AN674" s="237"/>
      <c r="AV674" s="237"/>
      <c r="AW674" s="237"/>
      <c r="AX674" s="237"/>
      <c r="AY674" s="237"/>
      <c r="AZ674" s="237"/>
      <c r="BA674" s="237"/>
      <c r="BB674" s="237"/>
    </row>
    <row r="675">
      <c r="E675" s="133"/>
      <c r="F675" s="237"/>
      <c r="G675" s="237"/>
      <c r="H675" s="131"/>
      <c r="I675" s="131"/>
      <c r="J675" s="131"/>
      <c r="K675" s="131"/>
      <c r="L675" s="131"/>
      <c r="T675" s="237"/>
      <c r="U675" s="237"/>
      <c r="V675" s="237"/>
      <c r="W675" s="237"/>
      <c r="X675" s="237"/>
      <c r="Y675" s="237"/>
      <c r="Z675" s="237"/>
      <c r="AH675" s="237"/>
      <c r="AI675" s="237"/>
      <c r="AJ675" s="237"/>
      <c r="AK675" s="237"/>
      <c r="AL675" s="237"/>
      <c r="AM675" s="237"/>
      <c r="AN675" s="237"/>
      <c r="AV675" s="237"/>
      <c r="AW675" s="237"/>
      <c r="AX675" s="237"/>
      <c r="AY675" s="237"/>
      <c r="AZ675" s="237"/>
      <c r="BA675" s="237"/>
      <c r="BB675" s="237"/>
    </row>
    <row r="676">
      <c r="E676" s="133"/>
      <c r="F676" s="237"/>
      <c r="G676" s="237"/>
      <c r="H676" s="131"/>
      <c r="I676" s="131"/>
      <c r="J676" s="131"/>
      <c r="K676" s="131"/>
      <c r="L676" s="131"/>
      <c r="T676" s="237"/>
      <c r="U676" s="237"/>
      <c r="V676" s="237"/>
      <c r="W676" s="237"/>
      <c r="X676" s="237"/>
      <c r="Y676" s="237"/>
      <c r="Z676" s="237"/>
      <c r="AH676" s="237"/>
      <c r="AI676" s="237"/>
      <c r="AJ676" s="237"/>
      <c r="AK676" s="237"/>
      <c r="AL676" s="237"/>
      <c r="AM676" s="237"/>
      <c r="AN676" s="237"/>
      <c r="AV676" s="237"/>
      <c r="AW676" s="237"/>
      <c r="AX676" s="237"/>
      <c r="AY676" s="237"/>
      <c r="AZ676" s="237"/>
      <c r="BA676" s="237"/>
      <c r="BB676" s="237"/>
    </row>
    <row r="677">
      <c r="E677" s="133"/>
      <c r="F677" s="237"/>
      <c r="G677" s="237"/>
      <c r="H677" s="131"/>
      <c r="I677" s="131"/>
      <c r="J677" s="131"/>
      <c r="K677" s="131"/>
      <c r="L677" s="131"/>
      <c r="T677" s="237"/>
      <c r="U677" s="237"/>
      <c r="V677" s="237"/>
      <c r="W677" s="237"/>
      <c r="X677" s="237"/>
      <c r="Y677" s="237"/>
      <c r="Z677" s="237"/>
      <c r="AH677" s="237"/>
      <c r="AI677" s="237"/>
      <c r="AJ677" s="237"/>
      <c r="AK677" s="237"/>
      <c r="AL677" s="237"/>
      <c r="AM677" s="237"/>
      <c r="AN677" s="237"/>
      <c r="AV677" s="237"/>
      <c r="AW677" s="237"/>
      <c r="AX677" s="237"/>
      <c r="AY677" s="237"/>
      <c r="AZ677" s="237"/>
      <c r="BA677" s="237"/>
      <c r="BB677" s="237"/>
    </row>
    <row r="678">
      <c r="E678" s="133"/>
      <c r="F678" s="237"/>
      <c r="G678" s="237"/>
      <c r="H678" s="131"/>
      <c r="I678" s="131"/>
      <c r="J678" s="131"/>
      <c r="K678" s="131"/>
      <c r="L678" s="131"/>
      <c r="T678" s="237"/>
      <c r="U678" s="237"/>
      <c r="V678" s="237"/>
      <c r="W678" s="237"/>
      <c r="X678" s="237"/>
      <c r="Y678" s="237"/>
      <c r="Z678" s="237"/>
      <c r="AH678" s="237"/>
      <c r="AI678" s="237"/>
      <c r="AJ678" s="237"/>
      <c r="AK678" s="237"/>
      <c r="AL678" s="237"/>
      <c r="AM678" s="237"/>
      <c r="AN678" s="237"/>
      <c r="AV678" s="237"/>
      <c r="AW678" s="237"/>
      <c r="AX678" s="237"/>
      <c r="AY678" s="237"/>
      <c r="AZ678" s="237"/>
      <c r="BA678" s="237"/>
      <c r="BB678" s="237"/>
    </row>
    <row r="679">
      <c r="E679" s="133"/>
      <c r="F679" s="237"/>
      <c r="G679" s="237"/>
      <c r="H679" s="131"/>
      <c r="I679" s="131"/>
      <c r="J679" s="131"/>
      <c r="K679" s="131"/>
      <c r="L679" s="131"/>
      <c r="T679" s="237"/>
      <c r="U679" s="237"/>
      <c r="V679" s="237"/>
      <c r="W679" s="237"/>
      <c r="X679" s="237"/>
      <c r="Y679" s="237"/>
      <c r="Z679" s="237"/>
      <c r="AH679" s="237"/>
      <c r="AI679" s="237"/>
      <c r="AJ679" s="237"/>
      <c r="AK679" s="237"/>
      <c r="AL679" s="237"/>
      <c r="AM679" s="237"/>
      <c r="AN679" s="237"/>
      <c r="AV679" s="237"/>
      <c r="AW679" s="237"/>
      <c r="AX679" s="237"/>
      <c r="AY679" s="237"/>
      <c r="AZ679" s="237"/>
      <c r="BA679" s="237"/>
      <c r="BB679" s="237"/>
    </row>
    <row r="680">
      <c r="E680" s="133"/>
      <c r="F680" s="237"/>
      <c r="G680" s="237"/>
      <c r="H680" s="131"/>
      <c r="I680" s="131"/>
      <c r="J680" s="131"/>
      <c r="K680" s="131"/>
      <c r="L680" s="131"/>
      <c r="T680" s="237"/>
      <c r="U680" s="237"/>
      <c r="V680" s="237"/>
      <c r="W680" s="237"/>
      <c r="X680" s="237"/>
      <c r="Y680" s="237"/>
      <c r="Z680" s="237"/>
      <c r="AH680" s="237"/>
      <c r="AI680" s="237"/>
      <c r="AJ680" s="237"/>
      <c r="AK680" s="237"/>
      <c r="AL680" s="237"/>
      <c r="AM680" s="237"/>
      <c r="AN680" s="237"/>
      <c r="AV680" s="237"/>
      <c r="AW680" s="237"/>
      <c r="AX680" s="237"/>
      <c r="AY680" s="237"/>
      <c r="AZ680" s="237"/>
      <c r="BA680" s="237"/>
      <c r="BB680" s="237"/>
    </row>
    <row r="681">
      <c r="E681" s="133"/>
      <c r="F681" s="237"/>
      <c r="G681" s="237"/>
      <c r="H681" s="131"/>
      <c r="I681" s="131"/>
      <c r="J681" s="131"/>
      <c r="K681" s="131"/>
      <c r="L681" s="131"/>
      <c r="T681" s="237"/>
      <c r="U681" s="237"/>
      <c r="V681" s="237"/>
      <c r="W681" s="237"/>
      <c r="X681" s="237"/>
      <c r="Y681" s="237"/>
      <c r="Z681" s="237"/>
      <c r="AH681" s="237"/>
      <c r="AI681" s="237"/>
      <c r="AJ681" s="237"/>
      <c r="AK681" s="237"/>
      <c r="AL681" s="237"/>
      <c r="AM681" s="237"/>
      <c r="AN681" s="237"/>
      <c r="AV681" s="237"/>
      <c r="AW681" s="237"/>
      <c r="AX681" s="237"/>
      <c r="AY681" s="237"/>
      <c r="AZ681" s="237"/>
      <c r="BA681" s="237"/>
      <c r="BB681" s="237"/>
    </row>
    <row r="682">
      <c r="E682" s="133"/>
      <c r="F682" s="237"/>
      <c r="G682" s="237"/>
      <c r="H682" s="131"/>
      <c r="I682" s="131"/>
      <c r="J682" s="131"/>
      <c r="K682" s="131"/>
      <c r="L682" s="131"/>
      <c r="T682" s="237"/>
      <c r="U682" s="237"/>
      <c r="V682" s="237"/>
      <c r="W682" s="237"/>
      <c r="X682" s="237"/>
      <c r="Y682" s="237"/>
      <c r="Z682" s="237"/>
      <c r="AH682" s="237"/>
      <c r="AI682" s="237"/>
      <c r="AJ682" s="237"/>
      <c r="AK682" s="237"/>
      <c r="AL682" s="237"/>
      <c r="AM682" s="237"/>
      <c r="AN682" s="237"/>
      <c r="AV682" s="237"/>
      <c r="AW682" s="237"/>
      <c r="AX682" s="237"/>
      <c r="AY682" s="237"/>
      <c r="AZ682" s="237"/>
      <c r="BA682" s="237"/>
      <c r="BB682" s="237"/>
    </row>
    <row r="683">
      <c r="E683" s="133"/>
      <c r="F683" s="237"/>
      <c r="G683" s="237"/>
      <c r="H683" s="131"/>
      <c r="I683" s="131"/>
      <c r="J683" s="131"/>
      <c r="K683" s="131"/>
      <c r="L683" s="131"/>
      <c r="T683" s="237"/>
      <c r="U683" s="237"/>
      <c r="V683" s="237"/>
      <c r="W683" s="237"/>
      <c r="X683" s="237"/>
      <c r="Y683" s="237"/>
      <c r="Z683" s="237"/>
      <c r="AH683" s="237"/>
      <c r="AI683" s="237"/>
      <c r="AJ683" s="237"/>
      <c r="AK683" s="237"/>
      <c r="AL683" s="237"/>
      <c r="AM683" s="237"/>
      <c r="AN683" s="237"/>
      <c r="AV683" s="237"/>
      <c r="AW683" s="237"/>
      <c r="AX683" s="237"/>
      <c r="AY683" s="237"/>
      <c r="AZ683" s="237"/>
      <c r="BA683" s="237"/>
      <c r="BB683" s="237"/>
    </row>
    <row r="684">
      <c r="E684" s="133"/>
      <c r="F684" s="237"/>
      <c r="G684" s="237"/>
      <c r="H684" s="131"/>
      <c r="I684" s="131"/>
      <c r="J684" s="131"/>
      <c r="K684" s="131"/>
      <c r="L684" s="131"/>
      <c r="T684" s="237"/>
      <c r="U684" s="237"/>
      <c r="V684" s="237"/>
      <c r="W684" s="237"/>
      <c r="X684" s="237"/>
      <c r="Y684" s="237"/>
      <c r="Z684" s="237"/>
      <c r="AH684" s="237"/>
      <c r="AI684" s="237"/>
      <c r="AJ684" s="237"/>
      <c r="AK684" s="237"/>
      <c r="AL684" s="237"/>
      <c r="AM684" s="237"/>
      <c r="AN684" s="237"/>
      <c r="AV684" s="237"/>
      <c r="AW684" s="237"/>
      <c r="AX684" s="237"/>
      <c r="AY684" s="237"/>
      <c r="AZ684" s="237"/>
      <c r="BA684" s="237"/>
      <c r="BB684" s="237"/>
    </row>
    <row r="685">
      <c r="E685" s="133"/>
      <c r="F685" s="237"/>
      <c r="G685" s="237"/>
      <c r="H685" s="131"/>
      <c r="I685" s="131"/>
      <c r="J685" s="131"/>
      <c r="K685" s="131"/>
      <c r="L685" s="131"/>
      <c r="T685" s="237"/>
      <c r="U685" s="237"/>
      <c r="V685" s="237"/>
      <c r="W685" s="237"/>
      <c r="X685" s="237"/>
      <c r="Y685" s="237"/>
      <c r="Z685" s="237"/>
      <c r="AH685" s="237"/>
      <c r="AI685" s="237"/>
      <c r="AJ685" s="237"/>
      <c r="AK685" s="237"/>
      <c r="AL685" s="237"/>
      <c r="AM685" s="237"/>
      <c r="AN685" s="237"/>
      <c r="AV685" s="237"/>
      <c r="AW685" s="237"/>
      <c r="AX685" s="237"/>
      <c r="AY685" s="237"/>
      <c r="AZ685" s="237"/>
      <c r="BA685" s="237"/>
      <c r="BB685" s="237"/>
    </row>
    <row r="686">
      <c r="E686" s="133"/>
      <c r="F686" s="237"/>
      <c r="G686" s="237"/>
      <c r="H686" s="131"/>
      <c r="I686" s="131"/>
      <c r="J686" s="131"/>
      <c r="K686" s="131"/>
      <c r="L686" s="131"/>
      <c r="T686" s="237"/>
      <c r="U686" s="237"/>
      <c r="V686" s="237"/>
      <c r="W686" s="237"/>
      <c r="X686" s="237"/>
      <c r="Y686" s="237"/>
      <c r="Z686" s="237"/>
      <c r="AH686" s="237"/>
      <c r="AI686" s="237"/>
      <c r="AJ686" s="237"/>
      <c r="AK686" s="237"/>
      <c r="AL686" s="237"/>
      <c r="AM686" s="237"/>
      <c r="AN686" s="237"/>
      <c r="AV686" s="237"/>
      <c r="AW686" s="237"/>
      <c r="AX686" s="237"/>
      <c r="AY686" s="237"/>
      <c r="AZ686" s="237"/>
      <c r="BA686" s="237"/>
      <c r="BB686" s="237"/>
    </row>
    <row r="687">
      <c r="E687" s="133"/>
      <c r="F687" s="237"/>
      <c r="G687" s="237"/>
      <c r="H687" s="131"/>
      <c r="I687" s="131"/>
      <c r="J687" s="131"/>
      <c r="K687" s="131"/>
      <c r="L687" s="131"/>
      <c r="T687" s="237"/>
      <c r="U687" s="237"/>
      <c r="V687" s="237"/>
      <c r="W687" s="237"/>
      <c r="X687" s="237"/>
      <c r="Y687" s="237"/>
      <c r="Z687" s="237"/>
      <c r="AH687" s="237"/>
      <c r="AI687" s="237"/>
      <c r="AJ687" s="237"/>
      <c r="AK687" s="237"/>
      <c r="AL687" s="237"/>
      <c r="AM687" s="237"/>
      <c r="AN687" s="237"/>
      <c r="AV687" s="237"/>
      <c r="AW687" s="237"/>
      <c r="AX687" s="237"/>
      <c r="AY687" s="237"/>
      <c r="AZ687" s="237"/>
      <c r="BA687" s="237"/>
      <c r="BB687" s="237"/>
    </row>
    <row r="688">
      <c r="E688" s="133"/>
      <c r="F688" s="237"/>
      <c r="G688" s="237"/>
      <c r="H688" s="131"/>
      <c r="I688" s="131"/>
      <c r="J688" s="131"/>
      <c r="K688" s="131"/>
      <c r="L688" s="131"/>
      <c r="T688" s="237"/>
      <c r="U688" s="237"/>
      <c r="V688" s="237"/>
      <c r="W688" s="237"/>
      <c r="X688" s="237"/>
      <c r="Y688" s="237"/>
      <c r="Z688" s="237"/>
      <c r="AH688" s="237"/>
      <c r="AI688" s="237"/>
      <c r="AJ688" s="237"/>
      <c r="AK688" s="237"/>
      <c r="AL688" s="237"/>
      <c r="AM688" s="237"/>
      <c r="AN688" s="237"/>
      <c r="AV688" s="237"/>
      <c r="AW688" s="237"/>
      <c r="AX688" s="237"/>
      <c r="AY688" s="237"/>
      <c r="AZ688" s="237"/>
      <c r="BA688" s="237"/>
      <c r="BB688" s="237"/>
    </row>
    <row r="689">
      <c r="E689" s="133"/>
      <c r="F689" s="237"/>
      <c r="G689" s="237"/>
      <c r="H689" s="131"/>
      <c r="I689" s="131"/>
      <c r="J689" s="131"/>
      <c r="K689" s="131"/>
      <c r="L689" s="131"/>
      <c r="T689" s="237"/>
      <c r="U689" s="237"/>
      <c r="V689" s="237"/>
      <c r="W689" s="237"/>
      <c r="X689" s="237"/>
      <c r="Y689" s="237"/>
      <c r="Z689" s="237"/>
      <c r="AH689" s="237"/>
      <c r="AI689" s="237"/>
      <c r="AJ689" s="237"/>
      <c r="AK689" s="237"/>
      <c r="AL689" s="237"/>
      <c r="AM689" s="237"/>
      <c r="AN689" s="237"/>
      <c r="AV689" s="237"/>
      <c r="AW689" s="237"/>
      <c r="AX689" s="237"/>
      <c r="AY689" s="237"/>
      <c r="AZ689" s="237"/>
      <c r="BA689" s="237"/>
      <c r="BB689" s="237"/>
    </row>
    <row r="690">
      <c r="E690" s="133"/>
      <c r="F690" s="237"/>
      <c r="G690" s="237"/>
      <c r="H690" s="131"/>
      <c r="I690" s="131"/>
      <c r="J690" s="131"/>
      <c r="K690" s="131"/>
      <c r="L690" s="131"/>
      <c r="T690" s="237"/>
      <c r="U690" s="237"/>
      <c r="V690" s="237"/>
      <c r="W690" s="237"/>
      <c r="X690" s="237"/>
      <c r="Y690" s="237"/>
      <c r="Z690" s="237"/>
      <c r="AH690" s="237"/>
      <c r="AI690" s="237"/>
      <c r="AJ690" s="237"/>
      <c r="AK690" s="237"/>
      <c r="AL690" s="237"/>
      <c r="AM690" s="237"/>
      <c r="AN690" s="237"/>
      <c r="AV690" s="237"/>
      <c r="AW690" s="237"/>
      <c r="AX690" s="237"/>
      <c r="AY690" s="237"/>
      <c r="AZ690" s="237"/>
      <c r="BA690" s="237"/>
      <c r="BB690" s="237"/>
    </row>
    <row r="691">
      <c r="E691" s="133"/>
      <c r="F691" s="237"/>
      <c r="G691" s="237"/>
      <c r="H691" s="131"/>
      <c r="I691" s="131"/>
      <c r="J691" s="131"/>
      <c r="K691" s="131"/>
      <c r="L691" s="131"/>
      <c r="T691" s="237"/>
      <c r="U691" s="237"/>
      <c r="V691" s="237"/>
      <c r="W691" s="237"/>
      <c r="X691" s="237"/>
      <c r="Y691" s="237"/>
      <c r="Z691" s="237"/>
      <c r="AH691" s="237"/>
      <c r="AI691" s="237"/>
      <c r="AJ691" s="237"/>
      <c r="AK691" s="237"/>
      <c r="AL691" s="237"/>
      <c r="AM691" s="237"/>
      <c r="AN691" s="237"/>
      <c r="AV691" s="237"/>
      <c r="AW691" s="237"/>
      <c r="AX691" s="237"/>
      <c r="AY691" s="237"/>
      <c r="AZ691" s="237"/>
      <c r="BA691" s="237"/>
      <c r="BB691" s="237"/>
    </row>
    <row r="692">
      <c r="E692" s="133"/>
      <c r="F692" s="237"/>
      <c r="G692" s="237"/>
      <c r="H692" s="131"/>
      <c r="I692" s="131"/>
      <c r="J692" s="131"/>
      <c r="K692" s="131"/>
      <c r="L692" s="131"/>
      <c r="T692" s="237"/>
      <c r="U692" s="237"/>
      <c r="V692" s="237"/>
      <c r="W692" s="237"/>
      <c r="X692" s="237"/>
      <c r="Y692" s="237"/>
      <c r="Z692" s="237"/>
      <c r="AH692" s="237"/>
      <c r="AI692" s="237"/>
      <c r="AJ692" s="237"/>
      <c r="AK692" s="237"/>
      <c r="AL692" s="237"/>
      <c r="AM692" s="237"/>
      <c r="AN692" s="237"/>
      <c r="AV692" s="237"/>
      <c r="AW692" s="237"/>
      <c r="AX692" s="237"/>
      <c r="AY692" s="237"/>
      <c r="AZ692" s="237"/>
      <c r="BA692" s="237"/>
      <c r="BB692" s="237"/>
    </row>
    <row r="693">
      <c r="E693" s="133"/>
      <c r="F693" s="237"/>
      <c r="G693" s="237"/>
      <c r="H693" s="131"/>
      <c r="I693" s="131"/>
      <c r="J693" s="131"/>
      <c r="K693" s="131"/>
      <c r="L693" s="131"/>
      <c r="T693" s="237"/>
      <c r="U693" s="237"/>
      <c r="V693" s="237"/>
      <c r="W693" s="237"/>
      <c r="X693" s="237"/>
      <c r="Y693" s="237"/>
      <c r="Z693" s="237"/>
      <c r="AH693" s="237"/>
      <c r="AI693" s="237"/>
      <c r="AJ693" s="237"/>
      <c r="AK693" s="237"/>
      <c r="AL693" s="237"/>
      <c r="AM693" s="237"/>
      <c r="AN693" s="237"/>
      <c r="AV693" s="237"/>
      <c r="AW693" s="237"/>
      <c r="AX693" s="237"/>
      <c r="AY693" s="237"/>
      <c r="AZ693" s="237"/>
      <c r="BA693" s="237"/>
      <c r="BB693" s="237"/>
    </row>
    <row r="694">
      <c r="E694" s="133"/>
      <c r="F694" s="237"/>
      <c r="G694" s="237"/>
      <c r="H694" s="131"/>
      <c r="I694" s="131"/>
      <c r="J694" s="131"/>
      <c r="K694" s="131"/>
      <c r="L694" s="131"/>
      <c r="T694" s="237"/>
      <c r="U694" s="237"/>
      <c r="V694" s="237"/>
      <c r="W694" s="237"/>
      <c r="X694" s="237"/>
      <c r="Y694" s="237"/>
      <c r="Z694" s="237"/>
      <c r="AH694" s="237"/>
      <c r="AI694" s="237"/>
      <c r="AJ694" s="237"/>
      <c r="AK694" s="237"/>
      <c r="AL694" s="237"/>
      <c r="AM694" s="237"/>
      <c r="AN694" s="237"/>
      <c r="AV694" s="237"/>
      <c r="AW694" s="237"/>
      <c r="AX694" s="237"/>
      <c r="AY694" s="237"/>
      <c r="AZ694" s="237"/>
      <c r="BA694" s="237"/>
      <c r="BB694" s="237"/>
    </row>
    <row r="695">
      <c r="E695" s="133"/>
      <c r="F695" s="237"/>
      <c r="G695" s="237"/>
      <c r="H695" s="131"/>
      <c r="I695" s="131"/>
      <c r="J695" s="131"/>
      <c r="K695" s="131"/>
      <c r="L695" s="131"/>
      <c r="T695" s="237"/>
      <c r="U695" s="237"/>
      <c r="V695" s="237"/>
      <c r="W695" s="237"/>
      <c r="X695" s="237"/>
      <c r="Y695" s="237"/>
      <c r="Z695" s="237"/>
      <c r="AH695" s="237"/>
      <c r="AI695" s="237"/>
      <c r="AJ695" s="237"/>
      <c r="AK695" s="237"/>
      <c r="AL695" s="237"/>
      <c r="AM695" s="237"/>
      <c r="AN695" s="237"/>
      <c r="AV695" s="237"/>
      <c r="AW695" s="237"/>
      <c r="AX695" s="237"/>
      <c r="AY695" s="237"/>
      <c r="AZ695" s="237"/>
      <c r="BA695" s="237"/>
      <c r="BB695" s="237"/>
    </row>
    <row r="696">
      <c r="E696" s="133"/>
      <c r="F696" s="237"/>
      <c r="G696" s="237"/>
      <c r="H696" s="131"/>
      <c r="I696" s="131"/>
      <c r="J696" s="131"/>
      <c r="K696" s="131"/>
      <c r="L696" s="131"/>
      <c r="T696" s="237"/>
      <c r="U696" s="237"/>
      <c r="V696" s="237"/>
      <c r="W696" s="237"/>
      <c r="X696" s="237"/>
      <c r="Y696" s="237"/>
      <c r="Z696" s="237"/>
      <c r="AH696" s="237"/>
      <c r="AI696" s="237"/>
      <c r="AJ696" s="237"/>
      <c r="AK696" s="237"/>
      <c r="AL696" s="237"/>
      <c r="AM696" s="237"/>
      <c r="AN696" s="237"/>
      <c r="AV696" s="237"/>
      <c r="AW696" s="237"/>
      <c r="AX696" s="237"/>
      <c r="AY696" s="237"/>
      <c r="AZ696" s="237"/>
      <c r="BA696" s="237"/>
      <c r="BB696" s="237"/>
    </row>
    <row r="697">
      <c r="E697" s="133"/>
      <c r="F697" s="237"/>
      <c r="G697" s="237"/>
      <c r="H697" s="131"/>
      <c r="I697" s="131"/>
      <c r="J697" s="131"/>
      <c r="K697" s="131"/>
      <c r="L697" s="131"/>
      <c r="T697" s="237"/>
      <c r="U697" s="237"/>
      <c r="V697" s="237"/>
      <c r="W697" s="237"/>
      <c r="X697" s="237"/>
      <c r="Y697" s="237"/>
      <c r="Z697" s="237"/>
      <c r="AH697" s="237"/>
      <c r="AI697" s="237"/>
      <c r="AJ697" s="237"/>
      <c r="AK697" s="237"/>
      <c r="AL697" s="237"/>
      <c r="AM697" s="237"/>
      <c r="AN697" s="237"/>
      <c r="AV697" s="237"/>
      <c r="AW697" s="237"/>
      <c r="AX697" s="237"/>
      <c r="AY697" s="237"/>
      <c r="AZ697" s="237"/>
      <c r="BA697" s="237"/>
      <c r="BB697" s="237"/>
    </row>
    <row r="698">
      <c r="E698" s="133"/>
      <c r="F698" s="237"/>
      <c r="G698" s="237"/>
      <c r="H698" s="131"/>
      <c r="I698" s="131"/>
      <c r="J698" s="131"/>
      <c r="K698" s="131"/>
      <c r="L698" s="131"/>
      <c r="T698" s="237"/>
      <c r="U698" s="237"/>
      <c r="V698" s="237"/>
      <c r="W698" s="237"/>
      <c r="X698" s="237"/>
      <c r="Y698" s="237"/>
      <c r="Z698" s="237"/>
      <c r="AH698" s="237"/>
      <c r="AI698" s="237"/>
      <c r="AJ698" s="237"/>
      <c r="AK698" s="237"/>
      <c r="AL698" s="237"/>
      <c r="AM698" s="237"/>
      <c r="AN698" s="237"/>
      <c r="AV698" s="237"/>
      <c r="AW698" s="237"/>
      <c r="AX698" s="237"/>
      <c r="AY698" s="237"/>
      <c r="AZ698" s="237"/>
      <c r="BA698" s="237"/>
      <c r="BB698" s="237"/>
    </row>
    <row r="699">
      <c r="E699" s="133"/>
      <c r="F699" s="237"/>
      <c r="G699" s="237"/>
      <c r="H699" s="131"/>
      <c r="I699" s="131"/>
      <c r="J699" s="131"/>
      <c r="K699" s="131"/>
      <c r="L699" s="131"/>
      <c r="T699" s="237"/>
      <c r="U699" s="237"/>
      <c r="V699" s="237"/>
      <c r="W699" s="237"/>
      <c r="X699" s="237"/>
      <c r="Y699" s="237"/>
      <c r="Z699" s="237"/>
      <c r="AH699" s="237"/>
      <c r="AI699" s="237"/>
      <c r="AJ699" s="237"/>
      <c r="AK699" s="237"/>
      <c r="AL699" s="237"/>
      <c r="AM699" s="237"/>
      <c r="AN699" s="237"/>
      <c r="AV699" s="237"/>
      <c r="AW699" s="237"/>
      <c r="AX699" s="237"/>
      <c r="AY699" s="237"/>
      <c r="AZ699" s="237"/>
      <c r="BA699" s="237"/>
      <c r="BB699" s="237"/>
    </row>
    <row r="700">
      <c r="E700" s="133"/>
      <c r="F700" s="237"/>
      <c r="G700" s="237"/>
      <c r="H700" s="131"/>
      <c r="I700" s="131"/>
      <c r="J700" s="131"/>
      <c r="K700" s="131"/>
      <c r="L700" s="131"/>
      <c r="T700" s="237"/>
      <c r="U700" s="237"/>
      <c r="V700" s="237"/>
      <c r="W700" s="237"/>
      <c r="X700" s="237"/>
      <c r="Y700" s="237"/>
      <c r="Z700" s="237"/>
      <c r="AH700" s="237"/>
      <c r="AI700" s="237"/>
      <c r="AJ700" s="237"/>
      <c r="AK700" s="237"/>
      <c r="AL700" s="237"/>
      <c r="AM700" s="237"/>
      <c r="AN700" s="237"/>
      <c r="AV700" s="237"/>
      <c r="AW700" s="237"/>
      <c r="AX700" s="237"/>
      <c r="AY700" s="237"/>
      <c r="AZ700" s="237"/>
      <c r="BA700" s="237"/>
      <c r="BB700" s="237"/>
    </row>
    <row r="701">
      <c r="E701" s="133"/>
      <c r="F701" s="237"/>
      <c r="G701" s="237"/>
      <c r="H701" s="131"/>
      <c r="I701" s="131"/>
      <c r="J701" s="131"/>
      <c r="K701" s="131"/>
      <c r="L701" s="131"/>
      <c r="T701" s="237"/>
      <c r="U701" s="237"/>
      <c r="V701" s="237"/>
      <c r="W701" s="237"/>
      <c r="X701" s="237"/>
      <c r="Y701" s="237"/>
      <c r="Z701" s="237"/>
      <c r="AH701" s="237"/>
      <c r="AI701" s="237"/>
      <c r="AJ701" s="237"/>
      <c r="AK701" s="237"/>
      <c r="AL701" s="237"/>
      <c r="AM701" s="237"/>
      <c r="AN701" s="237"/>
      <c r="AV701" s="237"/>
      <c r="AW701" s="237"/>
      <c r="AX701" s="237"/>
      <c r="AY701" s="237"/>
      <c r="AZ701" s="237"/>
      <c r="BA701" s="237"/>
      <c r="BB701" s="237"/>
    </row>
    <row r="702">
      <c r="E702" s="133"/>
      <c r="F702" s="237"/>
      <c r="G702" s="237"/>
      <c r="H702" s="131"/>
      <c r="I702" s="131"/>
      <c r="J702" s="131"/>
      <c r="K702" s="131"/>
      <c r="L702" s="131"/>
      <c r="T702" s="237"/>
      <c r="U702" s="237"/>
      <c r="V702" s="237"/>
      <c r="W702" s="237"/>
      <c r="X702" s="237"/>
      <c r="Y702" s="237"/>
      <c r="Z702" s="237"/>
      <c r="AH702" s="237"/>
      <c r="AI702" s="237"/>
      <c r="AJ702" s="237"/>
      <c r="AK702" s="237"/>
      <c r="AL702" s="237"/>
      <c r="AM702" s="237"/>
      <c r="AN702" s="237"/>
      <c r="AV702" s="237"/>
      <c r="AW702" s="237"/>
      <c r="AX702" s="237"/>
      <c r="AY702" s="237"/>
      <c r="AZ702" s="237"/>
      <c r="BA702" s="237"/>
      <c r="BB702" s="237"/>
    </row>
    <row r="703">
      <c r="E703" s="133"/>
      <c r="F703" s="237"/>
      <c r="G703" s="237"/>
      <c r="H703" s="131"/>
      <c r="I703" s="131"/>
      <c r="J703" s="131"/>
      <c r="K703" s="131"/>
      <c r="L703" s="131"/>
      <c r="T703" s="237"/>
      <c r="U703" s="237"/>
      <c r="V703" s="237"/>
      <c r="W703" s="237"/>
      <c r="X703" s="237"/>
      <c r="Y703" s="237"/>
      <c r="Z703" s="237"/>
      <c r="AH703" s="237"/>
      <c r="AI703" s="237"/>
      <c r="AJ703" s="237"/>
      <c r="AK703" s="237"/>
      <c r="AL703" s="237"/>
      <c r="AM703" s="237"/>
      <c r="AN703" s="237"/>
      <c r="AV703" s="237"/>
      <c r="AW703" s="237"/>
      <c r="AX703" s="237"/>
      <c r="AY703" s="237"/>
      <c r="AZ703" s="237"/>
      <c r="BA703" s="237"/>
      <c r="BB703" s="237"/>
    </row>
    <row r="704">
      <c r="E704" s="133"/>
      <c r="F704" s="237"/>
      <c r="G704" s="237"/>
      <c r="H704" s="131"/>
      <c r="I704" s="131"/>
      <c r="J704" s="131"/>
      <c r="K704" s="131"/>
      <c r="L704" s="131"/>
      <c r="T704" s="237"/>
      <c r="U704" s="237"/>
      <c r="V704" s="237"/>
      <c r="W704" s="237"/>
      <c r="X704" s="237"/>
      <c r="Y704" s="237"/>
      <c r="Z704" s="237"/>
      <c r="AH704" s="237"/>
      <c r="AI704" s="237"/>
      <c r="AJ704" s="237"/>
      <c r="AK704" s="237"/>
      <c r="AL704" s="237"/>
      <c r="AM704" s="237"/>
      <c r="AN704" s="237"/>
      <c r="AV704" s="237"/>
      <c r="AW704" s="237"/>
      <c r="AX704" s="237"/>
      <c r="AY704" s="237"/>
      <c r="AZ704" s="237"/>
      <c r="BA704" s="237"/>
      <c r="BB704" s="237"/>
    </row>
    <row r="705">
      <c r="E705" s="133"/>
      <c r="F705" s="237"/>
      <c r="G705" s="237"/>
      <c r="H705" s="131"/>
      <c r="I705" s="131"/>
      <c r="J705" s="131"/>
      <c r="K705" s="131"/>
      <c r="L705" s="131"/>
      <c r="T705" s="237"/>
      <c r="U705" s="237"/>
      <c r="V705" s="237"/>
      <c r="W705" s="237"/>
      <c r="X705" s="237"/>
      <c r="Y705" s="237"/>
      <c r="Z705" s="237"/>
      <c r="AH705" s="237"/>
      <c r="AI705" s="237"/>
      <c r="AJ705" s="237"/>
      <c r="AK705" s="237"/>
      <c r="AL705" s="237"/>
      <c r="AM705" s="237"/>
      <c r="AN705" s="237"/>
      <c r="AV705" s="237"/>
      <c r="AW705" s="237"/>
      <c r="AX705" s="237"/>
      <c r="AY705" s="237"/>
      <c r="AZ705" s="237"/>
      <c r="BA705" s="237"/>
      <c r="BB705" s="237"/>
    </row>
    <row r="706">
      <c r="E706" s="133"/>
      <c r="F706" s="237"/>
      <c r="G706" s="237"/>
      <c r="H706" s="131"/>
      <c r="I706" s="131"/>
      <c r="J706" s="131"/>
      <c r="K706" s="131"/>
      <c r="L706" s="131"/>
      <c r="T706" s="237"/>
      <c r="U706" s="237"/>
      <c r="V706" s="237"/>
      <c r="W706" s="237"/>
      <c r="X706" s="237"/>
      <c r="Y706" s="237"/>
      <c r="Z706" s="237"/>
      <c r="AH706" s="237"/>
      <c r="AI706" s="237"/>
      <c r="AJ706" s="237"/>
      <c r="AK706" s="237"/>
      <c r="AL706" s="237"/>
      <c r="AM706" s="237"/>
      <c r="AN706" s="237"/>
      <c r="AV706" s="237"/>
      <c r="AW706" s="237"/>
      <c r="AX706" s="237"/>
      <c r="AY706" s="237"/>
      <c r="AZ706" s="237"/>
      <c r="BA706" s="237"/>
      <c r="BB706" s="237"/>
    </row>
    <row r="707">
      <c r="E707" s="133"/>
      <c r="F707" s="237"/>
      <c r="G707" s="237"/>
      <c r="H707" s="131"/>
      <c r="I707" s="131"/>
      <c r="J707" s="131"/>
      <c r="K707" s="131"/>
      <c r="L707" s="131"/>
      <c r="T707" s="237"/>
      <c r="U707" s="237"/>
      <c r="V707" s="237"/>
      <c r="W707" s="237"/>
      <c r="X707" s="237"/>
      <c r="Y707" s="237"/>
      <c r="Z707" s="237"/>
      <c r="AH707" s="237"/>
      <c r="AI707" s="237"/>
      <c r="AJ707" s="237"/>
      <c r="AK707" s="237"/>
      <c r="AL707" s="237"/>
      <c r="AM707" s="237"/>
      <c r="AN707" s="237"/>
      <c r="AV707" s="237"/>
      <c r="AW707" s="237"/>
      <c r="AX707" s="237"/>
      <c r="AY707" s="237"/>
      <c r="AZ707" s="237"/>
      <c r="BA707" s="237"/>
      <c r="BB707" s="237"/>
    </row>
    <row r="708">
      <c r="E708" s="133"/>
      <c r="F708" s="237"/>
      <c r="G708" s="237"/>
      <c r="H708" s="131"/>
      <c r="I708" s="131"/>
      <c r="J708" s="131"/>
      <c r="K708" s="131"/>
      <c r="L708" s="131"/>
      <c r="T708" s="237"/>
      <c r="U708" s="237"/>
      <c r="V708" s="237"/>
      <c r="W708" s="237"/>
      <c r="X708" s="237"/>
      <c r="Y708" s="237"/>
      <c r="Z708" s="237"/>
      <c r="AH708" s="237"/>
      <c r="AI708" s="237"/>
      <c r="AJ708" s="237"/>
      <c r="AK708" s="237"/>
      <c r="AL708" s="237"/>
      <c r="AM708" s="237"/>
      <c r="AN708" s="237"/>
      <c r="AV708" s="237"/>
      <c r="AW708" s="237"/>
      <c r="AX708" s="237"/>
      <c r="AY708" s="237"/>
      <c r="AZ708" s="237"/>
      <c r="BA708" s="237"/>
      <c r="BB708" s="237"/>
    </row>
    <row r="709">
      <c r="E709" s="133"/>
      <c r="F709" s="237"/>
      <c r="G709" s="237"/>
      <c r="H709" s="131"/>
      <c r="I709" s="131"/>
      <c r="J709" s="131"/>
      <c r="K709" s="131"/>
      <c r="L709" s="131"/>
      <c r="T709" s="237"/>
      <c r="U709" s="237"/>
      <c r="V709" s="237"/>
      <c r="W709" s="237"/>
      <c r="X709" s="237"/>
      <c r="Y709" s="237"/>
      <c r="Z709" s="237"/>
      <c r="AH709" s="237"/>
      <c r="AI709" s="237"/>
      <c r="AJ709" s="237"/>
      <c r="AK709" s="237"/>
      <c r="AL709" s="237"/>
      <c r="AM709" s="237"/>
      <c r="AN709" s="237"/>
      <c r="AV709" s="237"/>
      <c r="AW709" s="237"/>
      <c r="AX709" s="237"/>
      <c r="AY709" s="237"/>
      <c r="AZ709" s="237"/>
      <c r="BA709" s="237"/>
      <c r="BB709" s="237"/>
    </row>
    <row r="710">
      <c r="E710" s="133"/>
      <c r="F710" s="237"/>
      <c r="G710" s="237"/>
      <c r="H710" s="131"/>
      <c r="I710" s="131"/>
      <c r="J710" s="131"/>
      <c r="K710" s="131"/>
      <c r="L710" s="131"/>
      <c r="T710" s="237"/>
      <c r="U710" s="237"/>
      <c r="V710" s="237"/>
      <c r="W710" s="237"/>
      <c r="X710" s="237"/>
      <c r="Y710" s="237"/>
      <c r="Z710" s="237"/>
      <c r="AH710" s="237"/>
      <c r="AI710" s="237"/>
      <c r="AJ710" s="237"/>
      <c r="AK710" s="237"/>
      <c r="AL710" s="237"/>
      <c r="AM710" s="237"/>
      <c r="AN710" s="237"/>
      <c r="AV710" s="237"/>
      <c r="AW710" s="237"/>
      <c r="AX710" s="237"/>
      <c r="AY710" s="237"/>
      <c r="AZ710" s="237"/>
      <c r="BA710" s="237"/>
      <c r="BB710" s="237"/>
    </row>
    <row r="711">
      <c r="E711" s="133"/>
      <c r="F711" s="237"/>
      <c r="G711" s="237"/>
      <c r="H711" s="131"/>
      <c r="I711" s="131"/>
      <c r="J711" s="131"/>
      <c r="K711" s="131"/>
      <c r="L711" s="131"/>
      <c r="T711" s="237"/>
      <c r="U711" s="237"/>
      <c r="V711" s="237"/>
      <c r="W711" s="237"/>
      <c r="X711" s="237"/>
      <c r="Y711" s="237"/>
      <c r="Z711" s="237"/>
      <c r="AH711" s="237"/>
      <c r="AI711" s="237"/>
      <c r="AJ711" s="237"/>
      <c r="AK711" s="237"/>
      <c r="AL711" s="237"/>
      <c r="AM711" s="237"/>
      <c r="AN711" s="237"/>
      <c r="AV711" s="237"/>
      <c r="AW711" s="237"/>
      <c r="AX711" s="237"/>
      <c r="AY711" s="237"/>
      <c r="AZ711" s="237"/>
      <c r="BA711" s="237"/>
      <c r="BB711" s="237"/>
    </row>
    <row r="712">
      <c r="E712" s="133"/>
      <c r="F712" s="237"/>
      <c r="G712" s="237"/>
      <c r="H712" s="131"/>
      <c r="I712" s="131"/>
      <c r="J712" s="131"/>
      <c r="K712" s="131"/>
      <c r="L712" s="131"/>
      <c r="T712" s="237"/>
      <c r="U712" s="237"/>
      <c r="V712" s="237"/>
      <c r="W712" s="237"/>
      <c r="X712" s="237"/>
      <c r="Y712" s="237"/>
      <c r="Z712" s="237"/>
      <c r="AH712" s="237"/>
      <c r="AI712" s="237"/>
      <c r="AJ712" s="237"/>
      <c r="AK712" s="237"/>
      <c r="AL712" s="237"/>
      <c r="AM712" s="237"/>
      <c r="AN712" s="237"/>
      <c r="AV712" s="237"/>
      <c r="AW712" s="237"/>
      <c r="AX712" s="237"/>
      <c r="AY712" s="237"/>
      <c r="AZ712" s="237"/>
      <c r="BA712" s="237"/>
      <c r="BB712" s="237"/>
    </row>
    <row r="713">
      <c r="E713" s="133"/>
      <c r="F713" s="237"/>
      <c r="G713" s="237"/>
      <c r="H713" s="131"/>
      <c r="I713" s="131"/>
      <c r="J713" s="131"/>
      <c r="K713" s="131"/>
      <c r="L713" s="131"/>
      <c r="T713" s="237"/>
      <c r="U713" s="237"/>
      <c r="V713" s="237"/>
      <c r="W713" s="237"/>
      <c r="X713" s="237"/>
      <c r="Y713" s="237"/>
      <c r="Z713" s="237"/>
      <c r="AH713" s="237"/>
      <c r="AI713" s="237"/>
      <c r="AJ713" s="237"/>
      <c r="AK713" s="237"/>
      <c r="AL713" s="237"/>
      <c r="AM713" s="237"/>
      <c r="AN713" s="237"/>
      <c r="AV713" s="237"/>
      <c r="AW713" s="237"/>
      <c r="AX713" s="237"/>
      <c r="AY713" s="237"/>
      <c r="AZ713" s="237"/>
      <c r="BA713" s="237"/>
      <c r="BB713" s="237"/>
    </row>
    <row r="714">
      <c r="E714" s="133"/>
      <c r="F714" s="237"/>
      <c r="G714" s="237"/>
      <c r="H714" s="131"/>
      <c r="I714" s="131"/>
      <c r="J714" s="131"/>
      <c r="K714" s="131"/>
      <c r="L714" s="131"/>
      <c r="T714" s="237"/>
      <c r="U714" s="237"/>
      <c r="V714" s="237"/>
      <c r="W714" s="237"/>
      <c r="X714" s="237"/>
      <c r="Y714" s="237"/>
      <c r="Z714" s="237"/>
      <c r="AH714" s="237"/>
      <c r="AI714" s="237"/>
      <c r="AJ714" s="237"/>
      <c r="AK714" s="237"/>
      <c r="AL714" s="237"/>
      <c r="AM714" s="237"/>
      <c r="AN714" s="237"/>
      <c r="AV714" s="237"/>
      <c r="AW714" s="237"/>
      <c r="AX714" s="237"/>
      <c r="AY714" s="237"/>
      <c r="AZ714" s="237"/>
      <c r="BA714" s="237"/>
      <c r="BB714" s="237"/>
    </row>
    <row r="715">
      <c r="E715" s="133"/>
      <c r="F715" s="237"/>
      <c r="G715" s="237"/>
      <c r="H715" s="131"/>
      <c r="I715" s="131"/>
      <c r="J715" s="131"/>
      <c r="K715" s="131"/>
      <c r="L715" s="131"/>
      <c r="T715" s="237"/>
      <c r="U715" s="237"/>
      <c r="V715" s="237"/>
      <c r="W715" s="237"/>
      <c r="X715" s="237"/>
      <c r="Y715" s="237"/>
      <c r="Z715" s="237"/>
      <c r="AH715" s="237"/>
      <c r="AI715" s="237"/>
      <c r="AJ715" s="237"/>
      <c r="AK715" s="237"/>
      <c r="AL715" s="237"/>
      <c r="AM715" s="237"/>
      <c r="AN715" s="237"/>
      <c r="AV715" s="237"/>
      <c r="AW715" s="237"/>
      <c r="AX715" s="237"/>
      <c r="AY715" s="237"/>
      <c r="AZ715" s="237"/>
      <c r="BA715" s="237"/>
      <c r="BB715" s="237"/>
    </row>
    <row r="716">
      <c r="E716" s="133"/>
      <c r="F716" s="237"/>
      <c r="G716" s="237"/>
      <c r="H716" s="131"/>
      <c r="I716" s="131"/>
      <c r="J716" s="131"/>
      <c r="K716" s="131"/>
      <c r="L716" s="131"/>
      <c r="T716" s="237"/>
      <c r="U716" s="237"/>
      <c r="V716" s="237"/>
      <c r="W716" s="237"/>
      <c r="X716" s="237"/>
      <c r="Y716" s="237"/>
      <c r="Z716" s="237"/>
      <c r="AH716" s="237"/>
      <c r="AI716" s="237"/>
      <c r="AJ716" s="237"/>
      <c r="AK716" s="237"/>
      <c r="AL716" s="237"/>
      <c r="AM716" s="237"/>
      <c r="AN716" s="237"/>
      <c r="AV716" s="237"/>
      <c r="AW716" s="237"/>
      <c r="AX716" s="237"/>
      <c r="AY716" s="237"/>
      <c r="AZ716" s="237"/>
      <c r="BA716" s="237"/>
      <c r="BB716" s="237"/>
    </row>
    <row r="717">
      <c r="E717" s="133"/>
      <c r="F717" s="237"/>
      <c r="G717" s="237"/>
      <c r="H717" s="131"/>
      <c r="I717" s="131"/>
      <c r="J717" s="131"/>
      <c r="K717" s="131"/>
      <c r="L717" s="131"/>
      <c r="T717" s="237"/>
      <c r="U717" s="237"/>
      <c r="V717" s="237"/>
      <c r="W717" s="237"/>
      <c r="X717" s="237"/>
      <c r="Y717" s="237"/>
      <c r="Z717" s="237"/>
      <c r="AH717" s="237"/>
      <c r="AI717" s="237"/>
      <c r="AJ717" s="237"/>
      <c r="AK717" s="237"/>
      <c r="AL717" s="237"/>
      <c r="AM717" s="237"/>
      <c r="AN717" s="237"/>
      <c r="AV717" s="237"/>
      <c r="AW717" s="237"/>
      <c r="AX717" s="237"/>
      <c r="AY717" s="237"/>
      <c r="AZ717" s="237"/>
      <c r="BA717" s="237"/>
      <c r="BB717" s="237"/>
    </row>
    <row r="718">
      <c r="E718" s="133"/>
      <c r="F718" s="237"/>
      <c r="G718" s="237"/>
      <c r="H718" s="131"/>
      <c r="I718" s="131"/>
      <c r="J718" s="131"/>
      <c r="K718" s="131"/>
      <c r="L718" s="131"/>
      <c r="T718" s="237"/>
      <c r="U718" s="237"/>
      <c r="V718" s="237"/>
      <c r="W718" s="237"/>
      <c r="X718" s="237"/>
      <c r="Y718" s="237"/>
      <c r="Z718" s="237"/>
      <c r="AH718" s="237"/>
      <c r="AI718" s="237"/>
      <c r="AJ718" s="237"/>
      <c r="AK718" s="237"/>
      <c r="AL718" s="237"/>
      <c r="AM718" s="237"/>
      <c r="AN718" s="237"/>
      <c r="AV718" s="237"/>
      <c r="AW718" s="237"/>
      <c r="AX718" s="237"/>
      <c r="AY718" s="237"/>
      <c r="AZ718" s="237"/>
      <c r="BA718" s="237"/>
      <c r="BB718" s="237"/>
    </row>
    <row r="719">
      <c r="E719" s="133"/>
      <c r="F719" s="237"/>
      <c r="G719" s="237"/>
      <c r="H719" s="131"/>
      <c r="I719" s="131"/>
      <c r="J719" s="131"/>
      <c r="K719" s="131"/>
      <c r="L719" s="131"/>
      <c r="T719" s="237"/>
      <c r="U719" s="237"/>
      <c r="V719" s="237"/>
      <c r="W719" s="237"/>
      <c r="X719" s="237"/>
      <c r="Y719" s="237"/>
      <c r="Z719" s="237"/>
      <c r="AH719" s="237"/>
      <c r="AI719" s="237"/>
      <c r="AJ719" s="237"/>
      <c r="AK719" s="237"/>
      <c r="AL719" s="237"/>
      <c r="AM719" s="237"/>
      <c r="AN719" s="237"/>
      <c r="AV719" s="237"/>
      <c r="AW719" s="237"/>
      <c r="AX719" s="237"/>
      <c r="AY719" s="237"/>
      <c r="AZ719" s="237"/>
      <c r="BA719" s="237"/>
      <c r="BB719" s="237"/>
    </row>
    <row r="720">
      <c r="E720" s="133"/>
      <c r="F720" s="237"/>
      <c r="G720" s="237"/>
      <c r="H720" s="131"/>
      <c r="I720" s="131"/>
      <c r="J720" s="131"/>
      <c r="K720" s="131"/>
      <c r="L720" s="131"/>
      <c r="T720" s="237"/>
      <c r="U720" s="237"/>
      <c r="V720" s="237"/>
      <c r="W720" s="237"/>
      <c r="X720" s="237"/>
      <c r="Y720" s="237"/>
      <c r="Z720" s="237"/>
      <c r="AH720" s="237"/>
      <c r="AI720" s="237"/>
      <c r="AJ720" s="237"/>
      <c r="AK720" s="237"/>
      <c r="AL720" s="237"/>
      <c r="AM720" s="237"/>
      <c r="AN720" s="237"/>
      <c r="AV720" s="237"/>
      <c r="AW720" s="237"/>
      <c r="AX720" s="237"/>
      <c r="AY720" s="237"/>
      <c r="AZ720" s="237"/>
      <c r="BA720" s="237"/>
      <c r="BB720" s="237"/>
    </row>
    <row r="721">
      <c r="E721" s="133"/>
      <c r="F721" s="237"/>
      <c r="G721" s="237"/>
      <c r="H721" s="131"/>
      <c r="I721" s="131"/>
      <c r="J721" s="131"/>
      <c r="K721" s="131"/>
      <c r="L721" s="131"/>
      <c r="T721" s="237"/>
      <c r="U721" s="237"/>
      <c r="V721" s="237"/>
      <c r="W721" s="237"/>
      <c r="X721" s="237"/>
      <c r="Y721" s="237"/>
      <c r="Z721" s="237"/>
      <c r="AH721" s="237"/>
      <c r="AI721" s="237"/>
      <c r="AJ721" s="237"/>
      <c r="AK721" s="237"/>
      <c r="AL721" s="237"/>
      <c r="AM721" s="237"/>
      <c r="AN721" s="237"/>
      <c r="AV721" s="237"/>
      <c r="AW721" s="237"/>
      <c r="AX721" s="237"/>
      <c r="AY721" s="237"/>
      <c r="AZ721" s="237"/>
      <c r="BA721" s="237"/>
      <c r="BB721" s="237"/>
    </row>
    <row r="722">
      <c r="E722" s="133"/>
      <c r="F722" s="237"/>
      <c r="G722" s="237"/>
      <c r="H722" s="131"/>
      <c r="I722" s="131"/>
      <c r="J722" s="131"/>
      <c r="K722" s="131"/>
      <c r="L722" s="131"/>
      <c r="T722" s="237"/>
      <c r="U722" s="237"/>
      <c r="V722" s="237"/>
      <c r="W722" s="237"/>
      <c r="X722" s="237"/>
      <c r="Y722" s="237"/>
      <c r="Z722" s="237"/>
      <c r="AH722" s="237"/>
      <c r="AI722" s="237"/>
      <c r="AJ722" s="237"/>
      <c r="AK722" s="237"/>
      <c r="AL722" s="237"/>
      <c r="AM722" s="237"/>
      <c r="AN722" s="237"/>
      <c r="AV722" s="237"/>
      <c r="AW722" s="237"/>
      <c r="AX722" s="237"/>
      <c r="AY722" s="237"/>
      <c r="AZ722" s="237"/>
      <c r="BA722" s="237"/>
      <c r="BB722" s="237"/>
    </row>
    <row r="723">
      <c r="E723" s="133"/>
      <c r="F723" s="237"/>
      <c r="G723" s="237"/>
      <c r="H723" s="131"/>
      <c r="I723" s="131"/>
      <c r="J723" s="131"/>
      <c r="K723" s="131"/>
      <c r="L723" s="131"/>
      <c r="T723" s="237"/>
      <c r="U723" s="237"/>
      <c r="V723" s="237"/>
      <c r="W723" s="237"/>
      <c r="X723" s="237"/>
      <c r="Y723" s="237"/>
      <c r="Z723" s="237"/>
      <c r="AH723" s="237"/>
      <c r="AI723" s="237"/>
      <c r="AJ723" s="237"/>
      <c r="AK723" s="237"/>
      <c r="AL723" s="237"/>
      <c r="AM723" s="237"/>
      <c r="AN723" s="237"/>
      <c r="AV723" s="237"/>
      <c r="AW723" s="237"/>
      <c r="AX723" s="237"/>
      <c r="AY723" s="237"/>
      <c r="AZ723" s="237"/>
      <c r="BA723" s="237"/>
      <c r="BB723" s="237"/>
    </row>
    <row r="724">
      <c r="E724" s="133"/>
      <c r="F724" s="237"/>
      <c r="G724" s="237"/>
      <c r="H724" s="131"/>
      <c r="I724" s="131"/>
      <c r="J724" s="131"/>
      <c r="K724" s="131"/>
      <c r="L724" s="131"/>
      <c r="T724" s="237"/>
      <c r="U724" s="237"/>
      <c r="V724" s="237"/>
      <c r="W724" s="237"/>
      <c r="X724" s="237"/>
      <c r="Y724" s="237"/>
      <c r="Z724" s="237"/>
      <c r="AH724" s="237"/>
      <c r="AI724" s="237"/>
      <c r="AJ724" s="237"/>
      <c r="AK724" s="237"/>
      <c r="AL724" s="237"/>
      <c r="AM724" s="237"/>
      <c r="AN724" s="237"/>
      <c r="AV724" s="237"/>
      <c r="AW724" s="237"/>
      <c r="AX724" s="237"/>
      <c r="AY724" s="237"/>
      <c r="AZ724" s="237"/>
      <c r="BA724" s="237"/>
      <c r="BB724" s="237"/>
    </row>
    <row r="725">
      <c r="E725" s="133"/>
      <c r="F725" s="237"/>
      <c r="G725" s="237"/>
      <c r="H725" s="131"/>
      <c r="I725" s="131"/>
      <c r="J725" s="131"/>
      <c r="K725" s="131"/>
      <c r="L725" s="131"/>
      <c r="T725" s="237"/>
      <c r="U725" s="237"/>
      <c r="V725" s="237"/>
      <c r="W725" s="237"/>
      <c r="X725" s="237"/>
      <c r="Y725" s="237"/>
      <c r="Z725" s="237"/>
      <c r="AH725" s="237"/>
      <c r="AI725" s="237"/>
      <c r="AJ725" s="237"/>
      <c r="AK725" s="237"/>
      <c r="AL725" s="237"/>
      <c r="AM725" s="237"/>
      <c r="AN725" s="237"/>
      <c r="AV725" s="237"/>
      <c r="AW725" s="237"/>
      <c r="AX725" s="237"/>
      <c r="AY725" s="237"/>
      <c r="AZ725" s="237"/>
      <c r="BA725" s="237"/>
      <c r="BB725" s="237"/>
    </row>
    <row r="726">
      <c r="E726" s="133"/>
      <c r="F726" s="237"/>
      <c r="G726" s="237"/>
      <c r="H726" s="131"/>
      <c r="I726" s="131"/>
      <c r="J726" s="131"/>
      <c r="K726" s="131"/>
      <c r="L726" s="131"/>
      <c r="T726" s="237"/>
      <c r="U726" s="237"/>
      <c r="V726" s="237"/>
      <c r="W726" s="237"/>
      <c r="X726" s="237"/>
      <c r="Y726" s="237"/>
      <c r="Z726" s="237"/>
      <c r="AH726" s="237"/>
      <c r="AI726" s="237"/>
      <c r="AJ726" s="237"/>
      <c r="AK726" s="237"/>
      <c r="AL726" s="237"/>
      <c r="AM726" s="237"/>
      <c r="AN726" s="237"/>
      <c r="AV726" s="237"/>
      <c r="AW726" s="237"/>
      <c r="AX726" s="237"/>
      <c r="AY726" s="237"/>
      <c r="AZ726" s="237"/>
      <c r="BA726" s="237"/>
      <c r="BB726" s="237"/>
    </row>
    <row r="727">
      <c r="E727" s="133"/>
      <c r="F727" s="237"/>
      <c r="G727" s="237"/>
      <c r="H727" s="131"/>
      <c r="I727" s="131"/>
      <c r="J727" s="131"/>
      <c r="K727" s="131"/>
      <c r="L727" s="131"/>
      <c r="T727" s="237"/>
      <c r="U727" s="237"/>
      <c r="V727" s="237"/>
      <c r="W727" s="237"/>
      <c r="X727" s="237"/>
      <c r="Y727" s="237"/>
      <c r="Z727" s="237"/>
      <c r="AH727" s="237"/>
      <c r="AI727" s="237"/>
      <c r="AJ727" s="237"/>
      <c r="AK727" s="237"/>
      <c r="AL727" s="237"/>
      <c r="AM727" s="237"/>
      <c r="AN727" s="237"/>
      <c r="AV727" s="237"/>
      <c r="AW727" s="237"/>
      <c r="AX727" s="237"/>
      <c r="AY727" s="237"/>
      <c r="AZ727" s="237"/>
      <c r="BA727" s="237"/>
      <c r="BB727" s="237"/>
    </row>
    <row r="728">
      <c r="E728" s="133"/>
      <c r="F728" s="237"/>
      <c r="G728" s="237"/>
      <c r="H728" s="131"/>
      <c r="I728" s="131"/>
      <c r="J728" s="131"/>
      <c r="K728" s="131"/>
      <c r="L728" s="131"/>
      <c r="T728" s="237"/>
      <c r="U728" s="237"/>
      <c r="V728" s="237"/>
      <c r="W728" s="237"/>
      <c r="X728" s="237"/>
      <c r="Y728" s="237"/>
      <c r="Z728" s="237"/>
      <c r="AH728" s="237"/>
      <c r="AI728" s="237"/>
      <c r="AJ728" s="237"/>
      <c r="AK728" s="237"/>
      <c r="AL728" s="237"/>
      <c r="AM728" s="237"/>
      <c r="AN728" s="237"/>
      <c r="AV728" s="237"/>
      <c r="AW728" s="237"/>
      <c r="AX728" s="237"/>
      <c r="AY728" s="237"/>
      <c r="AZ728" s="237"/>
      <c r="BA728" s="237"/>
      <c r="BB728" s="237"/>
    </row>
    <row r="729">
      <c r="E729" s="133"/>
      <c r="F729" s="237"/>
      <c r="G729" s="237"/>
      <c r="H729" s="131"/>
      <c r="I729" s="131"/>
      <c r="J729" s="131"/>
      <c r="K729" s="131"/>
      <c r="L729" s="131"/>
      <c r="T729" s="237"/>
      <c r="U729" s="237"/>
      <c r="V729" s="237"/>
      <c r="W729" s="237"/>
      <c r="X729" s="237"/>
      <c r="Y729" s="237"/>
      <c r="Z729" s="237"/>
      <c r="AH729" s="237"/>
      <c r="AI729" s="237"/>
      <c r="AJ729" s="237"/>
      <c r="AK729" s="237"/>
      <c r="AL729" s="237"/>
      <c r="AM729" s="237"/>
      <c r="AN729" s="237"/>
      <c r="AV729" s="237"/>
      <c r="AW729" s="237"/>
      <c r="AX729" s="237"/>
      <c r="AY729" s="237"/>
      <c r="AZ729" s="237"/>
      <c r="BA729" s="237"/>
      <c r="BB729" s="237"/>
    </row>
    <row r="730">
      <c r="E730" s="133"/>
      <c r="F730" s="237"/>
      <c r="G730" s="237"/>
      <c r="H730" s="131"/>
      <c r="I730" s="131"/>
      <c r="J730" s="131"/>
      <c r="K730" s="131"/>
      <c r="L730" s="131"/>
      <c r="T730" s="237"/>
      <c r="U730" s="237"/>
      <c r="V730" s="237"/>
      <c r="W730" s="237"/>
      <c r="X730" s="237"/>
      <c r="Y730" s="237"/>
      <c r="Z730" s="237"/>
      <c r="AH730" s="237"/>
      <c r="AI730" s="237"/>
      <c r="AJ730" s="237"/>
      <c r="AK730" s="237"/>
      <c r="AL730" s="237"/>
      <c r="AM730" s="237"/>
      <c r="AN730" s="237"/>
      <c r="AV730" s="237"/>
      <c r="AW730" s="237"/>
      <c r="AX730" s="237"/>
      <c r="AY730" s="237"/>
      <c r="AZ730" s="237"/>
      <c r="BA730" s="237"/>
      <c r="BB730" s="237"/>
    </row>
    <row r="731">
      <c r="E731" s="133"/>
      <c r="F731" s="237"/>
      <c r="G731" s="237"/>
      <c r="H731" s="131"/>
      <c r="I731" s="131"/>
      <c r="J731" s="131"/>
      <c r="K731" s="131"/>
      <c r="L731" s="131"/>
      <c r="T731" s="237"/>
      <c r="U731" s="237"/>
      <c r="V731" s="237"/>
      <c r="W731" s="237"/>
      <c r="X731" s="237"/>
      <c r="Y731" s="237"/>
      <c r="Z731" s="237"/>
      <c r="AH731" s="237"/>
      <c r="AI731" s="237"/>
      <c r="AJ731" s="237"/>
      <c r="AK731" s="237"/>
      <c r="AL731" s="237"/>
      <c r="AM731" s="237"/>
      <c r="AN731" s="237"/>
      <c r="AV731" s="237"/>
      <c r="AW731" s="237"/>
      <c r="AX731" s="237"/>
      <c r="AY731" s="237"/>
      <c r="AZ731" s="237"/>
      <c r="BA731" s="237"/>
      <c r="BB731" s="237"/>
    </row>
    <row r="732">
      <c r="E732" s="133"/>
      <c r="F732" s="237"/>
      <c r="G732" s="237"/>
      <c r="H732" s="131"/>
      <c r="I732" s="131"/>
      <c r="J732" s="131"/>
      <c r="K732" s="131"/>
      <c r="L732" s="131"/>
      <c r="T732" s="237"/>
      <c r="U732" s="237"/>
      <c r="V732" s="237"/>
      <c r="W732" s="237"/>
      <c r="X732" s="237"/>
      <c r="Y732" s="237"/>
      <c r="Z732" s="237"/>
      <c r="AH732" s="237"/>
      <c r="AI732" s="237"/>
      <c r="AJ732" s="237"/>
      <c r="AK732" s="237"/>
      <c r="AL732" s="237"/>
      <c r="AM732" s="237"/>
      <c r="AN732" s="237"/>
      <c r="AV732" s="237"/>
      <c r="AW732" s="237"/>
      <c r="AX732" s="237"/>
      <c r="AY732" s="237"/>
      <c r="AZ732" s="237"/>
      <c r="BA732" s="237"/>
      <c r="BB732" s="237"/>
    </row>
    <row r="733">
      <c r="E733" s="133"/>
      <c r="F733" s="237"/>
      <c r="G733" s="237"/>
      <c r="H733" s="131"/>
      <c r="I733" s="131"/>
      <c r="J733" s="131"/>
      <c r="K733" s="131"/>
      <c r="L733" s="131"/>
      <c r="T733" s="237"/>
      <c r="U733" s="237"/>
      <c r="V733" s="237"/>
      <c r="W733" s="237"/>
      <c r="X733" s="237"/>
      <c r="Y733" s="237"/>
      <c r="Z733" s="237"/>
      <c r="AH733" s="237"/>
      <c r="AI733" s="237"/>
      <c r="AJ733" s="237"/>
      <c r="AK733" s="237"/>
      <c r="AL733" s="237"/>
      <c r="AM733" s="237"/>
      <c r="AN733" s="237"/>
      <c r="AV733" s="237"/>
      <c r="AW733" s="237"/>
      <c r="AX733" s="237"/>
      <c r="AY733" s="237"/>
      <c r="AZ733" s="237"/>
      <c r="BA733" s="237"/>
      <c r="BB733" s="237"/>
    </row>
    <row r="734">
      <c r="E734" s="133"/>
      <c r="F734" s="237"/>
      <c r="G734" s="237"/>
      <c r="H734" s="131"/>
      <c r="I734" s="131"/>
      <c r="J734" s="131"/>
      <c r="K734" s="131"/>
      <c r="L734" s="131"/>
      <c r="T734" s="237"/>
      <c r="U734" s="237"/>
      <c r="V734" s="237"/>
      <c r="W734" s="237"/>
      <c r="X734" s="237"/>
      <c r="Y734" s="237"/>
      <c r="Z734" s="237"/>
      <c r="AH734" s="237"/>
      <c r="AI734" s="237"/>
      <c r="AJ734" s="237"/>
      <c r="AK734" s="237"/>
      <c r="AL734" s="237"/>
      <c r="AM734" s="237"/>
      <c r="AN734" s="237"/>
      <c r="AV734" s="237"/>
      <c r="AW734" s="237"/>
      <c r="AX734" s="237"/>
      <c r="AY734" s="237"/>
      <c r="AZ734" s="237"/>
      <c r="BA734" s="237"/>
      <c r="BB734" s="237"/>
    </row>
    <row r="735">
      <c r="E735" s="133"/>
      <c r="F735" s="237"/>
      <c r="G735" s="237"/>
      <c r="H735" s="131"/>
      <c r="I735" s="131"/>
      <c r="J735" s="131"/>
      <c r="K735" s="131"/>
      <c r="L735" s="131"/>
      <c r="T735" s="237"/>
      <c r="U735" s="237"/>
      <c r="V735" s="237"/>
      <c r="W735" s="237"/>
      <c r="X735" s="237"/>
      <c r="Y735" s="237"/>
      <c r="Z735" s="237"/>
      <c r="AH735" s="237"/>
      <c r="AI735" s="237"/>
      <c r="AJ735" s="237"/>
      <c r="AK735" s="237"/>
      <c r="AL735" s="237"/>
      <c r="AM735" s="237"/>
      <c r="AN735" s="237"/>
      <c r="AV735" s="237"/>
      <c r="AW735" s="237"/>
      <c r="AX735" s="237"/>
      <c r="AY735" s="237"/>
      <c r="AZ735" s="237"/>
      <c r="BA735" s="237"/>
      <c r="BB735" s="237"/>
    </row>
    <row r="736">
      <c r="E736" s="133"/>
      <c r="F736" s="237"/>
      <c r="G736" s="237"/>
      <c r="H736" s="131"/>
      <c r="I736" s="131"/>
      <c r="J736" s="131"/>
      <c r="K736" s="131"/>
      <c r="L736" s="131"/>
      <c r="T736" s="237"/>
      <c r="U736" s="237"/>
      <c r="V736" s="237"/>
      <c r="W736" s="237"/>
      <c r="X736" s="237"/>
      <c r="Y736" s="237"/>
      <c r="Z736" s="237"/>
      <c r="AH736" s="237"/>
      <c r="AI736" s="237"/>
      <c r="AJ736" s="237"/>
      <c r="AK736" s="237"/>
      <c r="AL736" s="237"/>
      <c r="AM736" s="237"/>
      <c r="AN736" s="237"/>
      <c r="AV736" s="237"/>
      <c r="AW736" s="237"/>
      <c r="AX736" s="237"/>
      <c r="AY736" s="237"/>
      <c r="AZ736" s="237"/>
      <c r="BA736" s="237"/>
      <c r="BB736" s="237"/>
    </row>
    <row r="737">
      <c r="E737" s="133"/>
      <c r="F737" s="237"/>
      <c r="G737" s="237"/>
      <c r="H737" s="131"/>
      <c r="I737" s="131"/>
      <c r="J737" s="131"/>
      <c r="K737" s="131"/>
      <c r="L737" s="131"/>
      <c r="T737" s="237"/>
      <c r="U737" s="237"/>
      <c r="V737" s="237"/>
      <c r="W737" s="237"/>
      <c r="X737" s="237"/>
      <c r="Y737" s="237"/>
      <c r="Z737" s="237"/>
      <c r="AH737" s="237"/>
      <c r="AI737" s="237"/>
      <c r="AJ737" s="237"/>
      <c r="AK737" s="237"/>
      <c r="AL737" s="237"/>
      <c r="AM737" s="237"/>
      <c r="AN737" s="237"/>
      <c r="AV737" s="237"/>
      <c r="AW737" s="237"/>
      <c r="AX737" s="237"/>
      <c r="AY737" s="237"/>
      <c r="AZ737" s="237"/>
      <c r="BA737" s="237"/>
      <c r="BB737" s="237"/>
    </row>
    <row r="738">
      <c r="E738" s="133"/>
      <c r="F738" s="237"/>
      <c r="G738" s="237"/>
      <c r="H738" s="131"/>
      <c r="I738" s="131"/>
      <c r="J738" s="131"/>
      <c r="K738" s="131"/>
      <c r="L738" s="131"/>
      <c r="T738" s="237"/>
      <c r="U738" s="237"/>
      <c r="V738" s="237"/>
      <c r="W738" s="237"/>
      <c r="X738" s="237"/>
      <c r="Y738" s="237"/>
      <c r="Z738" s="237"/>
      <c r="AH738" s="237"/>
      <c r="AI738" s="237"/>
      <c r="AJ738" s="237"/>
      <c r="AK738" s="237"/>
      <c r="AL738" s="237"/>
      <c r="AM738" s="237"/>
      <c r="AN738" s="237"/>
      <c r="AV738" s="237"/>
      <c r="AW738" s="237"/>
      <c r="AX738" s="237"/>
      <c r="AY738" s="237"/>
      <c r="AZ738" s="237"/>
      <c r="BA738" s="237"/>
      <c r="BB738" s="237"/>
    </row>
    <row r="739">
      <c r="E739" s="133"/>
      <c r="F739" s="237"/>
      <c r="G739" s="237"/>
      <c r="H739" s="131"/>
      <c r="I739" s="131"/>
      <c r="J739" s="131"/>
      <c r="K739" s="131"/>
      <c r="L739" s="131"/>
      <c r="T739" s="237"/>
      <c r="U739" s="237"/>
      <c r="V739" s="237"/>
      <c r="W739" s="237"/>
      <c r="X739" s="237"/>
      <c r="Y739" s="237"/>
      <c r="Z739" s="237"/>
      <c r="AH739" s="237"/>
      <c r="AI739" s="237"/>
      <c r="AJ739" s="237"/>
      <c r="AK739" s="237"/>
      <c r="AL739" s="237"/>
      <c r="AM739" s="237"/>
      <c r="AN739" s="237"/>
      <c r="AV739" s="237"/>
      <c r="AW739" s="237"/>
      <c r="AX739" s="237"/>
      <c r="AY739" s="237"/>
      <c r="AZ739" s="237"/>
      <c r="BA739" s="237"/>
      <c r="BB739" s="237"/>
    </row>
    <row r="740">
      <c r="E740" s="133"/>
      <c r="F740" s="237"/>
      <c r="G740" s="237"/>
      <c r="H740" s="131"/>
      <c r="I740" s="131"/>
      <c r="J740" s="131"/>
      <c r="K740" s="131"/>
      <c r="L740" s="131"/>
      <c r="T740" s="237"/>
      <c r="U740" s="237"/>
      <c r="V740" s="237"/>
      <c r="W740" s="237"/>
      <c r="X740" s="237"/>
      <c r="Y740" s="237"/>
      <c r="Z740" s="237"/>
      <c r="AH740" s="237"/>
      <c r="AI740" s="237"/>
      <c r="AJ740" s="237"/>
      <c r="AK740" s="237"/>
      <c r="AL740" s="237"/>
      <c r="AM740" s="237"/>
      <c r="AN740" s="237"/>
      <c r="AV740" s="237"/>
      <c r="AW740" s="237"/>
      <c r="AX740" s="237"/>
      <c r="AY740" s="237"/>
      <c r="AZ740" s="237"/>
      <c r="BA740" s="237"/>
      <c r="BB740" s="237"/>
    </row>
    <row r="741">
      <c r="E741" s="133"/>
      <c r="F741" s="237"/>
      <c r="G741" s="237"/>
      <c r="H741" s="131"/>
      <c r="I741" s="131"/>
      <c r="J741" s="131"/>
      <c r="K741" s="131"/>
      <c r="L741" s="131"/>
      <c r="T741" s="237"/>
      <c r="U741" s="237"/>
      <c r="V741" s="237"/>
      <c r="W741" s="237"/>
      <c r="X741" s="237"/>
      <c r="Y741" s="237"/>
      <c r="Z741" s="237"/>
      <c r="AH741" s="237"/>
      <c r="AI741" s="237"/>
      <c r="AJ741" s="237"/>
      <c r="AK741" s="237"/>
      <c r="AL741" s="237"/>
      <c r="AM741" s="237"/>
      <c r="AN741" s="237"/>
      <c r="AV741" s="237"/>
      <c r="AW741" s="237"/>
      <c r="AX741" s="237"/>
      <c r="AY741" s="237"/>
      <c r="AZ741" s="237"/>
      <c r="BA741" s="237"/>
      <c r="BB741" s="237"/>
    </row>
    <row r="742">
      <c r="E742" s="133"/>
      <c r="F742" s="237"/>
      <c r="G742" s="237"/>
      <c r="H742" s="131"/>
      <c r="I742" s="131"/>
      <c r="J742" s="131"/>
      <c r="K742" s="131"/>
      <c r="L742" s="131"/>
      <c r="T742" s="237"/>
      <c r="U742" s="237"/>
      <c r="V742" s="237"/>
      <c r="W742" s="237"/>
      <c r="X742" s="237"/>
      <c r="Y742" s="237"/>
      <c r="Z742" s="237"/>
      <c r="AH742" s="237"/>
      <c r="AI742" s="237"/>
      <c r="AJ742" s="237"/>
      <c r="AK742" s="237"/>
      <c r="AL742" s="237"/>
      <c r="AM742" s="237"/>
      <c r="AN742" s="237"/>
      <c r="AV742" s="237"/>
      <c r="AW742" s="237"/>
      <c r="AX742" s="237"/>
      <c r="AY742" s="237"/>
      <c r="AZ742" s="237"/>
      <c r="BA742" s="237"/>
      <c r="BB742" s="237"/>
    </row>
    <row r="743">
      <c r="E743" s="133"/>
      <c r="F743" s="237"/>
      <c r="G743" s="237"/>
      <c r="H743" s="131"/>
      <c r="I743" s="131"/>
      <c r="J743" s="131"/>
      <c r="K743" s="131"/>
      <c r="L743" s="131"/>
      <c r="T743" s="237"/>
      <c r="U743" s="237"/>
      <c r="V743" s="237"/>
      <c r="W743" s="237"/>
      <c r="X743" s="237"/>
      <c r="Y743" s="237"/>
      <c r="Z743" s="237"/>
      <c r="AH743" s="237"/>
      <c r="AI743" s="237"/>
      <c r="AJ743" s="237"/>
      <c r="AK743" s="237"/>
      <c r="AL743" s="237"/>
      <c r="AM743" s="237"/>
      <c r="AN743" s="237"/>
      <c r="AV743" s="237"/>
      <c r="AW743" s="237"/>
      <c r="AX743" s="237"/>
      <c r="AY743" s="237"/>
      <c r="AZ743" s="237"/>
      <c r="BA743" s="237"/>
      <c r="BB743" s="237"/>
    </row>
    <row r="744">
      <c r="E744" s="133"/>
      <c r="F744" s="237"/>
      <c r="G744" s="237"/>
      <c r="H744" s="131"/>
      <c r="I744" s="131"/>
      <c r="J744" s="131"/>
      <c r="K744" s="131"/>
      <c r="L744" s="131"/>
      <c r="T744" s="237"/>
      <c r="U744" s="237"/>
      <c r="V744" s="237"/>
      <c r="W744" s="237"/>
      <c r="X744" s="237"/>
      <c r="Y744" s="237"/>
      <c r="Z744" s="237"/>
      <c r="AH744" s="237"/>
      <c r="AI744" s="237"/>
      <c r="AJ744" s="237"/>
      <c r="AK744" s="237"/>
      <c r="AL744" s="237"/>
      <c r="AM744" s="237"/>
      <c r="AN744" s="237"/>
      <c r="AV744" s="237"/>
      <c r="AW744" s="237"/>
      <c r="AX744" s="237"/>
      <c r="AY744" s="237"/>
      <c r="AZ744" s="237"/>
      <c r="BA744" s="237"/>
      <c r="BB744" s="237"/>
    </row>
    <row r="745">
      <c r="E745" s="133"/>
      <c r="F745" s="237"/>
      <c r="G745" s="237"/>
      <c r="H745" s="131"/>
      <c r="I745" s="131"/>
      <c r="J745" s="131"/>
      <c r="K745" s="131"/>
      <c r="L745" s="131"/>
      <c r="T745" s="237"/>
      <c r="U745" s="237"/>
      <c r="V745" s="237"/>
      <c r="W745" s="237"/>
      <c r="X745" s="237"/>
      <c r="Y745" s="237"/>
      <c r="Z745" s="237"/>
      <c r="AH745" s="237"/>
      <c r="AI745" s="237"/>
      <c r="AJ745" s="237"/>
      <c r="AK745" s="237"/>
      <c r="AL745" s="237"/>
      <c r="AM745" s="237"/>
      <c r="AN745" s="237"/>
      <c r="AV745" s="237"/>
      <c r="AW745" s="237"/>
      <c r="AX745" s="237"/>
      <c r="AY745" s="237"/>
      <c r="AZ745" s="237"/>
      <c r="BA745" s="237"/>
      <c r="BB745" s="237"/>
    </row>
    <row r="746">
      <c r="E746" s="133"/>
      <c r="F746" s="237"/>
      <c r="G746" s="237"/>
      <c r="H746" s="131"/>
      <c r="I746" s="131"/>
      <c r="J746" s="131"/>
      <c r="K746" s="131"/>
      <c r="L746" s="131"/>
      <c r="T746" s="237"/>
      <c r="U746" s="237"/>
      <c r="V746" s="237"/>
      <c r="W746" s="237"/>
      <c r="X746" s="237"/>
      <c r="Y746" s="237"/>
      <c r="Z746" s="237"/>
      <c r="AH746" s="237"/>
      <c r="AI746" s="237"/>
      <c r="AJ746" s="237"/>
      <c r="AK746" s="237"/>
      <c r="AL746" s="237"/>
      <c r="AM746" s="237"/>
      <c r="AN746" s="237"/>
      <c r="AV746" s="237"/>
      <c r="AW746" s="237"/>
      <c r="AX746" s="237"/>
      <c r="AY746" s="237"/>
      <c r="AZ746" s="237"/>
      <c r="BA746" s="237"/>
      <c r="BB746" s="237"/>
    </row>
    <row r="747">
      <c r="E747" s="133"/>
      <c r="F747" s="237"/>
      <c r="G747" s="237"/>
      <c r="H747" s="131"/>
      <c r="I747" s="131"/>
      <c r="J747" s="131"/>
      <c r="K747" s="131"/>
      <c r="L747" s="131"/>
      <c r="T747" s="237"/>
      <c r="U747" s="237"/>
      <c r="V747" s="237"/>
      <c r="W747" s="237"/>
      <c r="X747" s="237"/>
      <c r="Y747" s="237"/>
      <c r="Z747" s="237"/>
      <c r="AH747" s="237"/>
      <c r="AI747" s="237"/>
      <c r="AJ747" s="237"/>
      <c r="AK747" s="237"/>
      <c r="AL747" s="237"/>
      <c r="AM747" s="237"/>
      <c r="AN747" s="237"/>
      <c r="AV747" s="237"/>
      <c r="AW747" s="237"/>
      <c r="AX747" s="237"/>
      <c r="AY747" s="237"/>
      <c r="AZ747" s="237"/>
      <c r="BA747" s="237"/>
      <c r="BB747" s="237"/>
    </row>
    <row r="748">
      <c r="E748" s="133"/>
      <c r="F748" s="237"/>
      <c r="G748" s="237"/>
      <c r="H748" s="131"/>
      <c r="I748" s="131"/>
      <c r="J748" s="131"/>
      <c r="K748" s="131"/>
      <c r="L748" s="131"/>
      <c r="T748" s="237"/>
      <c r="U748" s="237"/>
      <c r="V748" s="237"/>
      <c r="W748" s="237"/>
      <c r="X748" s="237"/>
      <c r="Y748" s="237"/>
      <c r="Z748" s="237"/>
      <c r="AH748" s="237"/>
      <c r="AI748" s="237"/>
      <c r="AJ748" s="237"/>
      <c r="AK748" s="237"/>
      <c r="AL748" s="237"/>
      <c r="AM748" s="237"/>
      <c r="AN748" s="237"/>
      <c r="AV748" s="237"/>
      <c r="AW748" s="237"/>
      <c r="AX748" s="237"/>
      <c r="AY748" s="237"/>
      <c r="AZ748" s="237"/>
      <c r="BA748" s="237"/>
      <c r="BB748" s="237"/>
    </row>
    <row r="749">
      <c r="E749" s="133"/>
      <c r="F749" s="237"/>
      <c r="G749" s="237"/>
      <c r="H749" s="131"/>
      <c r="I749" s="131"/>
      <c r="J749" s="131"/>
      <c r="K749" s="131"/>
      <c r="L749" s="131"/>
      <c r="T749" s="237"/>
      <c r="U749" s="237"/>
      <c r="V749" s="237"/>
      <c r="W749" s="237"/>
      <c r="X749" s="237"/>
      <c r="Y749" s="237"/>
      <c r="Z749" s="237"/>
      <c r="AH749" s="237"/>
      <c r="AI749" s="237"/>
      <c r="AJ749" s="237"/>
      <c r="AK749" s="237"/>
      <c r="AL749" s="237"/>
      <c r="AM749" s="237"/>
      <c r="AN749" s="237"/>
      <c r="AV749" s="237"/>
      <c r="AW749" s="237"/>
      <c r="AX749" s="237"/>
      <c r="AY749" s="237"/>
      <c r="AZ749" s="237"/>
      <c r="BA749" s="237"/>
      <c r="BB749" s="237"/>
    </row>
    <row r="750">
      <c r="E750" s="133"/>
      <c r="F750" s="237"/>
      <c r="G750" s="237"/>
      <c r="H750" s="131"/>
      <c r="I750" s="131"/>
      <c r="J750" s="131"/>
      <c r="K750" s="131"/>
      <c r="L750" s="131"/>
      <c r="T750" s="237"/>
      <c r="U750" s="237"/>
      <c r="V750" s="237"/>
      <c r="W750" s="237"/>
      <c r="X750" s="237"/>
      <c r="Y750" s="237"/>
      <c r="Z750" s="237"/>
      <c r="AH750" s="237"/>
      <c r="AI750" s="237"/>
      <c r="AJ750" s="237"/>
      <c r="AK750" s="237"/>
      <c r="AL750" s="237"/>
      <c r="AM750" s="237"/>
      <c r="AN750" s="237"/>
      <c r="AV750" s="237"/>
      <c r="AW750" s="237"/>
      <c r="AX750" s="237"/>
      <c r="AY750" s="237"/>
      <c r="AZ750" s="237"/>
      <c r="BA750" s="237"/>
      <c r="BB750" s="237"/>
    </row>
    <row r="751">
      <c r="E751" s="133"/>
      <c r="F751" s="237"/>
      <c r="G751" s="237"/>
      <c r="H751" s="131"/>
      <c r="I751" s="131"/>
      <c r="J751" s="131"/>
      <c r="K751" s="131"/>
      <c r="L751" s="131"/>
      <c r="T751" s="237"/>
      <c r="U751" s="237"/>
      <c r="V751" s="237"/>
      <c r="W751" s="237"/>
      <c r="X751" s="237"/>
      <c r="Y751" s="237"/>
      <c r="Z751" s="237"/>
      <c r="AH751" s="237"/>
      <c r="AI751" s="237"/>
      <c r="AJ751" s="237"/>
      <c r="AK751" s="237"/>
      <c r="AL751" s="237"/>
      <c r="AM751" s="237"/>
      <c r="AN751" s="237"/>
      <c r="AV751" s="237"/>
      <c r="AW751" s="237"/>
      <c r="AX751" s="237"/>
      <c r="AY751" s="237"/>
      <c r="AZ751" s="237"/>
      <c r="BA751" s="237"/>
      <c r="BB751" s="237"/>
    </row>
    <row r="752">
      <c r="E752" s="133"/>
      <c r="F752" s="237"/>
      <c r="G752" s="237"/>
      <c r="H752" s="131"/>
      <c r="I752" s="131"/>
      <c r="J752" s="131"/>
      <c r="K752" s="131"/>
      <c r="L752" s="131"/>
      <c r="T752" s="237"/>
      <c r="U752" s="237"/>
      <c r="V752" s="237"/>
      <c r="W752" s="237"/>
      <c r="X752" s="237"/>
      <c r="Y752" s="237"/>
      <c r="Z752" s="237"/>
      <c r="AH752" s="237"/>
      <c r="AI752" s="237"/>
      <c r="AJ752" s="237"/>
      <c r="AK752" s="237"/>
      <c r="AL752" s="237"/>
      <c r="AM752" s="237"/>
      <c r="AN752" s="237"/>
      <c r="AV752" s="237"/>
      <c r="AW752" s="237"/>
      <c r="AX752" s="237"/>
      <c r="AY752" s="237"/>
      <c r="AZ752" s="237"/>
      <c r="BA752" s="237"/>
      <c r="BB752" s="237"/>
    </row>
    <row r="753">
      <c r="E753" s="133"/>
      <c r="F753" s="237"/>
      <c r="G753" s="237"/>
      <c r="H753" s="131"/>
      <c r="I753" s="131"/>
      <c r="J753" s="131"/>
      <c r="K753" s="131"/>
      <c r="L753" s="131"/>
      <c r="T753" s="237"/>
      <c r="U753" s="237"/>
      <c r="V753" s="237"/>
      <c r="W753" s="237"/>
      <c r="X753" s="237"/>
      <c r="Y753" s="237"/>
      <c r="Z753" s="237"/>
      <c r="AH753" s="237"/>
      <c r="AI753" s="237"/>
      <c r="AJ753" s="237"/>
      <c r="AK753" s="237"/>
      <c r="AL753" s="237"/>
      <c r="AM753" s="237"/>
      <c r="AN753" s="237"/>
      <c r="AV753" s="237"/>
      <c r="AW753" s="237"/>
      <c r="AX753" s="237"/>
      <c r="AY753" s="237"/>
      <c r="AZ753" s="237"/>
      <c r="BA753" s="237"/>
      <c r="BB753" s="237"/>
    </row>
    <row r="754">
      <c r="E754" s="133"/>
      <c r="F754" s="237"/>
      <c r="G754" s="237"/>
      <c r="H754" s="131"/>
      <c r="I754" s="131"/>
      <c r="J754" s="131"/>
      <c r="K754" s="131"/>
      <c r="L754" s="131"/>
      <c r="T754" s="237"/>
      <c r="U754" s="237"/>
      <c r="V754" s="237"/>
      <c r="W754" s="237"/>
      <c r="X754" s="237"/>
      <c r="Y754" s="237"/>
      <c r="Z754" s="237"/>
      <c r="AH754" s="237"/>
      <c r="AI754" s="237"/>
      <c r="AJ754" s="237"/>
      <c r="AK754" s="237"/>
      <c r="AL754" s="237"/>
      <c r="AM754" s="237"/>
      <c r="AN754" s="237"/>
      <c r="AV754" s="237"/>
      <c r="AW754" s="237"/>
      <c r="AX754" s="237"/>
      <c r="AY754" s="237"/>
      <c r="AZ754" s="237"/>
      <c r="BA754" s="237"/>
      <c r="BB754" s="237"/>
    </row>
    <row r="755">
      <c r="E755" s="133"/>
      <c r="F755" s="237"/>
      <c r="G755" s="237"/>
      <c r="H755" s="131"/>
      <c r="I755" s="131"/>
      <c r="J755" s="131"/>
      <c r="K755" s="131"/>
      <c r="L755" s="131"/>
      <c r="T755" s="237"/>
      <c r="U755" s="237"/>
      <c r="V755" s="237"/>
      <c r="W755" s="237"/>
      <c r="X755" s="237"/>
      <c r="Y755" s="237"/>
      <c r="Z755" s="237"/>
      <c r="AH755" s="237"/>
      <c r="AI755" s="237"/>
      <c r="AJ755" s="237"/>
      <c r="AK755" s="237"/>
      <c r="AL755" s="237"/>
      <c r="AM755" s="237"/>
      <c r="AN755" s="237"/>
      <c r="AV755" s="237"/>
      <c r="AW755" s="237"/>
      <c r="AX755" s="237"/>
      <c r="AY755" s="237"/>
      <c r="AZ755" s="237"/>
      <c r="BA755" s="237"/>
      <c r="BB755" s="237"/>
    </row>
    <row r="756">
      <c r="E756" s="133"/>
      <c r="F756" s="237"/>
      <c r="G756" s="237"/>
      <c r="H756" s="131"/>
      <c r="I756" s="131"/>
      <c r="J756" s="131"/>
      <c r="K756" s="131"/>
      <c r="L756" s="131"/>
      <c r="T756" s="237"/>
      <c r="U756" s="237"/>
      <c r="V756" s="237"/>
      <c r="W756" s="237"/>
      <c r="X756" s="237"/>
      <c r="Y756" s="237"/>
      <c r="Z756" s="237"/>
      <c r="AH756" s="237"/>
      <c r="AI756" s="237"/>
      <c r="AJ756" s="237"/>
      <c r="AK756" s="237"/>
      <c r="AL756" s="237"/>
      <c r="AM756" s="237"/>
      <c r="AN756" s="237"/>
      <c r="AV756" s="237"/>
      <c r="AW756" s="237"/>
      <c r="AX756" s="237"/>
      <c r="AY756" s="237"/>
      <c r="AZ756" s="237"/>
      <c r="BA756" s="237"/>
      <c r="BB756" s="237"/>
    </row>
    <row r="757">
      <c r="E757" s="133"/>
      <c r="F757" s="237"/>
      <c r="G757" s="237"/>
      <c r="H757" s="131"/>
      <c r="I757" s="131"/>
      <c r="J757" s="131"/>
      <c r="K757" s="131"/>
      <c r="L757" s="131"/>
      <c r="T757" s="237"/>
      <c r="U757" s="237"/>
      <c r="V757" s="237"/>
      <c r="W757" s="237"/>
      <c r="X757" s="237"/>
      <c r="Y757" s="237"/>
      <c r="Z757" s="237"/>
      <c r="AH757" s="237"/>
      <c r="AI757" s="237"/>
      <c r="AJ757" s="237"/>
      <c r="AK757" s="237"/>
      <c r="AL757" s="237"/>
      <c r="AM757" s="237"/>
      <c r="AN757" s="237"/>
      <c r="AV757" s="237"/>
      <c r="AW757" s="237"/>
      <c r="AX757" s="237"/>
      <c r="AY757" s="237"/>
      <c r="AZ757" s="237"/>
      <c r="BA757" s="237"/>
      <c r="BB757" s="237"/>
    </row>
    <row r="758">
      <c r="E758" s="133"/>
      <c r="F758" s="237"/>
      <c r="G758" s="237"/>
      <c r="H758" s="131"/>
      <c r="I758" s="131"/>
      <c r="J758" s="131"/>
      <c r="K758" s="131"/>
      <c r="L758" s="131"/>
      <c r="T758" s="237"/>
      <c r="U758" s="237"/>
      <c r="V758" s="237"/>
      <c r="W758" s="237"/>
      <c r="X758" s="237"/>
      <c r="Y758" s="237"/>
      <c r="Z758" s="237"/>
      <c r="AH758" s="237"/>
      <c r="AI758" s="237"/>
      <c r="AJ758" s="237"/>
      <c r="AK758" s="237"/>
      <c r="AL758" s="237"/>
      <c r="AM758" s="237"/>
      <c r="AN758" s="237"/>
      <c r="AV758" s="237"/>
      <c r="AW758" s="237"/>
      <c r="AX758" s="237"/>
      <c r="AY758" s="237"/>
      <c r="AZ758" s="237"/>
      <c r="BA758" s="237"/>
      <c r="BB758" s="237"/>
    </row>
    <row r="759">
      <c r="E759" s="133"/>
      <c r="F759" s="237"/>
      <c r="G759" s="237"/>
      <c r="H759" s="131"/>
      <c r="I759" s="131"/>
      <c r="J759" s="131"/>
      <c r="K759" s="131"/>
      <c r="L759" s="131"/>
      <c r="T759" s="237"/>
      <c r="U759" s="237"/>
      <c r="V759" s="237"/>
      <c r="W759" s="237"/>
      <c r="X759" s="237"/>
      <c r="Y759" s="237"/>
      <c r="Z759" s="237"/>
      <c r="AH759" s="237"/>
      <c r="AI759" s="237"/>
      <c r="AJ759" s="237"/>
      <c r="AK759" s="237"/>
      <c r="AL759" s="237"/>
      <c r="AM759" s="237"/>
      <c r="AN759" s="237"/>
      <c r="AV759" s="237"/>
      <c r="AW759" s="237"/>
      <c r="AX759" s="237"/>
      <c r="AY759" s="237"/>
      <c r="AZ759" s="237"/>
      <c r="BA759" s="237"/>
      <c r="BB759" s="237"/>
    </row>
    <row r="760">
      <c r="E760" s="133"/>
      <c r="F760" s="237"/>
      <c r="G760" s="237"/>
      <c r="H760" s="131"/>
      <c r="I760" s="131"/>
      <c r="J760" s="131"/>
      <c r="K760" s="131"/>
      <c r="L760" s="131"/>
      <c r="T760" s="237"/>
      <c r="U760" s="237"/>
      <c r="V760" s="237"/>
      <c r="W760" s="237"/>
      <c r="X760" s="237"/>
      <c r="Y760" s="237"/>
      <c r="Z760" s="237"/>
      <c r="AH760" s="237"/>
      <c r="AI760" s="237"/>
      <c r="AJ760" s="237"/>
      <c r="AK760" s="237"/>
      <c r="AL760" s="237"/>
      <c r="AM760" s="237"/>
      <c r="AN760" s="237"/>
      <c r="AV760" s="237"/>
      <c r="AW760" s="237"/>
      <c r="AX760" s="237"/>
      <c r="AY760" s="237"/>
      <c r="AZ760" s="237"/>
      <c r="BA760" s="237"/>
      <c r="BB760" s="237"/>
    </row>
    <row r="761">
      <c r="E761" s="133"/>
      <c r="F761" s="237"/>
      <c r="G761" s="237"/>
      <c r="H761" s="131"/>
      <c r="I761" s="131"/>
      <c r="J761" s="131"/>
      <c r="K761" s="131"/>
      <c r="L761" s="131"/>
      <c r="T761" s="237"/>
      <c r="U761" s="237"/>
      <c r="V761" s="237"/>
      <c r="W761" s="237"/>
      <c r="X761" s="237"/>
      <c r="Y761" s="237"/>
      <c r="Z761" s="237"/>
      <c r="AH761" s="237"/>
      <c r="AI761" s="237"/>
      <c r="AJ761" s="237"/>
      <c r="AK761" s="237"/>
      <c r="AL761" s="237"/>
      <c r="AM761" s="237"/>
      <c r="AN761" s="237"/>
      <c r="AV761" s="237"/>
      <c r="AW761" s="237"/>
      <c r="AX761" s="237"/>
      <c r="AY761" s="237"/>
      <c r="AZ761" s="237"/>
      <c r="BA761" s="237"/>
      <c r="BB761" s="237"/>
    </row>
    <row r="762">
      <c r="E762" s="133"/>
      <c r="F762" s="237"/>
      <c r="G762" s="237"/>
      <c r="H762" s="131"/>
      <c r="I762" s="131"/>
      <c r="J762" s="131"/>
      <c r="K762" s="131"/>
      <c r="L762" s="131"/>
      <c r="T762" s="237"/>
      <c r="U762" s="237"/>
      <c r="V762" s="237"/>
      <c r="W762" s="237"/>
      <c r="X762" s="237"/>
      <c r="Y762" s="237"/>
      <c r="Z762" s="237"/>
      <c r="AH762" s="237"/>
      <c r="AI762" s="237"/>
      <c r="AJ762" s="237"/>
      <c r="AK762" s="237"/>
      <c r="AL762" s="237"/>
      <c r="AM762" s="237"/>
      <c r="AN762" s="237"/>
      <c r="AV762" s="237"/>
      <c r="AW762" s="237"/>
      <c r="AX762" s="237"/>
      <c r="AY762" s="237"/>
      <c r="AZ762" s="237"/>
      <c r="BA762" s="237"/>
      <c r="BB762" s="237"/>
    </row>
    <row r="763">
      <c r="E763" s="133"/>
      <c r="F763" s="237"/>
      <c r="G763" s="237"/>
      <c r="H763" s="131"/>
      <c r="I763" s="131"/>
      <c r="J763" s="131"/>
      <c r="K763" s="131"/>
      <c r="L763" s="131"/>
      <c r="T763" s="237"/>
      <c r="U763" s="237"/>
      <c r="V763" s="237"/>
      <c r="W763" s="237"/>
      <c r="X763" s="237"/>
      <c r="Y763" s="237"/>
      <c r="Z763" s="237"/>
      <c r="AH763" s="237"/>
      <c r="AI763" s="237"/>
      <c r="AJ763" s="237"/>
      <c r="AK763" s="237"/>
      <c r="AL763" s="237"/>
      <c r="AM763" s="237"/>
      <c r="AN763" s="237"/>
      <c r="AV763" s="237"/>
      <c r="AW763" s="237"/>
      <c r="AX763" s="237"/>
      <c r="AY763" s="237"/>
      <c r="AZ763" s="237"/>
      <c r="BA763" s="237"/>
      <c r="BB763" s="237"/>
    </row>
    <row r="764">
      <c r="E764" s="133"/>
      <c r="F764" s="237"/>
      <c r="G764" s="237"/>
      <c r="H764" s="131"/>
      <c r="I764" s="131"/>
      <c r="J764" s="131"/>
      <c r="K764" s="131"/>
      <c r="L764" s="131"/>
      <c r="T764" s="237"/>
      <c r="U764" s="237"/>
      <c r="V764" s="237"/>
      <c r="W764" s="237"/>
      <c r="X764" s="237"/>
      <c r="Y764" s="237"/>
      <c r="Z764" s="237"/>
      <c r="AH764" s="237"/>
      <c r="AI764" s="237"/>
      <c r="AJ764" s="237"/>
      <c r="AK764" s="237"/>
      <c r="AL764" s="237"/>
      <c r="AM764" s="237"/>
      <c r="AN764" s="237"/>
      <c r="AV764" s="237"/>
      <c r="AW764" s="237"/>
      <c r="AX764" s="237"/>
      <c r="AY764" s="237"/>
      <c r="AZ764" s="237"/>
      <c r="BA764" s="237"/>
      <c r="BB764" s="237"/>
    </row>
    <row r="765">
      <c r="E765" s="133"/>
      <c r="F765" s="237"/>
      <c r="G765" s="237"/>
      <c r="H765" s="131"/>
      <c r="I765" s="131"/>
      <c r="J765" s="131"/>
      <c r="K765" s="131"/>
      <c r="L765" s="131"/>
      <c r="T765" s="237"/>
      <c r="U765" s="237"/>
      <c r="V765" s="237"/>
      <c r="W765" s="237"/>
      <c r="X765" s="237"/>
      <c r="Y765" s="237"/>
      <c r="Z765" s="237"/>
      <c r="AH765" s="237"/>
      <c r="AI765" s="237"/>
      <c r="AJ765" s="237"/>
      <c r="AK765" s="237"/>
      <c r="AL765" s="237"/>
      <c r="AM765" s="237"/>
      <c r="AN765" s="237"/>
      <c r="AV765" s="237"/>
      <c r="AW765" s="237"/>
      <c r="AX765" s="237"/>
      <c r="AY765" s="237"/>
      <c r="AZ765" s="237"/>
      <c r="BA765" s="237"/>
      <c r="BB765" s="237"/>
    </row>
    <row r="766">
      <c r="E766" s="133"/>
      <c r="F766" s="237"/>
      <c r="G766" s="237"/>
      <c r="H766" s="131"/>
      <c r="I766" s="131"/>
      <c r="J766" s="131"/>
      <c r="K766" s="131"/>
      <c r="L766" s="131"/>
      <c r="T766" s="237"/>
      <c r="U766" s="237"/>
      <c r="V766" s="237"/>
      <c r="W766" s="237"/>
      <c r="X766" s="237"/>
      <c r="Y766" s="237"/>
      <c r="Z766" s="237"/>
      <c r="AH766" s="237"/>
      <c r="AI766" s="237"/>
      <c r="AJ766" s="237"/>
      <c r="AK766" s="237"/>
      <c r="AL766" s="237"/>
      <c r="AM766" s="237"/>
      <c r="AN766" s="237"/>
      <c r="AV766" s="237"/>
      <c r="AW766" s="237"/>
      <c r="AX766" s="237"/>
      <c r="AY766" s="237"/>
      <c r="AZ766" s="237"/>
      <c r="BA766" s="237"/>
      <c r="BB766" s="237"/>
    </row>
    <row r="767">
      <c r="E767" s="133"/>
      <c r="F767" s="237"/>
      <c r="G767" s="237"/>
      <c r="H767" s="131"/>
      <c r="I767" s="131"/>
      <c r="J767" s="131"/>
      <c r="K767" s="131"/>
      <c r="L767" s="131"/>
      <c r="T767" s="237"/>
      <c r="U767" s="237"/>
      <c r="V767" s="237"/>
      <c r="W767" s="237"/>
      <c r="X767" s="237"/>
      <c r="Y767" s="237"/>
      <c r="Z767" s="237"/>
      <c r="AH767" s="237"/>
      <c r="AI767" s="237"/>
      <c r="AJ767" s="237"/>
      <c r="AK767" s="237"/>
      <c r="AL767" s="237"/>
      <c r="AM767" s="237"/>
      <c r="AN767" s="237"/>
      <c r="AV767" s="237"/>
      <c r="AW767" s="237"/>
      <c r="AX767" s="237"/>
      <c r="AY767" s="237"/>
      <c r="AZ767" s="237"/>
      <c r="BA767" s="237"/>
      <c r="BB767" s="237"/>
    </row>
    <row r="768">
      <c r="E768" s="133"/>
      <c r="F768" s="237"/>
      <c r="G768" s="237"/>
      <c r="H768" s="131"/>
      <c r="I768" s="131"/>
      <c r="J768" s="131"/>
      <c r="K768" s="131"/>
      <c r="L768" s="131"/>
      <c r="T768" s="237"/>
      <c r="U768" s="237"/>
      <c r="V768" s="237"/>
      <c r="W768" s="237"/>
      <c r="X768" s="237"/>
      <c r="Y768" s="237"/>
      <c r="Z768" s="237"/>
      <c r="AH768" s="237"/>
      <c r="AI768" s="237"/>
      <c r="AJ768" s="237"/>
      <c r="AK768" s="237"/>
      <c r="AL768" s="237"/>
      <c r="AM768" s="237"/>
      <c r="AN768" s="237"/>
      <c r="AV768" s="237"/>
      <c r="AW768" s="237"/>
      <c r="AX768" s="237"/>
      <c r="AY768" s="237"/>
      <c r="AZ768" s="237"/>
      <c r="BA768" s="237"/>
      <c r="BB768" s="237"/>
    </row>
    <row r="769">
      <c r="E769" s="133"/>
      <c r="F769" s="237"/>
      <c r="G769" s="237"/>
      <c r="H769" s="131"/>
      <c r="I769" s="131"/>
      <c r="J769" s="131"/>
      <c r="K769" s="131"/>
      <c r="L769" s="131"/>
      <c r="T769" s="237"/>
      <c r="U769" s="237"/>
      <c r="V769" s="237"/>
      <c r="W769" s="237"/>
      <c r="X769" s="237"/>
      <c r="Y769" s="237"/>
      <c r="Z769" s="237"/>
      <c r="AH769" s="237"/>
      <c r="AI769" s="237"/>
      <c r="AJ769" s="237"/>
      <c r="AK769" s="237"/>
      <c r="AL769" s="237"/>
      <c r="AM769" s="237"/>
      <c r="AN769" s="237"/>
      <c r="AV769" s="237"/>
      <c r="AW769" s="237"/>
      <c r="AX769" s="237"/>
      <c r="AY769" s="237"/>
      <c r="AZ769" s="237"/>
      <c r="BA769" s="237"/>
      <c r="BB769" s="237"/>
    </row>
    <row r="770">
      <c r="E770" s="133"/>
      <c r="F770" s="237"/>
      <c r="G770" s="237"/>
      <c r="H770" s="131"/>
      <c r="I770" s="131"/>
      <c r="J770" s="131"/>
      <c r="K770" s="131"/>
      <c r="L770" s="131"/>
      <c r="T770" s="237"/>
      <c r="U770" s="237"/>
      <c r="V770" s="237"/>
      <c r="W770" s="237"/>
      <c r="X770" s="237"/>
      <c r="Y770" s="237"/>
      <c r="Z770" s="237"/>
      <c r="AH770" s="237"/>
      <c r="AI770" s="237"/>
      <c r="AJ770" s="237"/>
      <c r="AK770" s="237"/>
      <c r="AL770" s="237"/>
      <c r="AM770" s="237"/>
      <c r="AN770" s="237"/>
      <c r="AV770" s="237"/>
      <c r="AW770" s="237"/>
      <c r="AX770" s="237"/>
      <c r="AY770" s="237"/>
      <c r="AZ770" s="237"/>
      <c r="BA770" s="237"/>
      <c r="BB770" s="237"/>
    </row>
    <row r="771">
      <c r="E771" s="133"/>
      <c r="F771" s="237"/>
      <c r="G771" s="237"/>
      <c r="H771" s="131"/>
      <c r="I771" s="131"/>
      <c r="J771" s="131"/>
      <c r="K771" s="131"/>
      <c r="L771" s="131"/>
      <c r="T771" s="237"/>
      <c r="U771" s="237"/>
      <c r="V771" s="237"/>
      <c r="W771" s="237"/>
      <c r="X771" s="237"/>
      <c r="Y771" s="237"/>
      <c r="Z771" s="237"/>
      <c r="AH771" s="237"/>
      <c r="AI771" s="237"/>
      <c r="AJ771" s="237"/>
      <c r="AK771" s="237"/>
      <c r="AL771" s="237"/>
      <c r="AM771" s="237"/>
      <c r="AN771" s="237"/>
      <c r="AV771" s="237"/>
      <c r="AW771" s="237"/>
      <c r="AX771" s="237"/>
      <c r="AY771" s="237"/>
      <c r="AZ771" s="237"/>
      <c r="BA771" s="237"/>
      <c r="BB771" s="237"/>
    </row>
    <row r="772">
      <c r="E772" s="133"/>
      <c r="F772" s="237"/>
      <c r="G772" s="237"/>
      <c r="H772" s="131"/>
      <c r="I772" s="131"/>
      <c r="J772" s="131"/>
      <c r="K772" s="131"/>
      <c r="L772" s="131"/>
      <c r="T772" s="237"/>
      <c r="U772" s="237"/>
      <c r="V772" s="237"/>
      <c r="W772" s="237"/>
      <c r="X772" s="237"/>
      <c r="Y772" s="237"/>
      <c r="Z772" s="237"/>
      <c r="AH772" s="237"/>
      <c r="AI772" s="237"/>
      <c r="AJ772" s="237"/>
      <c r="AK772" s="237"/>
      <c r="AL772" s="237"/>
      <c r="AM772" s="237"/>
      <c r="AN772" s="237"/>
      <c r="AV772" s="237"/>
      <c r="AW772" s="237"/>
      <c r="AX772" s="237"/>
      <c r="AY772" s="237"/>
      <c r="AZ772" s="237"/>
      <c r="BA772" s="237"/>
      <c r="BB772" s="237"/>
    </row>
    <row r="773">
      <c r="E773" s="133"/>
      <c r="F773" s="237"/>
      <c r="G773" s="237"/>
      <c r="H773" s="131"/>
      <c r="I773" s="131"/>
      <c r="J773" s="131"/>
      <c r="K773" s="131"/>
      <c r="L773" s="131"/>
      <c r="T773" s="237"/>
      <c r="U773" s="237"/>
      <c r="V773" s="237"/>
      <c r="W773" s="237"/>
      <c r="X773" s="237"/>
      <c r="Y773" s="237"/>
      <c r="Z773" s="237"/>
      <c r="AH773" s="237"/>
      <c r="AI773" s="237"/>
      <c r="AJ773" s="237"/>
      <c r="AK773" s="237"/>
      <c r="AL773" s="237"/>
      <c r="AM773" s="237"/>
      <c r="AN773" s="237"/>
      <c r="AV773" s="237"/>
      <c r="AW773" s="237"/>
      <c r="AX773" s="237"/>
      <c r="AY773" s="237"/>
      <c r="AZ773" s="237"/>
      <c r="BA773" s="237"/>
      <c r="BB773" s="237"/>
    </row>
    <row r="774">
      <c r="E774" s="133"/>
      <c r="F774" s="237"/>
      <c r="G774" s="237"/>
      <c r="H774" s="131"/>
      <c r="I774" s="131"/>
      <c r="J774" s="131"/>
      <c r="K774" s="131"/>
      <c r="L774" s="131"/>
      <c r="T774" s="237"/>
      <c r="U774" s="237"/>
      <c r="V774" s="237"/>
      <c r="W774" s="237"/>
      <c r="X774" s="237"/>
      <c r="Y774" s="237"/>
      <c r="Z774" s="237"/>
      <c r="AH774" s="237"/>
      <c r="AI774" s="237"/>
      <c r="AJ774" s="237"/>
      <c r="AK774" s="237"/>
      <c r="AL774" s="237"/>
      <c r="AM774" s="237"/>
      <c r="AN774" s="237"/>
      <c r="AV774" s="237"/>
      <c r="AW774" s="237"/>
      <c r="AX774" s="237"/>
      <c r="AY774" s="237"/>
      <c r="AZ774" s="237"/>
      <c r="BA774" s="237"/>
      <c r="BB774" s="237"/>
    </row>
    <row r="775">
      <c r="E775" s="133"/>
      <c r="F775" s="237"/>
      <c r="G775" s="237"/>
      <c r="H775" s="131"/>
      <c r="I775" s="131"/>
      <c r="J775" s="131"/>
      <c r="K775" s="131"/>
      <c r="L775" s="131"/>
      <c r="T775" s="237"/>
      <c r="U775" s="237"/>
      <c r="V775" s="237"/>
      <c r="W775" s="237"/>
      <c r="X775" s="237"/>
      <c r="Y775" s="237"/>
      <c r="Z775" s="237"/>
      <c r="AH775" s="237"/>
      <c r="AI775" s="237"/>
      <c r="AJ775" s="237"/>
      <c r="AK775" s="237"/>
      <c r="AL775" s="237"/>
      <c r="AM775" s="237"/>
      <c r="AN775" s="237"/>
      <c r="AV775" s="237"/>
      <c r="AW775" s="237"/>
      <c r="AX775" s="237"/>
      <c r="AY775" s="237"/>
      <c r="AZ775" s="237"/>
      <c r="BA775" s="237"/>
      <c r="BB775" s="237"/>
    </row>
    <row r="776">
      <c r="E776" s="133"/>
      <c r="F776" s="237"/>
      <c r="G776" s="237"/>
      <c r="H776" s="131"/>
      <c r="I776" s="131"/>
      <c r="J776" s="131"/>
      <c r="K776" s="131"/>
      <c r="L776" s="131"/>
      <c r="T776" s="237"/>
      <c r="U776" s="237"/>
      <c r="V776" s="237"/>
      <c r="W776" s="237"/>
      <c r="X776" s="237"/>
      <c r="Y776" s="237"/>
      <c r="Z776" s="237"/>
      <c r="AH776" s="237"/>
      <c r="AI776" s="237"/>
      <c r="AJ776" s="237"/>
      <c r="AK776" s="237"/>
      <c r="AL776" s="237"/>
      <c r="AM776" s="237"/>
      <c r="AN776" s="237"/>
      <c r="AV776" s="237"/>
      <c r="AW776" s="237"/>
      <c r="AX776" s="237"/>
      <c r="AY776" s="237"/>
      <c r="AZ776" s="237"/>
      <c r="BA776" s="237"/>
      <c r="BB776" s="237"/>
    </row>
    <row r="777">
      <c r="E777" s="133"/>
      <c r="F777" s="237"/>
      <c r="G777" s="237"/>
      <c r="H777" s="131"/>
      <c r="I777" s="131"/>
      <c r="J777" s="131"/>
      <c r="K777" s="131"/>
      <c r="L777" s="131"/>
      <c r="T777" s="237"/>
      <c r="U777" s="237"/>
      <c r="V777" s="237"/>
      <c r="W777" s="237"/>
      <c r="X777" s="237"/>
      <c r="Y777" s="237"/>
      <c r="Z777" s="237"/>
      <c r="AH777" s="237"/>
      <c r="AI777" s="237"/>
      <c r="AJ777" s="237"/>
      <c r="AK777" s="237"/>
      <c r="AL777" s="237"/>
      <c r="AM777" s="237"/>
      <c r="AN777" s="237"/>
      <c r="AV777" s="237"/>
      <c r="AW777" s="237"/>
      <c r="AX777" s="237"/>
      <c r="AY777" s="237"/>
      <c r="AZ777" s="237"/>
      <c r="BA777" s="237"/>
      <c r="BB777" s="237"/>
    </row>
    <row r="778">
      <c r="E778" s="133"/>
      <c r="F778" s="237"/>
      <c r="G778" s="237"/>
      <c r="H778" s="131"/>
      <c r="I778" s="131"/>
      <c r="J778" s="131"/>
      <c r="K778" s="131"/>
      <c r="L778" s="131"/>
      <c r="T778" s="237"/>
      <c r="U778" s="237"/>
      <c r="V778" s="237"/>
      <c r="W778" s="237"/>
      <c r="X778" s="237"/>
      <c r="Y778" s="237"/>
      <c r="Z778" s="237"/>
      <c r="AH778" s="237"/>
      <c r="AI778" s="237"/>
      <c r="AJ778" s="237"/>
      <c r="AK778" s="237"/>
      <c r="AL778" s="237"/>
      <c r="AM778" s="237"/>
      <c r="AN778" s="237"/>
      <c r="AV778" s="237"/>
      <c r="AW778" s="237"/>
      <c r="AX778" s="237"/>
      <c r="AY778" s="237"/>
      <c r="AZ778" s="237"/>
      <c r="BA778" s="237"/>
      <c r="BB778" s="237"/>
    </row>
    <row r="779">
      <c r="E779" s="133"/>
      <c r="F779" s="237"/>
      <c r="G779" s="237"/>
      <c r="H779" s="131"/>
      <c r="I779" s="131"/>
      <c r="J779" s="131"/>
      <c r="K779" s="131"/>
      <c r="L779" s="131"/>
      <c r="T779" s="237"/>
      <c r="U779" s="237"/>
      <c r="V779" s="237"/>
      <c r="W779" s="237"/>
      <c r="X779" s="237"/>
      <c r="Y779" s="237"/>
      <c r="Z779" s="237"/>
      <c r="AH779" s="237"/>
      <c r="AI779" s="237"/>
      <c r="AJ779" s="237"/>
      <c r="AK779" s="237"/>
      <c r="AL779" s="237"/>
      <c r="AM779" s="237"/>
      <c r="AN779" s="237"/>
      <c r="AV779" s="237"/>
      <c r="AW779" s="237"/>
      <c r="AX779" s="237"/>
      <c r="AY779" s="237"/>
      <c r="AZ779" s="237"/>
      <c r="BA779" s="237"/>
      <c r="BB779" s="237"/>
    </row>
    <row r="780">
      <c r="E780" s="133"/>
      <c r="F780" s="237"/>
      <c r="G780" s="237"/>
      <c r="H780" s="131"/>
      <c r="I780" s="131"/>
      <c r="J780" s="131"/>
      <c r="K780" s="131"/>
      <c r="L780" s="131"/>
      <c r="T780" s="237"/>
      <c r="U780" s="237"/>
      <c r="V780" s="237"/>
      <c r="W780" s="237"/>
      <c r="X780" s="237"/>
      <c r="Y780" s="237"/>
      <c r="Z780" s="237"/>
      <c r="AH780" s="237"/>
      <c r="AI780" s="237"/>
      <c r="AJ780" s="237"/>
      <c r="AK780" s="237"/>
      <c r="AL780" s="237"/>
      <c r="AM780" s="237"/>
      <c r="AN780" s="237"/>
      <c r="AV780" s="237"/>
      <c r="AW780" s="237"/>
      <c r="AX780" s="237"/>
      <c r="AY780" s="237"/>
      <c r="AZ780" s="237"/>
      <c r="BA780" s="237"/>
      <c r="BB780" s="237"/>
    </row>
    <row r="781">
      <c r="E781" s="133"/>
      <c r="F781" s="237"/>
      <c r="G781" s="237"/>
      <c r="H781" s="131"/>
      <c r="I781" s="131"/>
      <c r="J781" s="131"/>
      <c r="K781" s="131"/>
      <c r="L781" s="131"/>
      <c r="T781" s="237"/>
      <c r="U781" s="237"/>
      <c r="V781" s="237"/>
      <c r="W781" s="237"/>
      <c r="X781" s="237"/>
      <c r="Y781" s="237"/>
      <c r="Z781" s="237"/>
      <c r="AH781" s="237"/>
      <c r="AI781" s="237"/>
      <c r="AJ781" s="237"/>
      <c r="AK781" s="237"/>
      <c r="AL781" s="237"/>
      <c r="AM781" s="237"/>
      <c r="AN781" s="237"/>
      <c r="AV781" s="237"/>
      <c r="AW781" s="237"/>
      <c r="AX781" s="237"/>
      <c r="AY781" s="237"/>
      <c r="AZ781" s="237"/>
      <c r="BA781" s="237"/>
      <c r="BB781" s="237"/>
    </row>
    <row r="782">
      <c r="E782" s="133"/>
      <c r="F782" s="237"/>
      <c r="G782" s="237"/>
      <c r="H782" s="131"/>
      <c r="I782" s="131"/>
      <c r="J782" s="131"/>
      <c r="K782" s="131"/>
      <c r="L782" s="131"/>
      <c r="T782" s="237"/>
      <c r="U782" s="237"/>
      <c r="V782" s="237"/>
      <c r="W782" s="237"/>
      <c r="X782" s="237"/>
      <c r="Y782" s="237"/>
      <c r="Z782" s="237"/>
      <c r="AH782" s="237"/>
      <c r="AI782" s="237"/>
      <c r="AJ782" s="237"/>
      <c r="AK782" s="237"/>
      <c r="AL782" s="237"/>
      <c r="AM782" s="237"/>
      <c r="AN782" s="237"/>
      <c r="AV782" s="237"/>
      <c r="AW782" s="237"/>
      <c r="AX782" s="237"/>
      <c r="AY782" s="237"/>
      <c r="AZ782" s="237"/>
      <c r="BA782" s="237"/>
      <c r="BB782" s="237"/>
    </row>
    <row r="783">
      <c r="E783" s="133"/>
      <c r="F783" s="237"/>
      <c r="G783" s="237"/>
      <c r="H783" s="131"/>
      <c r="I783" s="131"/>
      <c r="J783" s="131"/>
      <c r="K783" s="131"/>
      <c r="L783" s="131"/>
      <c r="T783" s="237"/>
      <c r="U783" s="237"/>
      <c r="V783" s="237"/>
      <c r="W783" s="237"/>
      <c r="X783" s="237"/>
      <c r="Y783" s="237"/>
      <c r="Z783" s="237"/>
      <c r="AH783" s="237"/>
      <c r="AI783" s="237"/>
      <c r="AJ783" s="237"/>
      <c r="AK783" s="237"/>
      <c r="AL783" s="237"/>
      <c r="AM783" s="237"/>
      <c r="AN783" s="237"/>
      <c r="AV783" s="237"/>
      <c r="AW783" s="237"/>
      <c r="AX783" s="237"/>
      <c r="AY783" s="237"/>
      <c r="AZ783" s="237"/>
      <c r="BA783" s="237"/>
      <c r="BB783" s="237"/>
    </row>
    <row r="784">
      <c r="E784" s="133"/>
      <c r="F784" s="237"/>
      <c r="G784" s="237"/>
      <c r="H784" s="131"/>
      <c r="I784" s="131"/>
      <c r="J784" s="131"/>
      <c r="K784" s="131"/>
      <c r="L784" s="131"/>
      <c r="T784" s="237"/>
      <c r="U784" s="237"/>
      <c r="V784" s="237"/>
      <c r="W784" s="237"/>
      <c r="X784" s="237"/>
      <c r="Y784" s="237"/>
      <c r="Z784" s="237"/>
      <c r="AH784" s="237"/>
      <c r="AI784" s="237"/>
      <c r="AJ784" s="237"/>
      <c r="AK784" s="237"/>
      <c r="AL784" s="237"/>
      <c r="AM784" s="237"/>
      <c r="AN784" s="237"/>
      <c r="AV784" s="237"/>
      <c r="AW784" s="237"/>
      <c r="AX784" s="237"/>
      <c r="AY784" s="237"/>
      <c r="AZ784" s="237"/>
      <c r="BA784" s="237"/>
      <c r="BB784" s="237"/>
    </row>
    <row r="785">
      <c r="E785" s="133"/>
      <c r="F785" s="237"/>
      <c r="G785" s="237"/>
      <c r="H785" s="131"/>
      <c r="I785" s="131"/>
      <c r="J785" s="131"/>
      <c r="K785" s="131"/>
      <c r="L785" s="131"/>
      <c r="T785" s="237"/>
      <c r="U785" s="237"/>
      <c r="V785" s="237"/>
      <c r="W785" s="237"/>
      <c r="X785" s="237"/>
      <c r="Y785" s="237"/>
      <c r="Z785" s="237"/>
      <c r="AH785" s="237"/>
      <c r="AI785" s="237"/>
      <c r="AJ785" s="237"/>
      <c r="AK785" s="237"/>
      <c r="AL785" s="237"/>
      <c r="AM785" s="237"/>
      <c r="AN785" s="237"/>
      <c r="AV785" s="237"/>
      <c r="AW785" s="237"/>
      <c r="AX785" s="237"/>
      <c r="AY785" s="237"/>
      <c r="AZ785" s="237"/>
      <c r="BA785" s="237"/>
      <c r="BB785" s="237"/>
    </row>
    <row r="786">
      <c r="E786" s="133"/>
      <c r="F786" s="237"/>
      <c r="G786" s="237"/>
      <c r="H786" s="131"/>
      <c r="I786" s="131"/>
      <c r="J786" s="131"/>
      <c r="K786" s="131"/>
      <c r="L786" s="131"/>
      <c r="T786" s="237"/>
      <c r="U786" s="237"/>
      <c r="V786" s="237"/>
      <c r="W786" s="237"/>
      <c r="X786" s="237"/>
      <c r="Y786" s="237"/>
      <c r="Z786" s="237"/>
      <c r="AH786" s="237"/>
      <c r="AI786" s="237"/>
      <c r="AJ786" s="237"/>
      <c r="AK786" s="237"/>
      <c r="AL786" s="237"/>
      <c r="AM786" s="237"/>
      <c r="AN786" s="237"/>
      <c r="AV786" s="237"/>
      <c r="AW786" s="237"/>
      <c r="AX786" s="237"/>
      <c r="AY786" s="237"/>
      <c r="AZ786" s="237"/>
      <c r="BA786" s="237"/>
      <c r="BB786" s="237"/>
    </row>
    <row r="787">
      <c r="E787" s="133"/>
      <c r="F787" s="237"/>
      <c r="G787" s="237"/>
      <c r="H787" s="131"/>
      <c r="I787" s="131"/>
      <c r="J787" s="131"/>
      <c r="K787" s="131"/>
      <c r="L787" s="131"/>
      <c r="T787" s="237"/>
      <c r="U787" s="237"/>
      <c r="V787" s="237"/>
      <c r="W787" s="237"/>
      <c r="X787" s="237"/>
      <c r="Y787" s="237"/>
      <c r="Z787" s="237"/>
      <c r="AH787" s="237"/>
      <c r="AI787" s="237"/>
      <c r="AJ787" s="237"/>
      <c r="AK787" s="237"/>
      <c r="AL787" s="237"/>
      <c r="AM787" s="237"/>
      <c r="AN787" s="237"/>
      <c r="AV787" s="237"/>
      <c r="AW787" s="237"/>
      <c r="AX787" s="237"/>
      <c r="AY787" s="237"/>
      <c r="AZ787" s="237"/>
      <c r="BA787" s="237"/>
      <c r="BB787" s="237"/>
    </row>
    <row r="788">
      <c r="E788" s="133"/>
      <c r="F788" s="237"/>
      <c r="G788" s="237"/>
      <c r="H788" s="131"/>
      <c r="I788" s="131"/>
      <c r="J788" s="131"/>
      <c r="K788" s="131"/>
      <c r="L788" s="131"/>
      <c r="T788" s="237"/>
      <c r="U788" s="237"/>
      <c r="V788" s="237"/>
      <c r="W788" s="237"/>
      <c r="X788" s="237"/>
      <c r="Y788" s="237"/>
      <c r="Z788" s="237"/>
      <c r="AH788" s="237"/>
      <c r="AI788" s="237"/>
      <c r="AJ788" s="237"/>
      <c r="AK788" s="237"/>
      <c r="AL788" s="237"/>
      <c r="AM788" s="237"/>
      <c r="AN788" s="237"/>
      <c r="AV788" s="237"/>
      <c r="AW788" s="237"/>
      <c r="AX788" s="237"/>
      <c r="AY788" s="237"/>
      <c r="AZ788" s="237"/>
      <c r="BA788" s="237"/>
      <c r="BB788" s="237"/>
    </row>
    <row r="789">
      <c r="E789" s="133"/>
      <c r="F789" s="237"/>
      <c r="G789" s="237"/>
      <c r="H789" s="131"/>
      <c r="I789" s="131"/>
      <c r="J789" s="131"/>
      <c r="K789" s="131"/>
      <c r="L789" s="131"/>
      <c r="T789" s="237"/>
      <c r="U789" s="237"/>
      <c r="V789" s="237"/>
      <c r="W789" s="237"/>
      <c r="X789" s="237"/>
      <c r="Y789" s="237"/>
      <c r="Z789" s="237"/>
      <c r="AH789" s="237"/>
      <c r="AI789" s="237"/>
      <c r="AJ789" s="237"/>
      <c r="AK789" s="237"/>
      <c r="AL789" s="237"/>
      <c r="AM789" s="237"/>
      <c r="AN789" s="237"/>
      <c r="AV789" s="237"/>
      <c r="AW789" s="237"/>
      <c r="AX789" s="237"/>
      <c r="AY789" s="237"/>
      <c r="AZ789" s="237"/>
      <c r="BA789" s="237"/>
      <c r="BB789" s="237"/>
    </row>
    <row r="790">
      <c r="E790" s="133"/>
      <c r="F790" s="237"/>
      <c r="G790" s="237"/>
      <c r="H790" s="131"/>
      <c r="I790" s="131"/>
      <c r="J790" s="131"/>
      <c r="K790" s="131"/>
      <c r="L790" s="131"/>
      <c r="T790" s="237"/>
      <c r="U790" s="237"/>
      <c r="V790" s="237"/>
      <c r="W790" s="237"/>
      <c r="X790" s="237"/>
      <c r="Y790" s="237"/>
      <c r="Z790" s="237"/>
      <c r="AH790" s="237"/>
      <c r="AI790" s="237"/>
      <c r="AJ790" s="237"/>
      <c r="AK790" s="237"/>
      <c r="AL790" s="237"/>
      <c r="AM790" s="237"/>
      <c r="AN790" s="237"/>
      <c r="AV790" s="237"/>
      <c r="AW790" s="237"/>
      <c r="AX790" s="237"/>
      <c r="AY790" s="237"/>
      <c r="AZ790" s="237"/>
      <c r="BA790" s="237"/>
      <c r="BB790" s="237"/>
    </row>
    <row r="791">
      <c r="E791" s="133"/>
      <c r="F791" s="237"/>
      <c r="G791" s="237"/>
      <c r="H791" s="131"/>
      <c r="I791" s="131"/>
      <c r="J791" s="131"/>
      <c r="K791" s="131"/>
      <c r="L791" s="131"/>
      <c r="T791" s="237"/>
      <c r="U791" s="237"/>
      <c r="V791" s="237"/>
      <c r="W791" s="237"/>
      <c r="X791" s="237"/>
      <c r="Y791" s="237"/>
      <c r="Z791" s="237"/>
      <c r="AH791" s="237"/>
      <c r="AI791" s="237"/>
      <c r="AJ791" s="237"/>
      <c r="AK791" s="237"/>
      <c r="AL791" s="237"/>
      <c r="AM791" s="237"/>
      <c r="AN791" s="237"/>
      <c r="AV791" s="237"/>
      <c r="AW791" s="237"/>
      <c r="AX791" s="237"/>
      <c r="AY791" s="237"/>
      <c r="AZ791" s="237"/>
      <c r="BA791" s="237"/>
      <c r="BB791" s="237"/>
    </row>
    <row r="792">
      <c r="E792" s="133"/>
      <c r="F792" s="237"/>
      <c r="G792" s="237"/>
      <c r="H792" s="131"/>
      <c r="I792" s="131"/>
      <c r="J792" s="131"/>
      <c r="K792" s="131"/>
      <c r="L792" s="131"/>
      <c r="T792" s="237"/>
      <c r="U792" s="237"/>
      <c r="V792" s="237"/>
      <c r="W792" s="237"/>
      <c r="X792" s="237"/>
      <c r="Y792" s="237"/>
      <c r="Z792" s="237"/>
      <c r="AH792" s="237"/>
      <c r="AI792" s="237"/>
      <c r="AJ792" s="237"/>
      <c r="AK792" s="237"/>
      <c r="AL792" s="237"/>
      <c r="AM792" s="237"/>
      <c r="AN792" s="237"/>
      <c r="AV792" s="237"/>
      <c r="AW792" s="237"/>
      <c r="AX792" s="237"/>
      <c r="AY792" s="237"/>
      <c r="AZ792" s="237"/>
      <c r="BA792" s="237"/>
      <c r="BB792" s="237"/>
    </row>
    <row r="793">
      <c r="E793" s="133"/>
      <c r="F793" s="237"/>
      <c r="G793" s="237"/>
      <c r="H793" s="131"/>
      <c r="I793" s="131"/>
      <c r="J793" s="131"/>
      <c r="K793" s="131"/>
      <c r="L793" s="131"/>
      <c r="T793" s="237"/>
      <c r="U793" s="237"/>
      <c r="V793" s="237"/>
      <c r="W793" s="237"/>
      <c r="X793" s="237"/>
      <c r="Y793" s="237"/>
      <c r="Z793" s="237"/>
      <c r="AH793" s="237"/>
      <c r="AI793" s="237"/>
      <c r="AJ793" s="237"/>
      <c r="AK793" s="237"/>
      <c r="AL793" s="237"/>
      <c r="AM793" s="237"/>
      <c r="AN793" s="237"/>
      <c r="AV793" s="237"/>
      <c r="AW793" s="237"/>
      <c r="AX793" s="237"/>
      <c r="AY793" s="237"/>
      <c r="AZ793" s="237"/>
      <c r="BA793" s="237"/>
      <c r="BB793" s="237"/>
    </row>
    <row r="794">
      <c r="E794" s="133"/>
      <c r="F794" s="237"/>
      <c r="G794" s="237"/>
      <c r="H794" s="131"/>
      <c r="I794" s="131"/>
      <c r="J794" s="131"/>
      <c r="K794" s="131"/>
      <c r="L794" s="131"/>
      <c r="T794" s="237"/>
      <c r="U794" s="237"/>
      <c r="V794" s="237"/>
      <c r="W794" s="237"/>
      <c r="X794" s="237"/>
      <c r="Y794" s="237"/>
      <c r="Z794" s="237"/>
      <c r="AH794" s="237"/>
      <c r="AI794" s="237"/>
      <c r="AJ794" s="237"/>
      <c r="AK794" s="237"/>
      <c r="AL794" s="237"/>
      <c r="AM794" s="237"/>
      <c r="AN794" s="237"/>
      <c r="AV794" s="237"/>
      <c r="AW794" s="237"/>
      <c r="AX794" s="237"/>
      <c r="AY794" s="237"/>
      <c r="AZ794" s="237"/>
      <c r="BA794" s="237"/>
      <c r="BB794" s="237"/>
    </row>
    <row r="795">
      <c r="E795" s="133"/>
      <c r="F795" s="237"/>
      <c r="G795" s="237"/>
      <c r="H795" s="131"/>
      <c r="I795" s="131"/>
      <c r="J795" s="131"/>
      <c r="K795" s="131"/>
      <c r="L795" s="131"/>
      <c r="T795" s="237"/>
      <c r="U795" s="237"/>
      <c r="V795" s="237"/>
      <c r="W795" s="237"/>
      <c r="X795" s="237"/>
      <c r="Y795" s="237"/>
      <c r="Z795" s="237"/>
      <c r="AH795" s="237"/>
      <c r="AI795" s="237"/>
      <c r="AJ795" s="237"/>
      <c r="AK795" s="237"/>
      <c r="AL795" s="237"/>
      <c r="AM795" s="237"/>
      <c r="AN795" s="237"/>
      <c r="AV795" s="237"/>
      <c r="AW795" s="237"/>
      <c r="AX795" s="237"/>
      <c r="AY795" s="237"/>
      <c r="AZ795" s="237"/>
      <c r="BA795" s="237"/>
      <c r="BB795" s="237"/>
    </row>
    <row r="796">
      <c r="E796" s="133"/>
      <c r="F796" s="237"/>
      <c r="G796" s="237"/>
      <c r="H796" s="131"/>
      <c r="I796" s="131"/>
      <c r="J796" s="131"/>
      <c r="K796" s="131"/>
      <c r="L796" s="131"/>
      <c r="T796" s="237"/>
      <c r="U796" s="237"/>
      <c r="V796" s="237"/>
      <c r="W796" s="237"/>
      <c r="X796" s="237"/>
      <c r="Y796" s="237"/>
      <c r="Z796" s="237"/>
      <c r="AH796" s="237"/>
      <c r="AI796" s="237"/>
      <c r="AJ796" s="237"/>
      <c r="AK796" s="237"/>
      <c r="AL796" s="237"/>
      <c r="AM796" s="237"/>
      <c r="AN796" s="237"/>
      <c r="AV796" s="237"/>
      <c r="AW796" s="237"/>
      <c r="AX796" s="237"/>
      <c r="AY796" s="237"/>
      <c r="AZ796" s="237"/>
      <c r="BA796" s="237"/>
      <c r="BB796" s="237"/>
    </row>
    <row r="797">
      <c r="E797" s="133"/>
      <c r="F797" s="237"/>
      <c r="G797" s="237"/>
      <c r="H797" s="131"/>
      <c r="I797" s="131"/>
      <c r="J797" s="131"/>
      <c r="K797" s="131"/>
      <c r="L797" s="131"/>
      <c r="T797" s="237"/>
      <c r="U797" s="237"/>
      <c r="V797" s="237"/>
      <c r="W797" s="237"/>
      <c r="X797" s="237"/>
      <c r="Y797" s="237"/>
      <c r="Z797" s="237"/>
      <c r="AH797" s="237"/>
      <c r="AI797" s="237"/>
      <c r="AJ797" s="237"/>
      <c r="AK797" s="237"/>
      <c r="AL797" s="237"/>
      <c r="AM797" s="237"/>
      <c r="AN797" s="237"/>
      <c r="AV797" s="237"/>
      <c r="AW797" s="237"/>
      <c r="AX797" s="237"/>
      <c r="AY797" s="237"/>
      <c r="AZ797" s="237"/>
      <c r="BA797" s="237"/>
      <c r="BB797" s="237"/>
    </row>
    <row r="798">
      <c r="E798" s="133"/>
      <c r="F798" s="237"/>
      <c r="G798" s="237"/>
      <c r="H798" s="131"/>
      <c r="I798" s="131"/>
      <c r="J798" s="131"/>
      <c r="K798" s="131"/>
      <c r="L798" s="131"/>
      <c r="T798" s="237"/>
      <c r="U798" s="237"/>
      <c r="V798" s="237"/>
      <c r="W798" s="237"/>
      <c r="X798" s="237"/>
      <c r="Y798" s="237"/>
      <c r="Z798" s="237"/>
      <c r="AH798" s="237"/>
      <c r="AI798" s="237"/>
      <c r="AJ798" s="237"/>
      <c r="AK798" s="237"/>
      <c r="AL798" s="237"/>
      <c r="AM798" s="237"/>
      <c r="AN798" s="237"/>
      <c r="AV798" s="237"/>
      <c r="AW798" s="237"/>
      <c r="AX798" s="237"/>
      <c r="AY798" s="237"/>
      <c r="AZ798" s="237"/>
      <c r="BA798" s="237"/>
      <c r="BB798" s="237"/>
    </row>
    <row r="799">
      <c r="E799" s="133"/>
      <c r="F799" s="237"/>
      <c r="G799" s="237"/>
      <c r="H799" s="131"/>
      <c r="I799" s="131"/>
      <c r="J799" s="131"/>
      <c r="K799" s="131"/>
      <c r="L799" s="131"/>
      <c r="T799" s="237"/>
      <c r="U799" s="237"/>
      <c r="V799" s="237"/>
      <c r="W799" s="237"/>
      <c r="X799" s="237"/>
      <c r="Y799" s="237"/>
      <c r="Z799" s="237"/>
      <c r="AH799" s="237"/>
      <c r="AI799" s="237"/>
      <c r="AJ799" s="237"/>
      <c r="AK799" s="237"/>
      <c r="AL799" s="237"/>
      <c r="AM799" s="237"/>
      <c r="AN799" s="237"/>
      <c r="AV799" s="237"/>
      <c r="AW799" s="237"/>
      <c r="AX799" s="237"/>
      <c r="AY799" s="237"/>
      <c r="AZ799" s="237"/>
      <c r="BA799" s="237"/>
      <c r="BB799" s="237"/>
    </row>
    <row r="800">
      <c r="E800" s="133"/>
      <c r="F800" s="237"/>
      <c r="G800" s="237"/>
      <c r="H800" s="131"/>
      <c r="I800" s="131"/>
      <c r="J800" s="131"/>
      <c r="K800" s="131"/>
      <c r="L800" s="131"/>
      <c r="T800" s="237"/>
      <c r="U800" s="237"/>
      <c r="V800" s="237"/>
      <c r="W800" s="237"/>
      <c r="X800" s="237"/>
      <c r="Y800" s="237"/>
      <c r="Z800" s="237"/>
      <c r="AH800" s="237"/>
      <c r="AI800" s="237"/>
      <c r="AJ800" s="237"/>
      <c r="AK800" s="237"/>
      <c r="AL800" s="237"/>
      <c r="AM800" s="237"/>
      <c r="AN800" s="237"/>
      <c r="AV800" s="237"/>
      <c r="AW800" s="237"/>
      <c r="AX800" s="237"/>
      <c r="AY800" s="237"/>
      <c r="AZ800" s="237"/>
      <c r="BA800" s="237"/>
      <c r="BB800" s="237"/>
    </row>
    <row r="801">
      <c r="E801" s="133"/>
      <c r="F801" s="237"/>
      <c r="G801" s="237"/>
      <c r="H801" s="131"/>
      <c r="I801" s="131"/>
      <c r="J801" s="131"/>
      <c r="K801" s="131"/>
      <c r="L801" s="131"/>
      <c r="T801" s="237"/>
      <c r="U801" s="237"/>
      <c r="V801" s="237"/>
      <c r="W801" s="237"/>
      <c r="X801" s="237"/>
      <c r="Y801" s="237"/>
      <c r="Z801" s="237"/>
      <c r="AH801" s="237"/>
      <c r="AI801" s="237"/>
      <c r="AJ801" s="237"/>
      <c r="AK801" s="237"/>
      <c r="AL801" s="237"/>
      <c r="AM801" s="237"/>
      <c r="AN801" s="237"/>
      <c r="AV801" s="237"/>
      <c r="AW801" s="237"/>
      <c r="AX801" s="237"/>
      <c r="AY801" s="237"/>
      <c r="AZ801" s="237"/>
      <c r="BA801" s="237"/>
      <c r="BB801" s="237"/>
    </row>
    <row r="802">
      <c r="E802" s="133"/>
      <c r="F802" s="237"/>
      <c r="G802" s="237"/>
      <c r="H802" s="131"/>
      <c r="I802" s="131"/>
      <c r="J802" s="131"/>
      <c r="K802" s="131"/>
      <c r="L802" s="131"/>
      <c r="T802" s="237"/>
      <c r="U802" s="237"/>
      <c r="V802" s="237"/>
      <c r="W802" s="237"/>
      <c r="X802" s="237"/>
      <c r="Y802" s="237"/>
      <c r="Z802" s="237"/>
      <c r="AH802" s="237"/>
      <c r="AI802" s="237"/>
      <c r="AJ802" s="237"/>
      <c r="AK802" s="237"/>
      <c r="AL802" s="237"/>
      <c r="AM802" s="237"/>
      <c r="AN802" s="237"/>
      <c r="AV802" s="237"/>
      <c r="AW802" s="237"/>
      <c r="AX802" s="237"/>
      <c r="AY802" s="237"/>
      <c r="AZ802" s="237"/>
      <c r="BA802" s="237"/>
      <c r="BB802" s="237"/>
    </row>
    <row r="803">
      <c r="E803" s="133"/>
      <c r="F803" s="237"/>
      <c r="G803" s="237"/>
      <c r="H803" s="131"/>
      <c r="I803" s="131"/>
      <c r="J803" s="131"/>
      <c r="K803" s="131"/>
      <c r="L803" s="131"/>
      <c r="T803" s="237"/>
      <c r="U803" s="237"/>
      <c r="V803" s="237"/>
      <c r="W803" s="237"/>
      <c r="X803" s="237"/>
      <c r="Y803" s="237"/>
      <c r="Z803" s="237"/>
      <c r="AH803" s="237"/>
      <c r="AI803" s="237"/>
      <c r="AJ803" s="237"/>
      <c r="AK803" s="237"/>
      <c r="AL803" s="237"/>
      <c r="AM803" s="237"/>
      <c r="AN803" s="237"/>
      <c r="AV803" s="237"/>
      <c r="AW803" s="237"/>
      <c r="AX803" s="237"/>
      <c r="AY803" s="237"/>
      <c r="AZ803" s="237"/>
      <c r="BA803" s="237"/>
      <c r="BB803" s="237"/>
    </row>
    <row r="804">
      <c r="E804" s="133"/>
      <c r="F804" s="237"/>
      <c r="G804" s="237"/>
      <c r="H804" s="131"/>
      <c r="I804" s="131"/>
      <c r="J804" s="131"/>
      <c r="K804" s="131"/>
      <c r="L804" s="131"/>
      <c r="T804" s="237"/>
      <c r="U804" s="237"/>
      <c r="V804" s="237"/>
      <c r="W804" s="237"/>
      <c r="X804" s="237"/>
      <c r="Y804" s="237"/>
      <c r="Z804" s="237"/>
      <c r="AH804" s="237"/>
      <c r="AI804" s="237"/>
      <c r="AJ804" s="237"/>
      <c r="AK804" s="237"/>
      <c r="AL804" s="237"/>
      <c r="AM804" s="237"/>
      <c r="AN804" s="237"/>
      <c r="AV804" s="237"/>
      <c r="AW804" s="237"/>
      <c r="AX804" s="237"/>
      <c r="AY804" s="237"/>
      <c r="AZ804" s="237"/>
      <c r="BA804" s="237"/>
      <c r="BB804" s="237"/>
    </row>
    <row r="805">
      <c r="E805" s="133"/>
      <c r="F805" s="237"/>
      <c r="G805" s="237"/>
      <c r="H805" s="131"/>
      <c r="I805" s="131"/>
      <c r="J805" s="131"/>
      <c r="K805" s="131"/>
      <c r="L805" s="131"/>
      <c r="T805" s="237"/>
      <c r="U805" s="237"/>
      <c r="V805" s="237"/>
      <c r="W805" s="237"/>
      <c r="X805" s="237"/>
      <c r="Y805" s="237"/>
      <c r="Z805" s="237"/>
      <c r="AH805" s="237"/>
      <c r="AI805" s="237"/>
      <c r="AJ805" s="237"/>
      <c r="AK805" s="237"/>
      <c r="AL805" s="237"/>
      <c r="AM805" s="237"/>
      <c r="AN805" s="237"/>
      <c r="AV805" s="237"/>
      <c r="AW805" s="237"/>
      <c r="AX805" s="237"/>
      <c r="AY805" s="237"/>
      <c r="AZ805" s="237"/>
      <c r="BA805" s="237"/>
      <c r="BB805" s="237"/>
    </row>
    <row r="806">
      <c r="E806" s="133"/>
      <c r="F806" s="237"/>
      <c r="G806" s="237"/>
      <c r="H806" s="131"/>
      <c r="I806" s="131"/>
      <c r="J806" s="131"/>
      <c r="K806" s="131"/>
      <c r="L806" s="131"/>
      <c r="T806" s="237"/>
      <c r="U806" s="237"/>
      <c r="V806" s="237"/>
      <c r="W806" s="237"/>
      <c r="X806" s="237"/>
      <c r="Y806" s="237"/>
      <c r="Z806" s="237"/>
      <c r="AH806" s="237"/>
      <c r="AI806" s="237"/>
      <c r="AJ806" s="237"/>
      <c r="AK806" s="237"/>
      <c r="AL806" s="237"/>
      <c r="AM806" s="237"/>
      <c r="AN806" s="237"/>
      <c r="AV806" s="237"/>
      <c r="AW806" s="237"/>
      <c r="AX806" s="237"/>
      <c r="AY806" s="237"/>
      <c r="AZ806" s="237"/>
      <c r="BA806" s="237"/>
      <c r="BB806" s="237"/>
    </row>
    <row r="807">
      <c r="E807" s="133"/>
      <c r="F807" s="237"/>
      <c r="G807" s="237"/>
      <c r="H807" s="131"/>
      <c r="I807" s="131"/>
      <c r="J807" s="131"/>
      <c r="K807" s="131"/>
      <c r="L807" s="131"/>
      <c r="T807" s="237"/>
      <c r="U807" s="237"/>
      <c r="V807" s="237"/>
      <c r="W807" s="237"/>
      <c r="X807" s="237"/>
      <c r="Y807" s="237"/>
      <c r="Z807" s="237"/>
      <c r="AH807" s="237"/>
      <c r="AI807" s="237"/>
      <c r="AJ807" s="237"/>
      <c r="AK807" s="237"/>
      <c r="AL807" s="237"/>
      <c r="AM807" s="237"/>
      <c r="AN807" s="237"/>
      <c r="AV807" s="237"/>
      <c r="AW807" s="237"/>
      <c r="AX807" s="237"/>
      <c r="AY807" s="237"/>
      <c r="AZ807" s="237"/>
      <c r="BA807" s="237"/>
      <c r="BB807" s="237"/>
    </row>
    <row r="808">
      <c r="E808" s="133"/>
      <c r="F808" s="237"/>
      <c r="G808" s="237"/>
      <c r="H808" s="131"/>
      <c r="I808" s="131"/>
      <c r="J808" s="131"/>
      <c r="K808" s="131"/>
      <c r="L808" s="131"/>
      <c r="T808" s="237"/>
      <c r="U808" s="237"/>
      <c r="V808" s="237"/>
      <c r="W808" s="237"/>
      <c r="X808" s="237"/>
      <c r="Y808" s="237"/>
      <c r="Z808" s="237"/>
      <c r="AH808" s="237"/>
      <c r="AI808" s="237"/>
      <c r="AJ808" s="237"/>
      <c r="AK808" s="237"/>
      <c r="AL808" s="237"/>
      <c r="AM808" s="237"/>
      <c r="AN808" s="237"/>
      <c r="AV808" s="237"/>
      <c r="AW808" s="237"/>
      <c r="AX808" s="237"/>
      <c r="AY808" s="237"/>
      <c r="AZ808" s="237"/>
      <c r="BA808" s="237"/>
      <c r="BB808" s="237"/>
    </row>
    <row r="809">
      <c r="E809" s="133"/>
      <c r="F809" s="237"/>
      <c r="G809" s="237"/>
      <c r="H809" s="131"/>
      <c r="I809" s="131"/>
      <c r="J809" s="131"/>
      <c r="K809" s="131"/>
      <c r="L809" s="131"/>
      <c r="T809" s="237"/>
      <c r="U809" s="237"/>
      <c r="V809" s="237"/>
      <c r="W809" s="237"/>
      <c r="X809" s="237"/>
      <c r="Y809" s="237"/>
      <c r="Z809" s="237"/>
      <c r="AH809" s="237"/>
      <c r="AI809" s="237"/>
      <c r="AJ809" s="237"/>
      <c r="AK809" s="237"/>
      <c r="AL809" s="237"/>
      <c r="AM809" s="237"/>
      <c r="AN809" s="237"/>
      <c r="AV809" s="237"/>
      <c r="AW809" s="237"/>
      <c r="AX809" s="237"/>
      <c r="AY809" s="237"/>
      <c r="AZ809" s="237"/>
      <c r="BA809" s="237"/>
      <c r="BB809" s="237"/>
    </row>
    <row r="810">
      <c r="E810" s="133"/>
      <c r="F810" s="237"/>
      <c r="G810" s="237"/>
      <c r="H810" s="131"/>
      <c r="I810" s="131"/>
      <c r="J810" s="131"/>
      <c r="K810" s="131"/>
      <c r="L810" s="131"/>
      <c r="T810" s="237"/>
      <c r="U810" s="237"/>
      <c r="V810" s="237"/>
      <c r="W810" s="237"/>
      <c r="X810" s="237"/>
      <c r="Y810" s="237"/>
      <c r="Z810" s="237"/>
      <c r="AH810" s="237"/>
      <c r="AI810" s="237"/>
      <c r="AJ810" s="237"/>
      <c r="AK810" s="237"/>
      <c r="AL810" s="237"/>
      <c r="AM810" s="237"/>
      <c r="AN810" s="237"/>
      <c r="AV810" s="237"/>
      <c r="AW810" s="237"/>
      <c r="AX810" s="237"/>
      <c r="AY810" s="237"/>
      <c r="AZ810" s="237"/>
      <c r="BA810" s="237"/>
      <c r="BB810" s="237"/>
    </row>
    <row r="811">
      <c r="E811" s="133"/>
      <c r="F811" s="237"/>
      <c r="G811" s="237"/>
      <c r="H811" s="131"/>
      <c r="I811" s="131"/>
      <c r="J811" s="131"/>
      <c r="K811" s="131"/>
      <c r="L811" s="131"/>
      <c r="T811" s="237"/>
      <c r="U811" s="237"/>
      <c r="V811" s="237"/>
      <c r="W811" s="237"/>
      <c r="X811" s="237"/>
      <c r="Y811" s="237"/>
      <c r="Z811" s="237"/>
      <c r="AH811" s="237"/>
      <c r="AI811" s="237"/>
      <c r="AJ811" s="237"/>
      <c r="AK811" s="237"/>
      <c r="AL811" s="237"/>
      <c r="AM811" s="237"/>
      <c r="AN811" s="237"/>
      <c r="AV811" s="237"/>
      <c r="AW811" s="237"/>
      <c r="AX811" s="237"/>
      <c r="AY811" s="237"/>
      <c r="AZ811" s="237"/>
      <c r="BA811" s="237"/>
      <c r="BB811" s="237"/>
    </row>
    <row r="812">
      <c r="E812" s="133"/>
      <c r="F812" s="237"/>
      <c r="G812" s="237"/>
      <c r="H812" s="131"/>
      <c r="I812" s="131"/>
      <c r="J812" s="131"/>
      <c r="K812" s="131"/>
      <c r="L812" s="131"/>
      <c r="T812" s="237"/>
      <c r="U812" s="237"/>
      <c r="V812" s="237"/>
      <c r="W812" s="237"/>
      <c r="X812" s="237"/>
      <c r="Y812" s="237"/>
      <c r="Z812" s="237"/>
      <c r="AH812" s="237"/>
      <c r="AI812" s="237"/>
      <c r="AJ812" s="237"/>
      <c r="AK812" s="237"/>
      <c r="AL812" s="237"/>
      <c r="AM812" s="237"/>
      <c r="AN812" s="237"/>
      <c r="AV812" s="237"/>
      <c r="AW812" s="237"/>
      <c r="AX812" s="237"/>
      <c r="AY812" s="237"/>
      <c r="AZ812" s="237"/>
      <c r="BA812" s="237"/>
      <c r="BB812" s="237"/>
    </row>
    <row r="813">
      <c r="E813" s="133"/>
      <c r="F813" s="237"/>
      <c r="G813" s="237"/>
      <c r="H813" s="131"/>
      <c r="I813" s="131"/>
      <c r="J813" s="131"/>
      <c r="K813" s="131"/>
      <c r="L813" s="131"/>
      <c r="T813" s="237"/>
      <c r="U813" s="237"/>
      <c r="V813" s="237"/>
      <c r="W813" s="237"/>
      <c r="X813" s="237"/>
      <c r="Y813" s="237"/>
      <c r="Z813" s="237"/>
      <c r="AH813" s="237"/>
      <c r="AI813" s="237"/>
      <c r="AJ813" s="237"/>
      <c r="AK813" s="237"/>
      <c r="AL813" s="237"/>
      <c r="AM813" s="237"/>
      <c r="AN813" s="237"/>
      <c r="AV813" s="237"/>
      <c r="AW813" s="237"/>
      <c r="AX813" s="237"/>
      <c r="AY813" s="237"/>
      <c r="AZ813" s="237"/>
      <c r="BA813" s="237"/>
      <c r="BB813" s="237"/>
    </row>
    <row r="814">
      <c r="E814" s="133"/>
      <c r="F814" s="237"/>
      <c r="G814" s="237"/>
      <c r="H814" s="131"/>
      <c r="I814" s="131"/>
      <c r="J814" s="131"/>
      <c r="K814" s="131"/>
      <c r="L814" s="131"/>
      <c r="T814" s="237"/>
      <c r="U814" s="237"/>
      <c r="V814" s="237"/>
      <c r="W814" s="237"/>
      <c r="X814" s="237"/>
      <c r="Y814" s="237"/>
      <c r="Z814" s="237"/>
      <c r="AH814" s="237"/>
      <c r="AI814" s="237"/>
      <c r="AJ814" s="237"/>
      <c r="AK814" s="237"/>
      <c r="AL814" s="237"/>
      <c r="AM814" s="237"/>
      <c r="AN814" s="237"/>
      <c r="AV814" s="237"/>
      <c r="AW814" s="237"/>
      <c r="AX814" s="237"/>
      <c r="AY814" s="237"/>
      <c r="AZ814" s="237"/>
      <c r="BA814" s="237"/>
      <c r="BB814" s="237"/>
    </row>
    <row r="815">
      <c r="E815" s="133"/>
      <c r="F815" s="237"/>
      <c r="G815" s="237"/>
      <c r="H815" s="131"/>
      <c r="I815" s="131"/>
      <c r="J815" s="131"/>
      <c r="K815" s="131"/>
      <c r="L815" s="131"/>
      <c r="T815" s="237"/>
      <c r="U815" s="237"/>
      <c r="V815" s="237"/>
      <c r="W815" s="237"/>
      <c r="X815" s="237"/>
      <c r="Y815" s="237"/>
      <c r="Z815" s="237"/>
      <c r="AH815" s="237"/>
      <c r="AI815" s="237"/>
      <c r="AJ815" s="237"/>
      <c r="AK815" s="237"/>
      <c r="AL815" s="237"/>
      <c r="AM815" s="237"/>
      <c r="AN815" s="237"/>
      <c r="AV815" s="237"/>
      <c r="AW815" s="237"/>
      <c r="AX815" s="237"/>
      <c r="AY815" s="237"/>
      <c r="AZ815" s="237"/>
      <c r="BA815" s="237"/>
      <c r="BB815" s="237"/>
    </row>
    <row r="816">
      <c r="E816" s="133"/>
      <c r="F816" s="237"/>
      <c r="G816" s="237"/>
      <c r="H816" s="131"/>
      <c r="I816" s="131"/>
      <c r="J816" s="131"/>
      <c r="K816" s="131"/>
      <c r="L816" s="131"/>
      <c r="T816" s="237"/>
      <c r="U816" s="237"/>
      <c r="V816" s="237"/>
      <c r="W816" s="237"/>
      <c r="X816" s="237"/>
      <c r="Y816" s="237"/>
      <c r="Z816" s="237"/>
      <c r="AH816" s="237"/>
      <c r="AI816" s="237"/>
      <c r="AJ816" s="237"/>
      <c r="AK816" s="237"/>
      <c r="AL816" s="237"/>
      <c r="AM816" s="237"/>
      <c r="AN816" s="237"/>
      <c r="AV816" s="237"/>
      <c r="AW816" s="237"/>
      <c r="AX816" s="237"/>
      <c r="AY816" s="237"/>
      <c r="AZ816" s="237"/>
      <c r="BA816" s="237"/>
      <c r="BB816" s="237"/>
    </row>
    <row r="817">
      <c r="E817" s="133"/>
      <c r="F817" s="237"/>
      <c r="G817" s="237"/>
      <c r="H817" s="131"/>
      <c r="I817" s="131"/>
      <c r="J817" s="131"/>
      <c r="K817" s="131"/>
      <c r="L817" s="131"/>
      <c r="T817" s="237"/>
      <c r="U817" s="237"/>
      <c r="V817" s="237"/>
      <c r="W817" s="237"/>
      <c r="X817" s="237"/>
      <c r="Y817" s="237"/>
      <c r="Z817" s="237"/>
      <c r="AH817" s="237"/>
      <c r="AI817" s="237"/>
      <c r="AJ817" s="237"/>
      <c r="AK817" s="237"/>
      <c r="AL817" s="237"/>
      <c r="AM817" s="237"/>
      <c r="AN817" s="237"/>
      <c r="AV817" s="237"/>
      <c r="AW817" s="237"/>
      <c r="AX817" s="237"/>
      <c r="AY817" s="237"/>
      <c r="AZ817" s="237"/>
      <c r="BA817" s="237"/>
      <c r="BB817" s="237"/>
    </row>
    <row r="818">
      <c r="E818" s="133"/>
      <c r="F818" s="237"/>
      <c r="G818" s="237"/>
      <c r="H818" s="131"/>
      <c r="I818" s="131"/>
      <c r="J818" s="131"/>
      <c r="K818" s="131"/>
      <c r="L818" s="131"/>
      <c r="T818" s="237"/>
      <c r="U818" s="237"/>
      <c r="V818" s="237"/>
      <c r="W818" s="237"/>
      <c r="X818" s="237"/>
      <c r="Y818" s="237"/>
      <c r="Z818" s="237"/>
      <c r="AH818" s="237"/>
      <c r="AI818" s="237"/>
      <c r="AJ818" s="237"/>
      <c r="AK818" s="237"/>
      <c r="AL818" s="237"/>
      <c r="AM818" s="237"/>
      <c r="AN818" s="237"/>
      <c r="AV818" s="237"/>
      <c r="AW818" s="237"/>
      <c r="AX818" s="237"/>
      <c r="AY818" s="237"/>
      <c r="AZ818" s="237"/>
      <c r="BA818" s="237"/>
      <c r="BB818" s="237"/>
    </row>
    <row r="819">
      <c r="E819" s="133"/>
      <c r="F819" s="237"/>
      <c r="G819" s="237"/>
      <c r="H819" s="131"/>
      <c r="I819" s="131"/>
      <c r="J819" s="131"/>
      <c r="K819" s="131"/>
      <c r="L819" s="131"/>
      <c r="T819" s="237"/>
      <c r="U819" s="237"/>
      <c r="V819" s="237"/>
      <c r="W819" s="237"/>
      <c r="X819" s="237"/>
      <c r="Y819" s="237"/>
      <c r="Z819" s="237"/>
      <c r="AH819" s="237"/>
      <c r="AI819" s="237"/>
      <c r="AJ819" s="237"/>
      <c r="AK819" s="237"/>
      <c r="AL819" s="237"/>
      <c r="AM819" s="237"/>
      <c r="AN819" s="237"/>
      <c r="AV819" s="237"/>
      <c r="AW819" s="237"/>
      <c r="AX819" s="237"/>
      <c r="AY819" s="237"/>
      <c r="AZ819" s="237"/>
      <c r="BA819" s="237"/>
      <c r="BB819" s="237"/>
    </row>
    <row r="820">
      <c r="E820" s="133"/>
      <c r="F820" s="237"/>
      <c r="G820" s="237"/>
      <c r="H820" s="131"/>
      <c r="I820" s="131"/>
      <c r="J820" s="131"/>
      <c r="K820" s="131"/>
      <c r="L820" s="131"/>
      <c r="T820" s="237"/>
      <c r="U820" s="237"/>
      <c r="V820" s="237"/>
      <c r="W820" s="237"/>
      <c r="X820" s="237"/>
      <c r="Y820" s="237"/>
      <c r="Z820" s="237"/>
      <c r="AH820" s="237"/>
      <c r="AI820" s="237"/>
      <c r="AJ820" s="237"/>
      <c r="AK820" s="237"/>
      <c r="AL820" s="237"/>
      <c r="AM820" s="237"/>
      <c r="AN820" s="237"/>
      <c r="AV820" s="237"/>
      <c r="AW820" s="237"/>
      <c r="AX820" s="237"/>
      <c r="AY820" s="237"/>
      <c r="AZ820" s="237"/>
      <c r="BA820" s="237"/>
      <c r="BB820" s="237"/>
    </row>
    <row r="821">
      <c r="E821" s="133"/>
      <c r="F821" s="237"/>
      <c r="G821" s="237"/>
      <c r="H821" s="131"/>
      <c r="I821" s="131"/>
      <c r="J821" s="131"/>
      <c r="K821" s="131"/>
      <c r="L821" s="131"/>
      <c r="T821" s="237"/>
      <c r="U821" s="237"/>
      <c r="V821" s="237"/>
      <c r="W821" s="237"/>
      <c r="X821" s="237"/>
      <c r="Y821" s="237"/>
      <c r="Z821" s="237"/>
      <c r="AH821" s="237"/>
      <c r="AI821" s="237"/>
      <c r="AJ821" s="237"/>
      <c r="AK821" s="237"/>
      <c r="AL821" s="237"/>
      <c r="AM821" s="237"/>
      <c r="AN821" s="237"/>
      <c r="AV821" s="237"/>
      <c r="AW821" s="237"/>
      <c r="AX821" s="237"/>
      <c r="AY821" s="237"/>
      <c r="AZ821" s="237"/>
      <c r="BA821" s="237"/>
      <c r="BB821" s="237"/>
    </row>
    <row r="822">
      <c r="E822" s="133"/>
      <c r="F822" s="237"/>
      <c r="G822" s="237"/>
      <c r="H822" s="131"/>
      <c r="I822" s="131"/>
      <c r="J822" s="131"/>
      <c r="K822" s="131"/>
      <c r="L822" s="131"/>
      <c r="T822" s="237"/>
      <c r="U822" s="237"/>
      <c r="V822" s="237"/>
      <c r="W822" s="237"/>
      <c r="X822" s="237"/>
      <c r="Y822" s="237"/>
      <c r="Z822" s="237"/>
      <c r="AH822" s="237"/>
      <c r="AI822" s="237"/>
      <c r="AJ822" s="237"/>
      <c r="AK822" s="237"/>
      <c r="AL822" s="237"/>
      <c r="AM822" s="237"/>
      <c r="AN822" s="237"/>
      <c r="AV822" s="237"/>
      <c r="AW822" s="237"/>
      <c r="AX822" s="237"/>
      <c r="AY822" s="237"/>
      <c r="AZ822" s="237"/>
      <c r="BA822" s="237"/>
      <c r="BB822" s="237"/>
    </row>
    <row r="823">
      <c r="E823" s="133"/>
      <c r="F823" s="237"/>
      <c r="G823" s="237"/>
      <c r="H823" s="131"/>
      <c r="I823" s="131"/>
      <c r="J823" s="131"/>
      <c r="K823" s="131"/>
      <c r="L823" s="131"/>
      <c r="T823" s="237"/>
      <c r="U823" s="237"/>
      <c r="V823" s="237"/>
      <c r="W823" s="237"/>
      <c r="X823" s="237"/>
      <c r="Y823" s="237"/>
      <c r="Z823" s="237"/>
      <c r="AH823" s="237"/>
      <c r="AI823" s="237"/>
      <c r="AJ823" s="237"/>
      <c r="AK823" s="237"/>
      <c r="AL823" s="237"/>
      <c r="AM823" s="237"/>
      <c r="AN823" s="237"/>
      <c r="AV823" s="237"/>
      <c r="AW823" s="237"/>
      <c r="AX823" s="237"/>
      <c r="AY823" s="237"/>
      <c r="AZ823" s="237"/>
      <c r="BA823" s="237"/>
      <c r="BB823" s="237"/>
    </row>
    <row r="824">
      <c r="E824" s="133"/>
      <c r="F824" s="237"/>
      <c r="G824" s="237"/>
      <c r="H824" s="131"/>
      <c r="I824" s="131"/>
      <c r="J824" s="131"/>
      <c r="K824" s="131"/>
      <c r="L824" s="131"/>
      <c r="T824" s="237"/>
      <c r="U824" s="237"/>
      <c r="V824" s="237"/>
      <c r="W824" s="237"/>
      <c r="X824" s="237"/>
      <c r="Y824" s="237"/>
      <c r="Z824" s="237"/>
      <c r="AH824" s="237"/>
      <c r="AI824" s="237"/>
      <c r="AJ824" s="237"/>
      <c r="AK824" s="237"/>
      <c r="AL824" s="237"/>
      <c r="AM824" s="237"/>
      <c r="AN824" s="237"/>
      <c r="AV824" s="237"/>
      <c r="AW824" s="237"/>
      <c r="AX824" s="237"/>
      <c r="AY824" s="237"/>
      <c r="AZ824" s="237"/>
      <c r="BA824" s="237"/>
      <c r="BB824" s="237"/>
    </row>
    <row r="825">
      <c r="E825" s="133"/>
      <c r="F825" s="237"/>
      <c r="G825" s="237"/>
      <c r="H825" s="131"/>
      <c r="I825" s="131"/>
      <c r="J825" s="131"/>
      <c r="K825" s="131"/>
      <c r="L825" s="131"/>
      <c r="T825" s="237"/>
      <c r="U825" s="237"/>
      <c r="V825" s="237"/>
      <c r="W825" s="237"/>
      <c r="X825" s="237"/>
      <c r="Y825" s="237"/>
      <c r="Z825" s="237"/>
      <c r="AH825" s="237"/>
      <c r="AI825" s="237"/>
      <c r="AJ825" s="237"/>
      <c r="AK825" s="237"/>
      <c r="AL825" s="237"/>
      <c r="AM825" s="237"/>
      <c r="AN825" s="237"/>
      <c r="AV825" s="237"/>
      <c r="AW825" s="237"/>
      <c r="AX825" s="237"/>
      <c r="AY825" s="237"/>
      <c r="AZ825" s="237"/>
      <c r="BA825" s="237"/>
      <c r="BB825" s="237"/>
    </row>
    <row r="826">
      <c r="E826" s="133"/>
      <c r="F826" s="237"/>
      <c r="G826" s="237"/>
      <c r="H826" s="131"/>
      <c r="I826" s="131"/>
      <c r="J826" s="131"/>
      <c r="K826" s="131"/>
      <c r="L826" s="131"/>
      <c r="T826" s="237"/>
      <c r="U826" s="237"/>
      <c r="V826" s="237"/>
      <c r="W826" s="237"/>
      <c r="X826" s="237"/>
      <c r="Y826" s="237"/>
      <c r="Z826" s="237"/>
      <c r="AH826" s="237"/>
      <c r="AI826" s="237"/>
      <c r="AJ826" s="237"/>
      <c r="AK826" s="237"/>
      <c r="AL826" s="237"/>
      <c r="AM826" s="237"/>
      <c r="AN826" s="237"/>
      <c r="AV826" s="237"/>
      <c r="AW826" s="237"/>
      <c r="AX826" s="237"/>
      <c r="AY826" s="237"/>
      <c r="AZ826" s="237"/>
      <c r="BA826" s="237"/>
      <c r="BB826" s="237"/>
    </row>
    <row r="827">
      <c r="E827" s="133"/>
      <c r="F827" s="237"/>
      <c r="G827" s="237"/>
      <c r="H827" s="131"/>
      <c r="I827" s="131"/>
      <c r="J827" s="131"/>
      <c r="K827" s="131"/>
      <c r="L827" s="131"/>
      <c r="T827" s="237"/>
      <c r="U827" s="237"/>
      <c r="V827" s="237"/>
      <c r="W827" s="237"/>
      <c r="X827" s="237"/>
      <c r="Y827" s="237"/>
      <c r="Z827" s="237"/>
      <c r="AH827" s="237"/>
      <c r="AI827" s="237"/>
      <c r="AJ827" s="237"/>
      <c r="AK827" s="237"/>
      <c r="AL827" s="237"/>
      <c r="AM827" s="237"/>
      <c r="AN827" s="237"/>
      <c r="AV827" s="237"/>
      <c r="AW827" s="237"/>
      <c r="AX827" s="237"/>
      <c r="AY827" s="237"/>
      <c r="AZ827" s="237"/>
      <c r="BA827" s="237"/>
      <c r="BB827" s="237"/>
    </row>
    <row r="828">
      <c r="E828" s="133"/>
      <c r="F828" s="237"/>
      <c r="G828" s="237"/>
      <c r="H828" s="131"/>
      <c r="I828" s="131"/>
      <c r="J828" s="131"/>
      <c r="K828" s="131"/>
      <c r="L828" s="131"/>
      <c r="T828" s="237"/>
      <c r="U828" s="237"/>
      <c r="V828" s="237"/>
      <c r="W828" s="237"/>
      <c r="X828" s="237"/>
      <c r="Y828" s="237"/>
      <c r="Z828" s="237"/>
      <c r="AH828" s="237"/>
      <c r="AI828" s="237"/>
      <c r="AJ828" s="237"/>
      <c r="AK828" s="237"/>
      <c r="AL828" s="237"/>
      <c r="AM828" s="237"/>
      <c r="AN828" s="237"/>
      <c r="AV828" s="237"/>
      <c r="AW828" s="237"/>
      <c r="AX828" s="237"/>
      <c r="AY828" s="237"/>
      <c r="AZ828" s="237"/>
      <c r="BA828" s="237"/>
      <c r="BB828" s="237"/>
    </row>
    <row r="829">
      <c r="E829" s="133"/>
      <c r="F829" s="237"/>
      <c r="G829" s="237"/>
      <c r="H829" s="131"/>
      <c r="I829" s="131"/>
      <c r="J829" s="131"/>
      <c r="K829" s="131"/>
      <c r="L829" s="131"/>
      <c r="T829" s="237"/>
      <c r="U829" s="237"/>
      <c r="V829" s="237"/>
      <c r="W829" s="237"/>
      <c r="X829" s="237"/>
      <c r="Y829" s="237"/>
      <c r="Z829" s="237"/>
      <c r="AH829" s="237"/>
      <c r="AI829" s="237"/>
      <c r="AJ829" s="237"/>
      <c r="AK829" s="237"/>
      <c r="AL829" s="237"/>
      <c r="AM829" s="237"/>
      <c r="AN829" s="237"/>
      <c r="AV829" s="237"/>
      <c r="AW829" s="237"/>
      <c r="AX829" s="237"/>
      <c r="AY829" s="237"/>
      <c r="AZ829" s="237"/>
      <c r="BA829" s="237"/>
      <c r="BB829" s="237"/>
    </row>
    <row r="830">
      <c r="E830" s="133"/>
      <c r="F830" s="237"/>
      <c r="G830" s="237"/>
      <c r="H830" s="131"/>
      <c r="I830" s="131"/>
      <c r="J830" s="131"/>
      <c r="K830" s="131"/>
      <c r="L830" s="131"/>
      <c r="T830" s="237"/>
      <c r="U830" s="237"/>
      <c r="V830" s="237"/>
      <c r="W830" s="237"/>
      <c r="X830" s="237"/>
      <c r="Y830" s="237"/>
      <c r="Z830" s="237"/>
      <c r="AH830" s="237"/>
      <c r="AI830" s="237"/>
      <c r="AJ830" s="237"/>
      <c r="AK830" s="237"/>
      <c r="AL830" s="237"/>
      <c r="AM830" s="237"/>
      <c r="AN830" s="237"/>
      <c r="AV830" s="237"/>
      <c r="AW830" s="237"/>
      <c r="AX830" s="237"/>
      <c r="AY830" s="237"/>
      <c r="AZ830" s="237"/>
      <c r="BA830" s="237"/>
      <c r="BB830" s="237"/>
    </row>
    <row r="831">
      <c r="E831" s="133"/>
      <c r="F831" s="237"/>
      <c r="G831" s="237"/>
      <c r="H831" s="131"/>
      <c r="I831" s="131"/>
      <c r="J831" s="131"/>
      <c r="K831" s="131"/>
      <c r="L831" s="131"/>
      <c r="T831" s="237"/>
      <c r="U831" s="237"/>
      <c r="V831" s="237"/>
      <c r="W831" s="237"/>
      <c r="X831" s="237"/>
      <c r="Y831" s="237"/>
      <c r="Z831" s="237"/>
      <c r="AH831" s="237"/>
      <c r="AI831" s="237"/>
      <c r="AJ831" s="237"/>
      <c r="AK831" s="237"/>
      <c r="AL831" s="237"/>
      <c r="AM831" s="237"/>
      <c r="AN831" s="237"/>
      <c r="AV831" s="237"/>
      <c r="AW831" s="237"/>
      <c r="AX831" s="237"/>
      <c r="AY831" s="237"/>
      <c r="AZ831" s="237"/>
      <c r="BA831" s="237"/>
      <c r="BB831" s="237"/>
    </row>
    <row r="832">
      <c r="E832" s="133"/>
      <c r="F832" s="237"/>
      <c r="G832" s="237"/>
      <c r="H832" s="131"/>
      <c r="I832" s="131"/>
      <c r="J832" s="131"/>
      <c r="K832" s="131"/>
      <c r="L832" s="131"/>
      <c r="T832" s="237"/>
      <c r="U832" s="237"/>
      <c r="V832" s="237"/>
      <c r="W832" s="237"/>
      <c r="X832" s="237"/>
      <c r="Y832" s="237"/>
      <c r="Z832" s="237"/>
      <c r="AH832" s="237"/>
      <c r="AI832" s="237"/>
      <c r="AJ832" s="237"/>
      <c r="AK832" s="237"/>
      <c r="AL832" s="237"/>
      <c r="AM832" s="237"/>
      <c r="AN832" s="237"/>
      <c r="AV832" s="237"/>
      <c r="AW832" s="237"/>
      <c r="AX832" s="237"/>
      <c r="AY832" s="237"/>
      <c r="AZ832" s="237"/>
      <c r="BA832" s="237"/>
      <c r="BB832" s="237"/>
    </row>
    <row r="833">
      <c r="E833" s="133"/>
      <c r="F833" s="237"/>
      <c r="G833" s="237"/>
      <c r="H833" s="131"/>
      <c r="I833" s="131"/>
      <c r="J833" s="131"/>
      <c r="K833" s="131"/>
      <c r="L833" s="131"/>
      <c r="T833" s="237"/>
      <c r="U833" s="237"/>
      <c r="V833" s="237"/>
      <c r="W833" s="237"/>
      <c r="X833" s="237"/>
      <c r="Y833" s="237"/>
      <c r="Z833" s="237"/>
      <c r="AH833" s="237"/>
      <c r="AI833" s="237"/>
      <c r="AJ833" s="237"/>
      <c r="AK833" s="237"/>
      <c r="AL833" s="237"/>
      <c r="AM833" s="237"/>
      <c r="AN833" s="237"/>
      <c r="AV833" s="237"/>
      <c r="AW833" s="237"/>
      <c r="AX833" s="237"/>
      <c r="AY833" s="237"/>
      <c r="AZ833" s="237"/>
      <c r="BA833" s="237"/>
      <c r="BB833" s="237"/>
    </row>
    <row r="834">
      <c r="E834" s="133"/>
      <c r="F834" s="237"/>
      <c r="G834" s="237"/>
      <c r="H834" s="131"/>
      <c r="I834" s="131"/>
      <c r="J834" s="131"/>
      <c r="K834" s="131"/>
      <c r="L834" s="131"/>
      <c r="T834" s="237"/>
      <c r="U834" s="237"/>
      <c r="V834" s="237"/>
      <c r="W834" s="237"/>
      <c r="X834" s="237"/>
      <c r="Y834" s="237"/>
      <c r="Z834" s="237"/>
      <c r="AH834" s="237"/>
      <c r="AI834" s="237"/>
      <c r="AJ834" s="237"/>
      <c r="AK834" s="237"/>
      <c r="AL834" s="237"/>
      <c r="AM834" s="237"/>
      <c r="AN834" s="237"/>
      <c r="AV834" s="237"/>
      <c r="AW834" s="237"/>
      <c r="AX834" s="237"/>
      <c r="AY834" s="237"/>
      <c r="AZ834" s="237"/>
      <c r="BA834" s="237"/>
      <c r="BB834" s="237"/>
    </row>
    <row r="835">
      <c r="E835" s="133"/>
      <c r="F835" s="237"/>
      <c r="G835" s="237"/>
      <c r="H835" s="131"/>
      <c r="I835" s="131"/>
      <c r="J835" s="131"/>
      <c r="K835" s="131"/>
      <c r="L835" s="131"/>
      <c r="T835" s="237"/>
      <c r="U835" s="237"/>
      <c r="V835" s="237"/>
      <c r="W835" s="237"/>
      <c r="X835" s="237"/>
      <c r="Y835" s="237"/>
      <c r="Z835" s="237"/>
      <c r="AH835" s="237"/>
      <c r="AI835" s="237"/>
      <c r="AJ835" s="237"/>
      <c r="AK835" s="237"/>
      <c r="AL835" s="237"/>
      <c r="AM835" s="237"/>
      <c r="AN835" s="237"/>
      <c r="AV835" s="237"/>
      <c r="AW835" s="237"/>
      <c r="AX835" s="237"/>
      <c r="AY835" s="237"/>
      <c r="AZ835" s="237"/>
      <c r="BA835" s="237"/>
      <c r="BB835" s="237"/>
    </row>
    <row r="836">
      <c r="E836" s="133"/>
      <c r="F836" s="237"/>
      <c r="G836" s="237"/>
      <c r="H836" s="131"/>
      <c r="I836" s="131"/>
      <c r="J836" s="131"/>
      <c r="K836" s="131"/>
      <c r="L836" s="131"/>
      <c r="T836" s="237"/>
      <c r="U836" s="237"/>
      <c r="V836" s="237"/>
      <c r="W836" s="237"/>
      <c r="X836" s="237"/>
      <c r="Y836" s="237"/>
      <c r="Z836" s="237"/>
      <c r="AH836" s="237"/>
      <c r="AI836" s="237"/>
      <c r="AJ836" s="237"/>
      <c r="AK836" s="237"/>
      <c r="AL836" s="237"/>
      <c r="AM836" s="237"/>
      <c r="AN836" s="237"/>
      <c r="AV836" s="237"/>
      <c r="AW836" s="237"/>
      <c r="AX836" s="237"/>
      <c r="AY836" s="237"/>
      <c r="AZ836" s="237"/>
      <c r="BA836" s="237"/>
      <c r="BB836" s="237"/>
    </row>
    <row r="837">
      <c r="E837" s="133"/>
      <c r="F837" s="237"/>
      <c r="G837" s="237"/>
      <c r="H837" s="131"/>
      <c r="I837" s="131"/>
      <c r="J837" s="131"/>
      <c r="K837" s="131"/>
      <c r="L837" s="131"/>
      <c r="T837" s="237"/>
      <c r="U837" s="237"/>
      <c r="V837" s="237"/>
      <c r="W837" s="237"/>
      <c r="X837" s="237"/>
      <c r="Y837" s="237"/>
      <c r="Z837" s="237"/>
      <c r="AH837" s="237"/>
      <c r="AI837" s="237"/>
      <c r="AJ837" s="237"/>
      <c r="AK837" s="237"/>
      <c r="AL837" s="237"/>
      <c r="AM837" s="237"/>
      <c r="AN837" s="237"/>
      <c r="AV837" s="237"/>
      <c r="AW837" s="237"/>
      <c r="AX837" s="237"/>
      <c r="AY837" s="237"/>
      <c r="AZ837" s="237"/>
      <c r="BA837" s="237"/>
      <c r="BB837" s="237"/>
    </row>
    <row r="838">
      <c r="E838" s="133"/>
      <c r="F838" s="237"/>
      <c r="G838" s="237"/>
      <c r="H838" s="131"/>
      <c r="I838" s="131"/>
      <c r="J838" s="131"/>
      <c r="K838" s="131"/>
      <c r="L838" s="131"/>
      <c r="T838" s="237"/>
      <c r="U838" s="237"/>
      <c r="V838" s="237"/>
      <c r="W838" s="237"/>
      <c r="X838" s="237"/>
      <c r="Y838" s="237"/>
      <c r="Z838" s="237"/>
      <c r="AH838" s="237"/>
      <c r="AI838" s="237"/>
      <c r="AJ838" s="237"/>
      <c r="AK838" s="237"/>
      <c r="AL838" s="237"/>
      <c r="AM838" s="237"/>
      <c r="AN838" s="237"/>
      <c r="AV838" s="237"/>
      <c r="AW838" s="237"/>
      <c r="AX838" s="237"/>
      <c r="AY838" s="237"/>
      <c r="AZ838" s="237"/>
      <c r="BA838" s="237"/>
      <c r="BB838" s="237"/>
    </row>
    <row r="839">
      <c r="E839" s="133"/>
      <c r="F839" s="237"/>
      <c r="G839" s="237"/>
      <c r="H839" s="131"/>
      <c r="I839" s="131"/>
      <c r="J839" s="131"/>
      <c r="K839" s="131"/>
      <c r="L839" s="131"/>
      <c r="T839" s="237"/>
      <c r="U839" s="237"/>
      <c r="V839" s="237"/>
      <c r="W839" s="237"/>
      <c r="X839" s="237"/>
      <c r="Y839" s="237"/>
      <c r="Z839" s="237"/>
      <c r="AH839" s="237"/>
      <c r="AI839" s="237"/>
      <c r="AJ839" s="237"/>
      <c r="AK839" s="237"/>
      <c r="AL839" s="237"/>
      <c r="AM839" s="237"/>
      <c r="AN839" s="237"/>
      <c r="AV839" s="237"/>
      <c r="AW839" s="237"/>
      <c r="AX839" s="237"/>
      <c r="AY839" s="237"/>
      <c r="AZ839" s="237"/>
      <c r="BA839" s="237"/>
      <c r="BB839" s="237"/>
    </row>
    <row r="840">
      <c r="E840" s="133"/>
      <c r="F840" s="237"/>
      <c r="G840" s="237"/>
      <c r="H840" s="131"/>
      <c r="I840" s="131"/>
      <c r="J840" s="131"/>
      <c r="K840" s="131"/>
      <c r="L840" s="131"/>
      <c r="T840" s="237"/>
      <c r="U840" s="237"/>
      <c r="V840" s="237"/>
      <c r="W840" s="237"/>
      <c r="X840" s="237"/>
      <c r="Y840" s="237"/>
      <c r="Z840" s="237"/>
      <c r="AH840" s="237"/>
      <c r="AI840" s="237"/>
      <c r="AJ840" s="237"/>
      <c r="AK840" s="237"/>
      <c r="AL840" s="237"/>
      <c r="AM840" s="237"/>
      <c r="AN840" s="237"/>
      <c r="AV840" s="237"/>
      <c r="AW840" s="237"/>
      <c r="AX840" s="237"/>
      <c r="AY840" s="237"/>
      <c r="AZ840" s="237"/>
      <c r="BA840" s="237"/>
      <c r="BB840" s="237"/>
    </row>
    <row r="841">
      <c r="E841" s="133"/>
      <c r="F841" s="237"/>
      <c r="G841" s="237"/>
      <c r="H841" s="131"/>
      <c r="I841" s="131"/>
      <c r="J841" s="131"/>
      <c r="K841" s="131"/>
      <c r="L841" s="131"/>
      <c r="T841" s="237"/>
      <c r="U841" s="237"/>
      <c r="V841" s="237"/>
      <c r="W841" s="237"/>
      <c r="X841" s="237"/>
      <c r="Y841" s="237"/>
      <c r="Z841" s="237"/>
      <c r="AH841" s="237"/>
      <c r="AI841" s="237"/>
      <c r="AJ841" s="237"/>
      <c r="AK841" s="237"/>
      <c r="AL841" s="237"/>
      <c r="AM841" s="237"/>
      <c r="AN841" s="237"/>
      <c r="AV841" s="237"/>
      <c r="AW841" s="237"/>
      <c r="AX841" s="237"/>
      <c r="AY841" s="237"/>
      <c r="AZ841" s="237"/>
      <c r="BA841" s="237"/>
      <c r="BB841" s="237"/>
    </row>
    <row r="842">
      <c r="E842" s="133"/>
      <c r="F842" s="237"/>
      <c r="G842" s="237"/>
      <c r="H842" s="131"/>
      <c r="I842" s="131"/>
      <c r="J842" s="131"/>
      <c r="K842" s="131"/>
      <c r="L842" s="131"/>
      <c r="T842" s="237"/>
      <c r="U842" s="237"/>
      <c r="V842" s="237"/>
      <c r="W842" s="237"/>
      <c r="X842" s="237"/>
      <c r="Y842" s="237"/>
      <c r="Z842" s="237"/>
      <c r="AH842" s="237"/>
      <c r="AI842" s="237"/>
      <c r="AJ842" s="237"/>
      <c r="AK842" s="237"/>
      <c r="AL842" s="237"/>
      <c r="AM842" s="237"/>
      <c r="AN842" s="237"/>
      <c r="AV842" s="237"/>
      <c r="AW842" s="237"/>
      <c r="AX842" s="237"/>
      <c r="AY842" s="237"/>
      <c r="AZ842" s="237"/>
      <c r="BA842" s="237"/>
      <c r="BB842" s="237"/>
    </row>
    <row r="843">
      <c r="E843" s="133"/>
      <c r="F843" s="237"/>
      <c r="G843" s="237"/>
      <c r="H843" s="131"/>
      <c r="I843" s="131"/>
      <c r="J843" s="131"/>
      <c r="K843" s="131"/>
      <c r="L843" s="131"/>
      <c r="T843" s="237"/>
      <c r="U843" s="237"/>
      <c r="V843" s="237"/>
      <c r="W843" s="237"/>
      <c r="X843" s="237"/>
      <c r="Y843" s="237"/>
      <c r="Z843" s="237"/>
      <c r="AH843" s="237"/>
      <c r="AI843" s="237"/>
      <c r="AJ843" s="237"/>
      <c r="AK843" s="237"/>
      <c r="AL843" s="237"/>
      <c r="AM843" s="237"/>
      <c r="AN843" s="237"/>
      <c r="AV843" s="237"/>
      <c r="AW843" s="237"/>
      <c r="AX843" s="237"/>
      <c r="AY843" s="237"/>
      <c r="AZ843" s="237"/>
      <c r="BA843" s="237"/>
      <c r="BB843" s="237"/>
    </row>
    <row r="844">
      <c r="E844" s="133"/>
      <c r="F844" s="237"/>
      <c r="G844" s="237"/>
      <c r="H844" s="131"/>
      <c r="I844" s="131"/>
      <c r="J844" s="131"/>
      <c r="K844" s="131"/>
      <c r="L844" s="131"/>
      <c r="T844" s="237"/>
      <c r="U844" s="237"/>
      <c r="V844" s="237"/>
      <c r="W844" s="237"/>
      <c r="X844" s="237"/>
      <c r="Y844" s="237"/>
      <c r="Z844" s="237"/>
      <c r="AH844" s="237"/>
      <c r="AI844" s="237"/>
      <c r="AJ844" s="237"/>
      <c r="AK844" s="237"/>
      <c r="AL844" s="237"/>
      <c r="AM844" s="237"/>
      <c r="AN844" s="237"/>
      <c r="AV844" s="237"/>
      <c r="AW844" s="237"/>
      <c r="AX844" s="237"/>
      <c r="AY844" s="237"/>
      <c r="AZ844" s="237"/>
      <c r="BA844" s="237"/>
      <c r="BB844" s="237"/>
    </row>
    <row r="845">
      <c r="E845" s="133"/>
      <c r="F845" s="237"/>
      <c r="G845" s="237"/>
      <c r="H845" s="131"/>
      <c r="I845" s="131"/>
      <c r="J845" s="131"/>
      <c r="K845" s="131"/>
      <c r="L845" s="131"/>
      <c r="T845" s="237"/>
      <c r="U845" s="237"/>
      <c r="V845" s="237"/>
      <c r="W845" s="237"/>
      <c r="X845" s="237"/>
      <c r="Y845" s="237"/>
      <c r="Z845" s="237"/>
      <c r="AH845" s="237"/>
      <c r="AI845" s="237"/>
      <c r="AJ845" s="237"/>
      <c r="AK845" s="237"/>
      <c r="AL845" s="237"/>
      <c r="AM845" s="237"/>
      <c r="AN845" s="237"/>
      <c r="AV845" s="237"/>
      <c r="AW845" s="237"/>
      <c r="AX845" s="237"/>
      <c r="AY845" s="237"/>
      <c r="AZ845" s="237"/>
      <c r="BA845" s="237"/>
      <c r="BB845" s="237"/>
    </row>
    <row r="846">
      <c r="E846" s="133"/>
      <c r="F846" s="237"/>
      <c r="G846" s="237"/>
      <c r="H846" s="131"/>
      <c r="I846" s="131"/>
      <c r="J846" s="131"/>
      <c r="K846" s="131"/>
      <c r="L846" s="131"/>
      <c r="T846" s="237"/>
      <c r="U846" s="237"/>
      <c r="V846" s="237"/>
      <c r="W846" s="237"/>
      <c r="X846" s="237"/>
      <c r="Y846" s="237"/>
      <c r="Z846" s="237"/>
      <c r="AH846" s="237"/>
      <c r="AI846" s="237"/>
      <c r="AJ846" s="237"/>
      <c r="AK846" s="237"/>
      <c r="AL846" s="237"/>
      <c r="AM846" s="237"/>
      <c r="AN846" s="237"/>
      <c r="AV846" s="237"/>
      <c r="AW846" s="237"/>
      <c r="AX846" s="237"/>
      <c r="AY846" s="237"/>
      <c r="AZ846" s="237"/>
      <c r="BA846" s="237"/>
      <c r="BB846" s="237"/>
    </row>
    <row r="847">
      <c r="E847" s="133"/>
      <c r="F847" s="237"/>
      <c r="G847" s="237"/>
      <c r="H847" s="131"/>
      <c r="I847" s="131"/>
      <c r="J847" s="131"/>
      <c r="K847" s="131"/>
      <c r="L847" s="131"/>
      <c r="T847" s="237"/>
      <c r="U847" s="237"/>
      <c r="V847" s="237"/>
      <c r="W847" s="237"/>
      <c r="X847" s="237"/>
      <c r="Y847" s="237"/>
      <c r="Z847" s="237"/>
      <c r="AH847" s="237"/>
      <c r="AI847" s="237"/>
      <c r="AJ847" s="237"/>
      <c r="AK847" s="237"/>
      <c r="AL847" s="237"/>
      <c r="AM847" s="237"/>
      <c r="AN847" s="237"/>
      <c r="AV847" s="237"/>
      <c r="AW847" s="237"/>
      <c r="AX847" s="237"/>
      <c r="AY847" s="237"/>
      <c r="AZ847" s="237"/>
      <c r="BA847" s="237"/>
      <c r="BB847" s="237"/>
    </row>
    <row r="848">
      <c r="E848" s="133"/>
      <c r="F848" s="237"/>
      <c r="G848" s="237"/>
      <c r="H848" s="131"/>
      <c r="I848" s="131"/>
      <c r="J848" s="131"/>
      <c r="K848" s="131"/>
      <c r="L848" s="131"/>
      <c r="T848" s="237"/>
      <c r="U848" s="237"/>
      <c r="V848" s="237"/>
      <c r="W848" s="237"/>
      <c r="X848" s="237"/>
      <c r="Y848" s="237"/>
      <c r="Z848" s="237"/>
      <c r="AH848" s="237"/>
      <c r="AI848" s="237"/>
      <c r="AJ848" s="237"/>
      <c r="AK848" s="237"/>
      <c r="AL848" s="237"/>
      <c r="AM848" s="237"/>
      <c r="AN848" s="237"/>
      <c r="AV848" s="237"/>
      <c r="AW848" s="237"/>
      <c r="AX848" s="237"/>
      <c r="AY848" s="237"/>
      <c r="AZ848" s="237"/>
      <c r="BA848" s="237"/>
      <c r="BB848" s="237"/>
    </row>
    <row r="849">
      <c r="E849" s="133"/>
      <c r="F849" s="237"/>
      <c r="G849" s="237"/>
      <c r="H849" s="131"/>
      <c r="I849" s="131"/>
      <c r="J849" s="131"/>
      <c r="K849" s="131"/>
      <c r="L849" s="131"/>
      <c r="T849" s="237"/>
      <c r="U849" s="237"/>
      <c r="V849" s="237"/>
      <c r="W849" s="237"/>
      <c r="X849" s="237"/>
      <c r="Y849" s="237"/>
      <c r="Z849" s="237"/>
      <c r="AH849" s="237"/>
      <c r="AI849" s="237"/>
      <c r="AJ849" s="237"/>
      <c r="AK849" s="237"/>
      <c r="AL849" s="237"/>
      <c r="AM849" s="237"/>
      <c r="AN849" s="237"/>
      <c r="AV849" s="237"/>
      <c r="AW849" s="237"/>
      <c r="AX849" s="237"/>
      <c r="AY849" s="237"/>
      <c r="AZ849" s="237"/>
      <c r="BA849" s="237"/>
      <c r="BB849" s="237"/>
    </row>
    <row r="850">
      <c r="E850" s="133"/>
      <c r="F850" s="237"/>
      <c r="G850" s="237"/>
      <c r="H850" s="131"/>
      <c r="I850" s="131"/>
      <c r="J850" s="131"/>
      <c r="K850" s="131"/>
      <c r="L850" s="131"/>
      <c r="T850" s="237"/>
      <c r="U850" s="237"/>
      <c r="V850" s="237"/>
      <c r="W850" s="237"/>
      <c r="X850" s="237"/>
      <c r="Y850" s="237"/>
      <c r="Z850" s="237"/>
      <c r="AH850" s="237"/>
      <c r="AI850" s="237"/>
      <c r="AJ850" s="237"/>
      <c r="AK850" s="237"/>
      <c r="AL850" s="237"/>
      <c r="AM850" s="237"/>
      <c r="AN850" s="237"/>
      <c r="AV850" s="237"/>
      <c r="AW850" s="237"/>
      <c r="AX850" s="237"/>
      <c r="AY850" s="237"/>
      <c r="AZ850" s="237"/>
      <c r="BA850" s="237"/>
      <c r="BB850" s="237"/>
    </row>
    <row r="851">
      <c r="E851" s="133"/>
      <c r="F851" s="237"/>
      <c r="G851" s="237"/>
      <c r="H851" s="131"/>
      <c r="I851" s="131"/>
      <c r="J851" s="131"/>
      <c r="K851" s="131"/>
      <c r="L851" s="131"/>
      <c r="T851" s="237"/>
      <c r="U851" s="237"/>
      <c r="V851" s="237"/>
      <c r="W851" s="237"/>
      <c r="X851" s="237"/>
      <c r="Y851" s="237"/>
      <c r="Z851" s="237"/>
      <c r="AH851" s="237"/>
      <c r="AI851" s="237"/>
      <c r="AJ851" s="237"/>
      <c r="AK851" s="237"/>
      <c r="AL851" s="237"/>
      <c r="AM851" s="237"/>
      <c r="AN851" s="237"/>
      <c r="AV851" s="237"/>
      <c r="AW851" s="237"/>
      <c r="AX851" s="237"/>
      <c r="AY851" s="237"/>
      <c r="AZ851" s="237"/>
      <c r="BA851" s="237"/>
      <c r="BB851" s="237"/>
    </row>
    <row r="852">
      <c r="E852" s="133"/>
      <c r="F852" s="237"/>
      <c r="G852" s="237"/>
      <c r="H852" s="131"/>
      <c r="I852" s="131"/>
      <c r="J852" s="131"/>
      <c r="K852" s="131"/>
      <c r="L852" s="131"/>
      <c r="T852" s="237"/>
      <c r="U852" s="237"/>
      <c r="V852" s="237"/>
      <c r="W852" s="237"/>
      <c r="X852" s="237"/>
      <c r="Y852" s="237"/>
      <c r="Z852" s="237"/>
      <c r="AH852" s="237"/>
      <c r="AI852" s="237"/>
      <c r="AJ852" s="237"/>
      <c r="AK852" s="237"/>
      <c r="AL852" s="237"/>
      <c r="AM852" s="237"/>
      <c r="AN852" s="237"/>
      <c r="AV852" s="237"/>
      <c r="AW852" s="237"/>
      <c r="AX852" s="237"/>
      <c r="AY852" s="237"/>
      <c r="AZ852" s="237"/>
      <c r="BA852" s="237"/>
      <c r="BB852" s="237"/>
    </row>
    <row r="853">
      <c r="E853" s="133"/>
      <c r="F853" s="237"/>
      <c r="G853" s="237"/>
      <c r="H853" s="131"/>
      <c r="I853" s="131"/>
      <c r="J853" s="131"/>
      <c r="K853" s="131"/>
      <c r="L853" s="131"/>
      <c r="T853" s="237"/>
      <c r="U853" s="237"/>
      <c r="V853" s="237"/>
      <c r="W853" s="237"/>
      <c r="X853" s="237"/>
      <c r="Y853" s="237"/>
      <c r="Z853" s="237"/>
      <c r="AH853" s="237"/>
      <c r="AI853" s="237"/>
      <c r="AJ853" s="237"/>
      <c r="AK853" s="237"/>
      <c r="AL853" s="237"/>
      <c r="AM853" s="237"/>
      <c r="AN853" s="237"/>
      <c r="AV853" s="237"/>
      <c r="AW853" s="237"/>
      <c r="AX853" s="237"/>
      <c r="AY853" s="237"/>
      <c r="AZ853" s="237"/>
      <c r="BA853" s="237"/>
      <c r="BB853" s="237"/>
    </row>
    <row r="854">
      <c r="E854" s="133"/>
      <c r="F854" s="237"/>
      <c r="G854" s="237"/>
      <c r="H854" s="131"/>
      <c r="I854" s="131"/>
      <c r="J854" s="131"/>
      <c r="K854" s="131"/>
      <c r="L854" s="131"/>
      <c r="T854" s="237"/>
      <c r="U854" s="237"/>
      <c r="V854" s="237"/>
      <c r="W854" s="237"/>
      <c r="X854" s="237"/>
      <c r="Y854" s="237"/>
      <c r="Z854" s="237"/>
      <c r="AH854" s="237"/>
      <c r="AI854" s="237"/>
      <c r="AJ854" s="237"/>
      <c r="AK854" s="237"/>
      <c r="AL854" s="237"/>
      <c r="AM854" s="237"/>
      <c r="AN854" s="237"/>
      <c r="AV854" s="237"/>
      <c r="AW854" s="237"/>
      <c r="AX854" s="237"/>
      <c r="AY854" s="237"/>
      <c r="AZ854" s="237"/>
      <c r="BA854" s="237"/>
      <c r="BB854" s="237"/>
    </row>
    <row r="855">
      <c r="E855" s="133"/>
      <c r="F855" s="237"/>
      <c r="G855" s="237"/>
      <c r="H855" s="131"/>
      <c r="I855" s="131"/>
      <c r="J855" s="131"/>
      <c r="K855" s="131"/>
      <c r="L855" s="131"/>
      <c r="T855" s="237"/>
      <c r="U855" s="237"/>
      <c r="V855" s="237"/>
      <c r="W855" s="237"/>
      <c r="X855" s="237"/>
      <c r="Y855" s="237"/>
      <c r="Z855" s="237"/>
      <c r="AH855" s="237"/>
      <c r="AI855" s="237"/>
      <c r="AJ855" s="237"/>
      <c r="AK855" s="237"/>
      <c r="AL855" s="237"/>
      <c r="AM855" s="237"/>
      <c r="AN855" s="237"/>
      <c r="AV855" s="237"/>
      <c r="AW855" s="237"/>
      <c r="AX855" s="237"/>
      <c r="AY855" s="237"/>
      <c r="AZ855" s="237"/>
      <c r="BA855" s="237"/>
      <c r="BB855" s="237"/>
    </row>
    <row r="856">
      <c r="E856" s="133"/>
      <c r="F856" s="237"/>
      <c r="G856" s="237"/>
      <c r="H856" s="131"/>
      <c r="I856" s="131"/>
      <c r="J856" s="131"/>
      <c r="K856" s="131"/>
      <c r="L856" s="131"/>
      <c r="T856" s="237"/>
      <c r="U856" s="237"/>
      <c r="V856" s="237"/>
      <c r="W856" s="237"/>
      <c r="X856" s="237"/>
      <c r="Y856" s="237"/>
      <c r="Z856" s="237"/>
      <c r="AH856" s="237"/>
      <c r="AI856" s="237"/>
      <c r="AJ856" s="237"/>
      <c r="AK856" s="237"/>
      <c r="AL856" s="237"/>
      <c r="AM856" s="237"/>
      <c r="AN856" s="237"/>
      <c r="AV856" s="237"/>
      <c r="AW856" s="237"/>
      <c r="AX856" s="237"/>
      <c r="AY856" s="237"/>
      <c r="AZ856" s="237"/>
      <c r="BA856" s="237"/>
      <c r="BB856" s="237"/>
    </row>
    <row r="857">
      <c r="E857" s="133"/>
      <c r="F857" s="237"/>
      <c r="G857" s="237"/>
      <c r="H857" s="131"/>
      <c r="I857" s="131"/>
      <c r="J857" s="131"/>
      <c r="K857" s="131"/>
      <c r="L857" s="131"/>
      <c r="T857" s="237"/>
      <c r="U857" s="237"/>
      <c r="V857" s="237"/>
      <c r="W857" s="237"/>
      <c r="X857" s="237"/>
      <c r="Y857" s="237"/>
      <c r="Z857" s="237"/>
      <c r="AH857" s="237"/>
      <c r="AI857" s="237"/>
      <c r="AJ857" s="237"/>
      <c r="AK857" s="237"/>
      <c r="AL857" s="237"/>
      <c r="AM857" s="237"/>
      <c r="AN857" s="237"/>
      <c r="AV857" s="237"/>
      <c r="AW857" s="237"/>
      <c r="AX857" s="237"/>
      <c r="AY857" s="237"/>
      <c r="AZ857" s="237"/>
      <c r="BA857" s="237"/>
      <c r="BB857" s="237"/>
    </row>
    <row r="858">
      <c r="E858" s="133"/>
      <c r="F858" s="237"/>
      <c r="G858" s="237"/>
      <c r="H858" s="131"/>
      <c r="I858" s="131"/>
      <c r="J858" s="131"/>
      <c r="K858" s="131"/>
      <c r="L858" s="131"/>
      <c r="T858" s="237"/>
      <c r="U858" s="237"/>
      <c r="V858" s="237"/>
      <c r="W858" s="237"/>
      <c r="X858" s="237"/>
      <c r="Y858" s="237"/>
      <c r="Z858" s="237"/>
      <c r="AH858" s="237"/>
      <c r="AI858" s="237"/>
      <c r="AJ858" s="237"/>
      <c r="AK858" s="237"/>
      <c r="AL858" s="237"/>
      <c r="AM858" s="237"/>
      <c r="AN858" s="237"/>
      <c r="AV858" s="237"/>
      <c r="AW858" s="237"/>
      <c r="AX858" s="237"/>
      <c r="AY858" s="237"/>
      <c r="AZ858" s="237"/>
      <c r="BA858" s="237"/>
      <c r="BB858" s="237"/>
    </row>
    <row r="859">
      <c r="E859" s="133"/>
      <c r="F859" s="237"/>
      <c r="G859" s="237"/>
      <c r="H859" s="131"/>
      <c r="I859" s="131"/>
      <c r="J859" s="131"/>
      <c r="K859" s="131"/>
      <c r="L859" s="131"/>
      <c r="T859" s="237"/>
      <c r="U859" s="237"/>
      <c r="V859" s="237"/>
      <c r="W859" s="237"/>
      <c r="X859" s="237"/>
      <c r="Y859" s="237"/>
      <c r="Z859" s="237"/>
      <c r="AH859" s="237"/>
      <c r="AI859" s="237"/>
      <c r="AJ859" s="237"/>
      <c r="AK859" s="237"/>
      <c r="AL859" s="237"/>
      <c r="AM859" s="237"/>
      <c r="AN859" s="237"/>
      <c r="AV859" s="237"/>
      <c r="AW859" s="237"/>
      <c r="AX859" s="237"/>
      <c r="AY859" s="237"/>
      <c r="AZ859" s="237"/>
      <c r="BA859" s="237"/>
      <c r="BB859" s="237"/>
    </row>
    <row r="860">
      <c r="E860" s="133"/>
      <c r="F860" s="237"/>
      <c r="G860" s="237"/>
      <c r="H860" s="131"/>
      <c r="I860" s="131"/>
      <c r="J860" s="131"/>
      <c r="K860" s="131"/>
      <c r="L860" s="131"/>
      <c r="T860" s="237"/>
      <c r="U860" s="237"/>
      <c r="V860" s="237"/>
      <c r="W860" s="237"/>
      <c r="X860" s="237"/>
      <c r="Y860" s="237"/>
      <c r="Z860" s="237"/>
      <c r="AH860" s="237"/>
      <c r="AI860" s="237"/>
      <c r="AJ860" s="237"/>
      <c r="AK860" s="237"/>
      <c r="AL860" s="237"/>
      <c r="AM860" s="237"/>
      <c r="AN860" s="237"/>
      <c r="AV860" s="237"/>
      <c r="AW860" s="237"/>
      <c r="AX860" s="237"/>
      <c r="AY860" s="237"/>
      <c r="AZ860" s="237"/>
      <c r="BA860" s="237"/>
      <c r="BB860" s="237"/>
    </row>
    <row r="861">
      <c r="E861" s="133"/>
      <c r="F861" s="237"/>
      <c r="G861" s="237"/>
      <c r="H861" s="131"/>
      <c r="I861" s="131"/>
      <c r="J861" s="131"/>
      <c r="K861" s="131"/>
      <c r="L861" s="131"/>
      <c r="T861" s="237"/>
      <c r="U861" s="237"/>
      <c r="V861" s="237"/>
      <c r="W861" s="237"/>
      <c r="X861" s="237"/>
      <c r="Y861" s="237"/>
      <c r="Z861" s="237"/>
      <c r="AH861" s="237"/>
      <c r="AI861" s="237"/>
      <c r="AJ861" s="237"/>
      <c r="AK861" s="237"/>
      <c r="AL861" s="237"/>
      <c r="AM861" s="237"/>
      <c r="AN861" s="237"/>
      <c r="AV861" s="237"/>
      <c r="AW861" s="237"/>
      <c r="AX861" s="237"/>
      <c r="AY861" s="237"/>
      <c r="AZ861" s="237"/>
      <c r="BA861" s="237"/>
      <c r="BB861" s="237"/>
    </row>
    <row r="862">
      <c r="E862" s="133"/>
      <c r="F862" s="237"/>
      <c r="G862" s="237"/>
      <c r="H862" s="131"/>
      <c r="I862" s="131"/>
      <c r="J862" s="131"/>
      <c r="K862" s="131"/>
      <c r="L862" s="131"/>
      <c r="T862" s="237"/>
      <c r="U862" s="237"/>
      <c r="V862" s="237"/>
      <c r="W862" s="237"/>
      <c r="X862" s="237"/>
      <c r="Y862" s="237"/>
      <c r="Z862" s="237"/>
      <c r="AH862" s="237"/>
      <c r="AI862" s="237"/>
      <c r="AJ862" s="237"/>
      <c r="AK862" s="237"/>
      <c r="AL862" s="237"/>
      <c r="AM862" s="237"/>
      <c r="AN862" s="237"/>
      <c r="AV862" s="237"/>
      <c r="AW862" s="237"/>
      <c r="AX862" s="237"/>
      <c r="AY862" s="237"/>
      <c r="AZ862" s="237"/>
      <c r="BA862" s="237"/>
      <c r="BB862" s="237"/>
    </row>
    <row r="863">
      <c r="E863" s="133"/>
      <c r="F863" s="237"/>
      <c r="G863" s="237"/>
      <c r="H863" s="131"/>
      <c r="I863" s="131"/>
      <c r="J863" s="131"/>
      <c r="K863" s="131"/>
      <c r="L863" s="131"/>
      <c r="T863" s="237"/>
      <c r="U863" s="237"/>
      <c r="V863" s="237"/>
      <c r="W863" s="237"/>
      <c r="X863" s="237"/>
      <c r="Y863" s="237"/>
      <c r="Z863" s="237"/>
      <c r="AH863" s="237"/>
      <c r="AI863" s="237"/>
      <c r="AJ863" s="237"/>
      <c r="AK863" s="237"/>
      <c r="AL863" s="237"/>
      <c r="AM863" s="237"/>
      <c r="AN863" s="237"/>
      <c r="AV863" s="237"/>
      <c r="AW863" s="237"/>
      <c r="AX863" s="237"/>
      <c r="AY863" s="237"/>
      <c r="AZ863" s="237"/>
      <c r="BA863" s="237"/>
      <c r="BB863" s="237"/>
    </row>
    <row r="864">
      <c r="E864" s="133"/>
      <c r="F864" s="237"/>
      <c r="G864" s="237"/>
      <c r="H864" s="131"/>
      <c r="I864" s="131"/>
      <c r="J864" s="131"/>
      <c r="K864" s="131"/>
      <c r="L864" s="131"/>
      <c r="T864" s="237"/>
      <c r="U864" s="237"/>
      <c r="V864" s="237"/>
      <c r="W864" s="237"/>
      <c r="X864" s="237"/>
      <c r="Y864" s="237"/>
      <c r="Z864" s="237"/>
      <c r="AH864" s="237"/>
      <c r="AI864" s="237"/>
      <c r="AJ864" s="237"/>
      <c r="AK864" s="237"/>
      <c r="AL864" s="237"/>
      <c r="AM864" s="237"/>
      <c r="AN864" s="237"/>
      <c r="AV864" s="237"/>
      <c r="AW864" s="237"/>
      <c r="AX864" s="237"/>
      <c r="AY864" s="237"/>
      <c r="AZ864" s="237"/>
      <c r="BA864" s="237"/>
      <c r="BB864" s="237"/>
    </row>
    <row r="865">
      <c r="E865" s="133"/>
      <c r="F865" s="237"/>
      <c r="G865" s="237"/>
      <c r="H865" s="131"/>
      <c r="I865" s="131"/>
      <c r="J865" s="131"/>
      <c r="K865" s="131"/>
      <c r="L865" s="131"/>
      <c r="T865" s="237"/>
      <c r="U865" s="237"/>
      <c r="V865" s="237"/>
      <c r="W865" s="237"/>
      <c r="X865" s="237"/>
      <c r="Y865" s="237"/>
      <c r="Z865" s="237"/>
      <c r="AH865" s="237"/>
      <c r="AI865" s="237"/>
      <c r="AJ865" s="237"/>
      <c r="AK865" s="237"/>
      <c r="AL865" s="237"/>
      <c r="AM865" s="237"/>
      <c r="AN865" s="237"/>
      <c r="AV865" s="237"/>
      <c r="AW865" s="237"/>
      <c r="AX865" s="237"/>
      <c r="AY865" s="237"/>
      <c r="AZ865" s="237"/>
      <c r="BA865" s="237"/>
      <c r="BB865" s="237"/>
    </row>
    <row r="866">
      <c r="E866" s="133"/>
      <c r="F866" s="237"/>
      <c r="G866" s="237"/>
      <c r="H866" s="131"/>
      <c r="I866" s="131"/>
      <c r="J866" s="131"/>
      <c r="K866" s="131"/>
      <c r="L866" s="131"/>
      <c r="T866" s="237"/>
      <c r="U866" s="237"/>
      <c r="V866" s="237"/>
      <c r="W866" s="237"/>
      <c r="X866" s="237"/>
      <c r="Y866" s="237"/>
      <c r="Z866" s="237"/>
      <c r="AH866" s="237"/>
      <c r="AI866" s="237"/>
      <c r="AJ866" s="237"/>
      <c r="AK866" s="237"/>
      <c r="AL866" s="237"/>
      <c r="AM866" s="237"/>
      <c r="AN866" s="237"/>
      <c r="AV866" s="237"/>
      <c r="AW866" s="237"/>
      <c r="AX866" s="237"/>
      <c r="AY866" s="237"/>
      <c r="AZ866" s="237"/>
      <c r="BA866" s="237"/>
      <c r="BB866" s="237"/>
    </row>
    <row r="867">
      <c r="E867" s="133"/>
      <c r="F867" s="237"/>
      <c r="G867" s="237"/>
      <c r="H867" s="131"/>
      <c r="I867" s="131"/>
      <c r="J867" s="131"/>
      <c r="K867" s="131"/>
      <c r="L867" s="131"/>
      <c r="T867" s="237"/>
      <c r="U867" s="237"/>
      <c r="V867" s="237"/>
      <c r="W867" s="237"/>
      <c r="X867" s="237"/>
      <c r="Y867" s="237"/>
      <c r="Z867" s="237"/>
      <c r="AH867" s="237"/>
      <c r="AI867" s="237"/>
      <c r="AJ867" s="237"/>
      <c r="AK867" s="237"/>
      <c r="AL867" s="237"/>
      <c r="AM867" s="237"/>
      <c r="AN867" s="237"/>
      <c r="AV867" s="237"/>
      <c r="AW867" s="237"/>
      <c r="AX867" s="237"/>
      <c r="AY867" s="237"/>
      <c r="AZ867" s="237"/>
      <c r="BA867" s="237"/>
      <c r="BB867" s="237"/>
    </row>
    <row r="868">
      <c r="E868" s="133"/>
      <c r="F868" s="237"/>
      <c r="G868" s="237"/>
      <c r="H868" s="131"/>
      <c r="I868" s="131"/>
      <c r="J868" s="131"/>
      <c r="K868" s="131"/>
      <c r="L868" s="131"/>
      <c r="T868" s="237"/>
      <c r="U868" s="237"/>
      <c r="V868" s="237"/>
      <c r="W868" s="237"/>
      <c r="X868" s="237"/>
      <c r="Y868" s="237"/>
      <c r="Z868" s="237"/>
      <c r="AH868" s="237"/>
      <c r="AI868" s="237"/>
      <c r="AJ868" s="237"/>
      <c r="AK868" s="237"/>
      <c r="AL868" s="237"/>
      <c r="AM868" s="237"/>
      <c r="AN868" s="237"/>
      <c r="AV868" s="237"/>
      <c r="AW868" s="237"/>
      <c r="AX868" s="237"/>
      <c r="AY868" s="237"/>
      <c r="AZ868" s="237"/>
      <c r="BA868" s="237"/>
      <c r="BB868" s="237"/>
    </row>
    <row r="869">
      <c r="E869" s="133"/>
      <c r="F869" s="237"/>
      <c r="G869" s="237"/>
      <c r="H869" s="131"/>
      <c r="I869" s="131"/>
      <c r="J869" s="131"/>
      <c r="K869" s="131"/>
      <c r="L869" s="131"/>
      <c r="T869" s="237"/>
      <c r="U869" s="237"/>
      <c r="V869" s="237"/>
      <c r="W869" s="237"/>
      <c r="X869" s="237"/>
      <c r="Y869" s="237"/>
      <c r="Z869" s="237"/>
      <c r="AH869" s="237"/>
      <c r="AI869" s="237"/>
      <c r="AJ869" s="237"/>
      <c r="AK869" s="237"/>
      <c r="AL869" s="237"/>
      <c r="AM869" s="237"/>
      <c r="AN869" s="237"/>
      <c r="AV869" s="237"/>
      <c r="AW869" s="237"/>
      <c r="AX869" s="237"/>
      <c r="AY869" s="237"/>
      <c r="AZ869" s="237"/>
      <c r="BA869" s="237"/>
      <c r="BB869" s="237"/>
    </row>
    <row r="870">
      <c r="E870" s="133"/>
      <c r="F870" s="237"/>
      <c r="G870" s="237"/>
      <c r="H870" s="131"/>
      <c r="I870" s="131"/>
      <c r="J870" s="131"/>
      <c r="K870" s="131"/>
      <c r="L870" s="131"/>
      <c r="T870" s="237"/>
      <c r="U870" s="237"/>
      <c r="V870" s="237"/>
      <c r="W870" s="237"/>
      <c r="X870" s="237"/>
      <c r="Y870" s="237"/>
      <c r="Z870" s="237"/>
      <c r="AH870" s="237"/>
      <c r="AI870" s="237"/>
      <c r="AJ870" s="237"/>
      <c r="AK870" s="237"/>
      <c r="AL870" s="237"/>
      <c r="AM870" s="237"/>
      <c r="AN870" s="237"/>
      <c r="AV870" s="237"/>
      <c r="AW870" s="237"/>
      <c r="AX870" s="237"/>
      <c r="AY870" s="237"/>
      <c r="AZ870" s="237"/>
      <c r="BA870" s="237"/>
      <c r="BB870" s="237"/>
    </row>
    <row r="871">
      <c r="E871" s="133"/>
      <c r="F871" s="237"/>
      <c r="G871" s="237"/>
      <c r="H871" s="131"/>
      <c r="I871" s="131"/>
      <c r="J871" s="131"/>
      <c r="K871" s="131"/>
      <c r="L871" s="131"/>
      <c r="T871" s="237"/>
      <c r="U871" s="237"/>
      <c r="V871" s="237"/>
      <c r="W871" s="237"/>
      <c r="X871" s="237"/>
      <c r="Y871" s="237"/>
      <c r="Z871" s="237"/>
      <c r="AH871" s="237"/>
      <c r="AI871" s="237"/>
      <c r="AJ871" s="237"/>
      <c r="AK871" s="237"/>
      <c r="AL871" s="237"/>
      <c r="AM871" s="237"/>
      <c r="AN871" s="237"/>
      <c r="AV871" s="237"/>
      <c r="AW871" s="237"/>
      <c r="AX871" s="237"/>
      <c r="AY871" s="237"/>
      <c r="AZ871" s="237"/>
      <c r="BA871" s="237"/>
      <c r="BB871" s="237"/>
    </row>
    <row r="872">
      <c r="E872" s="133"/>
      <c r="F872" s="237"/>
      <c r="G872" s="237"/>
      <c r="H872" s="131"/>
      <c r="I872" s="131"/>
      <c r="J872" s="131"/>
      <c r="K872" s="131"/>
      <c r="L872" s="131"/>
      <c r="T872" s="237"/>
      <c r="U872" s="237"/>
      <c r="V872" s="237"/>
      <c r="W872" s="237"/>
      <c r="X872" s="237"/>
      <c r="Y872" s="237"/>
      <c r="Z872" s="237"/>
      <c r="AH872" s="237"/>
      <c r="AI872" s="237"/>
      <c r="AJ872" s="237"/>
      <c r="AK872" s="237"/>
      <c r="AL872" s="237"/>
      <c r="AM872" s="237"/>
      <c r="AN872" s="237"/>
      <c r="AV872" s="237"/>
      <c r="AW872" s="237"/>
      <c r="AX872" s="237"/>
      <c r="AY872" s="237"/>
      <c r="AZ872" s="237"/>
      <c r="BA872" s="237"/>
      <c r="BB872" s="237"/>
    </row>
    <row r="873">
      <c r="E873" s="133"/>
      <c r="F873" s="237"/>
      <c r="G873" s="237"/>
      <c r="H873" s="131"/>
      <c r="I873" s="131"/>
      <c r="J873" s="131"/>
      <c r="K873" s="131"/>
      <c r="L873" s="131"/>
      <c r="T873" s="237"/>
      <c r="U873" s="237"/>
      <c r="V873" s="237"/>
      <c r="W873" s="237"/>
      <c r="X873" s="237"/>
      <c r="Y873" s="237"/>
      <c r="Z873" s="237"/>
      <c r="AH873" s="237"/>
      <c r="AI873" s="237"/>
      <c r="AJ873" s="237"/>
      <c r="AK873" s="237"/>
      <c r="AL873" s="237"/>
      <c r="AM873" s="237"/>
      <c r="AN873" s="237"/>
      <c r="AV873" s="237"/>
      <c r="AW873" s="237"/>
      <c r="AX873" s="237"/>
      <c r="AY873" s="237"/>
      <c r="AZ873" s="237"/>
      <c r="BA873" s="237"/>
      <c r="BB873" s="237"/>
    </row>
    <row r="874">
      <c r="E874" s="133"/>
      <c r="F874" s="237"/>
      <c r="G874" s="237"/>
      <c r="H874" s="131"/>
      <c r="I874" s="131"/>
      <c r="J874" s="131"/>
      <c r="K874" s="131"/>
      <c r="L874" s="131"/>
      <c r="T874" s="237"/>
      <c r="U874" s="237"/>
      <c r="V874" s="237"/>
      <c r="W874" s="237"/>
      <c r="X874" s="237"/>
      <c r="Y874" s="237"/>
      <c r="Z874" s="237"/>
      <c r="AH874" s="237"/>
      <c r="AI874" s="237"/>
      <c r="AJ874" s="237"/>
      <c r="AK874" s="237"/>
      <c r="AL874" s="237"/>
      <c r="AM874" s="237"/>
      <c r="AN874" s="237"/>
      <c r="AV874" s="237"/>
      <c r="AW874" s="237"/>
      <c r="AX874" s="237"/>
      <c r="AY874" s="237"/>
      <c r="AZ874" s="237"/>
      <c r="BA874" s="237"/>
      <c r="BB874" s="237"/>
    </row>
    <row r="875">
      <c r="E875" s="133"/>
      <c r="F875" s="237"/>
      <c r="G875" s="237"/>
      <c r="H875" s="131"/>
      <c r="I875" s="131"/>
      <c r="J875" s="131"/>
      <c r="K875" s="131"/>
      <c r="L875" s="131"/>
      <c r="T875" s="237"/>
      <c r="U875" s="237"/>
      <c r="V875" s="237"/>
      <c r="W875" s="237"/>
      <c r="X875" s="237"/>
      <c r="Y875" s="237"/>
      <c r="Z875" s="237"/>
      <c r="AH875" s="237"/>
      <c r="AI875" s="237"/>
      <c r="AJ875" s="237"/>
      <c r="AK875" s="237"/>
      <c r="AL875" s="237"/>
      <c r="AM875" s="237"/>
      <c r="AN875" s="237"/>
      <c r="AV875" s="237"/>
      <c r="AW875" s="237"/>
      <c r="AX875" s="237"/>
      <c r="AY875" s="237"/>
      <c r="AZ875" s="237"/>
      <c r="BA875" s="237"/>
      <c r="BB875" s="237"/>
    </row>
    <row r="876">
      <c r="E876" s="133"/>
      <c r="F876" s="237"/>
      <c r="G876" s="237"/>
      <c r="H876" s="131"/>
      <c r="I876" s="131"/>
      <c r="J876" s="131"/>
      <c r="K876" s="131"/>
      <c r="L876" s="131"/>
      <c r="T876" s="237"/>
      <c r="U876" s="237"/>
      <c r="V876" s="237"/>
      <c r="W876" s="237"/>
      <c r="X876" s="237"/>
      <c r="Y876" s="237"/>
      <c r="Z876" s="237"/>
      <c r="AH876" s="237"/>
      <c r="AI876" s="237"/>
      <c r="AJ876" s="237"/>
      <c r="AK876" s="237"/>
      <c r="AL876" s="237"/>
      <c r="AM876" s="237"/>
      <c r="AN876" s="237"/>
      <c r="AV876" s="237"/>
      <c r="AW876" s="237"/>
      <c r="AX876" s="237"/>
      <c r="AY876" s="237"/>
      <c r="AZ876" s="237"/>
      <c r="BA876" s="237"/>
      <c r="BB876" s="237"/>
    </row>
    <row r="877">
      <c r="E877" s="133"/>
      <c r="F877" s="237"/>
      <c r="G877" s="237"/>
      <c r="H877" s="131"/>
      <c r="I877" s="131"/>
      <c r="J877" s="131"/>
      <c r="K877" s="131"/>
      <c r="L877" s="131"/>
      <c r="T877" s="237"/>
      <c r="U877" s="237"/>
      <c r="V877" s="237"/>
      <c r="W877" s="237"/>
      <c r="X877" s="237"/>
      <c r="Y877" s="237"/>
      <c r="Z877" s="237"/>
      <c r="AH877" s="237"/>
      <c r="AI877" s="237"/>
      <c r="AJ877" s="237"/>
      <c r="AK877" s="237"/>
      <c r="AL877" s="237"/>
      <c r="AM877" s="237"/>
      <c r="AN877" s="237"/>
      <c r="AV877" s="237"/>
      <c r="AW877" s="237"/>
      <c r="AX877" s="237"/>
      <c r="AY877" s="237"/>
      <c r="AZ877" s="237"/>
      <c r="BA877" s="237"/>
      <c r="BB877" s="237"/>
    </row>
    <row r="878">
      <c r="E878" s="133"/>
      <c r="F878" s="237"/>
      <c r="G878" s="237"/>
      <c r="H878" s="131"/>
      <c r="I878" s="131"/>
      <c r="J878" s="131"/>
      <c r="K878" s="131"/>
      <c r="L878" s="131"/>
      <c r="T878" s="237"/>
      <c r="U878" s="237"/>
      <c r="V878" s="237"/>
      <c r="W878" s="237"/>
      <c r="X878" s="237"/>
      <c r="Y878" s="237"/>
      <c r="Z878" s="237"/>
      <c r="AH878" s="237"/>
      <c r="AI878" s="237"/>
      <c r="AJ878" s="237"/>
      <c r="AK878" s="237"/>
      <c r="AL878" s="237"/>
      <c r="AM878" s="237"/>
      <c r="AN878" s="237"/>
      <c r="AV878" s="237"/>
      <c r="AW878" s="237"/>
      <c r="AX878" s="237"/>
      <c r="AY878" s="237"/>
      <c r="AZ878" s="237"/>
      <c r="BA878" s="237"/>
      <c r="BB878" s="237"/>
    </row>
    <row r="879">
      <c r="E879" s="133"/>
      <c r="F879" s="237"/>
      <c r="G879" s="237"/>
      <c r="H879" s="131"/>
      <c r="I879" s="131"/>
      <c r="J879" s="131"/>
      <c r="K879" s="131"/>
      <c r="L879" s="131"/>
      <c r="T879" s="237"/>
      <c r="U879" s="237"/>
      <c r="V879" s="237"/>
      <c r="W879" s="237"/>
      <c r="X879" s="237"/>
      <c r="Y879" s="237"/>
      <c r="Z879" s="237"/>
      <c r="AH879" s="237"/>
      <c r="AI879" s="237"/>
      <c r="AJ879" s="237"/>
      <c r="AK879" s="237"/>
      <c r="AL879" s="237"/>
      <c r="AM879" s="237"/>
      <c r="AN879" s="237"/>
      <c r="AV879" s="237"/>
      <c r="AW879" s="237"/>
      <c r="AX879" s="237"/>
      <c r="AY879" s="237"/>
      <c r="AZ879" s="237"/>
      <c r="BA879" s="237"/>
      <c r="BB879" s="237"/>
    </row>
    <row r="880">
      <c r="E880" s="133"/>
      <c r="F880" s="237"/>
      <c r="G880" s="237"/>
      <c r="H880" s="131"/>
      <c r="I880" s="131"/>
      <c r="J880" s="131"/>
      <c r="K880" s="131"/>
      <c r="L880" s="131"/>
      <c r="T880" s="237"/>
      <c r="U880" s="237"/>
      <c r="V880" s="237"/>
      <c r="W880" s="237"/>
      <c r="X880" s="237"/>
      <c r="Y880" s="237"/>
      <c r="Z880" s="237"/>
      <c r="AH880" s="237"/>
      <c r="AI880" s="237"/>
      <c r="AJ880" s="237"/>
      <c r="AK880" s="237"/>
      <c r="AL880" s="237"/>
      <c r="AM880" s="237"/>
      <c r="AN880" s="237"/>
      <c r="AV880" s="237"/>
      <c r="AW880" s="237"/>
      <c r="AX880" s="237"/>
      <c r="AY880" s="237"/>
      <c r="AZ880" s="237"/>
      <c r="BA880" s="237"/>
      <c r="BB880" s="237"/>
    </row>
    <row r="881">
      <c r="E881" s="133"/>
      <c r="F881" s="237"/>
      <c r="G881" s="237"/>
      <c r="H881" s="131"/>
      <c r="I881" s="131"/>
      <c r="J881" s="131"/>
      <c r="K881" s="131"/>
      <c r="L881" s="131"/>
      <c r="T881" s="237"/>
      <c r="U881" s="237"/>
      <c r="V881" s="237"/>
      <c r="W881" s="237"/>
      <c r="X881" s="237"/>
      <c r="Y881" s="237"/>
      <c r="Z881" s="237"/>
      <c r="AH881" s="237"/>
      <c r="AI881" s="237"/>
      <c r="AJ881" s="237"/>
      <c r="AK881" s="237"/>
      <c r="AL881" s="237"/>
      <c r="AM881" s="237"/>
      <c r="AN881" s="237"/>
      <c r="AV881" s="237"/>
      <c r="AW881" s="237"/>
      <c r="AX881" s="237"/>
      <c r="AY881" s="237"/>
      <c r="AZ881" s="237"/>
      <c r="BA881" s="237"/>
      <c r="BB881" s="237"/>
    </row>
    <row r="882">
      <c r="E882" s="133"/>
      <c r="F882" s="237"/>
      <c r="G882" s="237"/>
      <c r="H882" s="131"/>
      <c r="I882" s="131"/>
      <c r="J882" s="131"/>
      <c r="K882" s="131"/>
      <c r="L882" s="131"/>
      <c r="T882" s="237"/>
      <c r="U882" s="237"/>
      <c r="V882" s="237"/>
      <c r="W882" s="237"/>
      <c r="X882" s="237"/>
      <c r="Y882" s="237"/>
      <c r="Z882" s="237"/>
      <c r="AH882" s="237"/>
      <c r="AI882" s="237"/>
      <c r="AJ882" s="237"/>
      <c r="AK882" s="237"/>
      <c r="AL882" s="237"/>
      <c r="AM882" s="237"/>
      <c r="AN882" s="237"/>
      <c r="AV882" s="237"/>
      <c r="AW882" s="237"/>
      <c r="AX882" s="237"/>
      <c r="AY882" s="237"/>
      <c r="AZ882" s="237"/>
      <c r="BA882" s="237"/>
      <c r="BB882" s="237"/>
    </row>
    <row r="883">
      <c r="E883" s="133"/>
      <c r="F883" s="237"/>
      <c r="G883" s="237"/>
      <c r="H883" s="131"/>
      <c r="I883" s="131"/>
      <c r="J883" s="131"/>
      <c r="K883" s="131"/>
      <c r="L883" s="131"/>
      <c r="T883" s="237"/>
      <c r="U883" s="237"/>
      <c r="V883" s="237"/>
      <c r="W883" s="237"/>
      <c r="X883" s="237"/>
      <c r="Y883" s="237"/>
      <c r="Z883" s="237"/>
      <c r="AH883" s="237"/>
      <c r="AI883" s="237"/>
      <c r="AJ883" s="237"/>
      <c r="AK883" s="237"/>
      <c r="AL883" s="237"/>
      <c r="AM883" s="237"/>
      <c r="AN883" s="237"/>
      <c r="AV883" s="237"/>
      <c r="AW883" s="237"/>
      <c r="AX883" s="237"/>
      <c r="AY883" s="237"/>
      <c r="AZ883" s="237"/>
      <c r="BA883" s="237"/>
      <c r="BB883" s="237"/>
    </row>
    <row r="884">
      <c r="E884" s="133"/>
      <c r="F884" s="237"/>
      <c r="G884" s="237"/>
      <c r="H884" s="131"/>
      <c r="I884" s="131"/>
      <c r="J884" s="131"/>
      <c r="K884" s="131"/>
      <c r="L884" s="131"/>
      <c r="T884" s="237"/>
      <c r="U884" s="237"/>
      <c r="V884" s="237"/>
      <c r="W884" s="237"/>
      <c r="X884" s="237"/>
      <c r="Y884" s="237"/>
      <c r="Z884" s="237"/>
      <c r="AH884" s="237"/>
      <c r="AI884" s="237"/>
      <c r="AJ884" s="237"/>
      <c r="AK884" s="237"/>
      <c r="AL884" s="237"/>
      <c r="AM884" s="237"/>
      <c r="AN884" s="237"/>
      <c r="AV884" s="237"/>
      <c r="AW884" s="237"/>
      <c r="AX884" s="237"/>
      <c r="AY884" s="237"/>
      <c r="AZ884" s="237"/>
      <c r="BA884" s="237"/>
      <c r="BB884" s="237"/>
    </row>
    <row r="885">
      <c r="E885" s="133"/>
      <c r="F885" s="237"/>
      <c r="G885" s="237"/>
      <c r="H885" s="131"/>
      <c r="I885" s="131"/>
      <c r="J885" s="131"/>
      <c r="K885" s="131"/>
      <c r="L885" s="131"/>
      <c r="T885" s="237"/>
      <c r="U885" s="237"/>
      <c r="V885" s="237"/>
      <c r="W885" s="237"/>
      <c r="X885" s="237"/>
      <c r="Y885" s="237"/>
      <c r="Z885" s="237"/>
      <c r="AH885" s="237"/>
      <c r="AI885" s="237"/>
      <c r="AJ885" s="237"/>
      <c r="AK885" s="237"/>
      <c r="AL885" s="237"/>
      <c r="AM885" s="237"/>
      <c r="AN885" s="237"/>
      <c r="AV885" s="237"/>
      <c r="AW885" s="237"/>
      <c r="AX885" s="237"/>
      <c r="AY885" s="237"/>
      <c r="AZ885" s="237"/>
      <c r="BA885" s="237"/>
      <c r="BB885" s="237"/>
    </row>
    <row r="886">
      <c r="E886" s="133"/>
      <c r="F886" s="237"/>
      <c r="G886" s="237"/>
      <c r="H886" s="131"/>
      <c r="I886" s="131"/>
      <c r="J886" s="131"/>
      <c r="K886" s="131"/>
      <c r="L886" s="131"/>
      <c r="T886" s="237"/>
      <c r="U886" s="237"/>
      <c r="V886" s="237"/>
      <c r="W886" s="237"/>
      <c r="X886" s="237"/>
      <c r="Y886" s="237"/>
      <c r="Z886" s="237"/>
      <c r="AH886" s="237"/>
      <c r="AI886" s="237"/>
      <c r="AJ886" s="237"/>
      <c r="AK886" s="237"/>
      <c r="AL886" s="237"/>
      <c r="AM886" s="237"/>
      <c r="AN886" s="237"/>
      <c r="AV886" s="237"/>
      <c r="AW886" s="237"/>
      <c r="AX886" s="237"/>
      <c r="AY886" s="237"/>
      <c r="AZ886" s="237"/>
      <c r="BA886" s="237"/>
      <c r="BB886" s="237"/>
    </row>
    <row r="887">
      <c r="E887" s="133"/>
      <c r="F887" s="237"/>
      <c r="G887" s="237"/>
      <c r="H887" s="131"/>
      <c r="I887" s="131"/>
      <c r="J887" s="131"/>
      <c r="K887" s="131"/>
      <c r="L887" s="131"/>
      <c r="T887" s="237"/>
      <c r="U887" s="237"/>
      <c r="V887" s="237"/>
      <c r="W887" s="237"/>
      <c r="X887" s="237"/>
      <c r="Y887" s="237"/>
      <c r="Z887" s="237"/>
      <c r="AH887" s="237"/>
      <c r="AI887" s="237"/>
      <c r="AJ887" s="237"/>
      <c r="AK887" s="237"/>
      <c r="AL887" s="237"/>
      <c r="AM887" s="237"/>
      <c r="AN887" s="237"/>
      <c r="AV887" s="237"/>
      <c r="AW887" s="237"/>
      <c r="AX887" s="237"/>
      <c r="AY887" s="237"/>
      <c r="AZ887" s="237"/>
      <c r="BA887" s="237"/>
      <c r="BB887" s="237"/>
    </row>
    <row r="888">
      <c r="E888" s="133"/>
      <c r="F888" s="237"/>
      <c r="G888" s="237"/>
      <c r="H888" s="131"/>
      <c r="I888" s="131"/>
      <c r="J888" s="131"/>
      <c r="K888" s="131"/>
      <c r="L888" s="131"/>
      <c r="T888" s="237"/>
      <c r="U888" s="237"/>
      <c r="V888" s="237"/>
      <c r="W888" s="237"/>
      <c r="X888" s="237"/>
      <c r="Y888" s="237"/>
      <c r="Z888" s="237"/>
      <c r="AH888" s="237"/>
      <c r="AI888" s="237"/>
      <c r="AJ888" s="237"/>
      <c r="AK888" s="237"/>
      <c r="AL888" s="237"/>
      <c r="AM888" s="237"/>
      <c r="AN888" s="237"/>
      <c r="AV888" s="237"/>
      <c r="AW888" s="237"/>
      <c r="AX888" s="237"/>
      <c r="AY888" s="237"/>
      <c r="AZ888" s="237"/>
      <c r="BA888" s="237"/>
      <c r="BB888" s="237"/>
    </row>
    <row r="889">
      <c r="E889" s="133"/>
      <c r="F889" s="237"/>
      <c r="G889" s="237"/>
      <c r="H889" s="131"/>
      <c r="I889" s="131"/>
      <c r="J889" s="131"/>
      <c r="K889" s="131"/>
      <c r="L889" s="131"/>
      <c r="T889" s="237"/>
      <c r="U889" s="237"/>
      <c r="V889" s="237"/>
      <c r="W889" s="237"/>
      <c r="X889" s="237"/>
      <c r="Y889" s="237"/>
      <c r="Z889" s="237"/>
      <c r="AH889" s="237"/>
      <c r="AI889" s="237"/>
      <c r="AJ889" s="237"/>
      <c r="AK889" s="237"/>
      <c r="AL889" s="237"/>
      <c r="AM889" s="237"/>
      <c r="AN889" s="237"/>
      <c r="AV889" s="237"/>
      <c r="AW889" s="237"/>
      <c r="AX889" s="237"/>
      <c r="AY889" s="237"/>
      <c r="AZ889" s="237"/>
      <c r="BA889" s="237"/>
      <c r="BB889" s="237"/>
    </row>
    <row r="890">
      <c r="E890" s="133"/>
      <c r="F890" s="237"/>
      <c r="G890" s="237"/>
      <c r="H890" s="131"/>
      <c r="I890" s="131"/>
      <c r="J890" s="131"/>
      <c r="K890" s="131"/>
      <c r="L890" s="131"/>
      <c r="T890" s="237"/>
      <c r="U890" s="237"/>
      <c r="V890" s="237"/>
      <c r="W890" s="237"/>
      <c r="X890" s="237"/>
      <c r="Y890" s="237"/>
      <c r="Z890" s="237"/>
      <c r="AH890" s="237"/>
      <c r="AI890" s="237"/>
      <c r="AJ890" s="237"/>
      <c r="AK890" s="237"/>
      <c r="AL890" s="237"/>
      <c r="AM890" s="237"/>
      <c r="AN890" s="237"/>
      <c r="AV890" s="237"/>
      <c r="AW890" s="237"/>
      <c r="AX890" s="237"/>
      <c r="AY890" s="237"/>
      <c r="AZ890" s="237"/>
      <c r="BA890" s="237"/>
      <c r="BB890" s="237"/>
    </row>
    <row r="891">
      <c r="E891" s="133"/>
      <c r="F891" s="237"/>
      <c r="G891" s="237"/>
      <c r="H891" s="131"/>
      <c r="I891" s="131"/>
      <c r="J891" s="131"/>
      <c r="K891" s="131"/>
      <c r="L891" s="131"/>
      <c r="T891" s="237"/>
      <c r="U891" s="237"/>
      <c r="V891" s="237"/>
      <c r="W891" s="237"/>
      <c r="X891" s="237"/>
      <c r="Y891" s="237"/>
      <c r="Z891" s="237"/>
      <c r="AH891" s="237"/>
      <c r="AI891" s="237"/>
      <c r="AJ891" s="237"/>
      <c r="AK891" s="237"/>
      <c r="AL891" s="237"/>
      <c r="AM891" s="237"/>
      <c r="AN891" s="237"/>
      <c r="AV891" s="237"/>
      <c r="AW891" s="237"/>
      <c r="AX891" s="237"/>
      <c r="AY891" s="237"/>
      <c r="AZ891" s="237"/>
      <c r="BA891" s="237"/>
      <c r="BB891" s="237"/>
    </row>
    <row r="892">
      <c r="E892" s="133"/>
      <c r="F892" s="237"/>
      <c r="G892" s="237"/>
      <c r="H892" s="131"/>
      <c r="I892" s="131"/>
      <c r="J892" s="131"/>
      <c r="K892" s="131"/>
      <c r="L892" s="131"/>
      <c r="T892" s="237"/>
      <c r="U892" s="237"/>
      <c r="V892" s="237"/>
      <c r="W892" s="237"/>
      <c r="X892" s="237"/>
      <c r="Y892" s="237"/>
      <c r="Z892" s="237"/>
      <c r="AH892" s="237"/>
      <c r="AI892" s="237"/>
      <c r="AJ892" s="237"/>
      <c r="AK892" s="237"/>
      <c r="AL892" s="237"/>
      <c r="AM892" s="237"/>
      <c r="AN892" s="237"/>
      <c r="AV892" s="237"/>
      <c r="AW892" s="237"/>
      <c r="AX892" s="237"/>
      <c r="AY892" s="237"/>
      <c r="AZ892" s="237"/>
      <c r="BA892" s="237"/>
      <c r="BB892" s="237"/>
    </row>
    <row r="893">
      <c r="E893" s="133"/>
      <c r="F893" s="237"/>
      <c r="G893" s="237"/>
      <c r="H893" s="131"/>
      <c r="I893" s="131"/>
      <c r="J893" s="131"/>
      <c r="K893" s="131"/>
      <c r="L893" s="131"/>
      <c r="T893" s="237"/>
      <c r="U893" s="237"/>
      <c r="V893" s="237"/>
      <c r="W893" s="237"/>
      <c r="X893" s="237"/>
      <c r="Y893" s="237"/>
      <c r="Z893" s="237"/>
      <c r="AH893" s="237"/>
      <c r="AI893" s="237"/>
      <c r="AJ893" s="237"/>
      <c r="AK893" s="237"/>
      <c r="AL893" s="237"/>
      <c r="AM893" s="237"/>
      <c r="AN893" s="237"/>
      <c r="AV893" s="237"/>
      <c r="AW893" s="237"/>
      <c r="AX893" s="237"/>
      <c r="AY893" s="237"/>
      <c r="AZ893" s="237"/>
      <c r="BA893" s="237"/>
      <c r="BB893" s="237"/>
    </row>
    <row r="894">
      <c r="E894" s="133"/>
      <c r="F894" s="237"/>
      <c r="G894" s="237"/>
      <c r="H894" s="131"/>
      <c r="I894" s="131"/>
      <c r="J894" s="131"/>
      <c r="K894" s="131"/>
      <c r="L894" s="131"/>
      <c r="T894" s="237"/>
      <c r="U894" s="237"/>
      <c r="V894" s="237"/>
      <c r="W894" s="237"/>
      <c r="X894" s="237"/>
      <c r="Y894" s="237"/>
      <c r="Z894" s="237"/>
      <c r="AH894" s="237"/>
      <c r="AI894" s="237"/>
      <c r="AJ894" s="237"/>
      <c r="AK894" s="237"/>
      <c r="AL894" s="237"/>
      <c r="AM894" s="237"/>
      <c r="AN894" s="237"/>
      <c r="AV894" s="237"/>
      <c r="AW894" s="237"/>
      <c r="AX894" s="237"/>
      <c r="AY894" s="237"/>
      <c r="AZ894" s="237"/>
      <c r="BA894" s="237"/>
      <c r="BB894" s="237"/>
    </row>
    <row r="895">
      <c r="E895" s="133"/>
      <c r="F895" s="237"/>
      <c r="G895" s="237"/>
      <c r="H895" s="131"/>
      <c r="I895" s="131"/>
      <c r="J895" s="131"/>
      <c r="K895" s="131"/>
      <c r="L895" s="131"/>
      <c r="T895" s="237"/>
      <c r="U895" s="237"/>
      <c r="V895" s="237"/>
      <c r="W895" s="237"/>
      <c r="X895" s="237"/>
      <c r="Y895" s="237"/>
      <c r="Z895" s="237"/>
      <c r="AH895" s="237"/>
      <c r="AI895" s="237"/>
      <c r="AJ895" s="237"/>
      <c r="AK895" s="237"/>
      <c r="AL895" s="237"/>
      <c r="AM895" s="237"/>
      <c r="AN895" s="237"/>
      <c r="AV895" s="237"/>
      <c r="AW895" s="237"/>
      <c r="AX895" s="237"/>
      <c r="AY895" s="237"/>
      <c r="AZ895" s="237"/>
      <c r="BA895" s="237"/>
      <c r="BB895" s="237"/>
    </row>
    <row r="896">
      <c r="E896" s="133"/>
      <c r="F896" s="237"/>
      <c r="G896" s="237"/>
      <c r="H896" s="131"/>
      <c r="I896" s="131"/>
      <c r="J896" s="131"/>
      <c r="K896" s="131"/>
      <c r="L896" s="131"/>
      <c r="T896" s="237"/>
      <c r="U896" s="237"/>
      <c r="V896" s="237"/>
      <c r="W896" s="237"/>
      <c r="X896" s="237"/>
      <c r="Y896" s="237"/>
      <c r="Z896" s="237"/>
      <c r="AH896" s="237"/>
      <c r="AI896" s="237"/>
      <c r="AJ896" s="237"/>
      <c r="AK896" s="237"/>
      <c r="AL896" s="237"/>
      <c r="AM896" s="237"/>
      <c r="AN896" s="237"/>
      <c r="AV896" s="237"/>
      <c r="AW896" s="237"/>
      <c r="AX896" s="237"/>
      <c r="AY896" s="237"/>
      <c r="AZ896" s="237"/>
      <c r="BA896" s="237"/>
      <c r="BB896" s="237"/>
    </row>
    <row r="897">
      <c r="E897" s="133"/>
      <c r="F897" s="237"/>
      <c r="G897" s="237"/>
      <c r="H897" s="131"/>
      <c r="I897" s="131"/>
      <c r="J897" s="131"/>
      <c r="K897" s="131"/>
      <c r="L897" s="131"/>
      <c r="T897" s="237"/>
      <c r="U897" s="237"/>
      <c r="V897" s="237"/>
      <c r="W897" s="237"/>
      <c r="X897" s="237"/>
      <c r="Y897" s="237"/>
      <c r="Z897" s="237"/>
      <c r="AH897" s="237"/>
      <c r="AI897" s="237"/>
      <c r="AJ897" s="237"/>
      <c r="AK897" s="237"/>
      <c r="AL897" s="237"/>
      <c r="AM897" s="237"/>
      <c r="AN897" s="237"/>
      <c r="AV897" s="237"/>
      <c r="AW897" s="237"/>
      <c r="AX897" s="237"/>
      <c r="AY897" s="237"/>
      <c r="AZ897" s="237"/>
      <c r="BA897" s="237"/>
      <c r="BB897" s="237"/>
    </row>
    <row r="898">
      <c r="E898" s="133"/>
      <c r="F898" s="237"/>
      <c r="G898" s="237"/>
      <c r="H898" s="131"/>
      <c r="I898" s="131"/>
      <c r="J898" s="131"/>
      <c r="K898" s="131"/>
      <c r="L898" s="131"/>
      <c r="T898" s="237"/>
      <c r="U898" s="237"/>
      <c r="V898" s="237"/>
      <c r="W898" s="237"/>
      <c r="X898" s="237"/>
      <c r="Y898" s="237"/>
      <c r="Z898" s="237"/>
      <c r="AH898" s="237"/>
      <c r="AI898" s="237"/>
      <c r="AJ898" s="237"/>
      <c r="AK898" s="237"/>
      <c r="AL898" s="237"/>
      <c r="AM898" s="237"/>
      <c r="AN898" s="237"/>
      <c r="AV898" s="237"/>
      <c r="AW898" s="237"/>
      <c r="AX898" s="237"/>
      <c r="AY898" s="237"/>
      <c r="AZ898" s="237"/>
      <c r="BA898" s="237"/>
      <c r="BB898" s="237"/>
    </row>
    <row r="899">
      <c r="E899" s="133"/>
      <c r="F899" s="237"/>
      <c r="G899" s="237"/>
      <c r="H899" s="131"/>
      <c r="I899" s="131"/>
      <c r="J899" s="131"/>
      <c r="K899" s="131"/>
      <c r="L899" s="131"/>
      <c r="T899" s="237"/>
      <c r="U899" s="237"/>
      <c r="V899" s="237"/>
      <c r="W899" s="237"/>
      <c r="X899" s="237"/>
      <c r="Y899" s="237"/>
      <c r="Z899" s="237"/>
      <c r="AH899" s="237"/>
      <c r="AI899" s="237"/>
      <c r="AJ899" s="237"/>
      <c r="AK899" s="237"/>
      <c r="AL899" s="237"/>
      <c r="AM899" s="237"/>
      <c r="AN899" s="237"/>
      <c r="AV899" s="237"/>
      <c r="AW899" s="237"/>
      <c r="AX899" s="237"/>
      <c r="AY899" s="237"/>
      <c r="AZ899" s="237"/>
      <c r="BA899" s="237"/>
      <c r="BB899" s="237"/>
    </row>
    <row r="900">
      <c r="E900" s="133"/>
      <c r="F900" s="237"/>
      <c r="G900" s="237"/>
      <c r="H900" s="131"/>
      <c r="I900" s="131"/>
      <c r="J900" s="131"/>
      <c r="K900" s="131"/>
      <c r="L900" s="131"/>
      <c r="T900" s="237"/>
      <c r="U900" s="237"/>
      <c r="V900" s="237"/>
      <c r="W900" s="237"/>
      <c r="X900" s="237"/>
      <c r="Y900" s="237"/>
      <c r="Z900" s="237"/>
      <c r="AH900" s="237"/>
      <c r="AI900" s="237"/>
      <c r="AJ900" s="237"/>
      <c r="AK900" s="237"/>
      <c r="AL900" s="237"/>
      <c r="AM900" s="237"/>
      <c r="AN900" s="237"/>
      <c r="AV900" s="237"/>
      <c r="AW900" s="237"/>
      <c r="AX900" s="237"/>
      <c r="AY900" s="237"/>
      <c r="AZ900" s="237"/>
      <c r="BA900" s="237"/>
      <c r="BB900" s="237"/>
    </row>
    <row r="901">
      <c r="E901" s="133"/>
      <c r="F901" s="237"/>
      <c r="G901" s="237"/>
      <c r="H901" s="131"/>
      <c r="I901" s="131"/>
      <c r="J901" s="131"/>
      <c r="K901" s="131"/>
      <c r="L901" s="131"/>
      <c r="T901" s="237"/>
      <c r="U901" s="237"/>
      <c r="V901" s="237"/>
      <c r="W901" s="237"/>
      <c r="X901" s="237"/>
      <c r="Y901" s="237"/>
      <c r="Z901" s="237"/>
      <c r="AH901" s="237"/>
      <c r="AI901" s="237"/>
      <c r="AJ901" s="237"/>
      <c r="AK901" s="237"/>
      <c r="AL901" s="237"/>
      <c r="AM901" s="237"/>
      <c r="AN901" s="237"/>
      <c r="AV901" s="237"/>
      <c r="AW901" s="237"/>
      <c r="AX901" s="237"/>
      <c r="AY901" s="237"/>
      <c r="AZ901" s="237"/>
      <c r="BA901" s="237"/>
      <c r="BB901" s="237"/>
    </row>
    <row r="902">
      <c r="E902" s="133"/>
      <c r="F902" s="237"/>
      <c r="G902" s="237"/>
      <c r="H902" s="131"/>
      <c r="I902" s="131"/>
      <c r="J902" s="131"/>
      <c r="K902" s="131"/>
      <c r="L902" s="131"/>
      <c r="T902" s="237"/>
      <c r="U902" s="237"/>
      <c r="V902" s="237"/>
      <c r="W902" s="237"/>
      <c r="X902" s="237"/>
      <c r="Y902" s="237"/>
      <c r="Z902" s="237"/>
      <c r="AH902" s="237"/>
      <c r="AI902" s="237"/>
      <c r="AJ902" s="237"/>
      <c r="AK902" s="237"/>
      <c r="AL902" s="237"/>
      <c r="AM902" s="237"/>
      <c r="AN902" s="237"/>
      <c r="AV902" s="237"/>
      <c r="AW902" s="237"/>
      <c r="AX902" s="237"/>
      <c r="AY902" s="237"/>
      <c r="AZ902" s="237"/>
      <c r="BA902" s="237"/>
      <c r="BB902" s="237"/>
    </row>
    <row r="903">
      <c r="E903" s="133"/>
      <c r="F903" s="237"/>
      <c r="G903" s="237"/>
      <c r="H903" s="131"/>
      <c r="I903" s="131"/>
      <c r="J903" s="131"/>
      <c r="K903" s="131"/>
      <c r="L903" s="131"/>
      <c r="T903" s="237"/>
      <c r="U903" s="237"/>
      <c r="V903" s="237"/>
      <c r="W903" s="237"/>
      <c r="X903" s="237"/>
      <c r="Y903" s="237"/>
      <c r="Z903" s="237"/>
      <c r="AH903" s="237"/>
      <c r="AI903" s="237"/>
      <c r="AJ903" s="237"/>
      <c r="AK903" s="237"/>
      <c r="AL903" s="237"/>
      <c r="AM903" s="237"/>
      <c r="AN903" s="237"/>
      <c r="AV903" s="237"/>
      <c r="AW903" s="237"/>
      <c r="AX903" s="237"/>
      <c r="AY903" s="237"/>
      <c r="AZ903" s="237"/>
      <c r="BA903" s="237"/>
      <c r="BB903" s="237"/>
    </row>
    <row r="904">
      <c r="E904" s="133"/>
      <c r="F904" s="237"/>
      <c r="G904" s="237"/>
      <c r="H904" s="131"/>
      <c r="I904" s="131"/>
      <c r="J904" s="131"/>
      <c r="K904" s="131"/>
      <c r="L904" s="131"/>
      <c r="T904" s="237"/>
      <c r="U904" s="237"/>
      <c r="V904" s="237"/>
      <c r="W904" s="237"/>
      <c r="X904" s="237"/>
      <c r="Y904" s="237"/>
      <c r="Z904" s="237"/>
      <c r="AH904" s="237"/>
      <c r="AI904" s="237"/>
      <c r="AJ904" s="237"/>
      <c r="AK904" s="237"/>
      <c r="AL904" s="237"/>
      <c r="AM904" s="237"/>
      <c r="AN904" s="237"/>
      <c r="AV904" s="237"/>
      <c r="AW904" s="237"/>
      <c r="AX904" s="237"/>
      <c r="AY904" s="237"/>
      <c r="AZ904" s="237"/>
      <c r="BA904" s="237"/>
      <c r="BB904" s="237"/>
    </row>
    <row r="905">
      <c r="E905" s="133"/>
      <c r="F905" s="237"/>
      <c r="G905" s="237"/>
      <c r="H905" s="131"/>
      <c r="I905" s="131"/>
      <c r="J905" s="131"/>
      <c r="K905" s="131"/>
      <c r="L905" s="131"/>
      <c r="T905" s="237"/>
      <c r="U905" s="237"/>
      <c r="V905" s="237"/>
      <c r="W905" s="237"/>
      <c r="X905" s="237"/>
      <c r="Y905" s="237"/>
      <c r="Z905" s="237"/>
      <c r="AH905" s="237"/>
      <c r="AI905" s="237"/>
      <c r="AJ905" s="237"/>
      <c r="AK905" s="237"/>
      <c r="AL905" s="237"/>
      <c r="AM905" s="237"/>
      <c r="AN905" s="237"/>
      <c r="AV905" s="237"/>
      <c r="AW905" s="237"/>
      <c r="AX905" s="237"/>
      <c r="AY905" s="237"/>
      <c r="AZ905" s="237"/>
      <c r="BA905" s="237"/>
      <c r="BB905" s="237"/>
    </row>
    <row r="906">
      <c r="E906" s="133"/>
      <c r="F906" s="237"/>
      <c r="G906" s="237"/>
      <c r="H906" s="131"/>
      <c r="I906" s="131"/>
      <c r="J906" s="131"/>
      <c r="K906" s="131"/>
      <c r="L906" s="131"/>
      <c r="T906" s="237"/>
      <c r="U906" s="237"/>
      <c r="V906" s="237"/>
      <c r="W906" s="237"/>
      <c r="X906" s="237"/>
      <c r="Y906" s="237"/>
      <c r="Z906" s="237"/>
      <c r="AH906" s="237"/>
      <c r="AI906" s="237"/>
      <c r="AJ906" s="237"/>
      <c r="AK906" s="237"/>
      <c r="AL906" s="237"/>
      <c r="AM906" s="237"/>
      <c r="AN906" s="237"/>
      <c r="AV906" s="237"/>
      <c r="AW906" s="237"/>
      <c r="AX906" s="237"/>
      <c r="AY906" s="237"/>
      <c r="AZ906" s="237"/>
      <c r="BA906" s="237"/>
      <c r="BB906" s="237"/>
    </row>
    <row r="907">
      <c r="E907" s="133"/>
      <c r="F907" s="237"/>
      <c r="G907" s="237"/>
      <c r="H907" s="131"/>
      <c r="I907" s="131"/>
      <c r="J907" s="131"/>
      <c r="K907" s="131"/>
      <c r="L907" s="131"/>
      <c r="T907" s="237"/>
      <c r="U907" s="237"/>
      <c r="V907" s="237"/>
      <c r="W907" s="237"/>
      <c r="X907" s="237"/>
      <c r="Y907" s="237"/>
      <c r="Z907" s="237"/>
      <c r="AH907" s="237"/>
      <c r="AI907" s="237"/>
      <c r="AJ907" s="237"/>
      <c r="AK907" s="237"/>
      <c r="AL907" s="237"/>
      <c r="AM907" s="237"/>
      <c r="AN907" s="237"/>
      <c r="AV907" s="237"/>
      <c r="AW907" s="237"/>
      <c r="AX907" s="237"/>
      <c r="AY907" s="237"/>
      <c r="AZ907" s="237"/>
      <c r="BA907" s="237"/>
      <c r="BB907" s="237"/>
    </row>
    <row r="908">
      <c r="E908" s="133"/>
      <c r="F908" s="237"/>
      <c r="G908" s="237"/>
      <c r="H908" s="131"/>
      <c r="I908" s="131"/>
      <c r="J908" s="131"/>
      <c r="K908" s="131"/>
      <c r="L908" s="131"/>
      <c r="T908" s="237"/>
      <c r="U908" s="237"/>
      <c r="V908" s="237"/>
      <c r="W908" s="237"/>
      <c r="X908" s="237"/>
      <c r="Y908" s="237"/>
      <c r="Z908" s="237"/>
      <c r="AH908" s="237"/>
      <c r="AI908" s="237"/>
      <c r="AJ908" s="237"/>
      <c r="AK908" s="237"/>
      <c r="AL908" s="237"/>
      <c r="AM908" s="237"/>
      <c r="AN908" s="237"/>
      <c r="AV908" s="237"/>
      <c r="AW908" s="237"/>
      <c r="AX908" s="237"/>
      <c r="AY908" s="237"/>
      <c r="AZ908" s="237"/>
      <c r="BA908" s="237"/>
      <c r="BB908" s="237"/>
    </row>
    <row r="909">
      <c r="E909" s="133"/>
      <c r="F909" s="237"/>
      <c r="G909" s="237"/>
      <c r="H909" s="131"/>
      <c r="I909" s="131"/>
      <c r="J909" s="131"/>
      <c r="K909" s="131"/>
      <c r="L909" s="131"/>
      <c r="T909" s="237"/>
      <c r="U909" s="237"/>
      <c r="V909" s="237"/>
      <c r="W909" s="237"/>
      <c r="X909" s="237"/>
      <c r="Y909" s="237"/>
      <c r="Z909" s="237"/>
      <c r="AH909" s="237"/>
      <c r="AI909" s="237"/>
      <c r="AJ909" s="237"/>
      <c r="AK909" s="237"/>
      <c r="AL909" s="237"/>
      <c r="AM909" s="237"/>
      <c r="AN909" s="237"/>
      <c r="AV909" s="237"/>
      <c r="AW909" s="237"/>
      <c r="AX909" s="237"/>
      <c r="AY909" s="237"/>
      <c r="AZ909" s="237"/>
      <c r="BA909" s="237"/>
      <c r="BB909" s="237"/>
    </row>
    <row r="910">
      <c r="E910" s="133"/>
      <c r="F910" s="237"/>
      <c r="G910" s="237"/>
      <c r="H910" s="131"/>
      <c r="I910" s="131"/>
      <c r="J910" s="131"/>
      <c r="K910" s="131"/>
      <c r="L910" s="131"/>
      <c r="T910" s="237"/>
      <c r="U910" s="237"/>
      <c r="V910" s="237"/>
      <c r="W910" s="237"/>
      <c r="X910" s="237"/>
      <c r="Y910" s="237"/>
      <c r="Z910" s="237"/>
      <c r="AH910" s="237"/>
      <c r="AI910" s="237"/>
      <c r="AJ910" s="237"/>
      <c r="AK910" s="237"/>
      <c r="AL910" s="237"/>
      <c r="AM910" s="237"/>
      <c r="AN910" s="237"/>
      <c r="AV910" s="237"/>
      <c r="AW910" s="237"/>
      <c r="AX910" s="237"/>
      <c r="AY910" s="237"/>
      <c r="AZ910" s="237"/>
      <c r="BA910" s="237"/>
      <c r="BB910" s="237"/>
    </row>
    <row r="911">
      <c r="E911" s="133"/>
      <c r="F911" s="237"/>
      <c r="G911" s="237"/>
      <c r="H911" s="131"/>
      <c r="I911" s="131"/>
      <c r="J911" s="131"/>
      <c r="K911" s="131"/>
      <c r="L911" s="131"/>
      <c r="T911" s="237"/>
      <c r="U911" s="237"/>
      <c r="V911" s="237"/>
      <c r="W911" s="237"/>
      <c r="X911" s="237"/>
      <c r="Y911" s="237"/>
      <c r="Z911" s="237"/>
      <c r="AH911" s="237"/>
      <c r="AI911" s="237"/>
      <c r="AJ911" s="237"/>
      <c r="AK911" s="237"/>
      <c r="AL911" s="237"/>
      <c r="AM911" s="237"/>
      <c r="AN911" s="237"/>
      <c r="AV911" s="237"/>
      <c r="AW911" s="237"/>
      <c r="AX911" s="237"/>
      <c r="AY911" s="237"/>
      <c r="AZ911" s="237"/>
      <c r="BA911" s="237"/>
      <c r="BB911" s="237"/>
    </row>
    <row r="912">
      <c r="E912" s="133"/>
      <c r="F912" s="237"/>
      <c r="G912" s="237"/>
      <c r="H912" s="131"/>
      <c r="I912" s="131"/>
      <c r="J912" s="131"/>
      <c r="K912" s="131"/>
      <c r="L912" s="131"/>
      <c r="T912" s="237"/>
      <c r="U912" s="237"/>
      <c r="V912" s="237"/>
      <c r="W912" s="237"/>
      <c r="X912" s="237"/>
      <c r="Y912" s="237"/>
      <c r="Z912" s="237"/>
      <c r="AH912" s="237"/>
      <c r="AI912" s="237"/>
      <c r="AJ912" s="237"/>
      <c r="AK912" s="237"/>
      <c r="AL912" s="237"/>
      <c r="AM912" s="237"/>
      <c r="AN912" s="237"/>
      <c r="AV912" s="237"/>
      <c r="AW912" s="237"/>
      <c r="AX912" s="237"/>
      <c r="AY912" s="237"/>
      <c r="AZ912" s="237"/>
      <c r="BA912" s="237"/>
      <c r="BB912" s="237"/>
    </row>
    <row r="913">
      <c r="E913" s="133"/>
      <c r="F913" s="237"/>
      <c r="G913" s="237"/>
      <c r="H913" s="131"/>
      <c r="I913" s="131"/>
      <c r="J913" s="131"/>
      <c r="K913" s="131"/>
      <c r="L913" s="131"/>
      <c r="T913" s="237"/>
      <c r="U913" s="237"/>
      <c r="V913" s="237"/>
      <c r="W913" s="237"/>
      <c r="X913" s="237"/>
      <c r="Y913" s="237"/>
      <c r="Z913" s="237"/>
      <c r="AH913" s="237"/>
      <c r="AI913" s="237"/>
      <c r="AJ913" s="237"/>
      <c r="AK913" s="237"/>
      <c r="AL913" s="237"/>
      <c r="AM913" s="237"/>
      <c r="AN913" s="237"/>
      <c r="AV913" s="237"/>
      <c r="AW913" s="237"/>
      <c r="AX913" s="237"/>
      <c r="AY913" s="237"/>
      <c r="AZ913" s="237"/>
      <c r="BA913" s="237"/>
      <c r="BB913" s="237"/>
    </row>
    <row r="914">
      <c r="E914" s="133"/>
      <c r="F914" s="237"/>
      <c r="G914" s="237"/>
      <c r="H914" s="131"/>
      <c r="I914" s="131"/>
      <c r="J914" s="131"/>
      <c r="K914" s="131"/>
      <c r="L914" s="131"/>
      <c r="T914" s="237"/>
      <c r="U914" s="237"/>
      <c r="V914" s="237"/>
      <c r="W914" s="237"/>
      <c r="X914" s="237"/>
      <c r="Y914" s="237"/>
      <c r="Z914" s="237"/>
      <c r="AH914" s="237"/>
      <c r="AI914" s="237"/>
      <c r="AJ914" s="237"/>
      <c r="AK914" s="237"/>
      <c r="AL914" s="237"/>
      <c r="AM914" s="237"/>
      <c r="AN914" s="237"/>
      <c r="AV914" s="237"/>
      <c r="AW914" s="237"/>
      <c r="AX914" s="237"/>
      <c r="AY914" s="237"/>
      <c r="AZ914" s="237"/>
      <c r="BA914" s="237"/>
      <c r="BB914" s="237"/>
    </row>
    <row r="915">
      <c r="E915" s="133"/>
      <c r="F915" s="237"/>
      <c r="G915" s="237"/>
      <c r="H915" s="131"/>
      <c r="I915" s="131"/>
      <c r="J915" s="131"/>
      <c r="K915" s="131"/>
      <c r="L915" s="131"/>
      <c r="T915" s="237"/>
      <c r="U915" s="237"/>
      <c r="V915" s="237"/>
      <c r="W915" s="237"/>
      <c r="X915" s="237"/>
      <c r="Y915" s="237"/>
      <c r="Z915" s="237"/>
      <c r="AH915" s="237"/>
      <c r="AI915" s="237"/>
      <c r="AJ915" s="237"/>
      <c r="AK915" s="237"/>
      <c r="AL915" s="237"/>
      <c r="AM915" s="237"/>
      <c r="AN915" s="237"/>
      <c r="AV915" s="237"/>
      <c r="AW915" s="237"/>
      <c r="AX915" s="237"/>
      <c r="AY915" s="237"/>
      <c r="AZ915" s="237"/>
      <c r="BA915" s="237"/>
      <c r="BB915" s="237"/>
    </row>
    <row r="916">
      <c r="E916" s="133"/>
      <c r="F916" s="237"/>
      <c r="G916" s="237"/>
      <c r="H916" s="131"/>
      <c r="I916" s="131"/>
      <c r="J916" s="131"/>
      <c r="K916" s="131"/>
      <c r="L916" s="131"/>
      <c r="T916" s="237"/>
      <c r="U916" s="237"/>
      <c r="V916" s="237"/>
      <c r="W916" s="237"/>
      <c r="X916" s="237"/>
      <c r="Y916" s="237"/>
      <c r="Z916" s="237"/>
      <c r="AH916" s="237"/>
      <c r="AI916" s="237"/>
      <c r="AJ916" s="237"/>
      <c r="AK916" s="237"/>
      <c r="AL916" s="237"/>
      <c r="AM916" s="237"/>
      <c r="AN916" s="237"/>
      <c r="AV916" s="237"/>
      <c r="AW916" s="237"/>
      <c r="AX916" s="237"/>
      <c r="AY916" s="237"/>
      <c r="AZ916" s="237"/>
      <c r="BA916" s="237"/>
      <c r="BB916" s="237"/>
    </row>
    <row r="917">
      <c r="E917" s="133"/>
      <c r="F917" s="237"/>
      <c r="G917" s="237"/>
      <c r="H917" s="131"/>
      <c r="I917" s="131"/>
      <c r="J917" s="131"/>
      <c r="K917" s="131"/>
      <c r="L917" s="131"/>
      <c r="T917" s="237"/>
      <c r="U917" s="237"/>
      <c r="V917" s="237"/>
      <c r="W917" s="237"/>
      <c r="X917" s="237"/>
      <c r="Y917" s="237"/>
      <c r="Z917" s="237"/>
      <c r="AH917" s="237"/>
      <c r="AI917" s="237"/>
      <c r="AJ917" s="237"/>
      <c r="AK917" s="237"/>
      <c r="AL917" s="237"/>
      <c r="AM917" s="237"/>
      <c r="AN917" s="237"/>
      <c r="AV917" s="237"/>
      <c r="AW917" s="237"/>
      <c r="AX917" s="237"/>
      <c r="AY917" s="237"/>
      <c r="AZ917" s="237"/>
      <c r="BA917" s="237"/>
      <c r="BB917" s="237"/>
    </row>
    <row r="918">
      <c r="E918" s="133"/>
      <c r="F918" s="237"/>
      <c r="G918" s="237"/>
      <c r="H918" s="131"/>
      <c r="I918" s="131"/>
      <c r="J918" s="131"/>
      <c r="K918" s="131"/>
      <c r="L918" s="131"/>
      <c r="T918" s="237"/>
      <c r="U918" s="237"/>
      <c r="V918" s="237"/>
      <c r="W918" s="237"/>
      <c r="X918" s="237"/>
      <c r="Y918" s="237"/>
      <c r="Z918" s="237"/>
      <c r="AH918" s="237"/>
      <c r="AI918" s="237"/>
      <c r="AJ918" s="237"/>
      <c r="AK918" s="237"/>
      <c r="AL918" s="237"/>
      <c r="AM918" s="237"/>
      <c r="AN918" s="237"/>
      <c r="AV918" s="237"/>
      <c r="AW918" s="237"/>
      <c r="AX918" s="237"/>
      <c r="AY918" s="237"/>
      <c r="AZ918" s="237"/>
      <c r="BA918" s="237"/>
      <c r="BB918" s="237"/>
    </row>
    <row r="919">
      <c r="E919" s="133"/>
      <c r="F919" s="237"/>
      <c r="G919" s="237"/>
      <c r="H919" s="131"/>
      <c r="I919" s="131"/>
      <c r="J919" s="131"/>
      <c r="K919" s="131"/>
      <c r="L919" s="131"/>
      <c r="T919" s="237"/>
      <c r="U919" s="237"/>
      <c r="V919" s="237"/>
      <c r="W919" s="237"/>
      <c r="X919" s="237"/>
      <c r="Y919" s="237"/>
      <c r="Z919" s="237"/>
      <c r="AH919" s="237"/>
      <c r="AI919" s="237"/>
      <c r="AJ919" s="237"/>
      <c r="AK919" s="237"/>
      <c r="AL919" s="237"/>
      <c r="AM919" s="237"/>
      <c r="AN919" s="237"/>
      <c r="AV919" s="237"/>
      <c r="AW919" s="237"/>
      <c r="AX919" s="237"/>
      <c r="AY919" s="237"/>
      <c r="AZ919" s="237"/>
      <c r="BA919" s="237"/>
      <c r="BB919" s="237"/>
    </row>
    <row r="920">
      <c r="E920" s="133"/>
      <c r="F920" s="237"/>
      <c r="G920" s="237"/>
      <c r="H920" s="131"/>
      <c r="I920" s="131"/>
      <c r="J920" s="131"/>
      <c r="K920" s="131"/>
      <c r="L920" s="131"/>
      <c r="T920" s="237"/>
      <c r="U920" s="237"/>
      <c r="V920" s="237"/>
      <c r="W920" s="237"/>
      <c r="X920" s="237"/>
      <c r="Y920" s="237"/>
      <c r="Z920" s="237"/>
      <c r="AH920" s="237"/>
      <c r="AI920" s="237"/>
      <c r="AJ920" s="237"/>
      <c r="AK920" s="237"/>
      <c r="AL920" s="237"/>
      <c r="AM920" s="237"/>
      <c r="AN920" s="237"/>
      <c r="AV920" s="237"/>
      <c r="AW920" s="237"/>
      <c r="AX920" s="237"/>
      <c r="AY920" s="237"/>
      <c r="AZ920" s="237"/>
      <c r="BA920" s="237"/>
      <c r="BB920" s="237"/>
    </row>
    <row r="921">
      <c r="E921" s="133"/>
      <c r="F921" s="237"/>
      <c r="G921" s="237"/>
      <c r="H921" s="131"/>
      <c r="I921" s="131"/>
      <c r="J921" s="131"/>
      <c r="K921" s="131"/>
      <c r="L921" s="131"/>
      <c r="T921" s="237"/>
      <c r="U921" s="237"/>
      <c r="V921" s="237"/>
      <c r="W921" s="237"/>
      <c r="X921" s="237"/>
      <c r="Y921" s="237"/>
      <c r="Z921" s="237"/>
      <c r="AH921" s="237"/>
      <c r="AI921" s="237"/>
      <c r="AJ921" s="237"/>
      <c r="AK921" s="237"/>
      <c r="AL921" s="237"/>
      <c r="AM921" s="237"/>
      <c r="AN921" s="237"/>
      <c r="AV921" s="237"/>
      <c r="AW921" s="237"/>
      <c r="AX921" s="237"/>
      <c r="AY921" s="237"/>
      <c r="AZ921" s="237"/>
      <c r="BA921" s="237"/>
      <c r="BB921" s="237"/>
    </row>
    <row r="922">
      <c r="E922" s="133"/>
      <c r="F922" s="237"/>
      <c r="G922" s="237"/>
      <c r="H922" s="131"/>
      <c r="I922" s="131"/>
      <c r="J922" s="131"/>
      <c r="K922" s="131"/>
      <c r="L922" s="131"/>
      <c r="T922" s="237"/>
      <c r="U922" s="237"/>
      <c r="V922" s="237"/>
      <c r="W922" s="237"/>
      <c r="X922" s="237"/>
      <c r="Y922" s="237"/>
      <c r="Z922" s="237"/>
      <c r="AH922" s="237"/>
      <c r="AI922" s="237"/>
      <c r="AJ922" s="237"/>
      <c r="AK922" s="237"/>
      <c r="AL922" s="237"/>
      <c r="AM922" s="237"/>
      <c r="AN922" s="237"/>
      <c r="AV922" s="237"/>
      <c r="AW922" s="237"/>
      <c r="AX922" s="237"/>
      <c r="AY922" s="237"/>
      <c r="AZ922" s="237"/>
      <c r="BA922" s="237"/>
      <c r="BB922" s="237"/>
    </row>
    <row r="923">
      <c r="E923" s="133"/>
      <c r="F923" s="237"/>
      <c r="G923" s="237"/>
      <c r="H923" s="131"/>
      <c r="I923" s="131"/>
      <c r="J923" s="131"/>
      <c r="K923" s="131"/>
      <c r="L923" s="131"/>
      <c r="T923" s="237"/>
      <c r="U923" s="237"/>
      <c r="V923" s="237"/>
      <c r="W923" s="237"/>
      <c r="X923" s="237"/>
      <c r="Y923" s="237"/>
      <c r="Z923" s="237"/>
      <c r="AH923" s="237"/>
      <c r="AI923" s="237"/>
      <c r="AJ923" s="237"/>
      <c r="AK923" s="237"/>
      <c r="AL923" s="237"/>
      <c r="AM923" s="237"/>
      <c r="AN923" s="237"/>
      <c r="AV923" s="237"/>
      <c r="AW923" s="237"/>
      <c r="AX923" s="237"/>
      <c r="AY923" s="237"/>
      <c r="AZ923" s="237"/>
      <c r="BA923" s="237"/>
      <c r="BB923" s="237"/>
    </row>
    <row r="924">
      <c r="E924" s="133"/>
      <c r="F924" s="237"/>
      <c r="G924" s="237"/>
      <c r="H924" s="131"/>
      <c r="I924" s="131"/>
      <c r="J924" s="131"/>
      <c r="K924" s="131"/>
      <c r="L924" s="131"/>
      <c r="T924" s="237"/>
      <c r="U924" s="237"/>
      <c r="V924" s="237"/>
      <c r="W924" s="237"/>
      <c r="X924" s="237"/>
      <c r="Y924" s="237"/>
      <c r="Z924" s="237"/>
      <c r="AH924" s="237"/>
      <c r="AI924" s="237"/>
      <c r="AJ924" s="237"/>
      <c r="AK924" s="237"/>
      <c r="AL924" s="237"/>
      <c r="AM924" s="237"/>
      <c r="AN924" s="237"/>
      <c r="AV924" s="237"/>
      <c r="AW924" s="237"/>
      <c r="AX924" s="237"/>
      <c r="AY924" s="237"/>
      <c r="AZ924" s="237"/>
      <c r="BA924" s="237"/>
      <c r="BB924" s="237"/>
    </row>
    <row r="925">
      <c r="E925" s="133"/>
      <c r="F925" s="237"/>
      <c r="G925" s="237"/>
      <c r="H925" s="131"/>
      <c r="I925" s="131"/>
      <c r="J925" s="131"/>
      <c r="K925" s="131"/>
      <c r="L925" s="131"/>
      <c r="T925" s="237"/>
      <c r="U925" s="237"/>
      <c r="V925" s="237"/>
      <c r="W925" s="237"/>
      <c r="X925" s="237"/>
      <c r="Y925" s="237"/>
      <c r="Z925" s="237"/>
      <c r="AH925" s="237"/>
      <c r="AI925" s="237"/>
      <c r="AJ925" s="237"/>
      <c r="AK925" s="237"/>
      <c r="AL925" s="237"/>
      <c r="AM925" s="237"/>
      <c r="AN925" s="237"/>
      <c r="AV925" s="237"/>
      <c r="AW925" s="237"/>
      <c r="AX925" s="237"/>
      <c r="AY925" s="237"/>
      <c r="AZ925" s="237"/>
      <c r="BA925" s="237"/>
      <c r="BB925" s="237"/>
    </row>
    <row r="926">
      <c r="E926" s="133"/>
      <c r="F926" s="237"/>
      <c r="G926" s="237"/>
      <c r="H926" s="131"/>
      <c r="I926" s="131"/>
      <c r="J926" s="131"/>
      <c r="K926" s="131"/>
      <c r="L926" s="131"/>
      <c r="T926" s="237"/>
      <c r="U926" s="237"/>
      <c r="V926" s="237"/>
      <c r="W926" s="237"/>
      <c r="X926" s="237"/>
      <c r="Y926" s="237"/>
      <c r="Z926" s="237"/>
      <c r="AH926" s="237"/>
      <c r="AI926" s="237"/>
      <c r="AJ926" s="237"/>
      <c r="AK926" s="237"/>
      <c r="AL926" s="237"/>
      <c r="AM926" s="237"/>
      <c r="AN926" s="237"/>
      <c r="AV926" s="237"/>
      <c r="AW926" s="237"/>
      <c r="AX926" s="237"/>
      <c r="AY926" s="237"/>
      <c r="AZ926" s="237"/>
      <c r="BA926" s="237"/>
      <c r="BB926" s="237"/>
    </row>
    <row r="927">
      <c r="E927" s="133"/>
      <c r="F927" s="237"/>
      <c r="G927" s="237"/>
      <c r="H927" s="131"/>
      <c r="I927" s="131"/>
      <c r="J927" s="131"/>
      <c r="K927" s="131"/>
      <c r="L927" s="131"/>
      <c r="T927" s="237"/>
      <c r="U927" s="237"/>
      <c r="V927" s="237"/>
      <c r="W927" s="237"/>
      <c r="X927" s="237"/>
      <c r="Y927" s="237"/>
      <c r="Z927" s="237"/>
      <c r="AH927" s="237"/>
      <c r="AI927" s="237"/>
      <c r="AJ927" s="237"/>
      <c r="AK927" s="237"/>
      <c r="AL927" s="237"/>
      <c r="AM927" s="237"/>
      <c r="AN927" s="237"/>
      <c r="AV927" s="237"/>
      <c r="AW927" s="237"/>
      <c r="AX927" s="237"/>
      <c r="AY927" s="237"/>
      <c r="AZ927" s="237"/>
      <c r="BA927" s="237"/>
      <c r="BB927" s="237"/>
    </row>
    <row r="928">
      <c r="E928" s="133"/>
      <c r="F928" s="237"/>
      <c r="G928" s="237"/>
      <c r="H928" s="131"/>
      <c r="I928" s="131"/>
      <c r="J928" s="131"/>
      <c r="K928" s="131"/>
      <c r="L928" s="131"/>
      <c r="T928" s="237"/>
      <c r="U928" s="237"/>
      <c r="V928" s="237"/>
      <c r="W928" s="237"/>
      <c r="X928" s="237"/>
      <c r="Y928" s="237"/>
      <c r="Z928" s="237"/>
      <c r="AH928" s="237"/>
      <c r="AI928" s="237"/>
      <c r="AJ928" s="237"/>
      <c r="AK928" s="237"/>
      <c r="AL928" s="237"/>
      <c r="AM928" s="237"/>
      <c r="AN928" s="237"/>
      <c r="AV928" s="237"/>
      <c r="AW928" s="237"/>
      <c r="AX928" s="237"/>
      <c r="AY928" s="237"/>
      <c r="AZ928" s="237"/>
      <c r="BA928" s="237"/>
      <c r="BB928" s="237"/>
    </row>
    <row r="929">
      <c r="E929" s="133"/>
      <c r="F929" s="237"/>
      <c r="G929" s="237"/>
      <c r="H929" s="131"/>
      <c r="I929" s="131"/>
      <c r="J929" s="131"/>
      <c r="K929" s="131"/>
      <c r="L929" s="131"/>
      <c r="T929" s="237"/>
      <c r="U929" s="237"/>
      <c r="V929" s="237"/>
      <c r="W929" s="237"/>
      <c r="X929" s="237"/>
      <c r="Y929" s="237"/>
      <c r="Z929" s="237"/>
      <c r="AH929" s="237"/>
      <c r="AI929" s="237"/>
      <c r="AJ929" s="237"/>
      <c r="AK929" s="237"/>
      <c r="AL929" s="237"/>
      <c r="AM929" s="237"/>
      <c r="AN929" s="237"/>
      <c r="AV929" s="237"/>
      <c r="AW929" s="237"/>
      <c r="AX929" s="237"/>
      <c r="AY929" s="237"/>
      <c r="AZ929" s="237"/>
      <c r="BA929" s="237"/>
      <c r="BB929" s="237"/>
    </row>
    <row r="930">
      <c r="E930" s="133"/>
      <c r="F930" s="237"/>
      <c r="G930" s="237"/>
      <c r="H930" s="131"/>
      <c r="I930" s="131"/>
      <c r="J930" s="131"/>
      <c r="K930" s="131"/>
      <c r="L930" s="131"/>
      <c r="T930" s="237"/>
      <c r="U930" s="237"/>
      <c r="V930" s="237"/>
      <c r="W930" s="237"/>
      <c r="X930" s="237"/>
      <c r="Y930" s="237"/>
      <c r="Z930" s="237"/>
      <c r="AH930" s="237"/>
      <c r="AI930" s="237"/>
      <c r="AJ930" s="237"/>
      <c r="AK930" s="237"/>
      <c r="AL930" s="237"/>
      <c r="AM930" s="237"/>
      <c r="AN930" s="237"/>
      <c r="AV930" s="237"/>
      <c r="AW930" s="237"/>
      <c r="AX930" s="237"/>
      <c r="AY930" s="237"/>
      <c r="AZ930" s="237"/>
      <c r="BA930" s="237"/>
      <c r="BB930" s="237"/>
    </row>
    <row r="931">
      <c r="E931" s="133"/>
      <c r="F931" s="237"/>
      <c r="G931" s="237"/>
      <c r="H931" s="131"/>
      <c r="I931" s="131"/>
      <c r="J931" s="131"/>
      <c r="K931" s="131"/>
      <c r="L931" s="131"/>
      <c r="T931" s="237"/>
      <c r="U931" s="237"/>
      <c r="V931" s="237"/>
      <c r="W931" s="237"/>
      <c r="X931" s="237"/>
      <c r="Y931" s="237"/>
      <c r="Z931" s="237"/>
      <c r="AH931" s="237"/>
      <c r="AI931" s="237"/>
      <c r="AJ931" s="237"/>
      <c r="AK931" s="237"/>
      <c r="AL931" s="237"/>
      <c r="AM931" s="237"/>
      <c r="AN931" s="237"/>
      <c r="AV931" s="237"/>
      <c r="AW931" s="237"/>
      <c r="AX931" s="237"/>
      <c r="AY931" s="237"/>
      <c r="AZ931" s="237"/>
      <c r="BA931" s="237"/>
      <c r="BB931" s="237"/>
    </row>
    <row r="932">
      <c r="E932" s="133"/>
      <c r="F932" s="237"/>
      <c r="G932" s="237"/>
      <c r="H932" s="131"/>
      <c r="I932" s="131"/>
      <c r="J932" s="131"/>
      <c r="K932" s="131"/>
      <c r="L932" s="131"/>
      <c r="T932" s="237"/>
      <c r="U932" s="237"/>
      <c r="V932" s="237"/>
      <c r="W932" s="237"/>
      <c r="X932" s="237"/>
      <c r="Y932" s="237"/>
      <c r="Z932" s="237"/>
      <c r="AH932" s="237"/>
      <c r="AI932" s="237"/>
      <c r="AJ932" s="237"/>
      <c r="AK932" s="237"/>
      <c r="AL932" s="237"/>
      <c r="AM932" s="237"/>
      <c r="AN932" s="237"/>
      <c r="AV932" s="237"/>
      <c r="AW932" s="237"/>
      <c r="AX932" s="237"/>
      <c r="AY932" s="237"/>
      <c r="AZ932" s="237"/>
      <c r="BA932" s="237"/>
      <c r="BB932" s="237"/>
    </row>
    <row r="933">
      <c r="E933" s="133"/>
      <c r="F933" s="237"/>
      <c r="G933" s="237"/>
      <c r="H933" s="131"/>
      <c r="I933" s="131"/>
      <c r="J933" s="131"/>
      <c r="K933" s="131"/>
      <c r="L933" s="131"/>
      <c r="T933" s="237"/>
      <c r="U933" s="237"/>
      <c r="V933" s="237"/>
      <c r="W933" s="237"/>
      <c r="X933" s="237"/>
      <c r="Y933" s="237"/>
      <c r="Z933" s="237"/>
      <c r="AH933" s="237"/>
      <c r="AI933" s="237"/>
      <c r="AJ933" s="237"/>
      <c r="AK933" s="237"/>
      <c r="AL933" s="237"/>
      <c r="AM933" s="237"/>
      <c r="AN933" s="237"/>
      <c r="AV933" s="237"/>
      <c r="AW933" s="237"/>
      <c r="AX933" s="237"/>
      <c r="AY933" s="237"/>
      <c r="AZ933" s="237"/>
      <c r="BA933" s="237"/>
      <c r="BB933" s="237"/>
    </row>
    <row r="934">
      <c r="E934" s="133"/>
      <c r="F934" s="237"/>
      <c r="G934" s="237"/>
      <c r="H934" s="131"/>
      <c r="I934" s="131"/>
      <c r="J934" s="131"/>
      <c r="K934" s="131"/>
      <c r="L934" s="131"/>
      <c r="T934" s="237"/>
      <c r="U934" s="237"/>
      <c r="V934" s="237"/>
      <c r="W934" s="237"/>
      <c r="X934" s="237"/>
      <c r="Y934" s="237"/>
      <c r="Z934" s="237"/>
      <c r="AH934" s="237"/>
      <c r="AI934" s="237"/>
      <c r="AJ934" s="237"/>
      <c r="AK934" s="237"/>
      <c r="AL934" s="237"/>
      <c r="AM934" s="237"/>
      <c r="AN934" s="237"/>
      <c r="AV934" s="237"/>
      <c r="AW934" s="237"/>
      <c r="AX934" s="237"/>
      <c r="AY934" s="237"/>
      <c r="AZ934" s="237"/>
      <c r="BA934" s="237"/>
      <c r="BB934" s="237"/>
    </row>
    <row r="935">
      <c r="E935" s="133"/>
      <c r="F935" s="237"/>
      <c r="G935" s="237"/>
      <c r="H935" s="131"/>
      <c r="I935" s="131"/>
      <c r="J935" s="131"/>
      <c r="K935" s="131"/>
      <c r="L935" s="131"/>
      <c r="T935" s="237"/>
      <c r="U935" s="237"/>
      <c r="V935" s="237"/>
      <c r="W935" s="237"/>
      <c r="X935" s="237"/>
      <c r="Y935" s="237"/>
      <c r="Z935" s="237"/>
      <c r="AH935" s="237"/>
      <c r="AI935" s="237"/>
      <c r="AJ935" s="237"/>
      <c r="AK935" s="237"/>
      <c r="AL935" s="237"/>
      <c r="AM935" s="237"/>
      <c r="AN935" s="237"/>
      <c r="AV935" s="237"/>
      <c r="AW935" s="237"/>
      <c r="AX935" s="237"/>
      <c r="AY935" s="237"/>
      <c r="AZ935" s="237"/>
      <c r="BA935" s="237"/>
      <c r="BB935" s="237"/>
    </row>
    <row r="936">
      <c r="E936" s="133"/>
      <c r="F936" s="237"/>
      <c r="G936" s="237"/>
      <c r="H936" s="131"/>
      <c r="I936" s="131"/>
      <c r="J936" s="131"/>
      <c r="K936" s="131"/>
      <c r="L936" s="131"/>
      <c r="T936" s="237"/>
      <c r="U936" s="237"/>
      <c r="V936" s="237"/>
      <c r="W936" s="237"/>
      <c r="X936" s="237"/>
      <c r="Y936" s="237"/>
      <c r="Z936" s="237"/>
      <c r="AH936" s="237"/>
      <c r="AI936" s="237"/>
      <c r="AJ936" s="237"/>
      <c r="AK936" s="237"/>
      <c r="AL936" s="237"/>
      <c r="AM936" s="237"/>
      <c r="AN936" s="237"/>
      <c r="AV936" s="237"/>
      <c r="AW936" s="237"/>
      <c r="AX936" s="237"/>
      <c r="AY936" s="237"/>
      <c r="AZ936" s="237"/>
      <c r="BA936" s="237"/>
      <c r="BB936" s="237"/>
    </row>
    <row r="937">
      <c r="E937" s="133"/>
      <c r="F937" s="237"/>
      <c r="G937" s="237"/>
      <c r="H937" s="131"/>
      <c r="I937" s="131"/>
      <c r="J937" s="131"/>
      <c r="K937" s="131"/>
      <c r="L937" s="131"/>
      <c r="T937" s="237"/>
      <c r="U937" s="237"/>
      <c r="V937" s="237"/>
      <c r="W937" s="237"/>
      <c r="X937" s="237"/>
      <c r="Y937" s="237"/>
      <c r="Z937" s="237"/>
      <c r="AH937" s="237"/>
      <c r="AI937" s="237"/>
      <c r="AJ937" s="237"/>
      <c r="AK937" s="237"/>
      <c r="AL937" s="237"/>
      <c r="AM937" s="237"/>
      <c r="AN937" s="237"/>
      <c r="AV937" s="237"/>
      <c r="AW937" s="237"/>
      <c r="AX937" s="237"/>
      <c r="AY937" s="237"/>
      <c r="AZ937" s="237"/>
      <c r="BA937" s="237"/>
      <c r="BB937" s="237"/>
    </row>
    <row r="938">
      <c r="E938" s="133"/>
      <c r="F938" s="237"/>
      <c r="G938" s="237"/>
      <c r="H938" s="131"/>
      <c r="I938" s="131"/>
      <c r="J938" s="131"/>
      <c r="K938" s="131"/>
      <c r="L938" s="131"/>
      <c r="T938" s="237"/>
      <c r="U938" s="237"/>
      <c r="V938" s="237"/>
      <c r="W938" s="237"/>
      <c r="X938" s="237"/>
      <c r="Y938" s="237"/>
      <c r="Z938" s="237"/>
      <c r="AH938" s="237"/>
      <c r="AI938" s="237"/>
      <c r="AJ938" s="237"/>
      <c r="AK938" s="237"/>
      <c r="AL938" s="237"/>
      <c r="AM938" s="237"/>
      <c r="AN938" s="237"/>
      <c r="AV938" s="237"/>
      <c r="AW938" s="237"/>
      <c r="AX938" s="237"/>
      <c r="AY938" s="237"/>
      <c r="AZ938" s="237"/>
      <c r="BA938" s="237"/>
      <c r="BB938" s="237"/>
    </row>
    <row r="939">
      <c r="E939" s="133"/>
      <c r="F939" s="237"/>
      <c r="G939" s="237"/>
      <c r="H939" s="131"/>
      <c r="I939" s="131"/>
      <c r="J939" s="131"/>
      <c r="K939" s="131"/>
      <c r="L939" s="131"/>
      <c r="T939" s="237"/>
      <c r="U939" s="237"/>
      <c r="V939" s="237"/>
      <c r="W939" s="237"/>
      <c r="X939" s="237"/>
      <c r="Y939" s="237"/>
      <c r="Z939" s="237"/>
      <c r="AH939" s="237"/>
      <c r="AI939" s="237"/>
      <c r="AJ939" s="237"/>
      <c r="AK939" s="237"/>
      <c r="AL939" s="237"/>
      <c r="AM939" s="237"/>
      <c r="AN939" s="237"/>
      <c r="AV939" s="237"/>
      <c r="AW939" s="237"/>
      <c r="AX939" s="237"/>
      <c r="AY939" s="237"/>
      <c r="AZ939" s="237"/>
      <c r="BA939" s="237"/>
      <c r="BB939" s="237"/>
    </row>
    <row r="940">
      <c r="E940" s="133"/>
      <c r="F940" s="237"/>
      <c r="G940" s="237"/>
      <c r="H940" s="131"/>
      <c r="I940" s="131"/>
      <c r="J940" s="131"/>
      <c r="K940" s="131"/>
      <c r="L940" s="131"/>
      <c r="T940" s="237"/>
      <c r="U940" s="237"/>
      <c r="V940" s="237"/>
      <c r="W940" s="237"/>
      <c r="X940" s="237"/>
      <c r="Y940" s="237"/>
      <c r="Z940" s="237"/>
      <c r="AH940" s="237"/>
      <c r="AI940" s="237"/>
      <c r="AJ940" s="237"/>
      <c r="AK940" s="237"/>
      <c r="AL940" s="237"/>
      <c r="AM940" s="237"/>
      <c r="AN940" s="237"/>
      <c r="AV940" s="237"/>
      <c r="AW940" s="237"/>
      <c r="AX940" s="237"/>
      <c r="AY940" s="237"/>
      <c r="AZ940" s="237"/>
      <c r="BA940" s="237"/>
      <c r="BB940" s="237"/>
    </row>
    <row r="941">
      <c r="E941" s="133"/>
      <c r="F941" s="237"/>
      <c r="G941" s="237"/>
      <c r="H941" s="131"/>
      <c r="I941" s="131"/>
      <c r="J941" s="131"/>
      <c r="K941" s="131"/>
      <c r="L941" s="131"/>
      <c r="T941" s="237"/>
      <c r="U941" s="237"/>
      <c r="V941" s="237"/>
      <c r="W941" s="237"/>
      <c r="X941" s="237"/>
      <c r="Y941" s="237"/>
      <c r="Z941" s="237"/>
      <c r="AH941" s="237"/>
      <c r="AI941" s="237"/>
      <c r="AJ941" s="237"/>
      <c r="AK941" s="237"/>
      <c r="AL941" s="237"/>
      <c r="AM941" s="237"/>
      <c r="AN941" s="237"/>
      <c r="AV941" s="237"/>
      <c r="AW941" s="237"/>
      <c r="AX941" s="237"/>
      <c r="AY941" s="237"/>
      <c r="AZ941" s="237"/>
      <c r="BA941" s="237"/>
      <c r="BB941" s="237"/>
    </row>
    <row r="942">
      <c r="E942" s="133"/>
      <c r="F942" s="237"/>
      <c r="G942" s="237"/>
      <c r="H942" s="131"/>
      <c r="I942" s="131"/>
      <c r="J942" s="131"/>
      <c r="K942" s="131"/>
      <c r="L942" s="131"/>
      <c r="T942" s="237"/>
      <c r="U942" s="237"/>
      <c r="V942" s="237"/>
      <c r="W942" s="237"/>
      <c r="X942" s="237"/>
      <c r="Y942" s="237"/>
      <c r="Z942" s="237"/>
      <c r="AH942" s="237"/>
      <c r="AI942" s="237"/>
      <c r="AJ942" s="237"/>
      <c r="AK942" s="237"/>
      <c r="AL942" s="237"/>
      <c r="AM942" s="237"/>
      <c r="AN942" s="237"/>
      <c r="AV942" s="237"/>
      <c r="AW942" s="237"/>
      <c r="AX942" s="237"/>
      <c r="AY942" s="237"/>
      <c r="AZ942" s="237"/>
      <c r="BA942" s="237"/>
      <c r="BB942" s="237"/>
    </row>
    <row r="943">
      <c r="E943" s="133"/>
      <c r="F943" s="237"/>
      <c r="G943" s="237"/>
      <c r="H943" s="131"/>
      <c r="I943" s="131"/>
      <c r="J943" s="131"/>
      <c r="K943" s="131"/>
      <c r="L943" s="131"/>
      <c r="T943" s="237"/>
      <c r="U943" s="237"/>
      <c r="V943" s="237"/>
      <c r="W943" s="237"/>
      <c r="X943" s="237"/>
      <c r="Y943" s="237"/>
      <c r="Z943" s="237"/>
      <c r="AH943" s="237"/>
      <c r="AI943" s="237"/>
      <c r="AJ943" s="237"/>
      <c r="AK943" s="237"/>
      <c r="AL943" s="237"/>
      <c r="AM943" s="237"/>
      <c r="AN943" s="237"/>
      <c r="AV943" s="237"/>
      <c r="AW943" s="237"/>
      <c r="AX943" s="237"/>
      <c r="AY943" s="237"/>
      <c r="AZ943" s="237"/>
      <c r="BA943" s="237"/>
      <c r="BB943" s="237"/>
    </row>
    <row r="944">
      <c r="E944" s="133"/>
      <c r="F944" s="237"/>
      <c r="G944" s="237"/>
      <c r="H944" s="131"/>
      <c r="I944" s="131"/>
      <c r="J944" s="131"/>
      <c r="K944" s="131"/>
      <c r="L944" s="131"/>
      <c r="T944" s="237"/>
      <c r="U944" s="237"/>
      <c r="V944" s="237"/>
      <c r="W944" s="237"/>
      <c r="X944" s="237"/>
      <c r="Y944" s="237"/>
      <c r="Z944" s="237"/>
      <c r="AH944" s="237"/>
      <c r="AI944" s="237"/>
      <c r="AJ944" s="237"/>
      <c r="AK944" s="237"/>
      <c r="AL944" s="237"/>
      <c r="AM944" s="237"/>
      <c r="AN944" s="237"/>
      <c r="AV944" s="237"/>
      <c r="AW944" s="237"/>
      <c r="AX944" s="237"/>
      <c r="AY944" s="237"/>
      <c r="AZ944" s="237"/>
      <c r="BA944" s="237"/>
      <c r="BB944" s="237"/>
    </row>
    <row r="945">
      <c r="E945" s="133"/>
      <c r="F945" s="237"/>
      <c r="G945" s="237"/>
      <c r="H945" s="131"/>
      <c r="I945" s="131"/>
      <c r="J945" s="131"/>
      <c r="K945" s="131"/>
      <c r="L945" s="131"/>
      <c r="T945" s="237"/>
      <c r="U945" s="237"/>
      <c r="V945" s="237"/>
      <c r="W945" s="237"/>
      <c r="X945" s="237"/>
      <c r="Y945" s="237"/>
      <c r="Z945" s="237"/>
      <c r="AH945" s="237"/>
      <c r="AI945" s="237"/>
      <c r="AJ945" s="237"/>
      <c r="AK945" s="237"/>
      <c r="AL945" s="237"/>
      <c r="AM945" s="237"/>
      <c r="AN945" s="237"/>
      <c r="AV945" s="237"/>
      <c r="AW945" s="237"/>
      <c r="AX945" s="237"/>
      <c r="AY945" s="237"/>
      <c r="AZ945" s="237"/>
      <c r="BA945" s="237"/>
      <c r="BB945" s="237"/>
    </row>
    <row r="946">
      <c r="E946" s="133"/>
      <c r="F946" s="237"/>
      <c r="G946" s="237"/>
      <c r="H946" s="131"/>
      <c r="I946" s="131"/>
      <c r="J946" s="131"/>
      <c r="K946" s="131"/>
      <c r="L946" s="131"/>
      <c r="T946" s="237"/>
      <c r="U946" s="237"/>
      <c r="V946" s="237"/>
      <c r="W946" s="237"/>
      <c r="X946" s="237"/>
      <c r="Y946" s="237"/>
      <c r="Z946" s="237"/>
      <c r="AH946" s="237"/>
      <c r="AI946" s="237"/>
      <c r="AJ946" s="237"/>
      <c r="AK946" s="237"/>
      <c r="AL946" s="237"/>
      <c r="AM946" s="237"/>
      <c r="AN946" s="237"/>
      <c r="AV946" s="237"/>
      <c r="AW946" s="237"/>
      <c r="AX946" s="237"/>
      <c r="AY946" s="237"/>
      <c r="AZ946" s="237"/>
      <c r="BA946" s="237"/>
      <c r="BB946" s="237"/>
    </row>
    <row r="947">
      <c r="E947" s="133"/>
      <c r="F947" s="237"/>
      <c r="G947" s="237"/>
      <c r="H947" s="131"/>
      <c r="I947" s="131"/>
      <c r="J947" s="131"/>
      <c r="K947" s="131"/>
      <c r="L947" s="131"/>
      <c r="T947" s="237"/>
      <c r="U947" s="237"/>
      <c r="V947" s="237"/>
      <c r="W947" s="237"/>
      <c r="X947" s="237"/>
      <c r="Y947" s="237"/>
      <c r="Z947" s="237"/>
      <c r="AH947" s="237"/>
      <c r="AI947" s="237"/>
      <c r="AJ947" s="237"/>
      <c r="AK947" s="237"/>
      <c r="AL947" s="237"/>
      <c r="AM947" s="237"/>
      <c r="AN947" s="237"/>
      <c r="AV947" s="237"/>
      <c r="AW947" s="237"/>
      <c r="AX947" s="237"/>
      <c r="AY947" s="237"/>
      <c r="AZ947" s="237"/>
      <c r="BA947" s="237"/>
      <c r="BB947" s="237"/>
    </row>
    <row r="948">
      <c r="E948" s="133"/>
      <c r="F948" s="237"/>
      <c r="G948" s="237"/>
      <c r="H948" s="131"/>
      <c r="I948" s="131"/>
      <c r="J948" s="131"/>
      <c r="K948" s="131"/>
      <c r="L948" s="131"/>
      <c r="T948" s="237"/>
      <c r="U948" s="237"/>
      <c r="V948" s="237"/>
      <c r="W948" s="237"/>
      <c r="X948" s="237"/>
      <c r="Y948" s="237"/>
      <c r="Z948" s="237"/>
      <c r="AH948" s="237"/>
      <c r="AI948" s="237"/>
      <c r="AJ948" s="237"/>
      <c r="AK948" s="237"/>
      <c r="AL948" s="237"/>
      <c r="AM948" s="237"/>
      <c r="AN948" s="237"/>
      <c r="AV948" s="237"/>
      <c r="AW948" s="237"/>
      <c r="AX948" s="237"/>
      <c r="AY948" s="237"/>
      <c r="AZ948" s="237"/>
      <c r="BA948" s="237"/>
      <c r="BB948" s="237"/>
    </row>
    <row r="949">
      <c r="E949" s="133"/>
      <c r="F949" s="237"/>
      <c r="G949" s="237"/>
      <c r="H949" s="131"/>
      <c r="I949" s="131"/>
      <c r="J949" s="131"/>
      <c r="K949" s="131"/>
      <c r="L949" s="131"/>
      <c r="T949" s="237"/>
      <c r="U949" s="237"/>
      <c r="V949" s="237"/>
      <c r="W949" s="237"/>
      <c r="X949" s="237"/>
      <c r="Y949" s="237"/>
      <c r="Z949" s="237"/>
      <c r="AH949" s="237"/>
      <c r="AI949" s="237"/>
      <c r="AJ949" s="237"/>
      <c r="AK949" s="237"/>
      <c r="AL949" s="237"/>
      <c r="AM949" s="237"/>
      <c r="AN949" s="237"/>
      <c r="AV949" s="237"/>
      <c r="AW949" s="237"/>
      <c r="AX949" s="237"/>
      <c r="AY949" s="237"/>
      <c r="AZ949" s="237"/>
      <c r="BA949" s="237"/>
      <c r="BB949" s="237"/>
    </row>
    <row r="950">
      <c r="E950" s="133"/>
      <c r="F950" s="237"/>
      <c r="G950" s="237"/>
      <c r="H950" s="131"/>
      <c r="I950" s="131"/>
      <c r="J950" s="131"/>
      <c r="K950" s="131"/>
      <c r="L950" s="131"/>
      <c r="T950" s="237"/>
      <c r="U950" s="237"/>
      <c r="V950" s="237"/>
      <c r="W950" s="237"/>
      <c r="X950" s="237"/>
      <c r="Y950" s="237"/>
      <c r="Z950" s="237"/>
      <c r="AH950" s="237"/>
      <c r="AI950" s="237"/>
      <c r="AJ950" s="237"/>
      <c r="AK950" s="237"/>
      <c r="AL950" s="237"/>
      <c r="AM950" s="237"/>
      <c r="AN950" s="237"/>
      <c r="AV950" s="237"/>
      <c r="AW950" s="237"/>
      <c r="AX950" s="237"/>
      <c r="AY950" s="237"/>
      <c r="AZ950" s="237"/>
      <c r="BA950" s="237"/>
      <c r="BB950" s="237"/>
    </row>
    <row r="951">
      <c r="E951" s="133"/>
      <c r="F951" s="237"/>
      <c r="G951" s="237"/>
      <c r="H951" s="131"/>
      <c r="I951" s="131"/>
      <c r="J951" s="131"/>
      <c r="K951" s="131"/>
      <c r="L951" s="131"/>
      <c r="T951" s="237"/>
      <c r="U951" s="237"/>
      <c r="V951" s="237"/>
      <c r="W951" s="237"/>
      <c r="X951" s="237"/>
      <c r="Y951" s="237"/>
      <c r="Z951" s="237"/>
      <c r="AH951" s="237"/>
      <c r="AI951" s="237"/>
      <c r="AJ951" s="237"/>
      <c r="AK951" s="237"/>
      <c r="AL951" s="237"/>
      <c r="AM951" s="237"/>
      <c r="AN951" s="237"/>
      <c r="AV951" s="237"/>
      <c r="AW951" s="237"/>
      <c r="AX951" s="237"/>
      <c r="AY951" s="237"/>
      <c r="AZ951" s="237"/>
      <c r="BA951" s="237"/>
      <c r="BB951" s="237"/>
    </row>
    <row r="952">
      <c r="E952" s="133"/>
      <c r="F952" s="237"/>
      <c r="G952" s="237"/>
      <c r="H952" s="131"/>
      <c r="I952" s="131"/>
      <c r="J952" s="131"/>
      <c r="K952" s="131"/>
      <c r="L952" s="131"/>
      <c r="T952" s="237"/>
      <c r="U952" s="237"/>
      <c r="V952" s="237"/>
      <c r="W952" s="237"/>
      <c r="X952" s="237"/>
      <c r="Y952" s="237"/>
      <c r="Z952" s="237"/>
      <c r="AH952" s="237"/>
      <c r="AI952" s="237"/>
      <c r="AJ952" s="237"/>
      <c r="AK952" s="237"/>
      <c r="AL952" s="237"/>
      <c r="AM952" s="237"/>
      <c r="AN952" s="237"/>
      <c r="AV952" s="237"/>
      <c r="AW952" s="237"/>
      <c r="AX952" s="237"/>
      <c r="AY952" s="237"/>
      <c r="AZ952" s="237"/>
      <c r="BA952" s="237"/>
      <c r="BB952" s="237"/>
    </row>
    <row r="953">
      <c r="E953" s="133"/>
      <c r="F953" s="237"/>
      <c r="G953" s="237"/>
      <c r="H953" s="131"/>
      <c r="I953" s="131"/>
      <c r="J953" s="131"/>
      <c r="K953" s="131"/>
      <c r="L953" s="131"/>
      <c r="T953" s="237"/>
      <c r="U953" s="237"/>
      <c r="V953" s="237"/>
      <c r="W953" s="237"/>
      <c r="X953" s="237"/>
      <c r="Y953" s="237"/>
      <c r="Z953" s="237"/>
      <c r="AH953" s="237"/>
      <c r="AI953" s="237"/>
      <c r="AJ953" s="237"/>
      <c r="AK953" s="237"/>
      <c r="AL953" s="237"/>
      <c r="AM953" s="237"/>
      <c r="AN953" s="237"/>
      <c r="AV953" s="237"/>
      <c r="AW953" s="237"/>
      <c r="AX953" s="237"/>
      <c r="AY953" s="237"/>
      <c r="AZ953" s="237"/>
      <c r="BA953" s="237"/>
      <c r="BB953" s="237"/>
    </row>
    <row r="954">
      <c r="E954" s="133"/>
      <c r="F954" s="237"/>
      <c r="G954" s="237"/>
      <c r="H954" s="131"/>
      <c r="I954" s="131"/>
      <c r="J954" s="131"/>
      <c r="K954" s="131"/>
      <c r="L954" s="131"/>
      <c r="T954" s="237"/>
      <c r="U954" s="237"/>
      <c r="V954" s="237"/>
      <c r="W954" s="237"/>
      <c r="X954" s="237"/>
      <c r="Y954" s="237"/>
      <c r="Z954" s="237"/>
      <c r="AH954" s="237"/>
      <c r="AI954" s="237"/>
      <c r="AJ954" s="237"/>
      <c r="AK954" s="237"/>
      <c r="AL954" s="237"/>
      <c r="AM954" s="237"/>
      <c r="AN954" s="237"/>
      <c r="AV954" s="237"/>
      <c r="AW954" s="237"/>
      <c r="AX954" s="237"/>
      <c r="AY954" s="237"/>
      <c r="AZ954" s="237"/>
      <c r="BA954" s="237"/>
      <c r="BB954" s="237"/>
    </row>
    <row r="955">
      <c r="E955" s="133"/>
      <c r="F955" s="237"/>
      <c r="G955" s="237"/>
      <c r="H955" s="131"/>
      <c r="I955" s="131"/>
      <c r="J955" s="131"/>
      <c r="K955" s="131"/>
      <c r="L955" s="131"/>
      <c r="T955" s="237"/>
      <c r="U955" s="237"/>
      <c r="V955" s="237"/>
      <c r="W955" s="237"/>
      <c r="X955" s="237"/>
      <c r="Y955" s="237"/>
      <c r="Z955" s="237"/>
      <c r="AH955" s="237"/>
      <c r="AI955" s="237"/>
      <c r="AJ955" s="237"/>
      <c r="AK955" s="237"/>
      <c r="AL955" s="237"/>
      <c r="AM955" s="237"/>
      <c r="AN955" s="237"/>
      <c r="AV955" s="237"/>
      <c r="AW955" s="237"/>
      <c r="AX955" s="237"/>
      <c r="AY955" s="237"/>
      <c r="AZ955" s="237"/>
      <c r="BA955" s="237"/>
      <c r="BB955" s="237"/>
    </row>
    <row r="956">
      <c r="E956" s="133"/>
      <c r="F956" s="237"/>
      <c r="G956" s="237"/>
      <c r="H956" s="131"/>
      <c r="I956" s="131"/>
      <c r="J956" s="131"/>
      <c r="K956" s="131"/>
      <c r="L956" s="131"/>
      <c r="T956" s="237"/>
      <c r="U956" s="237"/>
      <c r="V956" s="237"/>
      <c r="W956" s="237"/>
      <c r="X956" s="237"/>
      <c r="Y956" s="237"/>
      <c r="Z956" s="237"/>
      <c r="AH956" s="237"/>
      <c r="AI956" s="237"/>
      <c r="AJ956" s="237"/>
      <c r="AK956" s="237"/>
      <c r="AL956" s="237"/>
      <c r="AM956" s="237"/>
      <c r="AN956" s="237"/>
      <c r="AV956" s="237"/>
      <c r="AW956" s="237"/>
      <c r="AX956" s="237"/>
      <c r="AY956" s="237"/>
      <c r="AZ956" s="237"/>
      <c r="BA956" s="237"/>
      <c r="BB956" s="237"/>
    </row>
    <row r="957">
      <c r="E957" s="133"/>
      <c r="F957" s="237"/>
      <c r="G957" s="237"/>
      <c r="H957" s="131"/>
      <c r="I957" s="131"/>
      <c r="J957" s="131"/>
      <c r="K957" s="131"/>
      <c r="L957" s="131"/>
      <c r="T957" s="237"/>
      <c r="U957" s="237"/>
      <c r="V957" s="237"/>
      <c r="W957" s="237"/>
      <c r="X957" s="237"/>
      <c r="Y957" s="237"/>
      <c r="Z957" s="237"/>
      <c r="AH957" s="237"/>
      <c r="AI957" s="237"/>
      <c r="AJ957" s="237"/>
      <c r="AK957" s="237"/>
      <c r="AL957" s="237"/>
      <c r="AM957" s="237"/>
      <c r="AN957" s="237"/>
      <c r="AV957" s="237"/>
      <c r="AW957" s="237"/>
      <c r="AX957" s="237"/>
      <c r="AY957" s="237"/>
      <c r="AZ957" s="237"/>
      <c r="BA957" s="237"/>
      <c r="BB957" s="237"/>
    </row>
    <row r="958">
      <c r="E958" s="133"/>
      <c r="F958" s="237"/>
      <c r="G958" s="237"/>
      <c r="H958" s="131"/>
      <c r="I958" s="131"/>
      <c r="J958" s="131"/>
      <c r="K958" s="131"/>
      <c r="L958" s="131"/>
      <c r="T958" s="237"/>
      <c r="U958" s="237"/>
      <c r="V958" s="237"/>
      <c r="W958" s="237"/>
      <c r="X958" s="237"/>
      <c r="Y958" s="237"/>
      <c r="Z958" s="237"/>
      <c r="AH958" s="237"/>
      <c r="AI958" s="237"/>
      <c r="AJ958" s="237"/>
      <c r="AK958" s="237"/>
      <c r="AL958" s="237"/>
      <c r="AM958" s="237"/>
      <c r="AN958" s="237"/>
      <c r="AV958" s="237"/>
      <c r="AW958" s="237"/>
      <c r="AX958" s="237"/>
      <c r="AY958" s="237"/>
      <c r="AZ958" s="237"/>
      <c r="BA958" s="237"/>
      <c r="BB958" s="237"/>
    </row>
    <row r="959">
      <c r="E959" s="133"/>
      <c r="F959" s="237"/>
      <c r="G959" s="237"/>
      <c r="H959" s="131"/>
      <c r="I959" s="131"/>
      <c r="J959" s="131"/>
      <c r="K959" s="131"/>
      <c r="L959" s="131"/>
      <c r="T959" s="237"/>
      <c r="U959" s="237"/>
      <c r="V959" s="237"/>
      <c r="W959" s="237"/>
      <c r="X959" s="237"/>
      <c r="Y959" s="237"/>
      <c r="Z959" s="237"/>
      <c r="AH959" s="237"/>
      <c r="AI959" s="237"/>
      <c r="AJ959" s="237"/>
      <c r="AK959" s="237"/>
      <c r="AL959" s="237"/>
      <c r="AM959" s="237"/>
      <c r="AN959" s="237"/>
      <c r="AV959" s="237"/>
      <c r="AW959" s="237"/>
      <c r="AX959" s="237"/>
      <c r="AY959" s="237"/>
      <c r="AZ959" s="237"/>
      <c r="BA959" s="237"/>
      <c r="BB959" s="237"/>
    </row>
    <row r="960">
      <c r="E960" s="133"/>
      <c r="F960" s="237"/>
      <c r="G960" s="237"/>
      <c r="H960" s="131"/>
      <c r="I960" s="131"/>
      <c r="J960" s="131"/>
      <c r="K960" s="131"/>
      <c r="L960" s="131"/>
      <c r="T960" s="237"/>
      <c r="U960" s="237"/>
      <c r="V960" s="237"/>
      <c r="W960" s="237"/>
      <c r="X960" s="237"/>
      <c r="Y960" s="237"/>
      <c r="Z960" s="237"/>
      <c r="AH960" s="237"/>
      <c r="AI960" s="237"/>
      <c r="AJ960" s="237"/>
      <c r="AK960" s="237"/>
      <c r="AL960" s="237"/>
      <c r="AM960" s="237"/>
      <c r="AN960" s="237"/>
      <c r="AV960" s="237"/>
      <c r="AW960" s="237"/>
      <c r="AX960" s="237"/>
      <c r="AY960" s="237"/>
      <c r="AZ960" s="237"/>
      <c r="BA960" s="237"/>
      <c r="BB960" s="237"/>
    </row>
    <row r="961">
      <c r="E961" s="133"/>
      <c r="F961" s="237"/>
      <c r="G961" s="237"/>
      <c r="H961" s="131"/>
      <c r="I961" s="131"/>
      <c r="J961" s="131"/>
      <c r="K961" s="131"/>
      <c r="L961" s="131"/>
      <c r="T961" s="237"/>
      <c r="U961" s="237"/>
      <c r="V961" s="237"/>
      <c r="W961" s="237"/>
      <c r="X961" s="237"/>
      <c r="Y961" s="237"/>
      <c r="Z961" s="237"/>
      <c r="AH961" s="237"/>
      <c r="AI961" s="237"/>
      <c r="AJ961" s="237"/>
      <c r="AK961" s="237"/>
      <c r="AL961" s="237"/>
      <c r="AM961" s="237"/>
      <c r="AN961" s="237"/>
      <c r="AV961" s="237"/>
      <c r="AW961" s="237"/>
      <c r="AX961" s="237"/>
      <c r="AY961" s="237"/>
      <c r="AZ961" s="237"/>
      <c r="BA961" s="237"/>
      <c r="BB961" s="237"/>
    </row>
    <row r="962">
      <c r="E962" s="133"/>
      <c r="F962" s="237"/>
      <c r="G962" s="237"/>
      <c r="H962" s="131"/>
      <c r="I962" s="131"/>
      <c r="J962" s="131"/>
      <c r="K962" s="131"/>
      <c r="L962" s="131"/>
      <c r="T962" s="237"/>
      <c r="U962" s="237"/>
      <c r="V962" s="237"/>
      <c r="W962" s="237"/>
      <c r="X962" s="237"/>
      <c r="Y962" s="237"/>
      <c r="Z962" s="237"/>
      <c r="AH962" s="237"/>
      <c r="AI962" s="237"/>
      <c r="AJ962" s="237"/>
      <c r="AK962" s="237"/>
      <c r="AL962" s="237"/>
      <c r="AM962" s="237"/>
      <c r="AN962" s="237"/>
      <c r="AV962" s="237"/>
      <c r="AW962" s="237"/>
      <c r="AX962" s="237"/>
      <c r="AY962" s="237"/>
      <c r="AZ962" s="237"/>
      <c r="BA962" s="237"/>
      <c r="BB962" s="237"/>
    </row>
    <row r="963">
      <c r="E963" s="133"/>
      <c r="F963" s="237"/>
      <c r="G963" s="237"/>
      <c r="H963" s="131"/>
      <c r="I963" s="131"/>
      <c r="J963" s="131"/>
      <c r="K963" s="131"/>
      <c r="L963" s="131"/>
      <c r="T963" s="237"/>
      <c r="U963" s="237"/>
      <c r="V963" s="237"/>
      <c r="W963" s="237"/>
      <c r="X963" s="237"/>
      <c r="Y963" s="237"/>
      <c r="Z963" s="237"/>
      <c r="AH963" s="237"/>
      <c r="AI963" s="237"/>
      <c r="AJ963" s="237"/>
      <c r="AK963" s="237"/>
      <c r="AL963" s="237"/>
      <c r="AM963" s="237"/>
      <c r="AN963" s="237"/>
      <c r="AV963" s="237"/>
      <c r="AW963" s="237"/>
      <c r="AX963" s="237"/>
      <c r="AY963" s="237"/>
      <c r="AZ963" s="237"/>
      <c r="BA963" s="237"/>
      <c r="BB963" s="237"/>
    </row>
    <row r="964">
      <c r="E964" s="133"/>
      <c r="F964" s="237"/>
      <c r="G964" s="237"/>
      <c r="H964" s="131"/>
      <c r="I964" s="131"/>
      <c r="J964" s="131"/>
      <c r="K964" s="131"/>
      <c r="L964" s="131"/>
      <c r="T964" s="237"/>
      <c r="U964" s="237"/>
      <c r="V964" s="237"/>
      <c r="W964" s="237"/>
      <c r="X964" s="237"/>
      <c r="Y964" s="237"/>
      <c r="Z964" s="237"/>
      <c r="AH964" s="237"/>
      <c r="AI964" s="237"/>
      <c r="AJ964" s="237"/>
      <c r="AK964" s="237"/>
      <c r="AL964" s="237"/>
      <c r="AM964" s="237"/>
      <c r="AN964" s="237"/>
      <c r="AV964" s="237"/>
      <c r="AW964" s="237"/>
      <c r="AX964" s="237"/>
      <c r="AY964" s="237"/>
      <c r="AZ964" s="237"/>
      <c r="BA964" s="237"/>
      <c r="BB964" s="237"/>
    </row>
    <row r="965">
      <c r="E965" s="133"/>
      <c r="F965" s="237"/>
      <c r="G965" s="237"/>
      <c r="H965" s="131"/>
      <c r="I965" s="131"/>
      <c r="J965" s="131"/>
      <c r="K965" s="131"/>
      <c r="L965" s="131"/>
      <c r="T965" s="237"/>
      <c r="U965" s="237"/>
      <c r="V965" s="237"/>
      <c r="W965" s="237"/>
      <c r="X965" s="237"/>
      <c r="Y965" s="237"/>
      <c r="Z965" s="237"/>
      <c r="AH965" s="237"/>
      <c r="AI965" s="237"/>
      <c r="AJ965" s="237"/>
      <c r="AK965" s="237"/>
      <c r="AL965" s="237"/>
      <c r="AM965" s="237"/>
      <c r="AN965" s="237"/>
      <c r="AV965" s="237"/>
      <c r="AW965" s="237"/>
      <c r="AX965" s="237"/>
      <c r="AY965" s="237"/>
      <c r="AZ965" s="237"/>
      <c r="BA965" s="237"/>
      <c r="BB965" s="237"/>
    </row>
    <row r="966">
      <c r="E966" s="133"/>
      <c r="F966" s="237"/>
      <c r="G966" s="237"/>
      <c r="H966" s="131"/>
      <c r="I966" s="131"/>
      <c r="J966" s="131"/>
      <c r="K966" s="131"/>
      <c r="L966" s="131"/>
      <c r="T966" s="237"/>
      <c r="U966" s="237"/>
      <c r="V966" s="237"/>
      <c r="W966" s="237"/>
      <c r="X966" s="237"/>
      <c r="Y966" s="237"/>
      <c r="Z966" s="237"/>
      <c r="AH966" s="237"/>
      <c r="AI966" s="237"/>
      <c r="AJ966" s="237"/>
      <c r="AK966" s="237"/>
      <c r="AL966" s="237"/>
      <c r="AM966" s="237"/>
      <c r="AN966" s="237"/>
      <c r="AV966" s="237"/>
      <c r="AW966" s="237"/>
      <c r="AX966" s="237"/>
      <c r="AY966" s="237"/>
      <c r="AZ966" s="237"/>
      <c r="BA966" s="237"/>
      <c r="BB966" s="237"/>
    </row>
    <row r="967">
      <c r="E967" s="133"/>
      <c r="F967" s="237"/>
      <c r="G967" s="237"/>
      <c r="H967" s="131"/>
      <c r="I967" s="131"/>
      <c r="J967" s="131"/>
      <c r="K967" s="131"/>
      <c r="L967" s="131"/>
      <c r="T967" s="237"/>
      <c r="U967" s="237"/>
      <c r="V967" s="237"/>
      <c r="W967" s="237"/>
      <c r="X967" s="237"/>
      <c r="Y967" s="237"/>
      <c r="Z967" s="237"/>
      <c r="AH967" s="237"/>
      <c r="AI967" s="237"/>
      <c r="AJ967" s="237"/>
      <c r="AK967" s="237"/>
      <c r="AL967" s="237"/>
      <c r="AM967" s="237"/>
      <c r="AN967" s="237"/>
      <c r="AV967" s="237"/>
      <c r="AW967" s="237"/>
      <c r="AX967" s="237"/>
      <c r="AY967" s="237"/>
      <c r="AZ967" s="237"/>
      <c r="BA967" s="237"/>
      <c r="BB967" s="237"/>
    </row>
    <row r="968">
      <c r="E968" s="133"/>
      <c r="F968" s="237"/>
      <c r="G968" s="237"/>
      <c r="H968" s="131"/>
      <c r="I968" s="131"/>
      <c r="J968" s="131"/>
      <c r="K968" s="131"/>
      <c r="L968" s="131"/>
      <c r="T968" s="237"/>
      <c r="U968" s="237"/>
      <c r="V968" s="237"/>
      <c r="W968" s="237"/>
      <c r="X968" s="237"/>
      <c r="Y968" s="237"/>
      <c r="Z968" s="237"/>
      <c r="AH968" s="237"/>
      <c r="AI968" s="237"/>
      <c r="AJ968" s="237"/>
      <c r="AK968" s="237"/>
      <c r="AL968" s="237"/>
      <c r="AM968" s="237"/>
      <c r="AN968" s="237"/>
      <c r="AV968" s="237"/>
      <c r="AW968" s="237"/>
      <c r="AX968" s="237"/>
      <c r="AY968" s="237"/>
      <c r="AZ968" s="237"/>
      <c r="BA968" s="237"/>
      <c r="BB968" s="237"/>
    </row>
    <row r="969">
      <c r="E969" s="133"/>
      <c r="F969" s="237"/>
      <c r="G969" s="237"/>
      <c r="H969" s="131"/>
      <c r="I969" s="131"/>
      <c r="J969" s="131"/>
      <c r="K969" s="131"/>
      <c r="L969" s="131"/>
      <c r="T969" s="237"/>
      <c r="U969" s="237"/>
      <c r="V969" s="237"/>
      <c r="W969" s="237"/>
      <c r="X969" s="237"/>
      <c r="Y969" s="237"/>
      <c r="Z969" s="237"/>
      <c r="AH969" s="237"/>
      <c r="AI969" s="237"/>
      <c r="AJ969" s="237"/>
      <c r="AK969" s="237"/>
      <c r="AL969" s="237"/>
      <c r="AM969" s="237"/>
      <c r="AN969" s="237"/>
      <c r="AV969" s="237"/>
      <c r="AW969" s="237"/>
      <c r="AX969" s="237"/>
      <c r="AY969" s="237"/>
      <c r="AZ969" s="237"/>
      <c r="BA969" s="237"/>
      <c r="BB969" s="237"/>
    </row>
    <row r="970">
      <c r="E970" s="133"/>
      <c r="F970" s="237"/>
      <c r="G970" s="237"/>
      <c r="H970" s="131"/>
      <c r="I970" s="131"/>
      <c r="J970" s="131"/>
      <c r="K970" s="131"/>
      <c r="L970" s="131"/>
      <c r="T970" s="237"/>
      <c r="U970" s="237"/>
      <c r="V970" s="237"/>
      <c r="W970" s="237"/>
      <c r="X970" s="237"/>
      <c r="Y970" s="237"/>
      <c r="Z970" s="237"/>
      <c r="AH970" s="237"/>
      <c r="AI970" s="237"/>
      <c r="AJ970" s="237"/>
      <c r="AK970" s="237"/>
      <c r="AL970" s="237"/>
      <c r="AM970" s="237"/>
      <c r="AN970" s="237"/>
      <c r="AV970" s="237"/>
      <c r="AW970" s="237"/>
      <c r="AX970" s="237"/>
      <c r="AY970" s="237"/>
      <c r="AZ970" s="237"/>
      <c r="BA970" s="237"/>
      <c r="BB970" s="237"/>
    </row>
    <row r="971">
      <c r="E971" s="133"/>
      <c r="F971" s="237"/>
      <c r="G971" s="237"/>
      <c r="H971" s="131"/>
      <c r="I971" s="131"/>
      <c r="J971" s="131"/>
      <c r="K971" s="131"/>
      <c r="L971" s="131"/>
      <c r="T971" s="237"/>
      <c r="U971" s="237"/>
      <c r="V971" s="237"/>
      <c r="W971" s="237"/>
      <c r="X971" s="237"/>
      <c r="Y971" s="237"/>
      <c r="Z971" s="237"/>
      <c r="AH971" s="237"/>
      <c r="AI971" s="237"/>
      <c r="AJ971" s="237"/>
      <c r="AK971" s="237"/>
      <c r="AL971" s="237"/>
      <c r="AM971" s="237"/>
      <c r="AN971" s="237"/>
      <c r="AV971" s="237"/>
      <c r="AW971" s="237"/>
      <c r="AX971" s="237"/>
      <c r="AY971" s="237"/>
      <c r="AZ971" s="237"/>
      <c r="BA971" s="237"/>
      <c r="BB971" s="237"/>
    </row>
    <row r="972">
      <c r="E972" s="133"/>
      <c r="F972" s="237"/>
      <c r="G972" s="237"/>
      <c r="H972" s="131"/>
      <c r="I972" s="131"/>
      <c r="J972" s="131"/>
      <c r="K972" s="131"/>
      <c r="L972" s="131"/>
      <c r="T972" s="237"/>
      <c r="U972" s="237"/>
      <c r="V972" s="237"/>
      <c r="W972" s="237"/>
      <c r="X972" s="237"/>
      <c r="Y972" s="237"/>
      <c r="Z972" s="237"/>
      <c r="AH972" s="237"/>
      <c r="AI972" s="237"/>
      <c r="AJ972" s="237"/>
      <c r="AK972" s="237"/>
      <c r="AL972" s="237"/>
      <c r="AM972" s="237"/>
      <c r="AN972" s="237"/>
      <c r="AV972" s="237"/>
      <c r="AW972" s="237"/>
      <c r="AX972" s="237"/>
      <c r="AY972" s="237"/>
      <c r="AZ972" s="237"/>
      <c r="BA972" s="237"/>
      <c r="BB972" s="237"/>
    </row>
    <row r="973">
      <c r="E973" s="133"/>
      <c r="F973" s="237"/>
      <c r="G973" s="237"/>
      <c r="H973" s="131"/>
      <c r="I973" s="131"/>
      <c r="J973" s="131"/>
      <c r="K973" s="131"/>
      <c r="L973" s="131"/>
      <c r="T973" s="237"/>
      <c r="U973" s="237"/>
      <c r="V973" s="237"/>
      <c r="W973" s="237"/>
      <c r="X973" s="237"/>
      <c r="Y973" s="237"/>
      <c r="Z973" s="237"/>
      <c r="AH973" s="237"/>
      <c r="AI973" s="237"/>
      <c r="AJ973" s="237"/>
      <c r="AK973" s="237"/>
      <c r="AL973" s="237"/>
      <c r="AM973" s="237"/>
      <c r="AN973" s="237"/>
      <c r="AV973" s="237"/>
      <c r="AW973" s="237"/>
      <c r="AX973" s="237"/>
      <c r="AY973" s="237"/>
      <c r="AZ973" s="237"/>
      <c r="BA973" s="237"/>
      <c r="BB973" s="237"/>
    </row>
    <row r="974">
      <c r="E974" s="133"/>
      <c r="F974" s="237"/>
      <c r="G974" s="237"/>
      <c r="H974" s="131"/>
      <c r="I974" s="131"/>
      <c r="J974" s="131"/>
      <c r="K974" s="131"/>
      <c r="L974" s="131"/>
      <c r="T974" s="237"/>
      <c r="U974" s="237"/>
      <c r="V974" s="237"/>
      <c r="W974" s="237"/>
      <c r="X974" s="237"/>
      <c r="Y974" s="237"/>
      <c r="Z974" s="237"/>
      <c r="AH974" s="237"/>
      <c r="AI974" s="237"/>
      <c r="AJ974" s="237"/>
      <c r="AK974" s="237"/>
      <c r="AL974" s="237"/>
      <c r="AM974" s="237"/>
      <c r="AN974" s="237"/>
      <c r="AV974" s="237"/>
      <c r="AW974" s="237"/>
      <c r="AX974" s="237"/>
      <c r="AY974" s="237"/>
      <c r="AZ974" s="237"/>
      <c r="BA974" s="237"/>
      <c r="BB974" s="237"/>
    </row>
    <row r="975">
      <c r="E975" s="133"/>
      <c r="F975" s="237"/>
      <c r="G975" s="237"/>
      <c r="H975" s="131"/>
      <c r="I975" s="131"/>
      <c r="J975" s="131"/>
      <c r="K975" s="131"/>
      <c r="L975" s="131"/>
      <c r="T975" s="237"/>
      <c r="U975" s="237"/>
      <c r="V975" s="237"/>
      <c r="W975" s="237"/>
      <c r="X975" s="237"/>
      <c r="Y975" s="237"/>
      <c r="Z975" s="237"/>
      <c r="AH975" s="237"/>
      <c r="AI975" s="237"/>
      <c r="AJ975" s="237"/>
      <c r="AK975" s="237"/>
      <c r="AL975" s="237"/>
      <c r="AM975" s="237"/>
      <c r="AN975" s="237"/>
      <c r="AV975" s="237"/>
      <c r="AW975" s="237"/>
      <c r="AX975" s="237"/>
      <c r="AY975" s="237"/>
      <c r="AZ975" s="237"/>
      <c r="BA975" s="237"/>
      <c r="BB975" s="237"/>
    </row>
    <row r="976">
      <c r="E976" s="133"/>
      <c r="F976" s="237"/>
      <c r="G976" s="237"/>
      <c r="H976" s="131"/>
      <c r="I976" s="131"/>
      <c r="J976" s="131"/>
      <c r="K976" s="131"/>
      <c r="L976" s="131"/>
      <c r="T976" s="237"/>
      <c r="U976" s="237"/>
      <c r="V976" s="237"/>
      <c r="W976" s="237"/>
      <c r="X976" s="237"/>
      <c r="Y976" s="237"/>
      <c r="Z976" s="237"/>
      <c r="AH976" s="237"/>
      <c r="AI976" s="237"/>
      <c r="AJ976" s="237"/>
      <c r="AK976" s="237"/>
      <c r="AL976" s="237"/>
      <c r="AM976" s="237"/>
      <c r="AN976" s="237"/>
      <c r="AV976" s="237"/>
      <c r="AW976" s="237"/>
      <c r="AX976" s="237"/>
      <c r="AY976" s="237"/>
      <c r="AZ976" s="237"/>
      <c r="BA976" s="237"/>
      <c r="BB976" s="237"/>
    </row>
    <row r="977">
      <c r="E977" s="133"/>
      <c r="F977" s="237"/>
      <c r="G977" s="237"/>
      <c r="H977" s="131"/>
      <c r="I977" s="131"/>
      <c r="J977" s="131"/>
      <c r="K977" s="131"/>
      <c r="L977" s="131"/>
      <c r="T977" s="237"/>
      <c r="U977" s="237"/>
      <c r="V977" s="237"/>
      <c r="W977" s="237"/>
      <c r="X977" s="237"/>
      <c r="Y977" s="237"/>
      <c r="Z977" s="237"/>
      <c r="AH977" s="237"/>
      <c r="AI977" s="237"/>
      <c r="AJ977" s="237"/>
      <c r="AK977" s="237"/>
      <c r="AL977" s="237"/>
      <c r="AM977" s="237"/>
      <c r="AN977" s="237"/>
      <c r="AV977" s="237"/>
      <c r="AW977" s="237"/>
      <c r="AX977" s="237"/>
      <c r="AY977" s="237"/>
      <c r="AZ977" s="237"/>
      <c r="BA977" s="237"/>
      <c r="BB977" s="237"/>
    </row>
    <row r="978">
      <c r="E978" s="133"/>
      <c r="F978" s="237"/>
      <c r="G978" s="237"/>
      <c r="H978" s="131"/>
      <c r="I978" s="131"/>
      <c r="J978" s="131"/>
      <c r="K978" s="131"/>
      <c r="L978" s="131"/>
      <c r="T978" s="237"/>
      <c r="U978" s="237"/>
      <c r="V978" s="237"/>
      <c r="W978" s="237"/>
      <c r="X978" s="237"/>
      <c r="Y978" s="237"/>
      <c r="Z978" s="237"/>
      <c r="AH978" s="237"/>
      <c r="AI978" s="237"/>
      <c r="AJ978" s="237"/>
      <c r="AK978" s="237"/>
      <c r="AL978" s="237"/>
      <c r="AM978" s="237"/>
      <c r="AN978" s="237"/>
      <c r="AV978" s="237"/>
      <c r="AW978" s="237"/>
      <c r="AX978" s="237"/>
      <c r="AY978" s="237"/>
      <c r="AZ978" s="237"/>
      <c r="BA978" s="237"/>
      <c r="BB978" s="237"/>
    </row>
    <row r="979">
      <c r="E979" s="133"/>
      <c r="F979" s="237"/>
      <c r="G979" s="237"/>
      <c r="H979" s="131"/>
      <c r="I979" s="131"/>
      <c r="J979" s="131"/>
      <c r="K979" s="131"/>
      <c r="L979" s="131"/>
      <c r="T979" s="237"/>
      <c r="U979" s="237"/>
      <c r="V979" s="237"/>
      <c r="W979" s="237"/>
      <c r="X979" s="237"/>
      <c r="Y979" s="237"/>
      <c r="Z979" s="237"/>
      <c r="AH979" s="237"/>
      <c r="AI979" s="237"/>
      <c r="AJ979" s="237"/>
      <c r="AK979" s="237"/>
      <c r="AL979" s="237"/>
      <c r="AM979" s="237"/>
      <c r="AN979" s="237"/>
      <c r="AV979" s="237"/>
      <c r="AW979" s="237"/>
      <c r="AX979" s="237"/>
      <c r="AY979" s="237"/>
      <c r="AZ979" s="237"/>
      <c r="BA979" s="237"/>
      <c r="BB979" s="237"/>
    </row>
    <row r="980">
      <c r="E980" s="133"/>
      <c r="F980" s="237"/>
      <c r="G980" s="237"/>
      <c r="H980" s="131"/>
      <c r="I980" s="131"/>
      <c r="J980" s="131"/>
      <c r="K980" s="131"/>
      <c r="L980" s="131"/>
      <c r="T980" s="237"/>
      <c r="U980" s="237"/>
      <c r="V980" s="237"/>
      <c r="W980" s="237"/>
      <c r="X980" s="237"/>
      <c r="Y980" s="237"/>
      <c r="Z980" s="237"/>
      <c r="AH980" s="237"/>
      <c r="AI980" s="237"/>
      <c r="AJ980" s="237"/>
      <c r="AK980" s="237"/>
      <c r="AL980" s="237"/>
      <c r="AM980" s="237"/>
      <c r="AN980" s="237"/>
      <c r="AV980" s="237"/>
      <c r="AW980" s="237"/>
      <c r="AX980" s="237"/>
      <c r="AY980" s="237"/>
      <c r="AZ980" s="237"/>
      <c r="BA980" s="237"/>
      <c r="BB980" s="237"/>
    </row>
    <row r="981">
      <c r="E981" s="133"/>
      <c r="F981" s="237"/>
      <c r="G981" s="237"/>
      <c r="H981" s="131"/>
      <c r="I981" s="131"/>
      <c r="J981" s="131"/>
      <c r="K981" s="131"/>
      <c r="L981" s="131"/>
      <c r="T981" s="237"/>
      <c r="U981" s="237"/>
      <c r="V981" s="237"/>
      <c r="W981" s="237"/>
      <c r="X981" s="237"/>
      <c r="Y981" s="237"/>
      <c r="Z981" s="237"/>
      <c r="AH981" s="237"/>
      <c r="AI981" s="237"/>
      <c r="AJ981" s="237"/>
      <c r="AK981" s="237"/>
      <c r="AL981" s="237"/>
      <c r="AM981" s="237"/>
      <c r="AN981" s="237"/>
      <c r="AV981" s="237"/>
      <c r="AW981" s="237"/>
      <c r="AX981" s="237"/>
      <c r="AY981" s="237"/>
      <c r="AZ981" s="237"/>
      <c r="BA981" s="237"/>
      <c r="BB981" s="237"/>
    </row>
    <row r="982">
      <c r="E982" s="133"/>
      <c r="F982" s="237"/>
      <c r="G982" s="237"/>
      <c r="H982" s="131"/>
      <c r="I982" s="131"/>
      <c r="J982" s="131"/>
      <c r="K982" s="131"/>
      <c r="L982" s="131"/>
      <c r="T982" s="237"/>
      <c r="U982" s="237"/>
      <c r="V982" s="237"/>
      <c r="W982" s="237"/>
      <c r="X982" s="237"/>
      <c r="Y982" s="237"/>
      <c r="Z982" s="237"/>
      <c r="AH982" s="237"/>
      <c r="AI982" s="237"/>
      <c r="AJ982" s="237"/>
      <c r="AK982" s="237"/>
      <c r="AL982" s="237"/>
      <c r="AM982" s="237"/>
      <c r="AN982" s="237"/>
      <c r="AV982" s="237"/>
      <c r="AW982" s="237"/>
      <c r="AX982" s="237"/>
      <c r="AY982" s="237"/>
      <c r="AZ982" s="237"/>
      <c r="BA982" s="237"/>
      <c r="BB982" s="237"/>
    </row>
    <row r="983">
      <c r="E983" s="133"/>
      <c r="F983" s="237"/>
      <c r="G983" s="237"/>
      <c r="H983" s="131"/>
      <c r="I983" s="131"/>
      <c r="J983" s="131"/>
      <c r="K983" s="131"/>
      <c r="L983" s="131"/>
      <c r="T983" s="237"/>
      <c r="U983" s="237"/>
      <c r="V983" s="237"/>
      <c r="W983" s="237"/>
      <c r="X983" s="237"/>
      <c r="Y983" s="237"/>
      <c r="Z983" s="237"/>
      <c r="AH983" s="237"/>
      <c r="AI983" s="237"/>
      <c r="AJ983" s="237"/>
      <c r="AK983" s="237"/>
      <c r="AL983" s="237"/>
      <c r="AM983" s="237"/>
      <c r="AN983" s="237"/>
      <c r="AV983" s="237"/>
      <c r="AW983" s="237"/>
      <c r="AX983" s="237"/>
      <c r="AY983" s="237"/>
      <c r="AZ983" s="237"/>
      <c r="BA983" s="237"/>
      <c r="BB983" s="237"/>
    </row>
    <row r="984">
      <c r="E984" s="133"/>
      <c r="F984" s="237"/>
      <c r="G984" s="237"/>
      <c r="H984" s="131"/>
      <c r="I984" s="131"/>
      <c r="J984" s="131"/>
      <c r="K984" s="131"/>
      <c r="L984" s="131"/>
      <c r="T984" s="237"/>
      <c r="U984" s="237"/>
      <c r="V984" s="237"/>
      <c r="W984" s="237"/>
      <c r="X984" s="237"/>
      <c r="Y984" s="237"/>
      <c r="Z984" s="237"/>
      <c r="AH984" s="237"/>
      <c r="AI984" s="237"/>
      <c r="AJ984" s="237"/>
      <c r="AK984" s="237"/>
      <c r="AL984" s="237"/>
      <c r="AM984" s="237"/>
      <c r="AN984" s="237"/>
      <c r="AV984" s="237"/>
      <c r="AW984" s="237"/>
      <c r="AX984" s="237"/>
      <c r="AY984" s="237"/>
      <c r="AZ984" s="237"/>
      <c r="BA984" s="237"/>
      <c r="BB984" s="237"/>
    </row>
    <row r="985">
      <c r="E985" s="133"/>
      <c r="F985" s="237"/>
      <c r="G985" s="237"/>
      <c r="H985" s="131"/>
      <c r="I985" s="131"/>
      <c r="J985" s="131"/>
      <c r="K985" s="131"/>
      <c r="L985" s="131"/>
      <c r="T985" s="237"/>
      <c r="U985" s="237"/>
      <c r="V985" s="237"/>
      <c r="W985" s="237"/>
      <c r="X985" s="237"/>
      <c r="Y985" s="237"/>
      <c r="Z985" s="237"/>
      <c r="AH985" s="237"/>
      <c r="AI985" s="237"/>
      <c r="AJ985" s="237"/>
      <c r="AK985" s="237"/>
      <c r="AL985" s="237"/>
      <c r="AM985" s="237"/>
      <c r="AN985" s="237"/>
      <c r="AV985" s="237"/>
      <c r="AW985" s="237"/>
      <c r="AX985" s="237"/>
      <c r="AY985" s="237"/>
      <c r="AZ985" s="237"/>
      <c r="BA985" s="237"/>
      <c r="BB985" s="237"/>
    </row>
    <row r="986">
      <c r="E986" s="133"/>
      <c r="F986" s="237"/>
      <c r="G986" s="237"/>
      <c r="H986" s="131"/>
      <c r="I986" s="131"/>
      <c r="J986" s="131"/>
      <c r="K986" s="131"/>
      <c r="L986" s="131"/>
      <c r="T986" s="237"/>
      <c r="U986" s="237"/>
      <c r="V986" s="237"/>
      <c r="W986" s="237"/>
      <c r="X986" s="237"/>
      <c r="Y986" s="237"/>
      <c r="Z986" s="237"/>
      <c r="AH986" s="237"/>
      <c r="AI986" s="237"/>
      <c r="AJ986" s="237"/>
      <c r="AK986" s="237"/>
      <c r="AL986" s="237"/>
      <c r="AM986" s="237"/>
      <c r="AN986" s="237"/>
      <c r="AV986" s="237"/>
      <c r="AW986" s="237"/>
      <c r="AX986" s="237"/>
      <c r="AY986" s="237"/>
      <c r="AZ986" s="237"/>
      <c r="BA986" s="237"/>
      <c r="BB986" s="237"/>
    </row>
    <row r="987">
      <c r="E987" s="133"/>
      <c r="F987" s="237"/>
      <c r="G987" s="237"/>
      <c r="H987" s="131"/>
      <c r="I987" s="131"/>
      <c r="J987" s="131"/>
      <c r="K987" s="131"/>
      <c r="L987" s="131"/>
      <c r="T987" s="237"/>
      <c r="U987" s="237"/>
      <c r="V987" s="237"/>
      <c r="W987" s="237"/>
      <c r="X987" s="237"/>
      <c r="Y987" s="237"/>
      <c r="Z987" s="237"/>
      <c r="AH987" s="237"/>
      <c r="AI987" s="237"/>
      <c r="AJ987" s="237"/>
      <c r="AK987" s="237"/>
      <c r="AL987" s="237"/>
      <c r="AM987" s="237"/>
      <c r="AN987" s="237"/>
      <c r="AV987" s="237"/>
      <c r="AW987" s="237"/>
      <c r="AX987" s="237"/>
      <c r="AY987" s="237"/>
      <c r="AZ987" s="237"/>
      <c r="BA987" s="237"/>
      <c r="BB987" s="237"/>
    </row>
    <row r="988">
      <c r="E988" s="133"/>
      <c r="F988" s="237"/>
      <c r="G988" s="237"/>
      <c r="H988" s="131"/>
      <c r="I988" s="131"/>
      <c r="J988" s="131"/>
      <c r="K988" s="131"/>
      <c r="L988" s="131"/>
      <c r="T988" s="237"/>
      <c r="U988" s="237"/>
      <c r="V988" s="237"/>
      <c r="W988" s="237"/>
      <c r="X988" s="237"/>
      <c r="Y988" s="237"/>
      <c r="Z988" s="237"/>
      <c r="AH988" s="237"/>
      <c r="AI988" s="237"/>
      <c r="AJ988" s="237"/>
      <c r="AK988" s="237"/>
      <c r="AL988" s="237"/>
      <c r="AM988" s="237"/>
      <c r="AN988" s="237"/>
      <c r="AV988" s="237"/>
      <c r="AW988" s="237"/>
      <c r="AX988" s="237"/>
      <c r="AY988" s="237"/>
      <c r="AZ988" s="237"/>
      <c r="BA988" s="237"/>
      <c r="BB988" s="237"/>
    </row>
    <row r="989">
      <c r="E989" s="133"/>
      <c r="F989" s="237"/>
      <c r="G989" s="237"/>
      <c r="H989" s="131"/>
      <c r="I989" s="131"/>
      <c r="J989" s="131"/>
      <c r="K989" s="131"/>
      <c r="L989" s="131"/>
      <c r="T989" s="237"/>
      <c r="U989" s="237"/>
      <c r="V989" s="237"/>
      <c r="W989" s="237"/>
      <c r="X989" s="237"/>
      <c r="Y989" s="237"/>
      <c r="Z989" s="237"/>
      <c r="AH989" s="237"/>
      <c r="AI989" s="237"/>
      <c r="AJ989" s="237"/>
      <c r="AK989" s="237"/>
      <c r="AL989" s="237"/>
      <c r="AM989" s="237"/>
      <c r="AN989" s="237"/>
      <c r="AV989" s="237"/>
      <c r="AW989" s="237"/>
      <c r="AX989" s="237"/>
      <c r="AY989" s="237"/>
      <c r="AZ989" s="237"/>
      <c r="BA989" s="237"/>
      <c r="BB989" s="237"/>
    </row>
    <row r="990">
      <c r="E990" s="133"/>
      <c r="F990" s="237"/>
      <c r="G990" s="237"/>
      <c r="H990" s="131"/>
      <c r="I990" s="131"/>
      <c r="J990" s="131"/>
      <c r="K990" s="131"/>
      <c r="L990" s="131"/>
      <c r="T990" s="237"/>
      <c r="U990" s="237"/>
      <c r="V990" s="237"/>
      <c r="W990" s="237"/>
      <c r="X990" s="237"/>
      <c r="Y990" s="237"/>
      <c r="Z990" s="237"/>
      <c r="AH990" s="237"/>
      <c r="AI990" s="237"/>
      <c r="AJ990" s="237"/>
      <c r="AK990" s="237"/>
      <c r="AL990" s="237"/>
      <c r="AM990" s="237"/>
      <c r="AN990" s="237"/>
      <c r="AV990" s="237"/>
      <c r="AW990" s="237"/>
      <c r="AX990" s="237"/>
      <c r="AY990" s="237"/>
      <c r="AZ990" s="237"/>
      <c r="BA990" s="237"/>
      <c r="BB990" s="237"/>
    </row>
    <row r="991">
      <c r="E991" s="133"/>
      <c r="F991" s="237"/>
      <c r="G991" s="237"/>
      <c r="H991" s="131"/>
      <c r="I991" s="131"/>
      <c r="J991" s="131"/>
      <c r="K991" s="131"/>
      <c r="L991" s="131"/>
      <c r="T991" s="237"/>
      <c r="U991" s="237"/>
      <c r="V991" s="237"/>
      <c r="W991" s="237"/>
      <c r="X991" s="237"/>
      <c r="Y991" s="237"/>
      <c r="Z991" s="237"/>
      <c r="AH991" s="237"/>
      <c r="AI991" s="237"/>
      <c r="AJ991" s="237"/>
      <c r="AK991" s="237"/>
      <c r="AL991" s="237"/>
      <c r="AM991" s="237"/>
      <c r="AN991" s="237"/>
      <c r="AV991" s="237"/>
      <c r="AW991" s="237"/>
      <c r="AX991" s="237"/>
      <c r="AY991" s="237"/>
      <c r="AZ991" s="237"/>
      <c r="BA991" s="237"/>
      <c r="BB991" s="237"/>
    </row>
    <row r="992">
      <c r="E992" s="133"/>
      <c r="F992" s="237"/>
      <c r="G992" s="237"/>
      <c r="H992" s="131"/>
      <c r="I992" s="131"/>
      <c r="J992" s="131"/>
      <c r="K992" s="131"/>
      <c r="L992" s="131"/>
      <c r="T992" s="237"/>
      <c r="U992" s="237"/>
      <c r="V992" s="237"/>
      <c r="W992" s="237"/>
      <c r="X992" s="237"/>
      <c r="Y992" s="237"/>
      <c r="Z992" s="237"/>
      <c r="AH992" s="237"/>
      <c r="AI992" s="237"/>
      <c r="AJ992" s="237"/>
      <c r="AK992" s="237"/>
      <c r="AL992" s="237"/>
      <c r="AM992" s="237"/>
      <c r="AN992" s="237"/>
      <c r="AV992" s="237"/>
      <c r="AW992" s="237"/>
      <c r="AX992" s="237"/>
      <c r="AY992" s="237"/>
      <c r="AZ992" s="237"/>
      <c r="BA992" s="237"/>
      <c r="BB992" s="237"/>
    </row>
    <row r="993">
      <c r="E993" s="133"/>
      <c r="F993" s="237"/>
      <c r="G993" s="237"/>
      <c r="H993" s="131"/>
      <c r="I993" s="131"/>
      <c r="J993" s="131"/>
      <c r="K993" s="131"/>
      <c r="L993" s="131"/>
      <c r="T993" s="237"/>
      <c r="U993" s="237"/>
      <c r="V993" s="237"/>
      <c r="W993" s="237"/>
      <c r="X993" s="237"/>
      <c r="Y993" s="237"/>
      <c r="Z993" s="237"/>
      <c r="AH993" s="237"/>
      <c r="AI993" s="237"/>
      <c r="AJ993" s="237"/>
      <c r="AK993" s="237"/>
      <c r="AL993" s="237"/>
      <c r="AM993" s="237"/>
      <c r="AN993" s="237"/>
      <c r="AV993" s="237"/>
      <c r="AW993" s="237"/>
      <c r="AX993" s="237"/>
      <c r="AY993" s="237"/>
      <c r="AZ993" s="237"/>
      <c r="BA993" s="237"/>
      <c r="BB993" s="237"/>
    </row>
    <row r="994">
      <c r="E994" s="133"/>
      <c r="F994" s="237"/>
      <c r="G994" s="237"/>
      <c r="H994" s="131"/>
      <c r="I994" s="131"/>
      <c r="J994" s="131"/>
      <c r="K994" s="131"/>
      <c r="L994" s="131"/>
      <c r="T994" s="237"/>
      <c r="U994" s="237"/>
      <c r="V994" s="237"/>
      <c r="W994" s="237"/>
      <c r="X994" s="237"/>
      <c r="Y994" s="237"/>
      <c r="Z994" s="237"/>
      <c r="AH994" s="237"/>
      <c r="AI994" s="237"/>
      <c r="AJ994" s="237"/>
      <c r="AK994" s="237"/>
      <c r="AL994" s="237"/>
      <c r="AM994" s="237"/>
      <c r="AN994" s="237"/>
      <c r="AV994" s="237"/>
      <c r="AW994" s="237"/>
      <c r="AX994" s="237"/>
      <c r="AY994" s="237"/>
      <c r="AZ994" s="237"/>
      <c r="BA994" s="237"/>
      <c r="BB994" s="237"/>
    </row>
    <row r="995">
      <c r="E995" s="133"/>
      <c r="F995" s="237"/>
      <c r="G995" s="237"/>
      <c r="H995" s="131"/>
      <c r="I995" s="131"/>
      <c r="J995" s="131"/>
      <c r="K995" s="131"/>
      <c r="L995" s="131"/>
      <c r="T995" s="237"/>
      <c r="U995" s="237"/>
      <c r="V995" s="237"/>
      <c r="W995" s="237"/>
      <c r="X995" s="237"/>
      <c r="Y995" s="237"/>
      <c r="Z995" s="237"/>
      <c r="AH995" s="237"/>
      <c r="AI995" s="237"/>
      <c r="AJ995" s="237"/>
      <c r="AK995" s="237"/>
      <c r="AL995" s="237"/>
      <c r="AM995" s="237"/>
      <c r="AN995" s="237"/>
      <c r="AV995" s="237"/>
      <c r="AW995" s="237"/>
      <c r="AX995" s="237"/>
      <c r="AY995" s="237"/>
      <c r="AZ995" s="237"/>
      <c r="BA995" s="237"/>
      <c r="BB995" s="237"/>
    </row>
    <row r="996">
      <c r="E996" s="133"/>
      <c r="F996" s="237"/>
      <c r="G996" s="237"/>
      <c r="H996" s="131"/>
      <c r="I996" s="131"/>
      <c r="J996" s="131"/>
      <c r="K996" s="131"/>
      <c r="L996" s="131"/>
      <c r="T996" s="237"/>
      <c r="U996" s="237"/>
      <c r="V996" s="237"/>
      <c r="W996" s="237"/>
      <c r="X996" s="237"/>
      <c r="Y996" s="237"/>
      <c r="Z996" s="237"/>
      <c r="AH996" s="237"/>
      <c r="AI996" s="237"/>
      <c r="AJ996" s="237"/>
      <c r="AK996" s="237"/>
      <c r="AL996" s="237"/>
      <c r="AM996" s="237"/>
      <c r="AN996" s="237"/>
      <c r="AV996" s="237"/>
      <c r="AW996" s="237"/>
      <c r="AX996" s="237"/>
      <c r="AY996" s="237"/>
      <c r="AZ996" s="237"/>
      <c r="BA996" s="237"/>
      <c r="BB996" s="237"/>
    </row>
    <row r="997">
      <c r="E997" s="133"/>
      <c r="F997" s="237"/>
      <c r="G997" s="237"/>
      <c r="H997" s="131"/>
      <c r="I997" s="131"/>
      <c r="J997" s="131"/>
      <c r="K997" s="131"/>
      <c r="L997" s="131"/>
      <c r="T997" s="237"/>
      <c r="U997" s="237"/>
      <c r="V997" s="237"/>
      <c r="W997" s="237"/>
      <c r="X997" s="237"/>
      <c r="Y997" s="237"/>
      <c r="Z997" s="237"/>
      <c r="AH997" s="237"/>
      <c r="AI997" s="237"/>
      <c r="AJ997" s="237"/>
      <c r="AK997" s="237"/>
      <c r="AL997" s="237"/>
      <c r="AM997" s="237"/>
      <c r="AN997" s="237"/>
      <c r="AV997" s="237"/>
      <c r="AW997" s="237"/>
      <c r="AX997" s="237"/>
      <c r="AY997" s="237"/>
      <c r="AZ997" s="237"/>
      <c r="BA997" s="237"/>
      <c r="BB997" s="237"/>
    </row>
    <row r="998">
      <c r="E998" s="133"/>
      <c r="F998" s="237"/>
      <c r="G998" s="237"/>
      <c r="H998" s="131"/>
      <c r="I998" s="131"/>
      <c r="J998" s="131"/>
      <c r="K998" s="131"/>
      <c r="L998" s="131"/>
      <c r="T998" s="237"/>
      <c r="U998" s="237"/>
      <c r="V998" s="237"/>
      <c r="W998" s="237"/>
      <c r="X998" s="237"/>
      <c r="Y998" s="237"/>
      <c r="Z998" s="237"/>
      <c r="AH998" s="237"/>
      <c r="AI998" s="237"/>
      <c r="AJ998" s="237"/>
      <c r="AK998" s="237"/>
      <c r="AL998" s="237"/>
      <c r="AM998" s="237"/>
      <c r="AN998" s="237"/>
      <c r="AV998" s="237"/>
      <c r="AW998" s="237"/>
      <c r="AX998" s="237"/>
      <c r="AY998" s="237"/>
      <c r="AZ998" s="237"/>
      <c r="BA998" s="237"/>
      <c r="BB998" s="237"/>
    </row>
    <row r="999">
      <c r="E999" s="133"/>
      <c r="F999" s="237"/>
      <c r="G999" s="237"/>
      <c r="H999" s="131"/>
      <c r="I999" s="131"/>
      <c r="J999" s="131"/>
      <c r="K999" s="131"/>
      <c r="L999" s="131"/>
      <c r="T999" s="237"/>
      <c r="U999" s="237"/>
      <c r="V999" s="237"/>
      <c r="W999" s="237"/>
      <c r="X999" s="237"/>
      <c r="Y999" s="237"/>
      <c r="Z999" s="237"/>
      <c r="AH999" s="237"/>
      <c r="AI999" s="237"/>
      <c r="AJ999" s="237"/>
      <c r="AK999" s="237"/>
      <c r="AL999" s="237"/>
      <c r="AM999" s="237"/>
      <c r="AN999" s="237"/>
      <c r="AV999" s="237"/>
      <c r="AW999" s="237"/>
      <c r="AX999" s="237"/>
      <c r="AY999" s="237"/>
      <c r="AZ999" s="237"/>
      <c r="BA999" s="237"/>
      <c r="BB999" s="237"/>
    </row>
    <row r="1000">
      <c r="E1000" s="133"/>
      <c r="F1000" s="237"/>
      <c r="G1000" s="237"/>
      <c r="H1000" s="131"/>
      <c r="I1000" s="131"/>
      <c r="J1000" s="131"/>
      <c r="K1000" s="131"/>
      <c r="L1000" s="131"/>
      <c r="T1000" s="237"/>
      <c r="U1000" s="237"/>
      <c r="V1000" s="237"/>
      <c r="W1000" s="237"/>
      <c r="X1000" s="237"/>
      <c r="Y1000" s="237"/>
      <c r="Z1000" s="237"/>
      <c r="AH1000" s="237"/>
      <c r="AI1000" s="237"/>
      <c r="AJ1000" s="237"/>
      <c r="AK1000" s="237"/>
      <c r="AL1000" s="237"/>
      <c r="AM1000" s="237"/>
      <c r="AN1000" s="237"/>
      <c r="AV1000" s="237"/>
      <c r="AW1000" s="237"/>
      <c r="AX1000" s="237"/>
      <c r="AY1000" s="237"/>
      <c r="AZ1000" s="237"/>
      <c r="BA1000" s="237"/>
      <c r="BB1000" s="237"/>
    </row>
  </sheetData>
  <mergeCells count="4">
    <mergeCell ref="B2:N4"/>
    <mergeCell ref="P2:AB4"/>
    <mergeCell ref="AD2:AP4"/>
    <mergeCell ref="AR2:BD4"/>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4E95"/>
    <outlinePr summaryBelow="0" summaryRight="0"/>
  </sheetPr>
  <sheetViews>
    <sheetView workbookViewId="0"/>
  </sheetViews>
  <sheetFormatPr customHeight="1" defaultColWidth="12.63" defaultRowHeight="15.75"/>
  <cols>
    <col customWidth="1" min="1" max="1" width="15.75"/>
    <col customWidth="1" min="2" max="2" width="12.38"/>
    <col customWidth="1" min="3" max="3" width="32.63"/>
    <col customWidth="1" min="4" max="4" width="30.0"/>
    <col customWidth="1" min="5" max="5" width="14.88"/>
    <col customWidth="1" min="6" max="7" width="18.5"/>
    <col customWidth="1" min="8" max="8" width="17.25"/>
  </cols>
  <sheetData>
    <row r="1">
      <c r="A1" s="238" t="s">
        <v>2</v>
      </c>
      <c r="B1" s="238" t="s">
        <v>3</v>
      </c>
      <c r="C1" s="238" t="s">
        <v>434</v>
      </c>
      <c r="D1" s="239" t="s">
        <v>435</v>
      </c>
      <c r="E1" s="240" t="s">
        <v>436</v>
      </c>
      <c r="F1" s="238" t="s">
        <v>437</v>
      </c>
      <c r="G1" s="238" t="s">
        <v>438</v>
      </c>
      <c r="H1" s="238" t="s">
        <v>29</v>
      </c>
      <c r="I1" s="241"/>
      <c r="J1" s="241"/>
      <c r="K1" s="241"/>
      <c r="L1" s="241"/>
      <c r="M1" s="241"/>
      <c r="N1" s="241"/>
      <c r="O1" s="241"/>
      <c r="P1" s="241"/>
      <c r="Q1" s="241"/>
      <c r="R1" s="241"/>
      <c r="S1" s="241"/>
      <c r="T1" s="241"/>
      <c r="U1" s="241"/>
      <c r="V1" s="241"/>
      <c r="W1" s="241"/>
      <c r="X1" s="241"/>
      <c r="Y1" s="241"/>
      <c r="Z1" s="241"/>
      <c r="AA1" s="241"/>
      <c r="AB1" s="241"/>
      <c r="AC1" s="241"/>
    </row>
    <row r="2">
      <c r="A2" s="242" t="s">
        <v>86</v>
      </c>
      <c r="B2" s="242" t="s">
        <v>44</v>
      </c>
      <c r="C2" s="242" t="s">
        <v>439</v>
      </c>
      <c r="D2" s="243" t="s">
        <v>440</v>
      </c>
      <c r="E2" s="244">
        <v>4000.0</v>
      </c>
      <c r="F2" s="245">
        <v>0.0</v>
      </c>
      <c r="G2" s="245"/>
      <c r="H2" s="246">
        <f t="shared" ref="H2:H6" si="1">(1-F2)*E2</f>
        <v>4000</v>
      </c>
      <c r="I2" s="247"/>
      <c r="J2" s="247"/>
      <c r="K2" s="247"/>
      <c r="L2" s="247"/>
      <c r="M2" s="247"/>
      <c r="N2" s="247"/>
      <c r="O2" s="247"/>
      <c r="P2" s="247"/>
      <c r="Q2" s="247"/>
      <c r="R2" s="247"/>
      <c r="S2" s="247"/>
      <c r="T2" s="247"/>
      <c r="U2" s="247"/>
      <c r="V2" s="247"/>
      <c r="W2" s="247"/>
      <c r="X2" s="247"/>
      <c r="Y2" s="247"/>
      <c r="Z2" s="247"/>
      <c r="AA2" s="247"/>
      <c r="AB2" s="247"/>
      <c r="AC2" s="247"/>
    </row>
    <row r="3">
      <c r="A3" s="242" t="s">
        <v>134</v>
      </c>
      <c r="B3" s="242" t="s">
        <v>116</v>
      </c>
      <c r="C3" s="242" t="s">
        <v>441</v>
      </c>
      <c r="D3" s="243" t="s">
        <v>442</v>
      </c>
      <c r="E3" s="244">
        <v>36000.0</v>
      </c>
      <c r="F3" s="245">
        <v>0.6</v>
      </c>
      <c r="G3" s="245"/>
      <c r="H3" s="246">
        <f t="shared" si="1"/>
        <v>14400</v>
      </c>
      <c r="I3" s="247"/>
      <c r="J3" s="247"/>
      <c r="K3" s="247"/>
      <c r="L3" s="247"/>
      <c r="M3" s="247"/>
      <c r="N3" s="247"/>
      <c r="O3" s="247"/>
      <c r="P3" s="247"/>
      <c r="Q3" s="247"/>
      <c r="R3" s="247"/>
      <c r="S3" s="247"/>
      <c r="T3" s="247"/>
      <c r="U3" s="247"/>
      <c r="V3" s="247"/>
      <c r="W3" s="247"/>
      <c r="X3" s="247"/>
      <c r="Y3" s="247"/>
      <c r="Z3" s="247"/>
      <c r="AA3" s="247"/>
      <c r="AB3" s="247"/>
      <c r="AC3" s="247"/>
    </row>
    <row r="4">
      <c r="A4" s="242" t="s">
        <v>443</v>
      </c>
      <c r="B4" s="242" t="s">
        <v>44</v>
      </c>
      <c r="C4" s="242" t="s">
        <v>444</v>
      </c>
      <c r="D4" s="243" t="s">
        <v>445</v>
      </c>
      <c r="E4" s="244">
        <v>13050.0</v>
      </c>
      <c r="F4" s="245">
        <f>1/3</f>
        <v>0.3333333333</v>
      </c>
      <c r="G4" s="248"/>
      <c r="H4" s="246">
        <f t="shared" si="1"/>
        <v>8700</v>
      </c>
      <c r="I4" s="247"/>
      <c r="J4" s="247"/>
      <c r="K4" s="247"/>
      <c r="L4" s="247"/>
      <c r="M4" s="247"/>
      <c r="N4" s="247"/>
      <c r="O4" s="247"/>
      <c r="P4" s="247"/>
      <c r="Q4" s="247"/>
      <c r="R4" s="247"/>
      <c r="S4" s="247"/>
      <c r="T4" s="247"/>
      <c r="U4" s="247"/>
      <c r="V4" s="247"/>
      <c r="W4" s="247"/>
      <c r="X4" s="247"/>
      <c r="Y4" s="247"/>
      <c r="Z4" s="247"/>
      <c r="AA4" s="247"/>
      <c r="AB4" s="247"/>
      <c r="AC4" s="247"/>
    </row>
    <row r="5">
      <c r="A5" s="102" t="s">
        <v>446</v>
      </c>
      <c r="B5" s="242" t="s">
        <v>44</v>
      </c>
      <c r="C5" s="242" t="s">
        <v>444</v>
      </c>
      <c r="D5" s="243" t="s">
        <v>445</v>
      </c>
      <c r="E5" s="244">
        <v>5400.0</v>
      </c>
      <c r="F5" s="245">
        <v>0.15</v>
      </c>
      <c r="G5" s="248"/>
      <c r="H5" s="246">
        <f t="shared" si="1"/>
        <v>4590</v>
      </c>
      <c r="I5" s="247"/>
      <c r="J5" s="247"/>
      <c r="K5" s="247"/>
      <c r="L5" s="247"/>
      <c r="M5" s="247"/>
      <c r="N5" s="247"/>
      <c r="O5" s="247"/>
      <c r="P5" s="247"/>
      <c r="Q5" s="247"/>
      <c r="R5" s="247"/>
      <c r="S5" s="247"/>
      <c r="T5" s="247"/>
      <c r="U5" s="247"/>
      <c r="V5" s="247"/>
      <c r="W5" s="247"/>
      <c r="X5" s="247"/>
      <c r="Y5" s="247"/>
      <c r="Z5" s="247"/>
      <c r="AA5" s="247"/>
      <c r="AB5" s="247"/>
      <c r="AC5" s="247"/>
    </row>
    <row r="6">
      <c r="A6" s="102" t="s">
        <v>447</v>
      </c>
      <c r="B6" s="242" t="s">
        <v>44</v>
      </c>
      <c r="C6" s="242" t="s">
        <v>444</v>
      </c>
      <c r="D6" s="243" t="s">
        <v>445</v>
      </c>
      <c r="E6" s="244">
        <v>7380.0</v>
      </c>
      <c r="F6" s="245">
        <v>0.0</v>
      </c>
      <c r="G6" s="248"/>
      <c r="H6" s="246">
        <f t="shared" si="1"/>
        <v>7380</v>
      </c>
      <c r="I6" s="247"/>
      <c r="J6" s="247"/>
      <c r="K6" s="247"/>
      <c r="L6" s="247"/>
      <c r="M6" s="247"/>
      <c r="N6" s="247"/>
      <c r="O6" s="247"/>
      <c r="P6" s="247"/>
      <c r="Q6" s="247"/>
      <c r="R6" s="247"/>
      <c r="S6" s="247"/>
      <c r="T6" s="247"/>
      <c r="U6" s="247"/>
      <c r="V6" s="247"/>
      <c r="W6" s="247"/>
      <c r="X6" s="247"/>
      <c r="Y6" s="247"/>
      <c r="Z6" s="247"/>
      <c r="AA6" s="247"/>
      <c r="AB6" s="247"/>
      <c r="AC6" s="247"/>
    </row>
    <row r="7">
      <c r="A7" s="247"/>
      <c r="B7" s="247"/>
      <c r="C7" s="247"/>
      <c r="D7" s="249"/>
      <c r="E7" s="250"/>
      <c r="F7" s="248"/>
      <c r="G7" s="248"/>
      <c r="H7" s="251"/>
      <c r="I7" s="247"/>
      <c r="J7" s="247"/>
      <c r="K7" s="247"/>
      <c r="L7" s="247"/>
      <c r="M7" s="247"/>
      <c r="N7" s="247"/>
      <c r="O7" s="247"/>
      <c r="P7" s="247"/>
      <c r="Q7" s="247"/>
      <c r="R7" s="247"/>
      <c r="S7" s="247"/>
      <c r="T7" s="247"/>
      <c r="U7" s="247"/>
      <c r="V7" s="247"/>
      <c r="W7" s="247"/>
      <c r="X7" s="247"/>
      <c r="Y7" s="247"/>
      <c r="Z7" s="247"/>
      <c r="AA7" s="247"/>
      <c r="AB7" s="247"/>
      <c r="AC7" s="247"/>
    </row>
    <row r="8">
      <c r="A8" s="247"/>
      <c r="B8" s="247"/>
      <c r="C8" s="247"/>
      <c r="D8" s="249"/>
      <c r="E8" s="250"/>
      <c r="F8" s="248"/>
      <c r="G8" s="248"/>
      <c r="H8" s="251"/>
      <c r="I8" s="247"/>
      <c r="J8" s="247"/>
      <c r="K8" s="247"/>
      <c r="L8" s="247"/>
      <c r="M8" s="247"/>
      <c r="N8" s="247"/>
      <c r="O8" s="247"/>
      <c r="P8" s="247"/>
      <c r="Q8" s="247"/>
      <c r="R8" s="247"/>
      <c r="S8" s="247"/>
      <c r="T8" s="247"/>
      <c r="U8" s="247"/>
      <c r="V8" s="247"/>
      <c r="W8" s="247"/>
      <c r="X8" s="247"/>
      <c r="Y8" s="247"/>
      <c r="Z8" s="247"/>
      <c r="AA8" s="247"/>
      <c r="AB8" s="247"/>
      <c r="AC8" s="247"/>
    </row>
    <row r="9">
      <c r="A9" s="247"/>
      <c r="B9" s="247"/>
      <c r="C9" s="247"/>
      <c r="D9" s="249"/>
      <c r="E9" s="250"/>
      <c r="F9" s="248"/>
      <c r="G9" s="248"/>
      <c r="H9" s="251"/>
      <c r="I9" s="247"/>
      <c r="J9" s="247"/>
      <c r="K9" s="247"/>
      <c r="L9" s="247"/>
      <c r="M9" s="247"/>
      <c r="N9" s="247"/>
      <c r="O9" s="247"/>
      <c r="P9" s="247"/>
      <c r="Q9" s="247"/>
      <c r="R9" s="247"/>
      <c r="S9" s="247"/>
      <c r="T9" s="247"/>
      <c r="U9" s="247"/>
      <c r="V9" s="247"/>
      <c r="W9" s="247"/>
      <c r="X9" s="247"/>
      <c r="Y9" s="247"/>
      <c r="Z9" s="247"/>
      <c r="AA9" s="247"/>
      <c r="AB9" s="247"/>
      <c r="AC9" s="247"/>
    </row>
    <row r="10">
      <c r="A10" s="247"/>
      <c r="B10" s="247"/>
      <c r="C10" s="247"/>
      <c r="D10" s="249"/>
      <c r="E10" s="250"/>
      <c r="F10" s="248"/>
      <c r="G10" s="248"/>
      <c r="H10" s="251"/>
      <c r="I10" s="247"/>
      <c r="J10" s="247"/>
      <c r="K10" s="247"/>
      <c r="L10" s="247"/>
      <c r="M10" s="247"/>
      <c r="N10" s="247"/>
      <c r="O10" s="247"/>
      <c r="P10" s="247"/>
      <c r="Q10" s="247"/>
      <c r="R10" s="247"/>
      <c r="S10" s="247"/>
      <c r="T10" s="247"/>
      <c r="U10" s="247"/>
      <c r="V10" s="247"/>
      <c r="W10" s="247"/>
      <c r="X10" s="247"/>
      <c r="Y10" s="247"/>
      <c r="Z10" s="247"/>
      <c r="AA10" s="247"/>
      <c r="AB10" s="247"/>
      <c r="AC10" s="247"/>
    </row>
    <row r="11">
      <c r="A11" s="247"/>
      <c r="B11" s="247"/>
      <c r="C11" s="247"/>
      <c r="D11" s="249"/>
      <c r="E11" s="250"/>
      <c r="F11" s="248"/>
      <c r="G11" s="248"/>
      <c r="H11" s="251"/>
      <c r="I11" s="247"/>
      <c r="J11" s="247"/>
      <c r="K11" s="247"/>
      <c r="L11" s="247"/>
      <c r="M11" s="247"/>
      <c r="N11" s="247"/>
      <c r="O11" s="247"/>
      <c r="P11" s="247"/>
      <c r="Q11" s="247"/>
      <c r="R11" s="247"/>
      <c r="S11" s="247"/>
      <c r="T11" s="247"/>
      <c r="U11" s="247"/>
      <c r="V11" s="247"/>
      <c r="W11" s="247"/>
      <c r="X11" s="247"/>
      <c r="Y11" s="247"/>
      <c r="Z11" s="247"/>
      <c r="AA11" s="247"/>
      <c r="AB11" s="247"/>
      <c r="AC11" s="247"/>
    </row>
    <row r="12">
      <c r="A12" s="247"/>
      <c r="B12" s="247"/>
      <c r="C12" s="247"/>
      <c r="D12" s="249"/>
      <c r="E12" s="250"/>
      <c r="F12" s="248"/>
      <c r="G12" s="248"/>
      <c r="H12" s="251"/>
      <c r="I12" s="247"/>
      <c r="J12" s="247"/>
      <c r="K12" s="247"/>
      <c r="L12" s="247"/>
      <c r="M12" s="247"/>
      <c r="N12" s="247"/>
      <c r="O12" s="247"/>
      <c r="P12" s="247"/>
      <c r="Q12" s="247"/>
      <c r="R12" s="247"/>
      <c r="S12" s="247"/>
      <c r="T12" s="247"/>
      <c r="U12" s="247"/>
      <c r="V12" s="247"/>
      <c r="W12" s="247"/>
      <c r="X12" s="247"/>
      <c r="Y12" s="247"/>
      <c r="Z12" s="247"/>
      <c r="AA12" s="247"/>
      <c r="AB12" s="247"/>
      <c r="AC12" s="247"/>
    </row>
    <row r="13">
      <c r="A13" s="247"/>
      <c r="B13" s="247"/>
      <c r="C13" s="247"/>
      <c r="D13" s="249"/>
      <c r="E13" s="250"/>
      <c r="F13" s="248"/>
      <c r="G13" s="248"/>
      <c r="H13" s="251"/>
      <c r="I13" s="247"/>
      <c r="J13" s="247"/>
      <c r="K13" s="247"/>
      <c r="L13" s="247"/>
      <c r="M13" s="247"/>
      <c r="N13" s="247"/>
      <c r="O13" s="247"/>
      <c r="P13" s="247"/>
      <c r="Q13" s="247"/>
      <c r="R13" s="247"/>
      <c r="S13" s="247"/>
      <c r="T13" s="247"/>
      <c r="U13" s="247"/>
      <c r="V13" s="247"/>
      <c r="W13" s="247"/>
      <c r="X13" s="247"/>
      <c r="Y13" s="247"/>
      <c r="Z13" s="247"/>
      <c r="AA13" s="247"/>
      <c r="AB13" s="247"/>
      <c r="AC13" s="247"/>
    </row>
    <row r="14">
      <c r="A14" s="247"/>
      <c r="B14" s="247"/>
      <c r="C14" s="247"/>
      <c r="D14" s="249"/>
      <c r="E14" s="250"/>
      <c r="F14" s="248"/>
      <c r="G14" s="248"/>
      <c r="H14" s="251"/>
      <c r="I14" s="247"/>
      <c r="J14" s="247"/>
      <c r="K14" s="247"/>
      <c r="L14" s="247"/>
      <c r="M14" s="247"/>
      <c r="N14" s="247"/>
      <c r="O14" s="247"/>
      <c r="P14" s="247"/>
      <c r="Q14" s="247"/>
      <c r="R14" s="247"/>
      <c r="S14" s="247"/>
      <c r="T14" s="247"/>
      <c r="U14" s="247"/>
      <c r="V14" s="247"/>
      <c r="W14" s="247"/>
      <c r="X14" s="247"/>
      <c r="Y14" s="247"/>
      <c r="Z14" s="247"/>
      <c r="AA14" s="247"/>
      <c r="AB14" s="247"/>
      <c r="AC14" s="247"/>
    </row>
    <row r="15">
      <c r="A15" s="247"/>
      <c r="B15" s="247"/>
      <c r="C15" s="247"/>
      <c r="D15" s="249"/>
      <c r="E15" s="250"/>
      <c r="F15" s="248"/>
      <c r="G15" s="248"/>
      <c r="H15" s="251"/>
      <c r="I15" s="247"/>
      <c r="J15" s="247"/>
      <c r="K15" s="247"/>
      <c r="L15" s="247"/>
      <c r="M15" s="247"/>
      <c r="N15" s="247"/>
      <c r="O15" s="247"/>
      <c r="P15" s="247"/>
      <c r="Q15" s="247"/>
      <c r="R15" s="247"/>
      <c r="S15" s="247"/>
      <c r="T15" s="247"/>
      <c r="U15" s="247"/>
      <c r="V15" s="247"/>
      <c r="W15" s="247"/>
      <c r="X15" s="247"/>
      <c r="Y15" s="247"/>
      <c r="Z15" s="247"/>
      <c r="AA15" s="247"/>
      <c r="AB15" s="247"/>
      <c r="AC15" s="247"/>
    </row>
    <row r="16">
      <c r="A16" s="247"/>
      <c r="B16" s="247"/>
      <c r="C16" s="247"/>
      <c r="D16" s="249"/>
      <c r="E16" s="250"/>
      <c r="F16" s="248"/>
      <c r="G16" s="248"/>
      <c r="H16" s="251"/>
      <c r="I16" s="247"/>
      <c r="J16" s="247"/>
      <c r="K16" s="247"/>
      <c r="L16" s="247"/>
      <c r="M16" s="247"/>
      <c r="N16" s="247"/>
      <c r="O16" s="247"/>
      <c r="P16" s="247"/>
      <c r="Q16" s="247"/>
      <c r="R16" s="247"/>
      <c r="S16" s="247"/>
      <c r="T16" s="247"/>
      <c r="U16" s="247"/>
      <c r="V16" s="247"/>
      <c r="W16" s="247"/>
      <c r="X16" s="247"/>
      <c r="Y16" s="247"/>
      <c r="Z16" s="247"/>
      <c r="AA16" s="247"/>
      <c r="AB16" s="247"/>
      <c r="AC16" s="247"/>
    </row>
    <row r="17">
      <c r="A17" s="247"/>
      <c r="B17" s="247"/>
      <c r="C17" s="247"/>
      <c r="D17" s="249"/>
      <c r="E17" s="250"/>
      <c r="F17" s="248"/>
      <c r="G17" s="248"/>
      <c r="H17" s="251"/>
      <c r="I17" s="247"/>
      <c r="J17" s="247"/>
      <c r="K17" s="247"/>
      <c r="L17" s="247"/>
      <c r="M17" s="247"/>
      <c r="N17" s="247"/>
      <c r="O17" s="247"/>
      <c r="P17" s="247"/>
      <c r="Q17" s="247"/>
      <c r="R17" s="247"/>
      <c r="S17" s="247"/>
      <c r="T17" s="247"/>
      <c r="U17" s="247"/>
      <c r="V17" s="247"/>
      <c r="W17" s="247"/>
      <c r="X17" s="247"/>
      <c r="Y17" s="247"/>
      <c r="Z17" s="247"/>
      <c r="AA17" s="247"/>
      <c r="AB17" s="247"/>
      <c r="AC17" s="247"/>
    </row>
    <row r="18">
      <c r="A18" s="247"/>
      <c r="B18" s="247"/>
      <c r="C18" s="247"/>
      <c r="D18" s="249"/>
      <c r="E18" s="250"/>
      <c r="F18" s="248"/>
      <c r="G18" s="248"/>
      <c r="H18" s="251"/>
      <c r="I18" s="247"/>
      <c r="J18" s="247"/>
      <c r="K18" s="247"/>
      <c r="L18" s="247"/>
      <c r="M18" s="247"/>
      <c r="N18" s="247"/>
      <c r="O18" s="247"/>
      <c r="P18" s="247"/>
      <c r="Q18" s="247"/>
      <c r="R18" s="247"/>
      <c r="S18" s="247"/>
      <c r="T18" s="247"/>
      <c r="U18" s="247"/>
      <c r="V18" s="247"/>
      <c r="W18" s="247"/>
      <c r="X18" s="247"/>
      <c r="Y18" s="247"/>
      <c r="Z18" s="247"/>
      <c r="AA18" s="247"/>
      <c r="AB18" s="247"/>
      <c r="AC18" s="247"/>
    </row>
    <row r="19">
      <c r="A19" s="247"/>
      <c r="B19" s="247"/>
      <c r="C19" s="247"/>
      <c r="D19" s="249"/>
      <c r="E19" s="250"/>
      <c r="F19" s="248"/>
      <c r="G19" s="248"/>
      <c r="H19" s="251"/>
      <c r="I19" s="247"/>
      <c r="J19" s="247"/>
      <c r="K19" s="247"/>
      <c r="L19" s="247"/>
      <c r="M19" s="247"/>
      <c r="N19" s="247"/>
      <c r="O19" s="247"/>
      <c r="P19" s="247"/>
      <c r="Q19" s="247"/>
      <c r="R19" s="247"/>
      <c r="S19" s="247"/>
      <c r="T19" s="247"/>
      <c r="U19" s="247"/>
      <c r="V19" s="247"/>
      <c r="W19" s="247"/>
      <c r="X19" s="247"/>
      <c r="Y19" s="247"/>
      <c r="Z19" s="247"/>
      <c r="AA19" s="247"/>
      <c r="AB19" s="247"/>
      <c r="AC19" s="247"/>
    </row>
    <row r="20">
      <c r="A20" s="247"/>
      <c r="B20" s="247"/>
      <c r="C20" s="247"/>
      <c r="D20" s="249"/>
      <c r="E20" s="250"/>
      <c r="F20" s="248"/>
      <c r="G20" s="248"/>
      <c r="H20" s="251"/>
      <c r="I20" s="247"/>
      <c r="J20" s="247"/>
      <c r="K20" s="247"/>
      <c r="L20" s="247"/>
      <c r="M20" s="247"/>
      <c r="N20" s="247"/>
      <c r="O20" s="247"/>
      <c r="P20" s="247"/>
      <c r="Q20" s="247"/>
      <c r="R20" s="247"/>
      <c r="S20" s="247"/>
      <c r="T20" s="247"/>
      <c r="U20" s="247"/>
      <c r="V20" s="247"/>
      <c r="W20" s="247"/>
      <c r="X20" s="247"/>
      <c r="Y20" s="247"/>
      <c r="Z20" s="247"/>
      <c r="AA20" s="247"/>
      <c r="AB20" s="247"/>
      <c r="AC20" s="247"/>
    </row>
    <row r="21">
      <c r="A21" s="247"/>
      <c r="B21" s="247"/>
      <c r="C21" s="247"/>
      <c r="D21" s="249"/>
      <c r="E21" s="250"/>
      <c r="F21" s="248"/>
      <c r="G21" s="248"/>
      <c r="H21" s="251"/>
      <c r="I21" s="247"/>
      <c r="J21" s="247"/>
      <c r="K21" s="247"/>
      <c r="L21" s="247"/>
      <c r="M21" s="247"/>
      <c r="N21" s="247"/>
      <c r="O21" s="247"/>
      <c r="P21" s="247"/>
      <c r="Q21" s="247"/>
      <c r="R21" s="247"/>
      <c r="S21" s="247"/>
      <c r="T21" s="247"/>
      <c r="U21" s="247"/>
      <c r="V21" s="247"/>
      <c r="W21" s="247"/>
      <c r="X21" s="247"/>
      <c r="Y21" s="247"/>
      <c r="Z21" s="247"/>
      <c r="AA21" s="247"/>
      <c r="AB21" s="247"/>
      <c r="AC21" s="247"/>
    </row>
    <row r="22">
      <c r="A22" s="247"/>
      <c r="B22" s="247"/>
      <c r="C22" s="247"/>
      <c r="D22" s="249"/>
      <c r="E22" s="250"/>
      <c r="F22" s="248"/>
      <c r="G22" s="248"/>
      <c r="H22" s="251"/>
      <c r="I22" s="247"/>
      <c r="J22" s="247"/>
      <c r="K22" s="247"/>
      <c r="L22" s="247"/>
      <c r="M22" s="247"/>
      <c r="N22" s="247"/>
      <c r="O22" s="247"/>
      <c r="P22" s="247"/>
      <c r="Q22" s="247"/>
      <c r="R22" s="247"/>
      <c r="S22" s="247"/>
      <c r="T22" s="247"/>
      <c r="U22" s="247"/>
      <c r="V22" s="247"/>
      <c r="W22" s="247"/>
      <c r="X22" s="247"/>
      <c r="Y22" s="247"/>
      <c r="Z22" s="247"/>
      <c r="AA22" s="247"/>
      <c r="AB22" s="247"/>
      <c r="AC22" s="247"/>
    </row>
    <row r="23">
      <c r="A23" s="247"/>
      <c r="B23" s="247"/>
      <c r="C23" s="247"/>
      <c r="D23" s="249"/>
      <c r="E23" s="250"/>
      <c r="F23" s="248"/>
      <c r="G23" s="248"/>
      <c r="H23" s="251"/>
      <c r="I23" s="247"/>
      <c r="J23" s="247"/>
      <c r="K23" s="247"/>
      <c r="L23" s="247"/>
      <c r="M23" s="247"/>
      <c r="N23" s="247"/>
      <c r="O23" s="247"/>
      <c r="P23" s="247"/>
      <c r="Q23" s="247"/>
      <c r="R23" s="247"/>
      <c r="S23" s="247"/>
      <c r="T23" s="247"/>
      <c r="U23" s="247"/>
      <c r="V23" s="247"/>
      <c r="W23" s="247"/>
      <c r="X23" s="247"/>
      <c r="Y23" s="247"/>
      <c r="Z23" s="247"/>
      <c r="AA23" s="247"/>
      <c r="AB23" s="247"/>
      <c r="AC23" s="247"/>
    </row>
    <row r="24">
      <c r="A24" s="247"/>
      <c r="B24" s="247"/>
      <c r="C24" s="247"/>
      <c r="D24" s="249"/>
      <c r="E24" s="250"/>
      <c r="F24" s="248"/>
      <c r="G24" s="248"/>
      <c r="H24" s="251"/>
      <c r="I24" s="247"/>
      <c r="J24" s="247"/>
      <c r="K24" s="247"/>
      <c r="L24" s="247"/>
      <c r="M24" s="247"/>
      <c r="N24" s="247"/>
      <c r="O24" s="247"/>
      <c r="P24" s="247"/>
      <c r="Q24" s="247"/>
      <c r="R24" s="247"/>
      <c r="S24" s="247"/>
      <c r="T24" s="247"/>
      <c r="U24" s="247"/>
      <c r="V24" s="247"/>
      <c r="W24" s="247"/>
      <c r="X24" s="247"/>
      <c r="Y24" s="247"/>
      <c r="Z24" s="247"/>
      <c r="AA24" s="247"/>
      <c r="AB24" s="247"/>
      <c r="AC24" s="247"/>
    </row>
    <row r="25">
      <c r="A25" s="247"/>
      <c r="B25" s="247"/>
      <c r="C25" s="247"/>
      <c r="D25" s="249"/>
      <c r="E25" s="250"/>
      <c r="F25" s="248"/>
      <c r="G25" s="248"/>
      <c r="H25" s="251"/>
      <c r="I25" s="247"/>
      <c r="J25" s="247"/>
      <c r="K25" s="247"/>
      <c r="L25" s="247"/>
      <c r="M25" s="247"/>
      <c r="N25" s="247"/>
      <c r="O25" s="247"/>
      <c r="P25" s="247"/>
      <c r="Q25" s="247"/>
      <c r="R25" s="247"/>
      <c r="S25" s="247"/>
      <c r="T25" s="247"/>
      <c r="U25" s="247"/>
      <c r="V25" s="247"/>
      <c r="W25" s="247"/>
      <c r="X25" s="247"/>
      <c r="Y25" s="247"/>
      <c r="Z25" s="247"/>
      <c r="AA25" s="247"/>
      <c r="AB25" s="247"/>
      <c r="AC25" s="247"/>
    </row>
    <row r="26">
      <c r="A26" s="247"/>
      <c r="B26" s="247"/>
      <c r="C26" s="247"/>
      <c r="D26" s="249"/>
      <c r="E26" s="250"/>
      <c r="F26" s="248"/>
      <c r="G26" s="248"/>
      <c r="H26" s="251"/>
      <c r="I26" s="247"/>
      <c r="J26" s="247"/>
      <c r="K26" s="247"/>
      <c r="L26" s="247"/>
      <c r="M26" s="247"/>
      <c r="N26" s="247"/>
      <c r="O26" s="247"/>
      <c r="P26" s="247"/>
      <c r="Q26" s="247"/>
      <c r="R26" s="247"/>
      <c r="S26" s="247"/>
      <c r="T26" s="247"/>
      <c r="U26" s="247"/>
      <c r="V26" s="247"/>
      <c r="W26" s="247"/>
      <c r="X26" s="247"/>
      <c r="Y26" s="247"/>
      <c r="Z26" s="247"/>
      <c r="AA26" s="247"/>
      <c r="AB26" s="247"/>
      <c r="AC26" s="247"/>
    </row>
    <row r="27">
      <c r="A27" s="247"/>
      <c r="B27" s="247"/>
      <c r="C27" s="247"/>
      <c r="D27" s="249"/>
      <c r="E27" s="250"/>
      <c r="F27" s="248"/>
      <c r="G27" s="248"/>
      <c r="H27" s="251"/>
      <c r="I27" s="247"/>
      <c r="J27" s="247"/>
      <c r="K27" s="247"/>
      <c r="L27" s="247"/>
      <c r="M27" s="247"/>
      <c r="N27" s="247"/>
      <c r="O27" s="247"/>
      <c r="P27" s="247"/>
      <c r="Q27" s="247"/>
      <c r="R27" s="247"/>
      <c r="S27" s="247"/>
      <c r="T27" s="247"/>
      <c r="U27" s="247"/>
      <c r="V27" s="247"/>
      <c r="W27" s="247"/>
      <c r="X27" s="247"/>
      <c r="Y27" s="247"/>
      <c r="Z27" s="247"/>
      <c r="AA27" s="247"/>
      <c r="AB27" s="247"/>
      <c r="AC27" s="247"/>
    </row>
    <row r="28">
      <c r="A28" s="247"/>
      <c r="B28" s="247"/>
      <c r="C28" s="247"/>
      <c r="D28" s="249"/>
      <c r="E28" s="250"/>
      <c r="F28" s="248"/>
      <c r="G28" s="248"/>
      <c r="H28" s="251"/>
      <c r="I28" s="247"/>
      <c r="J28" s="247"/>
      <c r="K28" s="247"/>
      <c r="L28" s="247"/>
      <c r="M28" s="247"/>
      <c r="N28" s="247"/>
      <c r="O28" s="247"/>
      <c r="P28" s="247"/>
      <c r="Q28" s="247"/>
      <c r="R28" s="247"/>
      <c r="S28" s="247"/>
      <c r="T28" s="247"/>
      <c r="U28" s="247"/>
      <c r="V28" s="247"/>
      <c r="W28" s="247"/>
      <c r="X28" s="247"/>
      <c r="Y28" s="247"/>
      <c r="Z28" s="247"/>
      <c r="AA28" s="247"/>
      <c r="AB28" s="247"/>
      <c r="AC28" s="247"/>
    </row>
    <row r="29">
      <c r="A29" s="247"/>
      <c r="B29" s="247"/>
      <c r="C29" s="247"/>
      <c r="D29" s="249"/>
      <c r="E29" s="250"/>
      <c r="F29" s="248"/>
      <c r="G29" s="248"/>
      <c r="H29" s="251"/>
      <c r="I29" s="247"/>
      <c r="J29" s="247"/>
      <c r="K29" s="247"/>
      <c r="L29" s="247"/>
      <c r="M29" s="247"/>
      <c r="N29" s="247"/>
      <c r="O29" s="247"/>
      <c r="P29" s="247"/>
      <c r="Q29" s="247"/>
      <c r="R29" s="247"/>
      <c r="S29" s="247"/>
      <c r="T29" s="247"/>
      <c r="U29" s="247"/>
      <c r="V29" s="247"/>
      <c r="W29" s="247"/>
      <c r="X29" s="247"/>
      <c r="Y29" s="247"/>
      <c r="Z29" s="247"/>
      <c r="AA29" s="247"/>
      <c r="AB29" s="247"/>
      <c r="AC29" s="247"/>
    </row>
    <row r="30">
      <c r="A30" s="247"/>
      <c r="B30" s="247"/>
      <c r="C30" s="247"/>
      <c r="D30" s="249"/>
      <c r="E30" s="250"/>
      <c r="F30" s="248"/>
      <c r="G30" s="248"/>
      <c r="H30" s="251"/>
      <c r="I30" s="247"/>
      <c r="J30" s="247"/>
      <c r="K30" s="247"/>
      <c r="L30" s="247"/>
      <c r="M30" s="247"/>
      <c r="N30" s="247"/>
      <c r="O30" s="247"/>
      <c r="P30" s="247"/>
      <c r="Q30" s="247"/>
      <c r="R30" s="247"/>
      <c r="S30" s="247"/>
      <c r="T30" s="247"/>
      <c r="U30" s="247"/>
      <c r="V30" s="247"/>
      <c r="W30" s="247"/>
      <c r="X30" s="247"/>
      <c r="Y30" s="247"/>
      <c r="Z30" s="247"/>
      <c r="AA30" s="247"/>
      <c r="AB30" s="247"/>
      <c r="AC30" s="247"/>
    </row>
    <row r="31">
      <c r="A31" s="247"/>
      <c r="B31" s="247"/>
      <c r="C31" s="247"/>
      <c r="D31" s="249"/>
      <c r="E31" s="250"/>
      <c r="F31" s="248"/>
      <c r="G31" s="248"/>
      <c r="H31" s="251"/>
      <c r="I31" s="247"/>
      <c r="J31" s="247"/>
      <c r="K31" s="247"/>
      <c r="L31" s="247"/>
      <c r="M31" s="247"/>
      <c r="N31" s="247"/>
      <c r="O31" s="247"/>
      <c r="P31" s="247"/>
      <c r="Q31" s="247"/>
      <c r="R31" s="247"/>
      <c r="S31" s="247"/>
      <c r="T31" s="247"/>
      <c r="U31" s="247"/>
      <c r="V31" s="247"/>
      <c r="W31" s="247"/>
      <c r="X31" s="247"/>
      <c r="Y31" s="247"/>
      <c r="Z31" s="247"/>
      <c r="AA31" s="247"/>
      <c r="AB31" s="247"/>
      <c r="AC31" s="247"/>
    </row>
    <row r="32">
      <c r="A32" s="247"/>
      <c r="B32" s="247"/>
      <c r="C32" s="247"/>
      <c r="D32" s="249"/>
      <c r="E32" s="250"/>
      <c r="F32" s="248"/>
      <c r="G32" s="248"/>
      <c r="H32" s="251"/>
      <c r="I32" s="247"/>
      <c r="J32" s="247"/>
      <c r="K32" s="247"/>
      <c r="L32" s="247"/>
      <c r="M32" s="247"/>
      <c r="N32" s="247"/>
      <c r="O32" s="247"/>
      <c r="P32" s="247"/>
      <c r="Q32" s="247"/>
      <c r="R32" s="247"/>
      <c r="S32" s="247"/>
      <c r="T32" s="247"/>
      <c r="U32" s="247"/>
      <c r="V32" s="247"/>
      <c r="W32" s="247"/>
      <c r="X32" s="247"/>
      <c r="Y32" s="247"/>
      <c r="Z32" s="247"/>
      <c r="AA32" s="247"/>
      <c r="AB32" s="247"/>
      <c r="AC32" s="247"/>
    </row>
    <row r="33">
      <c r="A33" s="247"/>
      <c r="B33" s="247"/>
      <c r="C33" s="247"/>
      <c r="D33" s="249"/>
      <c r="E33" s="250"/>
      <c r="F33" s="248"/>
      <c r="G33" s="248"/>
      <c r="H33" s="251"/>
      <c r="I33" s="247"/>
      <c r="J33" s="247"/>
      <c r="K33" s="247"/>
      <c r="L33" s="247"/>
      <c r="M33" s="247"/>
      <c r="N33" s="247"/>
      <c r="O33" s="247"/>
      <c r="P33" s="247"/>
      <c r="Q33" s="247"/>
      <c r="R33" s="247"/>
      <c r="S33" s="247"/>
      <c r="T33" s="247"/>
      <c r="U33" s="247"/>
      <c r="V33" s="247"/>
      <c r="W33" s="247"/>
      <c r="X33" s="247"/>
      <c r="Y33" s="247"/>
      <c r="Z33" s="247"/>
      <c r="AA33" s="247"/>
      <c r="AB33" s="247"/>
      <c r="AC33" s="247"/>
    </row>
    <row r="34">
      <c r="A34" s="247"/>
      <c r="B34" s="247"/>
      <c r="C34" s="247"/>
      <c r="D34" s="249"/>
      <c r="E34" s="250"/>
      <c r="F34" s="248"/>
      <c r="G34" s="248"/>
      <c r="H34" s="251"/>
      <c r="I34" s="247"/>
      <c r="J34" s="247"/>
      <c r="K34" s="247"/>
      <c r="L34" s="247"/>
      <c r="M34" s="247"/>
      <c r="N34" s="247"/>
      <c r="O34" s="247"/>
      <c r="P34" s="247"/>
      <c r="Q34" s="247"/>
      <c r="R34" s="247"/>
      <c r="S34" s="247"/>
      <c r="T34" s="247"/>
      <c r="U34" s="247"/>
      <c r="V34" s="247"/>
      <c r="W34" s="247"/>
      <c r="X34" s="247"/>
      <c r="Y34" s="247"/>
      <c r="Z34" s="247"/>
      <c r="AA34" s="247"/>
      <c r="AB34" s="247"/>
      <c r="AC34" s="247"/>
    </row>
    <row r="35">
      <c r="A35" s="247"/>
      <c r="B35" s="247"/>
      <c r="C35" s="247"/>
      <c r="D35" s="249"/>
      <c r="E35" s="250"/>
      <c r="F35" s="248"/>
      <c r="G35" s="248"/>
      <c r="H35" s="251"/>
      <c r="I35" s="247"/>
      <c r="J35" s="247"/>
      <c r="K35" s="247"/>
      <c r="L35" s="247"/>
      <c r="M35" s="247"/>
      <c r="N35" s="247"/>
      <c r="O35" s="247"/>
      <c r="P35" s="247"/>
      <c r="Q35" s="247"/>
      <c r="R35" s="247"/>
      <c r="S35" s="247"/>
      <c r="T35" s="247"/>
      <c r="U35" s="247"/>
      <c r="V35" s="247"/>
      <c r="W35" s="247"/>
      <c r="X35" s="247"/>
      <c r="Y35" s="247"/>
      <c r="Z35" s="247"/>
      <c r="AA35" s="247"/>
      <c r="AB35" s="247"/>
      <c r="AC35" s="247"/>
    </row>
    <row r="36">
      <c r="A36" s="247"/>
      <c r="B36" s="247"/>
      <c r="C36" s="247"/>
      <c r="D36" s="249"/>
      <c r="E36" s="250"/>
      <c r="F36" s="248"/>
      <c r="G36" s="248"/>
      <c r="H36" s="251"/>
      <c r="I36" s="247"/>
      <c r="J36" s="247"/>
      <c r="K36" s="247"/>
      <c r="L36" s="247"/>
      <c r="M36" s="247"/>
      <c r="N36" s="247"/>
      <c r="O36" s="247"/>
      <c r="P36" s="247"/>
      <c r="Q36" s="247"/>
      <c r="R36" s="247"/>
      <c r="S36" s="247"/>
      <c r="T36" s="247"/>
      <c r="U36" s="247"/>
      <c r="V36" s="247"/>
      <c r="W36" s="247"/>
      <c r="X36" s="247"/>
      <c r="Y36" s="247"/>
      <c r="Z36" s="247"/>
      <c r="AA36" s="247"/>
      <c r="AB36" s="247"/>
      <c r="AC36" s="247"/>
    </row>
    <row r="37">
      <c r="A37" s="247"/>
      <c r="B37" s="247"/>
      <c r="C37" s="247"/>
      <c r="D37" s="249"/>
      <c r="E37" s="250"/>
      <c r="F37" s="248"/>
      <c r="G37" s="248"/>
      <c r="H37" s="251"/>
      <c r="I37" s="247"/>
      <c r="J37" s="247"/>
      <c r="K37" s="247"/>
      <c r="L37" s="247"/>
      <c r="M37" s="247"/>
      <c r="N37" s="247"/>
      <c r="O37" s="247"/>
      <c r="P37" s="247"/>
      <c r="Q37" s="247"/>
      <c r="R37" s="247"/>
      <c r="S37" s="247"/>
      <c r="T37" s="247"/>
      <c r="U37" s="247"/>
      <c r="V37" s="247"/>
      <c r="W37" s="247"/>
      <c r="X37" s="247"/>
      <c r="Y37" s="247"/>
      <c r="Z37" s="247"/>
      <c r="AA37" s="247"/>
      <c r="AB37" s="247"/>
      <c r="AC37" s="247"/>
    </row>
    <row r="38">
      <c r="A38" s="247"/>
      <c r="B38" s="247"/>
      <c r="C38" s="247"/>
      <c r="D38" s="249"/>
      <c r="E38" s="250"/>
      <c r="F38" s="248"/>
      <c r="G38" s="248"/>
      <c r="H38" s="251"/>
      <c r="I38" s="247"/>
      <c r="J38" s="247"/>
      <c r="K38" s="247"/>
      <c r="L38" s="247"/>
      <c r="M38" s="247"/>
      <c r="N38" s="247"/>
      <c r="O38" s="247"/>
      <c r="P38" s="247"/>
      <c r="Q38" s="247"/>
      <c r="R38" s="247"/>
      <c r="S38" s="247"/>
      <c r="T38" s="247"/>
      <c r="U38" s="247"/>
      <c r="V38" s="247"/>
      <c r="W38" s="247"/>
      <c r="X38" s="247"/>
      <c r="Y38" s="247"/>
      <c r="Z38" s="247"/>
      <c r="AA38" s="247"/>
      <c r="AB38" s="247"/>
      <c r="AC38" s="247"/>
    </row>
    <row r="39">
      <c r="A39" s="247"/>
      <c r="B39" s="247"/>
      <c r="C39" s="247"/>
      <c r="D39" s="249"/>
      <c r="E39" s="250"/>
      <c r="F39" s="248"/>
      <c r="G39" s="248"/>
      <c r="H39" s="251"/>
      <c r="I39" s="247"/>
      <c r="J39" s="247"/>
      <c r="K39" s="247"/>
      <c r="L39" s="247"/>
      <c r="M39" s="247"/>
      <c r="N39" s="247"/>
      <c r="O39" s="247"/>
      <c r="P39" s="247"/>
      <c r="Q39" s="247"/>
      <c r="R39" s="247"/>
      <c r="S39" s="247"/>
      <c r="T39" s="247"/>
      <c r="U39" s="247"/>
      <c r="V39" s="247"/>
      <c r="W39" s="247"/>
      <c r="X39" s="247"/>
      <c r="Y39" s="247"/>
      <c r="Z39" s="247"/>
      <c r="AA39" s="247"/>
      <c r="AB39" s="247"/>
      <c r="AC39" s="247"/>
    </row>
    <row r="40">
      <c r="A40" s="247"/>
      <c r="B40" s="247"/>
      <c r="C40" s="247"/>
      <c r="D40" s="249"/>
      <c r="E40" s="250"/>
      <c r="F40" s="248"/>
      <c r="G40" s="248"/>
      <c r="H40" s="251"/>
      <c r="I40" s="247"/>
      <c r="J40" s="247"/>
      <c r="K40" s="247"/>
      <c r="L40" s="247"/>
      <c r="M40" s="247"/>
      <c r="N40" s="247"/>
      <c r="O40" s="247"/>
      <c r="P40" s="247"/>
      <c r="Q40" s="247"/>
      <c r="R40" s="247"/>
      <c r="S40" s="247"/>
      <c r="T40" s="247"/>
      <c r="U40" s="247"/>
      <c r="V40" s="247"/>
      <c r="W40" s="247"/>
      <c r="X40" s="247"/>
      <c r="Y40" s="247"/>
      <c r="Z40" s="247"/>
      <c r="AA40" s="247"/>
      <c r="AB40" s="247"/>
      <c r="AC40" s="247"/>
    </row>
    <row r="41">
      <c r="A41" s="247"/>
      <c r="B41" s="247"/>
      <c r="C41" s="247"/>
      <c r="D41" s="249"/>
      <c r="E41" s="250"/>
      <c r="F41" s="248"/>
      <c r="G41" s="248"/>
      <c r="H41" s="251"/>
      <c r="I41" s="247"/>
      <c r="J41" s="247"/>
      <c r="K41" s="247"/>
      <c r="L41" s="247"/>
      <c r="M41" s="247"/>
      <c r="N41" s="247"/>
      <c r="O41" s="247"/>
      <c r="P41" s="247"/>
      <c r="Q41" s="247"/>
      <c r="R41" s="247"/>
      <c r="S41" s="247"/>
      <c r="T41" s="247"/>
      <c r="U41" s="247"/>
      <c r="V41" s="247"/>
      <c r="W41" s="247"/>
      <c r="X41" s="247"/>
      <c r="Y41" s="247"/>
      <c r="Z41" s="247"/>
      <c r="AA41" s="247"/>
      <c r="AB41" s="247"/>
      <c r="AC41" s="247"/>
    </row>
    <row r="42">
      <c r="A42" s="247"/>
      <c r="B42" s="247"/>
      <c r="C42" s="247"/>
      <c r="D42" s="249"/>
      <c r="E42" s="250"/>
      <c r="F42" s="248"/>
      <c r="G42" s="248"/>
      <c r="H42" s="251"/>
      <c r="I42" s="247"/>
      <c r="J42" s="247"/>
      <c r="K42" s="247"/>
      <c r="L42" s="247"/>
      <c r="M42" s="247"/>
      <c r="N42" s="247"/>
      <c r="O42" s="247"/>
      <c r="P42" s="247"/>
      <c r="Q42" s="247"/>
      <c r="R42" s="247"/>
      <c r="S42" s="247"/>
      <c r="T42" s="247"/>
      <c r="U42" s="247"/>
      <c r="V42" s="247"/>
      <c r="W42" s="247"/>
      <c r="X42" s="247"/>
      <c r="Y42" s="247"/>
      <c r="Z42" s="247"/>
      <c r="AA42" s="247"/>
      <c r="AB42" s="247"/>
      <c r="AC42" s="247"/>
    </row>
    <row r="43">
      <c r="A43" s="247"/>
      <c r="B43" s="247"/>
      <c r="C43" s="247"/>
      <c r="D43" s="249"/>
      <c r="E43" s="250"/>
      <c r="F43" s="248"/>
      <c r="G43" s="248"/>
      <c r="H43" s="251"/>
      <c r="I43" s="247"/>
      <c r="J43" s="247"/>
      <c r="K43" s="247"/>
      <c r="L43" s="247"/>
      <c r="M43" s="247"/>
      <c r="N43" s="247"/>
      <c r="O43" s="247"/>
      <c r="P43" s="247"/>
      <c r="Q43" s="247"/>
      <c r="R43" s="247"/>
      <c r="S43" s="247"/>
      <c r="T43" s="247"/>
      <c r="U43" s="247"/>
      <c r="V43" s="247"/>
      <c r="W43" s="247"/>
      <c r="X43" s="247"/>
      <c r="Y43" s="247"/>
      <c r="Z43" s="247"/>
      <c r="AA43" s="247"/>
      <c r="AB43" s="247"/>
      <c r="AC43" s="247"/>
    </row>
    <row r="44">
      <c r="A44" s="247"/>
      <c r="B44" s="247"/>
      <c r="C44" s="247"/>
      <c r="D44" s="249"/>
      <c r="E44" s="250"/>
      <c r="F44" s="248"/>
      <c r="G44" s="248"/>
      <c r="H44" s="251"/>
      <c r="I44" s="247"/>
      <c r="J44" s="247"/>
      <c r="K44" s="247"/>
      <c r="L44" s="247"/>
      <c r="M44" s="247"/>
      <c r="N44" s="247"/>
      <c r="O44" s="247"/>
      <c r="P44" s="247"/>
      <c r="Q44" s="247"/>
      <c r="R44" s="247"/>
      <c r="S44" s="247"/>
      <c r="T44" s="247"/>
      <c r="U44" s="247"/>
      <c r="V44" s="247"/>
      <c r="W44" s="247"/>
      <c r="X44" s="247"/>
      <c r="Y44" s="247"/>
      <c r="Z44" s="247"/>
      <c r="AA44" s="247"/>
      <c r="AB44" s="247"/>
      <c r="AC44" s="247"/>
    </row>
    <row r="45">
      <c r="A45" s="247"/>
      <c r="B45" s="247"/>
      <c r="C45" s="247"/>
      <c r="D45" s="249"/>
      <c r="E45" s="250"/>
      <c r="F45" s="248"/>
      <c r="G45" s="248"/>
      <c r="H45" s="251"/>
      <c r="I45" s="247"/>
      <c r="J45" s="247"/>
      <c r="K45" s="247"/>
      <c r="L45" s="247"/>
      <c r="M45" s="247"/>
      <c r="N45" s="247"/>
      <c r="O45" s="247"/>
      <c r="P45" s="247"/>
      <c r="Q45" s="247"/>
      <c r="R45" s="247"/>
      <c r="S45" s="247"/>
      <c r="T45" s="247"/>
      <c r="U45" s="247"/>
      <c r="V45" s="247"/>
      <c r="W45" s="247"/>
      <c r="X45" s="247"/>
      <c r="Y45" s="247"/>
      <c r="Z45" s="247"/>
      <c r="AA45" s="247"/>
      <c r="AB45" s="247"/>
      <c r="AC45" s="247"/>
    </row>
    <row r="46">
      <c r="A46" s="247"/>
      <c r="B46" s="247"/>
      <c r="C46" s="247"/>
      <c r="D46" s="249"/>
      <c r="E46" s="250"/>
      <c r="F46" s="248"/>
      <c r="G46" s="248"/>
      <c r="H46" s="251"/>
      <c r="I46" s="247"/>
      <c r="J46" s="247"/>
      <c r="K46" s="247"/>
      <c r="L46" s="247"/>
      <c r="M46" s="247"/>
      <c r="N46" s="247"/>
      <c r="O46" s="247"/>
      <c r="P46" s="247"/>
      <c r="Q46" s="247"/>
      <c r="R46" s="247"/>
      <c r="S46" s="247"/>
      <c r="T46" s="247"/>
      <c r="U46" s="247"/>
      <c r="V46" s="247"/>
      <c r="W46" s="247"/>
      <c r="X46" s="247"/>
      <c r="Y46" s="247"/>
      <c r="Z46" s="247"/>
      <c r="AA46" s="247"/>
      <c r="AB46" s="247"/>
      <c r="AC46" s="247"/>
    </row>
    <row r="47">
      <c r="A47" s="247"/>
      <c r="B47" s="247"/>
      <c r="C47" s="247"/>
      <c r="D47" s="249"/>
      <c r="E47" s="250"/>
      <c r="F47" s="248"/>
      <c r="G47" s="248"/>
      <c r="H47" s="251"/>
      <c r="I47" s="247"/>
      <c r="J47" s="247"/>
      <c r="K47" s="247"/>
      <c r="L47" s="247"/>
      <c r="M47" s="247"/>
      <c r="N47" s="247"/>
      <c r="O47" s="247"/>
      <c r="P47" s="247"/>
      <c r="Q47" s="247"/>
      <c r="R47" s="247"/>
      <c r="S47" s="247"/>
      <c r="T47" s="247"/>
      <c r="U47" s="247"/>
      <c r="V47" s="247"/>
      <c r="W47" s="247"/>
      <c r="X47" s="247"/>
      <c r="Y47" s="247"/>
      <c r="Z47" s="247"/>
      <c r="AA47" s="247"/>
      <c r="AB47" s="247"/>
      <c r="AC47" s="247"/>
    </row>
    <row r="48">
      <c r="A48" s="247"/>
      <c r="B48" s="247"/>
      <c r="C48" s="247"/>
      <c r="D48" s="249"/>
      <c r="E48" s="250"/>
      <c r="F48" s="248"/>
      <c r="G48" s="248"/>
      <c r="H48" s="251"/>
      <c r="I48" s="247"/>
      <c r="J48" s="247"/>
      <c r="K48" s="247"/>
      <c r="L48" s="247"/>
      <c r="M48" s="247"/>
      <c r="N48" s="247"/>
      <c r="O48" s="247"/>
      <c r="P48" s="247"/>
      <c r="Q48" s="247"/>
      <c r="R48" s="247"/>
      <c r="S48" s="247"/>
      <c r="T48" s="247"/>
      <c r="U48" s="247"/>
      <c r="V48" s="247"/>
      <c r="W48" s="247"/>
      <c r="X48" s="247"/>
      <c r="Y48" s="247"/>
      <c r="Z48" s="247"/>
      <c r="AA48" s="247"/>
      <c r="AB48" s="247"/>
      <c r="AC48" s="247"/>
    </row>
    <row r="49">
      <c r="A49" s="247"/>
      <c r="B49" s="247"/>
      <c r="C49" s="247"/>
      <c r="D49" s="249"/>
      <c r="E49" s="250"/>
      <c r="F49" s="248"/>
      <c r="G49" s="248"/>
      <c r="H49" s="251"/>
      <c r="I49" s="247"/>
      <c r="J49" s="247"/>
      <c r="K49" s="247"/>
      <c r="L49" s="247"/>
      <c r="M49" s="247"/>
      <c r="N49" s="247"/>
      <c r="O49" s="247"/>
      <c r="P49" s="247"/>
      <c r="Q49" s="247"/>
      <c r="R49" s="247"/>
      <c r="S49" s="247"/>
      <c r="T49" s="247"/>
      <c r="U49" s="247"/>
      <c r="V49" s="247"/>
      <c r="W49" s="247"/>
      <c r="X49" s="247"/>
      <c r="Y49" s="247"/>
      <c r="Z49" s="247"/>
      <c r="AA49" s="247"/>
      <c r="AB49" s="247"/>
      <c r="AC49" s="247"/>
    </row>
    <row r="50">
      <c r="A50" s="247"/>
      <c r="B50" s="247"/>
      <c r="C50" s="247"/>
      <c r="D50" s="249"/>
      <c r="E50" s="250"/>
      <c r="F50" s="248"/>
      <c r="G50" s="248"/>
      <c r="H50" s="251"/>
      <c r="I50" s="247"/>
      <c r="J50" s="247"/>
      <c r="K50" s="247"/>
      <c r="L50" s="247"/>
      <c r="M50" s="247"/>
      <c r="N50" s="247"/>
      <c r="O50" s="247"/>
      <c r="P50" s="247"/>
      <c r="Q50" s="247"/>
      <c r="R50" s="247"/>
      <c r="S50" s="247"/>
      <c r="T50" s="247"/>
      <c r="U50" s="247"/>
      <c r="V50" s="247"/>
      <c r="W50" s="247"/>
      <c r="X50" s="247"/>
      <c r="Y50" s="247"/>
      <c r="Z50" s="247"/>
      <c r="AA50" s="247"/>
      <c r="AB50" s="247"/>
      <c r="AC50" s="247"/>
    </row>
    <row r="51">
      <c r="A51" s="247"/>
      <c r="B51" s="247"/>
      <c r="C51" s="247"/>
      <c r="D51" s="249"/>
      <c r="E51" s="250"/>
      <c r="F51" s="248"/>
      <c r="G51" s="248"/>
      <c r="H51" s="251"/>
      <c r="I51" s="247"/>
      <c r="J51" s="247"/>
      <c r="K51" s="247"/>
      <c r="L51" s="247"/>
      <c r="M51" s="247"/>
      <c r="N51" s="247"/>
      <c r="O51" s="247"/>
      <c r="P51" s="247"/>
      <c r="Q51" s="247"/>
      <c r="R51" s="247"/>
      <c r="S51" s="247"/>
      <c r="T51" s="247"/>
      <c r="U51" s="247"/>
      <c r="V51" s="247"/>
      <c r="W51" s="247"/>
      <c r="X51" s="247"/>
      <c r="Y51" s="247"/>
      <c r="Z51" s="247"/>
      <c r="AA51" s="247"/>
      <c r="AB51" s="247"/>
      <c r="AC51" s="247"/>
    </row>
    <row r="52">
      <c r="A52" s="247"/>
      <c r="B52" s="247"/>
      <c r="C52" s="247"/>
      <c r="D52" s="249"/>
      <c r="E52" s="250"/>
      <c r="F52" s="248"/>
      <c r="G52" s="248"/>
      <c r="H52" s="251"/>
      <c r="I52" s="247"/>
      <c r="J52" s="247"/>
      <c r="K52" s="247"/>
      <c r="L52" s="247"/>
      <c r="M52" s="247"/>
      <c r="N52" s="247"/>
      <c r="O52" s="247"/>
      <c r="P52" s="247"/>
      <c r="Q52" s="247"/>
      <c r="R52" s="247"/>
      <c r="S52" s="247"/>
      <c r="T52" s="247"/>
      <c r="U52" s="247"/>
      <c r="V52" s="247"/>
      <c r="W52" s="247"/>
      <c r="X52" s="247"/>
      <c r="Y52" s="247"/>
      <c r="Z52" s="247"/>
      <c r="AA52" s="247"/>
      <c r="AB52" s="247"/>
      <c r="AC52" s="247"/>
    </row>
    <row r="53">
      <c r="A53" s="247"/>
      <c r="B53" s="247"/>
      <c r="C53" s="247"/>
      <c r="D53" s="249"/>
      <c r="E53" s="250"/>
      <c r="F53" s="248"/>
      <c r="G53" s="248"/>
      <c r="H53" s="251"/>
      <c r="I53" s="247"/>
      <c r="J53" s="247"/>
      <c r="K53" s="247"/>
      <c r="L53" s="247"/>
      <c r="M53" s="247"/>
      <c r="N53" s="247"/>
      <c r="O53" s="247"/>
      <c r="P53" s="247"/>
      <c r="Q53" s="247"/>
      <c r="R53" s="247"/>
      <c r="S53" s="247"/>
      <c r="T53" s="247"/>
      <c r="U53" s="247"/>
      <c r="V53" s="247"/>
      <c r="W53" s="247"/>
      <c r="X53" s="247"/>
      <c r="Y53" s="247"/>
      <c r="Z53" s="247"/>
      <c r="AA53" s="247"/>
      <c r="AB53" s="247"/>
      <c r="AC53" s="247"/>
    </row>
    <row r="54">
      <c r="A54" s="247"/>
      <c r="B54" s="247"/>
      <c r="C54" s="247"/>
      <c r="D54" s="249"/>
      <c r="E54" s="250"/>
      <c r="F54" s="248"/>
      <c r="G54" s="248"/>
      <c r="H54" s="251"/>
      <c r="I54" s="247"/>
      <c r="J54" s="247"/>
      <c r="K54" s="247"/>
      <c r="L54" s="247"/>
      <c r="M54" s="247"/>
      <c r="N54" s="247"/>
      <c r="O54" s="247"/>
      <c r="P54" s="247"/>
      <c r="Q54" s="247"/>
      <c r="R54" s="247"/>
      <c r="S54" s="247"/>
      <c r="T54" s="247"/>
      <c r="U54" s="247"/>
      <c r="V54" s="247"/>
      <c r="W54" s="247"/>
      <c r="X54" s="247"/>
      <c r="Y54" s="247"/>
      <c r="Z54" s="247"/>
      <c r="AA54" s="247"/>
      <c r="AB54" s="247"/>
      <c r="AC54" s="247"/>
    </row>
    <row r="55">
      <c r="A55" s="247"/>
      <c r="B55" s="247"/>
      <c r="C55" s="247"/>
      <c r="D55" s="249"/>
      <c r="E55" s="250"/>
      <c r="F55" s="248"/>
      <c r="G55" s="248"/>
      <c r="H55" s="251"/>
      <c r="I55" s="247"/>
      <c r="J55" s="247"/>
      <c r="K55" s="247"/>
      <c r="L55" s="247"/>
      <c r="M55" s="247"/>
      <c r="N55" s="247"/>
      <c r="O55" s="247"/>
      <c r="P55" s="247"/>
      <c r="Q55" s="247"/>
      <c r="R55" s="247"/>
      <c r="S55" s="247"/>
      <c r="T55" s="247"/>
      <c r="U55" s="247"/>
      <c r="V55" s="247"/>
      <c r="W55" s="247"/>
      <c r="X55" s="247"/>
      <c r="Y55" s="247"/>
      <c r="Z55" s="247"/>
      <c r="AA55" s="247"/>
      <c r="AB55" s="247"/>
      <c r="AC55" s="247"/>
    </row>
    <row r="56">
      <c r="A56" s="247"/>
      <c r="B56" s="247"/>
      <c r="C56" s="247"/>
      <c r="D56" s="249"/>
      <c r="E56" s="250"/>
      <c r="F56" s="248"/>
      <c r="G56" s="248"/>
      <c r="H56" s="251"/>
      <c r="I56" s="247"/>
      <c r="J56" s="247"/>
      <c r="K56" s="247"/>
      <c r="L56" s="247"/>
      <c r="M56" s="247"/>
      <c r="N56" s="247"/>
      <c r="O56" s="247"/>
      <c r="P56" s="247"/>
      <c r="Q56" s="247"/>
      <c r="R56" s="247"/>
      <c r="S56" s="247"/>
      <c r="T56" s="247"/>
      <c r="U56" s="247"/>
      <c r="V56" s="247"/>
      <c r="W56" s="247"/>
      <c r="X56" s="247"/>
      <c r="Y56" s="247"/>
      <c r="Z56" s="247"/>
      <c r="AA56" s="247"/>
      <c r="AB56" s="247"/>
      <c r="AC56" s="247"/>
    </row>
    <row r="57">
      <c r="A57" s="247"/>
      <c r="B57" s="247"/>
      <c r="C57" s="247"/>
      <c r="D57" s="249"/>
      <c r="E57" s="250"/>
      <c r="F57" s="248"/>
      <c r="G57" s="248"/>
      <c r="H57" s="251"/>
      <c r="I57" s="247"/>
      <c r="J57" s="247"/>
      <c r="K57" s="247"/>
      <c r="L57" s="247"/>
      <c r="M57" s="247"/>
      <c r="N57" s="247"/>
      <c r="O57" s="247"/>
      <c r="P57" s="247"/>
      <c r="Q57" s="247"/>
      <c r="R57" s="247"/>
      <c r="S57" s="247"/>
      <c r="T57" s="247"/>
      <c r="U57" s="247"/>
      <c r="V57" s="247"/>
      <c r="W57" s="247"/>
      <c r="X57" s="247"/>
      <c r="Y57" s="247"/>
      <c r="Z57" s="247"/>
      <c r="AA57" s="247"/>
      <c r="AB57" s="247"/>
      <c r="AC57" s="247"/>
    </row>
    <row r="58">
      <c r="A58" s="247"/>
      <c r="B58" s="247"/>
      <c r="C58" s="247"/>
      <c r="D58" s="249"/>
      <c r="E58" s="250"/>
      <c r="F58" s="248"/>
      <c r="G58" s="248"/>
      <c r="H58" s="251"/>
      <c r="I58" s="247"/>
      <c r="J58" s="247"/>
      <c r="K58" s="247"/>
      <c r="L58" s="247"/>
      <c r="M58" s="247"/>
      <c r="N58" s="247"/>
      <c r="O58" s="247"/>
      <c r="P58" s="247"/>
      <c r="Q58" s="247"/>
      <c r="R58" s="247"/>
      <c r="S58" s="247"/>
      <c r="T58" s="247"/>
      <c r="U58" s="247"/>
      <c r="V58" s="247"/>
      <c r="W58" s="247"/>
      <c r="X58" s="247"/>
      <c r="Y58" s="247"/>
      <c r="Z58" s="247"/>
      <c r="AA58" s="247"/>
      <c r="AB58" s="247"/>
      <c r="AC58" s="247"/>
    </row>
    <row r="59">
      <c r="A59" s="247"/>
      <c r="B59" s="247"/>
      <c r="C59" s="247"/>
      <c r="D59" s="249"/>
      <c r="E59" s="250"/>
      <c r="F59" s="248"/>
      <c r="G59" s="248"/>
      <c r="H59" s="251"/>
      <c r="I59" s="247"/>
      <c r="J59" s="247"/>
      <c r="K59" s="247"/>
      <c r="L59" s="247"/>
      <c r="M59" s="247"/>
      <c r="N59" s="247"/>
      <c r="O59" s="247"/>
      <c r="P59" s="247"/>
      <c r="Q59" s="247"/>
      <c r="R59" s="247"/>
      <c r="S59" s="247"/>
      <c r="T59" s="247"/>
      <c r="U59" s="247"/>
      <c r="V59" s="247"/>
      <c r="W59" s="247"/>
      <c r="X59" s="247"/>
      <c r="Y59" s="247"/>
      <c r="Z59" s="247"/>
      <c r="AA59" s="247"/>
      <c r="AB59" s="247"/>
      <c r="AC59" s="247"/>
    </row>
    <row r="60">
      <c r="A60" s="247"/>
      <c r="B60" s="247"/>
      <c r="C60" s="247"/>
      <c r="D60" s="249"/>
      <c r="E60" s="250"/>
      <c r="F60" s="248"/>
      <c r="G60" s="248"/>
      <c r="H60" s="251"/>
      <c r="I60" s="247"/>
      <c r="J60" s="247"/>
      <c r="K60" s="247"/>
      <c r="L60" s="247"/>
      <c r="M60" s="247"/>
      <c r="N60" s="247"/>
      <c r="O60" s="247"/>
      <c r="P60" s="247"/>
      <c r="Q60" s="247"/>
      <c r="R60" s="247"/>
      <c r="S60" s="247"/>
      <c r="T60" s="247"/>
      <c r="U60" s="247"/>
      <c r="V60" s="247"/>
      <c r="W60" s="247"/>
      <c r="X60" s="247"/>
      <c r="Y60" s="247"/>
      <c r="Z60" s="247"/>
      <c r="AA60" s="247"/>
      <c r="AB60" s="247"/>
      <c r="AC60" s="247"/>
    </row>
    <row r="61">
      <c r="A61" s="247"/>
      <c r="B61" s="247"/>
      <c r="C61" s="247"/>
      <c r="D61" s="249"/>
      <c r="E61" s="250"/>
      <c r="F61" s="248"/>
      <c r="G61" s="248"/>
      <c r="H61" s="251"/>
      <c r="I61" s="247"/>
      <c r="J61" s="247"/>
      <c r="K61" s="247"/>
      <c r="L61" s="247"/>
      <c r="M61" s="247"/>
      <c r="N61" s="247"/>
      <c r="O61" s="247"/>
      <c r="P61" s="247"/>
      <c r="Q61" s="247"/>
      <c r="R61" s="247"/>
      <c r="S61" s="247"/>
      <c r="T61" s="247"/>
      <c r="U61" s="247"/>
      <c r="V61" s="247"/>
      <c r="W61" s="247"/>
      <c r="X61" s="247"/>
      <c r="Y61" s="247"/>
      <c r="Z61" s="247"/>
      <c r="AA61" s="247"/>
      <c r="AB61" s="247"/>
      <c r="AC61" s="247"/>
    </row>
    <row r="62">
      <c r="A62" s="247"/>
      <c r="B62" s="247"/>
      <c r="C62" s="247"/>
      <c r="D62" s="249"/>
      <c r="E62" s="250"/>
      <c r="F62" s="248"/>
      <c r="G62" s="248"/>
      <c r="H62" s="251"/>
      <c r="I62" s="247"/>
      <c r="J62" s="247"/>
      <c r="K62" s="247"/>
      <c r="L62" s="247"/>
      <c r="M62" s="247"/>
      <c r="N62" s="247"/>
      <c r="O62" s="247"/>
      <c r="P62" s="247"/>
      <c r="Q62" s="247"/>
      <c r="R62" s="247"/>
      <c r="S62" s="247"/>
      <c r="T62" s="247"/>
      <c r="U62" s="247"/>
      <c r="V62" s="247"/>
      <c r="W62" s="247"/>
      <c r="X62" s="247"/>
      <c r="Y62" s="247"/>
      <c r="Z62" s="247"/>
      <c r="AA62" s="247"/>
      <c r="AB62" s="247"/>
      <c r="AC62" s="247"/>
    </row>
    <row r="63">
      <c r="A63" s="247"/>
      <c r="B63" s="247"/>
      <c r="C63" s="247"/>
      <c r="D63" s="249"/>
      <c r="E63" s="250"/>
      <c r="F63" s="248"/>
      <c r="G63" s="248"/>
      <c r="H63" s="251"/>
      <c r="I63" s="247"/>
      <c r="J63" s="247"/>
      <c r="K63" s="247"/>
      <c r="L63" s="247"/>
      <c r="M63" s="247"/>
      <c r="N63" s="247"/>
      <c r="O63" s="247"/>
      <c r="P63" s="247"/>
      <c r="Q63" s="247"/>
      <c r="R63" s="247"/>
      <c r="S63" s="247"/>
      <c r="T63" s="247"/>
      <c r="U63" s="247"/>
      <c r="V63" s="247"/>
      <c r="W63" s="247"/>
      <c r="X63" s="247"/>
      <c r="Y63" s="247"/>
      <c r="Z63" s="247"/>
      <c r="AA63" s="247"/>
      <c r="AB63" s="247"/>
      <c r="AC63" s="247"/>
    </row>
    <row r="64">
      <c r="A64" s="247"/>
      <c r="B64" s="247"/>
      <c r="C64" s="247"/>
      <c r="D64" s="249"/>
      <c r="E64" s="250"/>
      <c r="F64" s="248"/>
      <c r="G64" s="248"/>
      <c r="H64" s="251"/>
      <c r="I64" s="247"/>
      <c r="J64" s="247"/>
      <c r="K64" s="247"/>
      <c r="L64" s="247"/>
      <c r="M64" s="247"/>
      <c r="N64" s="247"/>
      <c r="O64" s="247"/>
      <c r="P64" s="247"/>
      <c r="Q64" s="247"/>
      <c r="R64" s="247"/>
      <c r="S64" s="247"/>
      <c r="T64" s="247"/>
      <c r="U64" s="247"/>
      <c r="V64" s="247"/>
      <c r="W64" s="247"/>
      <c r="X64" s="247"/>
      <c r="Y64" s="247"/>
      <c r="Z64" s="247"/>
      <c r="AA64" s="247"/>
      <c r="AB64" s="247"/>
      <c r="AC64" s="247"/>
    </row>
    <row r="65">
      <c r="A65" s="247"/>
      <c r="B65" s="247"/>
      <c r="C65" s="247"/>
      <c r="D65" s="249"/>
      <c r="E65" s="250"/>
      <c r="F65" s="248"/>
      <c r="G65" s="248"/>
      <c r="H65" s="251"/>
      <c r="I65" s="247"/>
      <c r="J65" s="247"/>
      <c r="K65" s="247"/>
      <c r="L65" s="247"/>
      <c r="M65" s="247"/>
      <c r="N65" s="247"/>
      <c r="O65" s="247"/>
      <c r="P65" s="247"/>
      <c r="Q65" s="247"/>
      <c r="R65" s="247"/>
      <c r="S65" s="247"/>
      <c r="T65" s="247"/>
      <c r="U65" s="247"/>
      <c r="V65" s="247"/>
      <c r="W65" s="247"/>
      <c r="X65" s="247"/>
      <c r="Y65" s="247"/>
      <c r="Z65" s="247"/>
      <c r="AA65" s="247"/>
      <c r="AB65" s="247"/>
      <c r="AC65" s="247"/>
    </row>
    <row r="66">
      <c r="A66" s="247"/>
      <c r="B66" s="247"/>
      <c r="C66" s="247"/>
      <c r="D66" s="249"/>
      <c r="E66" s="250"/>
      <c r="F66" s="248"/>
      <c r="G66" s="248"/>
      <c r="H66" s="251"/>
      <c r="I66" s="247"/>
      <c r="J66" s="247"/>
      <c r="K66" s="247"/>
      <c r="L66" s="247"/>
      <c r="M66" s="247"/>
      <c r="N66" s="247"/>
      <c r="O66" s="247"/>
      <c r="P66" s="247"/>
      <c r="Q66" s="247"/>
      <c r="R66" s="247"/>
      <c r="S66" s="247"/>
      <c r="T66" s="247"/>
      <c r="U66" s="247"/>
      <c r="V66" s="247"/>
      <c r="W66" s="247"/>
      <c r="X66" s="247"/>
      <c r="Y66" s="247"/>
      <c r="Z66" s="247"/>
      <c r="AA66" s="247"/>
      <c r="AB66" s="247"/>
      <c r="AC66" s="247"/>
    </row>
    <row r="67">
      <c r="A67" s="247"/>
      <c r="B67" s="247"/>
      <c r="C67" s="247"/>
      <c r="D67" s="249"/>
      <c r="E67" s="250"/>
      <c r="F67" s="248"/>
      <c r="G67" s="248"/>
      <c r="H67" s="251"/>
      <c r="I67" s="247"/>
      <c r="J67" s="247"/>
      <c r="K67" s="247"/>
      <c r="L67" s="247"/>
      <c r="M67" s="247"/>
      <c r="N67" s="247"/>
      <c r="O67" s="247"/>
      <c r="P67" s="247"/>
      <c r="Q67" s="247"/>
      <c r="R67" s="247"/>
      <c r="S67" s="247"/>
      <c r="T67" s="247"/>
      <c r="U67" s="247"/>
      <c r="V67" s="247"/>
      <c r="W67" s="247"/>
      <c r="X67" s="247"/>
      <c r="Y67" s="247"/>
      <c r="Z67" s="247"/>
      <c r="AA67" s="247"/>
      <c r="AB67" s="247"/>
      <c r="AC67" s="247"/>
    </row>
    <row r="68">
      <c r="A68" s="247"/>
      <c r="B68" s="247"/>
      <c r="C68" s="247"/>
      <c r="D68" s="249"/>
      <c r="E68" s="250"/>
      <c r="F68" s="248"/>
      <c r="G68" s="248"/>
      <c r="H68" s="251"/>
      <c r="I68" s="247"/>
      <c r="J68" s="247"/>
      <c r="K68" s="247"/>
      <c r="L68" s="247"/>
      <c r="M68" s="247"/>
      <c r="N68" s="247"/>
      <c r="O68" s="247"/>
      <c r="P68" s="247"/>
      <c r="Q68" s="247"/>
      <c r="R68" s="247"/>
      <c r="S68" s="247"/>
      <c r="T68" s="247"/>
      <c r="U68" s="247"/>
      <c r="V68" s="247"/>
      <c r="W68" s="247"/>
      <c r="X68" s="247"/>
      <c r="Y68" s="247"/>
      <c r="Z68" s="247"/>
      <c r="AA68" s="247"/>
      <c r="AB68" s="247"/>
      <c r="AC68" s="247"/>
    </row>
    <row r="69">
      <c r="A69" s="247"/>
      <c r="B69" s="247"/>
      <c r="C69" s="247"/>
      <c r="D69" s="249"/>
      <c r="E69" s="250"/>
      <c r="F69" s="248"/>
      <c r="G69" s="248"/>
      <c r="H69" s="251"/>
      <c r="I69" s="247"/>
      <c r="J69" s="247"/>
      <c r="K69" s="247"/>
      <c r="L69" s="247"/>
      <c r="M69" s="247"/>
      <c r="N69" s="247"/>
      <c r="O69" s="247"/>
      <c r="P69" s="247"/>
      <c r="Q69" s="247"/>
      <c r="R69" s="247"/>
      <c r="S69" s="247"/>
      <c r="T69" s="247"/>
      <c r="U69" s="247"/>
      <c r="V69" s="247"/>
      <c r="W69" s="247"/>
      <c r="X69" s="247"/>
      <c r="Y69" s="247"/>
      <c r="Z69" s="247"/>
      <c r="AA69" s="247"/>
      <c r="AB69" s="247"/>
      <c r="AC69" s="247"/>
    </row>
    <row r="70">
      <c r="A70" s="247"/>
      <c r="B70" s="247"/>
      <c r="C70" s="247"/>
      <c r="D70" s="249"/>
      <c r="E70" s="250"/>
      <c r="F70" s="248"/>
      <c r="G70" s="248"/>
      <c r="H70" s="251"/>
      <c r="I70" s="247"/>
      <c r="J70" s="247"/>
      <c r="K70" s="247"/>
      <c r="L70" s="247"/>
      <c r="M70" s="247"/>
      <c r="N70" s="247"/>
      <c r="O70" s="247"/>
      <c r="P70" s="247"/>
      <c r="Q70" s="247"/>
      <c r="R70" s="247"/>
      <c r="S70" s="247"/>
      <c r="T70" s="247"/>
      <c r="U70" s="247"/>
      <c r="V70" s="247"/>
      <c r="W70" s="247"/>
      <c r="X70" s="247"/>
      <c r="Y70" s="247"/>
      <c r="Z70" s="247"/>
      <c r="AA70" s="247"/>
      <c r="AB70" s="247"/>
      <c r="AC70" s="247"/>
    </row>
    <row r="71">
      <c r="A71" s="247"/>
      <c r="B71" s="247"/>
      <c r="C71" s="247"/>
      <c r="D71" s="249"/>
      <c r="E71" s="250"/>
      <c r="F71" s="248"/>
      <c r="G71" s="248"/>
      <c r="H71" s="251"/>
      <c r="I71" s="247"/>
      <c r="J71" s="247"/>
      <c r="K71" s="247"/>
      <c r="L71" s="247"/>
      <c r="M71" s="247"/>
      <c r="N71" s="247"/>
      <c r="O71" s="247"/>
      <c r="P71" s="247"/>
      <c r="Q71" s="247"/>
      <c r="R71" s="247"/>
      <c r="S71" s="247"/>
      <c r="T71" s="247"/>
      <c r="U71" s="247"/>
      <c r="V71" s="247"/>
      <c r="W71" s="247"/>
      <c r="X71" s="247"/>
      <c r="Y71" s="247"/>
      <c r="Z71" s="247"/>
      <c r="AA71" s="247"/>
      <c r="AB71" s="247"/>
      <c r="AC71" s="247"/>
    </row>
    <row r="72">
      <c r="A72" s="247"/>
      <c r="B72" s="247"/>
      <c r="C72" s="247"/>
      <c r="D72" s="249"/>
      <c r="E72" s="250"/>
      <c r="F72" s="248"/>
      <c r="G72" s="248"/>
      <c r="H72" s="251"/>
      <c r="I72" s="247"/>
      <c r="J72" s="247"/>
      <c r="K72" s="247"/>
      <c r="L72" s="247"/>
      <c r="M72" s="247"/>
      <c r="N72" s="247"/>
      <c r="O72" s="247"/>
      <c r="P72" s="247"/>
      <c r="Q72" s="247"/>
      <c r="R72" s="247"/>
      <c r="S72" s="247"/>
      <c r="T72" s="247"/>
      <c r="U72" s="247"/>
      <c r="V72" s="247"/>
      <c r="W72" s="247"/>
      <c r="X72" s="247"/>
      <c r="Y72" s="247"/>
      <c r="Z72" s="247"/>
      <c r="AA72" s="247"/>
      <c r="AB72" s="247"/>
      <c r="AC72" s="247"/>
    </row>
    <row r="73">
      <c r="A73" s="247"/>
      <c r="B73" s="247"/>
      <c r="C73" s="247"/>
      <c r="D73" s="249"/>
      <c r="E73" s="250"/>
      <c r="F73" s="248"/>
      <c r="G73" s="248"/>
      <c r="H73" s="251"/>
      <c r="I73" s="247"/>
      <c r="J73" s="247"/>
      <c r="K73" s="247"/>
      <c r="L73" s="247"/>
      <c r="M73" s="247"/>
      <c r="N73" s="247"/>
      <c r="O73" s="247"/>
      <c r="P73" s="247"/>
      <c r="Q73" s="247"/>
      <c r="R73" s="247"/>
      <c r="S73" s="247"/>
      <c r="T73" s="247"/>
      <c r="U73" s="247"/>
      <c r="V73" s="247"/>
      <c r="W73" s="247"/>
      <c r="X73" s="247"/>
      <c r="Y73" s="247"/>
      <c r="Z73" s="247"/>
      <c r="AA73" s="247"/>
      <c r="AB73" s="247"/>
      <c r="AC73" s="247"/>
    </row>
    <row r="74">
      <c r="A74" s="247"/>
      <c r="B74" s="247"/>
      <c r="C74" s="247"/>
      <c r="D74" s="249"/>
      <c r="E74" s="250"/>
      <c r="F74" s="248"/>
      <c r="G74" s="248"/>
      <c r="H74" s="251"/>
      <c r="I74" s="247"/>
      <c r="J74" s="247"/>
      <c r="K74" s="247"/>
      <c r="L74" s="247"/>
      <c r="M74" s="247"/>
      <c r="N74" s="247"/>
      <c r="O74" s="247"/>
      <c r="P74" s="247"/>
      <c r="Q74" s="247"/>
      <c r="R74" s="247"/>
      <c r="S74" s="247"/>
      <c r="T74" s="247"/>
      <c r="U74" s="247"/>
      <c r="V74" s="247"/>
      <c r="W74" s="247"/>
      <c r="X74" s="247"/>
      <c r="Y74" s="247"/>
      <c r="Z74" s="247"/>
      <c r="AA74" s="247"/>
      <c r="AB74" s="247"/>
      <c r="AC74" s="247"/>
    </row>
    <row r="75">
      <c r="A75" s="247"/>
      <c r="B75" s="247"/>
      <c r="C75" s="247"/>
      <c r="D75" s="249"/>
      <c r="E75" s="250"/>
      <c r="F75" s="248"/>
      <c r="G75" s="248"/>
      <c r="H75" s="251"/>
      <c r="I75" s="247"/>
      <c r="J75" s="247"/>
      <c r="K75" s="247"/>
      <c r="L75" s="247"/>
      <c r="M75" s="247"/>
      <c r="N75" s="247"/>
      <c r="O75" s="247"/>
      <c r="P75" s="247"/>
      <c r="Q75" s="247"/>
      <c r="R75" s="247"/>
      <c r="S75" s="247"/>
      <c r="T75" s="247"/>
      <c r="U75" s="247"/>
      <c r="V75" s="247"/>
      <c r="W75" s="247"/>
      <c r="X75" s="247"/>
      <c r="Y75" s="247"/>
      <c r="Z75" s="247"/>
      <c r="AA75" s="247"/>
      <c r="AB75" s="247"/>
      <c r="AC75" s="247"/>
    </row>
    <row r="76">
      <c r="A76" s="247"/>
      <c r="B76" s="247"/>
      <c r="C76" s="247"/>
      <c r="D76" s="249"/>
      <c r="E76" s="250"/>
      <c r="F76" s="248"/>
      <c r="G76" s="248"/>
      <c r="H76" s="251"/>
      <c r="I76" s="247"/>
      <c r="J76" s="247"/>
      <c r="K76" s="247"/>
      <c r="L76" s="247"/>
      <c r="M76" s="247"/>
      <c r="N76" s="247"/>
      <c r="O76" s="247"/>
      <c r="P76" s="247"/>
      <c r="Q76" s="247"/>
      <c r="R76" s="247"/>
      <c r="S76" s="247"/>
      <c r="T76" s="247"/>
      <c r="U76" s="247"/>
      <c r="V76" s="247"/>
      <c r="W76" s="247"/>
      <c r="X76" s="247"/>
      <c r="Y76" s="247"/>
      <c r="Z76" s="247"/>
      <c r="AA76" s="247"/>
      <c r="AB76" s="247"/>
      <c r="AC76" s="247"/>
    </row>
    <row r="77">
      <c r="A77" s="247"/>
      <c r="B77" s="247"/>
      <c r="C77" s="247"/>
      <c r="D77" s="249"/>
      <c r="E77" s="250"/>
      <c r="F77" s="248"/>
      <c r="G77" s="248"/>
      <c r="H77" s="251"/>
      <c r="I77" s="247"/>
      <c r="J77" s="247"/>
      <c r="K77" s="247"/>
      <c r="L77" s="247"/>
      <c r="M77" s="247"/>
      <c r="N77" s="247"/>
      <c r="O77" s="247"/>
      <c r="P77" s="247"/>
      <c r="Q77" s="247"/>
      <c r="R77" s="247"/>
      <c r="S77" s="247"/>
      <c r="T77" s="247"/>
      <c r="U77" s="247"/>
      <c r="V77" s="247"/>
      <c r="W77" s="247"/>
      <c r="X77" s="247"/>
      <c r="Y77" s="247"/>
      <c r="Z77" s="247"/>
      <c r="AA77" s="247"/>
      <c r="AB77" s="247"/>
      <c r="AC77" s="247"/>
    </row>
    <row r="78">
      <c r="A78" s="247"/>
      <c r="B78" s="247"/>
      <c r="C78" s="247"/>
      <c r="D78" s="249"/>
      <c r="E78" s="250"/>
      <c r="F78" s="248"/>
      <c r="G78" s="248"/>
      <c r="H78" s="251"/>
      <c r="I78" s="247"/>
      <c r="J78" s="247"/>
      <c r="K78" s="247"/>
      <c r="L78" s="247"/>
      <c r="M78" s="247"/>
      <c r="N78" s="247"/>
      <c r="O78" s="247"/>
      <c r="P78" s="247"/>
      <c r="Q78" s="247"/>
      <c r="R78" s="247"/>
      <c r="S78" s="247"/>
      <c r="T78" s="247"/>
      <c r="U78" s="247"/>
      <c r="V78" s="247"/>
      <c r="W78" s="247"/>
      <c r="X78" s="247"/>
      <c r="Y78" s="247"/>
      <c r="Z78" s="247"/>
      <c r="AA78" s="247"/>
      <c r="AB78" s="247"/>
      <c r="AC78" s="247"/>
    </row>
    <row r="79">
      <c r="A79" s="247"/>
      <c r="B79" s="247"/>
      <c r="C79" s="247"/>
      <c r="D79" s="249"/>
      <c r="E79" s="250"/>
      <c r="F79" s="248"/>
      <c r="G79" s="248"/>
      <c r="H79" s="251"/>
      <c r="I79" s="247"/>
      <c r="J79" s="247"/>
      <c r="K79" s="247"/>
      <c r="L79" s="247"/>
      <c r="M79" s="247"/>
      <c r="N79" s="247"/>
      <c r="O79" s="247"/>
      <c r="P79" s="247"/>
      <c r="Q79" s="247"/>
      <c r="R79" s="247"/>
      <c r="S79" s="247"/>
      <c r="T79" s="247"/>
      <c r="U79" s="247"/>
      <c r="V79" s="247"/>
      <c r="W79" s="247"/>
      <c r="X79" s="247"/>
      <c r="Y79" s="247"/>
      <c r="Z79" s="247"/>
      <c r="AA79" s="247"/>
      <c r="AB79" s="247"/>
      <c r="AC79" s="247"/>
    </row>
    <row r="80">
      <c r="A80" s="247"/>
      <c r="B80" s="247"/>
      <c r="C80" s="247"/>
      <c r="D80" s="249"/>
      <c r="E80" s="250"/>
      <c r="F80" s="248"/>
      <c r="G80" s="248"/>
      <c r="H80" s="251"/>
      <c r="I80" s="247"/>
      <c r="J80" s="247"/>
      <c r="K80" s="247"/>
      <c r="L80" s="247"/>
      <c r="M80" s="247"/>
      <c r="N80" s="247"/>
      <c r="O80" s="247"/>
      <c r="P80" s="247"/>
      <c r="Q80" s="247"/>
      <c r="R80" s="247"/>
      <c r="S80" s="247"/>
      <c r="T80" s="247"/>
      <c r="U80" s="247"/>
      <c r="V80" s="247"/>
      <c r="W80" s="247"/>
      <c r="X80" s="247"/>
      <c r="Y80" s="247"/>
      <c r="Z80" s="247"/>
      <c r="AA80" s="247"/>
      <c r="AB80" s="247"/>
      <c r="AC80" s="247"/>
    </row>
    <row r="81">
      <c r="A81" s="247"/>
      <c r="B81" s="247"/>
      <c r="C81" s="247"/>
      <c r="D81" s="249"/>
      <c r="E81" s="250"/>
      <c r="F81" s="248"/>
      <c r="G81" s="248"/>
      <c r="H81" s="251"/>
      <c r="I81" s="247"/>
      <c r="J81" s="247"/>
      <c r="K81" s="247"/>
      <c r="L81" s="247"/>
      <c r="M81" s="247"/>
      <c r="N81" s="247"/>
      <c r="O81" s="247"/>
      <c r="P81" s="247"/>
      <c r="Q81" s="247"/>
      <c r="R81" s="247"/>
      <c r="S81" s="247"/>
      <c r="T81" s="247"/>
      <c r="U81" s="247"/>
      <c r="V81" s="247"/>
      <c r="W81" s="247"/>
      <c r="X81" s="247"/>
      <c r="Y81" s="247"/>
      <c r="Z81" s="247"/>
      <c r="AA81" s="247"/>
      <c r="AB81" s="247"/>
      <c r="AC81" s="247"/>
    </row>
    <row r="82">
      <c r="A82" s="247"/>
      <c r="B82" s="247"/>
      <c r="C82" s="247"/>
      <c r="D82" s="249"/>
      <c r="E82" s="250"/>
      <c r="F82" s="248"/>
      <c r="G82" s="248"/>
      <c r="H82" s="251"/>
      <c r="I82" s="247"/>
      <c r="J82" s="247"/>
      <c r="K82" s="247"/>
      <c r="L82" s="247"/>
      <c r="M82" s="247"/>
      <c r="N82" s="247"/>
      <c r="O82" s="247"/>
      <c r="P82" s="247"/>
      <c r="Q82" s="247"/>
      <c r="R82" s="247"/>
      <c r="S82" s="247"/>
      <c r="T82" s="247"/>
      <c r="U82" s="247"/>
      <c r="V82" s="247"/>
      <c r="W82" s="247"/>
      <c r="X82" s="247"/>
      <c r="Y82" s="247"/>
      <c r="Z82" s="247"/>
      <c r="AA82" s="247"/>
      <c r="AB82" s="247"/>
      <c r="AC82" s="247"/>
    </row>
    <row r="83">
      <c r="A83" s="247"/>
      <c r="B83" s="247"/>
      <c r="C83" s="247"/>
      <c r="D83" s="249"/>
      <c r="E83" s="250"/>
      <c r="F83" s="248"/>
      <c r="G83" s="248"/>
      <c r="H83" s="251"/>
      <c r="I83" s="247"/>
      <c r="J83" s="247"/>
      <c r="K83" s="247"/>
      <c r="L83" s="247"/>
      <c r="M83" s="247"/>
      <c r="N83" s="247"/>
      <c r="O83" s="247"/>
      <c r="P83" s="247"/>
      <c r="Q83" s="247"/>
      <c r="R83" s="247"/>
      <c r="S83" s="247"/>
      <c r="T83" s="247"/>
      <c r="U83" s="247"/>
      <c r="V83" s="247"/>
      <c r="W83" s="247"/>
      <c r="X83" s="247"/>
      <c r="Y83" s="247"/>
      <c r="Z83" s="247"/>
      <c r="AA83" s="247"/>
      <c r="AB83" s="247"/>
      <c r="AC83" s="247"/>
    </row>
    <row r="84">
      <c r="A84" s="247"/>
      <c r="B84" s="247"/>
      <c r="C84" s="247"/>
      <c r="D84" s="249"/>
      <c r="E84" s="250"/>
      <c r="F84" s="248"/>
      <c r="G84" s="248"/>
      <c r="H84" s="251"/>
      <c r="I84" s="247"/>
      <c r="J84" s="247"/>
      <c r="K84" s="247"/>
      <c r="L84" s="247"/>
      <c r="M84" s="247"/>
      <c r="N84" s="247"/>
      <c r="O84" s="247"/>
      <c r="P84" s="247"/>
      <c r="Q84" s="247"/>
      <c r="R84" s="247"/>
      <c r="S84" s="247"/>
      <c r="T84" s="247"/>
      <c r="U84" s="247"/>
      <c r="V84" s="247"/>
      <c r="W84" s="247"/>
      <c r="X84" s="247"/>
      <c r="Y84" s="247"/>
      <c r="Z84" s="247"/>
      <c r="AA84" s="247"/>
      <c r="AB84" s="247"/>
      <c r="AC84" s="247"/>
    </row>
    <row r="85">
      <c r="A85" s="247"/>
      <c r="B85" s="247"/>
      <c r="C85" s="247"/>
      <c r="D85" s="249"/>
      <c r="E85" s="250"/>
      <c r="F85" s="248"/>
      <c r="G85" s="248"/>
      <c r="H85" s="251"/>
      <c r="I85" s="247"/>
      <c r="J85" s="247"/>
      <c r="K85" s="247"/>
      <c r="L85" s="247"/>
      <c r="M85" s="247"/>
      <c r="N85" s="247"/>
      <c r="O85" s="247"/>
      <c r="P85" s="247"/>
      <c r="Q85" s="247"/>
      <c r="R85" s="247"/>
      <c r="S85" s="247"/>
      <c r="T85" s="247"/>
      <c r="U85" s="247"/>
      <c r="V85" s="247"/>
      <c r="W85" s="247"/>
      <c r="X85" s="247"/>
      <c r="Y85" s="247"/>
      <c r="Z85" s="247"/>
      <c r="AA85" s="247"/>
      <c r="AB85" s="247"/>
      <c r="AC85" s="247"/>
    </row>
    <row r="86">
      <c r="A86" s="247"/>
      <c r="B86" s="247"/>
      <c r="C86" s="247"/>
      <c r="D86" s="249"/>
      <c r="E86" s="250"/>
      <c r="F86" s="248"/>
      <c r="G86" s="248"/>
      <c r="H86" s="251"/>
      <c r="I86" s="247"/>
      <c r="J86" s="247"/>
      <c r="K86" s="247"/>
      <c r="L86" s="247"/>
      <c r="M86" s="247"/>
      <c r="N86" s="247"/>
      <c r="O86" s="247"/>
      <c r="P86" s="247"/>
      <c r="Q86" s="247"/>
      <c r="R86" s="247"/>
      <c r="S86" s="247"/>
      <c r="T86" s="247"/>
      <c r="U86" s="247"/>
      <c r="V86" s="247"/>
      <c r="W86" s="247"/>
      <c r="X86" s="247"/>
      <c r="Y86" s="247"/>
      <c r="Z86" s="247"/>
      <c r="AA86" s="247"/>
      <c r="AB86" s="247"/>
      <c r="AC86" s="247"/>
    </row>
    <row r="87">
      <c r="A87" s="247"/>
      <c r="B87" s="247"/>
      <c r="C87" s="247"/>
      <c r="D87" s="249"/>
      <c r="E87" s="250"/>
      <c r="F87" s="248"/>
      <c r="G87" s="248"/>
      <c r="H87" s="251"/>
      <c r="I87" s="247"/>
      <c r="J87" s="247"/>
      <c r="K87" s="247"/>
      <c r="L87" s="247"/>
      <c r="M87" s="247"/>
      <c r="N87" s="247"/>
      <c r="O87" s="247"/>
      <c r="P87" s="247"/>
      <c r="Q87" s="247"/>
      <c r="R87" s="247"/>
      <c r="S87" s="247"/>
      <c r="T87" s="247"/>
      <c r="U87" s="247"/>
      <c r="V87" s="247"/>
      <c r="W87" s="247"/>
      <c r="X87" s="247"/>
      <c r="Y87" s="247"/>
      <c r="Z87" s="247"/>
      <c r="AA87" s="247"/>
      <c r="AB87" s="247"/>
      <c r="AC87" s="247"/>
    </row>
    <row r="88">
      <c r="A88" s="247"/>
      <c r="B88" s="247"/>
      <c r="C88" s="247"/>
      <c r="D88" s="249"/>
      <c r="E88" s="250"/>
      <c r="F88" s="248"/>
      <c r="G88" s="248"/>
      <c r="H88" s="251"/>
      <c r="I88" s="247"/>
      <c r="J88" s="247"/>
      <c r="K88" s="247"/>
      <c r="L88" s="247"/>
      <c r="M88" s="247"/>
      <c r="N88" s="247"/>
      <c r="O88" s="247"/>
      <c r="P88" s="247"/>
      <c r="Q88" s="247"/>
      <c r="R88" s="247"/>
      <c r="S88" s="247"/>
      <c r="T88" s="247"/>
      <c r="U88" s="247"/>
      <c r="V88" s="247"/>
      <c r="W88" s="247"/>
      <c r="X88" s="247"/>
      <c r="Y88" s="247"/>
      <c r="Z88" s="247"/>
      <c r="AA88" s="247"/>
      <c r="AB88" s="247"/>
      <c r="AC88" s="247"/>
    </row>
    <row r="89">
      <c r="A89" s="247"/>
      <c r="B89" s="247"/>
      <c r="C89" s="247"/>
      <c r="D89" s="249"/>
      <c r="E89" s="250"/>
      <c r="F89" s="248"/>
      <c r="G89" s="248"/>
      <c r="H89" s="251"/>
      <c r="I89" s="247"/>
      <c r="J89" s="247"/>
      <c r="K89" s="247"/>
      <c r="L89" s="247"/>
      <c r="M89" s="247"/>
      <c r="N89" s="247"/>
      <c r="O89" s="247"/>
      <c r="P89" s="247"/>
      <c r="Q89" s="247"/>
      <c r="R89" s="247"/>
      <c r="S89" s="247"/>
      <c r="T89" s="247"/>
      <c r="U89" s="247"/>
      <c r="V89" s="247"/>
      <c r="W89" s="247"/>
      <c r="X89" s="247"/>
      <c r="Y89" s="247"/>
      <c r="Z89" s="247"/>
      <c r="AA89" s="247"/>
      <c r="AB89" s="247"/>
      <c r="AC89" s="247"/>
    </row>
    <row r="90">
      <c r="A90" s="247"/>
      <c r="B90" s="247"/>
      <c r="C90" s="247"/>
      <c r="D90" s="249"/>
      <c r="E90" s="250"/>
      <c r="F90" s="248"/>
      <c r="G90" s="248"/>
      <c r="H90" s="251"/>
      <c r="I90" s="247"/>
      <c r="J90" s="247"/>
      <c r="K90" s="247"/>
      <c r="L90" s="247"/>
      <c r="M90" s="247"/>
      <c r="N90" s="247"/>
      <c r="O90" s="247"/>
      <c r="P90" s="247"/>
      <c r="Q90" s="247"/>
      <c r="R90" s="247"/>
      <c r="S90" s="247"/>
      <c r="T90" s="247"/>
      <c r="U90" s="247"/>
      <c r="V90" s="247"/>
      <c r="W90" s="247"/>
      <c r="X90" s="247"/>
      <c r="Y90" s="247"/>
      <c r="Z90" s="247"/>
      <c r="AA90" s="247"/>
      <c r="AB90" s="247"/>
      <c r="AC90" s="247"/>
    </row>
    <row r="91">
      <c r="A91" s="247"/>
      <c r="B91" s="247"/>
      <c r="C91" s="247"/>
      <c r="D91" s="249"/>
      <c r="E91" s="250"/>
      <c r="F91" s="248"/>
      <c r="G91" s="248"/>
      <c r="H91" s="251"/>
      <c r="I91" s="247"/>
      <c r="J91" s="247"/>
      <c r="K91" s="247"/>
      <c r="L91" s="247"/>
      <c r="M91" s="247"/>
      <c r="N91" s="247"/>
      <c r="O91" s="247"/>
      <c r="P91" s="247"/>
      <c r="Q91" s="247"/>
      <c r="R91" s="247"/>
      <c r="S91" s="247"/>
      <c r="T91" s="247"/>
      <c r="U91" s="247"/>
      <c r="V91" s="247"/>
      <c r="W91" s="247"/>
      <c r="X91" s="247"/>
      <c r="Y91" s="247"/>
      <c r="Z91" s="247"/>
      <c r="AA91" s="247"/>
      <c r="AB91" s="247"/>
      <c r="AC91" s="247"/>
    </row>
    <row r="92">
      <c r="A92" s="247"/>
      <c r="B92" s="247"/>
      <c r="C92" s="247"/>
      <c r="D92" s="249"/>
      <c r="E92" s="250"/>
      <c r="F92" s="248"/>
      <c r="G92" s="248"/>
      <c r="H92" s="251"/>
      <c r="I92" s="247"/>
      <c r="J92" s="247"/>
      <c r="K92" s="247"/>
      <c r="L92" s="247"/>
      <c r="M92" s="247"/>
      <c r="N92" s="247"/>
      <c r="O92" s="247"/>
      <c r="P92" s="247"/>
      <c r="Q92" s="247"/>
      <c r="R92" s="247"/>
      <c r="S92" s="247"/>
      <c r="T92" s="247"/>
      <c r="U92" s="247"/>
      <c r="V92" s="247"/>
      <c r="W92" s="247"/>
      <c r="X92" s="247"/>
      <c r="Y92" s="247"/>
      <c r="Z92" s="247"/>
      <c r="AA92" s="247"/>
      <c r="AB92" s="247"/>
      <c r="AC92" s="247"/>
    </row>
    <row r="93">
      <c r="A93" s="247"/>
      <c r="B93" s="247"/>
      <c r="C93" s="247"/>
      <c r="D93" s="249"/>
      <c r="E93" s="250"/>
      <c r="F93" s="248"/>
      <c r="G93" s="248"/>
      <c r="H93" s="251"/>
      <c r="I93" s="247"/>
      <c r="J93" s="247"/>
      <c r="K93" s="247"/>
      <c r="L93" s="247"/>
      <c r="M93" s="247"/>
      <c r="N93" s="247"/>
      <c r="O93" s="247"/>
      <c r="P93" s="247"/>
      <c r="Q93" s="247"/>
      <c r="R93" s="247"/>
      <c r="S93" s="247"/>
      <c r="T93" s="247"/>
      <c r="U93" s="247"/>
      <c r="V93" s="247"/>
      <c r="W93" s="247"/>
      <c r="X93" s="247"/>
      <c r="Y93" s="247"/>
      <c r="Z93" s="247"/>
      <c r="AA93" s="247"/>
      <c r="AB93" s="247"/>
      <c r="AC93" s="247"/>
    </row>
    <row r="94">
      <c r="A94" s="247"/>
      <c r="B94" s="247"/>
      <c r="C94" s="247"/>
      <c r="D94" s="249"/>
      <c r="E94" s="250"/>
      <c r="F94" s="248"/>
      <c r="G94" s="248"/>
      <c r="H94" s="251"/>
      <c r="I94" s="247"/>
      <c r="J94" s="247"/>
      <c r="K94" s="247"/>
      <c r="L94" s="247"/>
      <c r="M94" s="247"/>
      <c r="N94" s="247"/>
      <c r="O94" s="247"/>
      <c r="P94" s="247"/>
      <c r="Q94" s="247"/>
      <c r="R94" s="247"/>
      <c r="S94" s="247"/>
      <c r="T94" s="247"/>
      <c r="U94" s="247"/>
      <c r="V94" s="247"/>
      <c r="W94" s="247"/>
      <c r="X94" s="247"/>
      <c r="Y94" s="247"/>
      <c r="Z94" s="247"/>
      <c r="AA94" s="247"/>
      <c r="AB94" s="247"/>
      <c r="AC94" s="247"/>
    </row>
    <row r="95">
      <c r="A95" s="247"/>
      <c r="B95" s="247"/>
      <c r="C95" s="247"/>
      <c r="D95" s="249"/>
      <c r="E95" s="250"/>
      <c r="F95" s="248"/>
      <c r="G95" s="248"/>
      <c r="H95" s="251"/>
      <c r="I95" s="247"/>
      <c r="J95" s="247"/>
      <c r="K95" s="247"/>
      <c r="L95" s="247"/>
      <c r="M95" s="247"/>
      <c r="N95" s="247"/>
      <c r="O95" s="247"/>
      <c r="P95" s="247"/>
      <c r="Q95" s="247"/>
      <c r="R95" s="247"/>
      <c r="S95" s="247"/>
      <c r="T95" s="247"/>
      <c r="U95" s="247"/>
      <c r="V95" s="247"/>
      <c r="W95" s="247"/>
      <c r="X95" s="247"/>
      <c r="Y95" s="247"/>
      <c r="Z95" s="247"/>
      <c r="AA95" s="247"/>
      <c r="AB95" s="247"/>
      <c r="AC95" s="247"/>
    </row>
    <row r="96">
      <c r="A96" s="247"/>
      <c r="B96" s="247"/>
      <c r="C96" s="247"/>
      <c r="D96" s="249"/>
      <c r="E96" s="250"/>
      <c r="F96" s="248"/>
      <c r="G96" s="248"/>
      <c r="H96" s="251"/>
      <c r="I96" s="247"/>
      <c r="J96" s="247"/>
      <c r="K96" s="247"/>
      <c r="L96" s="247"/>
      <c r="M96" s="247"/>
      <c r="N96" s="247"/>
      <c r="O96" s="247"/>
      <c r="P96" s="247"/>
      <c r="Q96" s="247"/>
      <c r="R96" s="247"/>
      <c r="S96" s="247"/>
      <c r="T96" s="247"/>
      <c r="U96" s="247"/>
      <c r="V96" s="247"/>
      <c r="W96" s="247"/>
      <c r="X96" s="247"/>
      <c r="Y96" s="247"/>
      <c r="Z96" s="247"/>
      <c r="AA96" s="247"/>
      <c r="AB96" s="247"/>
      <c r="AC96" s="247"/>
    </row>
    <row r="97">
      <c r="A97" s="247"/>
      <c r="B97" s="247"/>
      <c r="C97" s="247"/>
      <c r="D97" s="249"/>
      <c r="E97" s="250"/>
      <c r="F97" s="248"/>
      <c r="G97" s="248"/>
      <c r="H97" s="251"/>
      <c r="I97" s="247"/>
      <c r="J97" s="247"/>
      <c r="K97" s="247"/>
      <c r="L97" s="247"/>
      <c r="M97" s="247"/>
      <c r="N97" s="247"/>
      <c r="O97" s="247"/>
      <c r="P97" s="247"/>
      <c r="Q97" s="247"/>
      <c r="R97" s="247"/>
      <c r="S97" s="247"/>
      <c r="T97" s="247"/>
      <c r="U97" s="247"/>
      <c r="V97" s="247"/>
      <c r="W97" s="247"/>
      <c r="X97" s="247"/>
      <c r="Y97" s="247"/>
      <c r="Z97" s="247"/>
      <c r="AA97" s="247"/>
      <c r="AB97" s="247"/>
      <c r="AC97" s="247"/>
    </row>
    <row r="98">
      <c r="A98" s="247"/>
      <c r="B98" s="247"/>
      <c r="C98" s="247"/>
      <c r="D98" s="249"/>
      <c r="E98" s="250"/>
      <c r="F98" s="248"/>
      <c r="G98" s="248"/>
      <c r="H98" s="251"/>
      <c r="I98" s="247"/>
      <c r="J98" s="247"/>
      <c r="K98" s="247"/>
      <c r="L98" s="247"/>
      <c r="M98" s="247"/>
      <c r="N98" s="247"/>
      <c r="O98" s="247"/>
      <c r="P98" s="247"/>
      <c r="Q98" s="247"/>
      <c r="R98" s="247"/>
      <c r="S98" s="247"/>
      <c r="T98" s="247"/>
      <c r="U98" s="247"/>
      <c r="V98" s="247"/>
      <c r="W98" s="247"/>
      <c r="X98" s="247"/>
      <c r="Y98" s="247"/>
      <c r="Z98" s="247"/>
      <c r="AA98" s="247"/>
      <c r="AB98" s="247"/>
      <c r="AC98" s="247"/>
    </row>
    <row r="99">
      <c r="A99" s="247"/>
      <c r="B99" s="247"/>
      <c r="C99" s="247"/>
      <c r="D99" s="249"/>
      <c r="E99" s="250"/>
      <c r="F99" s="248"/>
      <c r="G99" s="248"/>
      <c r="H99" s="251"/>
      <c r="I99" s="247"/>
      <c r="J99" s="247"/>
      <c r="K99" s="247"/>
      <c r="L99" s="247"/>
      <c r="M99" s="247"/>
      <c r="N99" s="247"/>
      <c r="O99" s="247"/>
      <c r="P99" s="247"/>
      <c r="Q99" s="247"/>
      <c r="R99" s="247"/>
      <c r="S99" s="247"/>
      <c r="T99" s="247"/>
      <c r="U99" s="247"/>
      <c r="V99" s="247"/>
      <c r="W99" s="247"/>
      <c r="X99" s="247"/>
      <c r="Y99" s="247"/>
      <c r="Z99" s="247"/>
      <c r="AA99" s="247"/>
      <c r="AB99" s="247"/>
      <c r="AC99" s="247"/>
    </row>
    <row r="100">
      <c r="A100" s="247"/>
      <c r="B100" s="247"/>
      <c r="C100" s="247"/>
      <c r="D100" s="249"/>
      <c r="E100" s="250"/>
      <c r="F100" s="248"/>
      <c r="G100" s="248"/>
      <c r="H100" s="251"/>
      <c r="I100" s="247"/>
      <c r="J100" s="247"/>
      <c r="K100" s="247"/>
      <c r="L100" s="247"/>
      <c r="M100" s="247"/>
      <c r="N100" s="247"/>
      <c r="O100" s="247"/>
      <c r="P100" s="247"/>
      <c r="Q100" s="247"/>
      <c r="R100" s="247"/>
      <c r="S100" s="247"/>
      <c r="T100" s="247"/>
      <c r="U100" s="247"/>
      <c r="V100" s="247"/>
      <c r="W100" s="247"/>
      <c r="X100" s="247"/>
      <c r="Y100" s="247"/>
      <c r="Z100" s="247"/>
      <c r="AA100" s="247"/>
      <c r="AB100" s="247"/>
      <c r="AC100" s="247"/>
    </row>
    <row r="101">
      <c r="A101" s="247"/>
      <c r="B101" s="247"/>
      <c r="C101" s="247"/>
      <c r="D101" s="249"/>
      <c r="E101" s="250"/>
      <c r="F101" s="248"/>
      <c r="G101" s="248"/>
      <c r="H101" s="251"/>
      <c r="I101" s="247"/>
      <c r="J101" s="247"/>
      <c r="K101" s="247"/>
      <c r="L101" s="247"/>
      <c r="M101" s="247"/>
      <c r="N101" s="247"/>
      <c r="O101" s="247"/>
      <c r="P101" s="247"/>
      <c r="Q101" s="247"/>
      <c r="R101" s="247"/>
      <c r="S101" s="247"/>
      <c r="T101" s="247"/>
      <c r="U101" s="247"/>
      <c r="V101" s="247"/>
      <c r="W101" s="247"/>
      <c r="X101" s="247"/>
      <c r="Y101" s="247"/>
      <c r="Z101" s="247"/>
      <c r="AA101" s="247"/>
      <c r="AB101" s="247"/>
      <c r="AC101" s="247"/>
    </row>
    <row r="102">
      <c r="A102" s="247"/>
      <c r="B102" s="247"/>
      <c r="C102" s="247"/>
      <c r="D102" s="249"/>
      <c r="E102" s="250"/>
      <c r="F102" s="248"/>
      <c r="G102" s="248"/>
      <c r="H102" s="251"/>
      <c r="I102" s="247"/>
      <c r="J102" s="247"/>
      <c r="K102" s="247"/>
      <c r="L102" s="247"/>
      <c r="M102" s="247"/>
      <c r="N102" s="247"/>
      <c r="O102" s="247"/>
      <c r="P102" s="247"/>
      <c r="Q102" s="247"/>
      <c r="R102" s="247"/>
      <c r="S102" s="247"/>
      <c r="T102" s="247"/>
      <c r="U102" s="247"/>
      <c r="V102" s="247"/>
      <c r="W102" s="247"/>
      <c r="X102" s="247"/>
      <c r="Y102" s="247"/>
      <c r="Z102" s="247"/>
      <c r="AA102" s="247"/>
      <c r="AB102" s="247"/>
      <c r="AC102" s="247"/>
    </row>
    <row r="103">
      <c r="A103" s="247"/>
      <c r="B103" s="247"/>
      <c r="C103" s="247"/>
      <c r="D103" s="249"/>
      <c r="E103" s="250"/>
      <c r="F103" s="248"/>
      <c r="G103" s="248"/>
      <c r="H103" s="251"/>
      <c r="I103" s="247"/>
      <c r="J103" s="247"/>
      <c r="K103" s="247"/>
      <c r="L103" s="247"/>
      <c r="M103" s="247"/>
      <c r="N103" s="247"/>
      <c r="O103" s="247"/>
      <c r="P103" s="247"/>
      <c r="Q103" s="247"/>
      <c r="R103" s="247"/>
      <c r="S103" s="247"/>
      <c r="T103" s="247"/>
      <c r="U103" s="247"/>
      <c r="V103" s="247"/>
      <c r="W103" s="247"/>
      <c r="X103" s="247"/>
      <c r="Y103" s="247"/>
      <c r="Z103" s="247"/>
      <c r="AA103" s="247"/>
      <c r="AB103" s="247"/>
      <c r="AC103" s="247"/>
    </row>
    <row r="104">
      <c r="A104" s="247"/>
      <c r="B104" s="247"/>
      <c r="C104" s="247"/>
      <c r="D104" s="249"/>
      <c r="E104" s="250"/>
      <c r="F104" s="248"/>
      <c r="G104" s="248"/>
      <c r="H104" s="251"/>
      <c r="I104" s="247"/>
      <c r="J104" s="247"/>
      <c r="K104" s="247"/>
      <c r="L104" s="247"/>
      <c r="M104" s="247"/>
      <c r="N104" s="247"/>
      <c r="O104" s="247"/>
      <c r="P104" s="247"/>
      <c r="Q104" s="247"/>
      <c r="R104" s="247"/>
      <c r="S104" s="247"/>
      <c r="T104" s="247"/>
      <c r="U104" s="247"/>
      <c r="V104" s="247"/>
      <c r="W104" s="247"/>
      <c r="X104" s="247"/>
      <c r="Y104" s="247"/>
      <c r="Z104" s="247"/>
      <c r="AA104" s="247"/>
      <c r="AB104" s="247"/>
      <c r="AC104" s="247"/>
    </row>
    <row r="105">
      <c r="A105" s="247"/>
      <c r="B105" s="247"/>
      <c r="C105" s="247"/>
      <c r="D105" s="249"/>
      <c r="E105" s="250"/>
      <c r="F105" s="248"/>
      <c r="G105" s="248"/>
      <c r="H105" s="251"/>
      <c r="I105" s="247"/>
      <c r="J105" s="247"/>
      <c r="K105" s="247"/>
      <c r="L105" s="247"/>
      <c r="M105" s="247"/>
      <c r="N105" s="247"/>
      <c r="O105" s="247"/>
      <c r="P105" s="247"/>
      <c r="Q105" s="247"/>
      <c r="R105" s="247"/>
      <c r="S105" s="247"/>
      <c r="T105" s="247"/>
      <c r="U105" s="247"/>
      <c r="V105" s="247"/>
      <c r="W105" s="247"/>
      <c r="X105" s="247"/>
      <c r="Y105" s="247"/>
      <c r="Z105" s="247"/>
      <c r="AA105" s="247"/>
      <c r="AB105" s="247"/>
      <c r="AC105" s="247"/>
    </row>
    <row r="106">
      <c r="A106" s="247"/>
      <c r="B106" s="247"/>
      <c r="C106" s="247"/>
      <c r="D106" s="249"/>
      <c r="E106" s="250"/>
      <c r="F106" s="248"/>
      <c r="G106" s="248"/>
      <c r="H106" s="251"/>
      <c r="I106" s="247"/>
      <c r="J106" s="247"/>
      <c r="K106" s="247"/>
      <c r="L106" s="247"/>
      <c r="M106" s="247"/>
      <c r="N106" s="247"/>
      <c r="O106" s="247"/>
      <c r="P106" s="247"/>
      <c r="Q106" s="247"/>
      <c r="R106" s="247"/>
      <c r="S106" s="247"/>
      <c r="T106" s="247"/>
      <c r="U106" s="247"/>
      <c r="V106" s="247"/>
      <c r="W106" s="247"/>
      <c r="X106" s="247"/>
      <c r="Y106" s="247"/>
      <c r="Z106" s="247"/>
      <c r="AA106" s="247"/>
      <c r="AB106" s="247"/>
      <c r="AC106" s="247"/>
    </row>
    <row r="107">
      <c r="A107" s="247"/>
      <c r="B107" s="247"/>
      <c r="C107" s="247"/>
      <c r="D107" s="249"/>
      <c r="E107" s="250"/>
      <c r="F107" s="248"/>
      <c r="G107" s="248"/>
      <c r="H107" s="251"/>
      <c r="I107" s="247"/>
      <c r="J107" s="247"/>
      <c r="K107" s="247"/>
      <c r="L107" s="247"/>
      <c r="M107" s="247"/>
      <c r="N107" s="247"/>
      <c r="O107" s="247"/>
      <c r="P107" s="247"/>
      <c r="Q107" s="247"/>
      <c r="R107" s="247"/>
      <c r="S107" s="247"/>
      <c r="T107" s="247"/>
      <c r="U107" s="247"/>
      <c r="V107" s="247"/>
      <c r="W107" s="247"/>
      <c r="X107" s="247"/>
      <c r="Y107" s="247"/>
      <c r="Z107" s="247"/>
      <c r="AA107" s="247"/>
      <c r="AB107" s="247"/>
      <c r="AC107" s="247"/>
    </row>
    <row r="108">
      <c r="A108" s="247"/>
      <c r="B108" s="247"/>
      <c r="C108" s="247"/>
      <c r="D108" s="249"/>
      <c r="E108" s="250"/>
      <c r="F108" s="248"/>
      <c r="G108" s="248"/>
      <c r="H108" s="251"/>
      <c r="I108" s="247"/>
      <c r="J108" s="247"/>
      <c r="K108" s="247"/>
      <c r="L108" s="247"/>
      <c r="M108" s="247"/>
      <c r="N108" s="247"/>
      <c r="O108" s="247"/>
      <c r="P108" s="247"/>
      <c r="Q108" s="247"/>
      <c r="R108" s="247"/>
      <c r="S108" s="247"/>
      <c r="T108" s="247"/>
      <c r="U108" s="247"/>
      <c r="V108" s="247"/>
      <c r="W108" s="247"/>
      <c r="X108" s="247"/>
      <c r="Y108" s="247"/>
      <c r="Z108" s="247"/>
      <c r="AA108" s="247"/>
      <c r="AB108" s="247"/>
      <c r="AC108" s="247"/>
    </row>
    <row r="109">
      <c r="A109" s="247"/>
      <c r="B109" s="247"/>
      <c r="C109" s="247"/>
      <c r="D109" s="249"/>
      <c r="E109" s="250"/>
      <c r="F109" s="248"/>
      <c r="G109" s="248"/>
      <c r="H109" s="251"/>
      <c r="I109" s="247"/>
      <c r="J109" s="247"/>
      <c r="K109" s="247"/>
      <c r="L109" s="247"/>
      <c r="M109" s="247"/>
      <c r="N109" s="247"/>
      <c r="O109" s="247"/>
      <c r="P109" s="247"/>
      <c r="Q109" s="247"/>
      <c r="R109" s="247"/>
      <c r="S109" s="247"/>
      <c r="T109" s="247"/>
      <c r="U109" s="247"/>
      <c r="V109" s="247"/>
      <c r="W109" s="247"/>
      <c r="X109" s="247"/>
      <c r="Y109" s="247"/>
      <c r="Z109" s="247"/>
      <c r="AA109" s="247"/>
      <c r="AB109" s="247"/>
      <c r="AC109" s="247"/>
    </row>
    <row r="110">
      <c r="A110" s="247"/>
      <c r="B110" s="247"/>
      <c r="C110" s="247"/>
      <c r="D110" s="249"/>
      <c r="E110" s="250"/>
      <c r="F110" s="248"/>
      <c r="G110" s="248"/>
      <c r="H110" s="251"/>
      <c r="I110" s="247"/>
      <c r="J110" s="247"/>
      <c r="K110" s="247"/>
      <c r="L110" s="247"/>
      <c r="M110" s="247"/>
      <c r="N110" s="247"/>
      <c r="O110" s="247"/>
      <c r="P110" s="247"/>
      <c r="Q110" s="247"/>
      <c r="R110" s="247"/>
      <c r="S110" s="247"/>
      <c r="T110" s="247"/>
      <c r="U110" s="247"/>
      <c r="V110" s="247"/>
      <c r="W110" s="247"/>
      <c r="X110" s="247"/>
      <c r="Y110" s="247"/>
      <c r="Z110" s="247"/>
      <c r="AA110" s="247"/>
      <c r="AB110" s="247"/>
      <c r="AC110" s="247"/>
    </row>
    <row r="111">
      <c r="A111" s="247"/>
      <c r="B111" s="247"/>
      <c r="C111" s="247"/>
      <c r="D111" s="249"/>
      <c r="E111" s="250"/>
      <c r="F111" s="248"/>
      <c r="G111" s="248"/>
      <c r="H111" s="251"/>
      <c r="I111" s="247"/>
      <c r="J111" s="247"/>
      <c r="K111" s="247"/>
      <c r="L111" s="247"/>
      <c r="M111" s="247"/>
      <c r="N111" s="247"/>
      <c r="O111" s="247"/>
      <c r="P111" s="247"/>
      <c r="Q111" s="247"/>
      <c r="R111" s="247"/>
      <c r="S111" s="247"/>
      <c r="T111" s="247"/>
      <c r="U111" s="247"/>
      <c r="V111" s="247"/>
      <c r="W111" s="247"/>
      <c r="X111" s="247"/>
      <c r="Y111" s="247"/>
      <c r="Z111" s="247"/>
      <c r="AA111" s="247"/>
      <c r="AB111" s="247"/>
      <c r="AC111" s="247"/>
    </row>
    <row r="112">
      <c r="A112" s="247"/>
      <c r="B112" s="247"/>
      <c r="C112" s="247"/>
      <c r="D112" s="249"/>
      <c r="E112" s="250"/>
      <c r="F112" s="248"/>
      <c r="G112" s="248"/>
      <c r="H112" s="251"/>
      <c r="I112" s="247"/>
      <c r="J112" s="247"/>
      <c r="K112" s="247"/>
      <c r="L112" s="247"/>
      <c r="M112" s="247"/>
      <c r="N112" s="247"/>
      <c r="O112" s="247"/>
      <c r="P112" s="247"/>
      <c r="Q112" s="247"/>
      <c r="R112" s="247"/>
      <c r="S112" s="247"/>
      <c r="T112" s="247"/>
      <c r="U112" s="247"/>
      <c r="V112" s="247"/>
      <c r="W112" s="247"/>
      <c r="X112" s="247"/>
      <c r="Y112" s="247"/>
      <c r="Z112" s="247"/>
      <c r="AA112" s="247"/>
      <c r="AB112" s="247"/>
      <c r="AC112" s="247"/>
    </row>
    <row r="113">
      <c r="A113" s="247"/>
      <c r="B113" s="247"/>
      <c r="C113" s="247"/>
      <c r="D113" s="249"/>
      <c r="E113" s="250"/>
      <c r="F113" s="248"/>
      <c r="G113" s="248"/>
      <c r="H113" s="251"/>
      <c r="I113" s="247"/>
      <c r="J113" s="247"/>
      <c r="K113" s="247"/>
      <c r="L113" s="247"/>
      <c r="M113" s="247"/>
      <c r="N113" s="247"/>
      <c r="O113" s="247"/>
      <c r="P113" s="247"/>
      <c r="Q113" s="247"/>
      <c r="R113" s="247"/>
      <c r="S113" s="247"/>
      <c r="T113" s="247"/>
      <c r="U113" s="247"/>
      <c r="V113" s="247"/>
      <c r="W113" s="247"/>
      <c r="X113" s="247"/>
      <c r="Y113" s="247"/>
      <c r="Z113" s="247"/>
      <c r="AA113" s="247"/>
      <c r="AB113" s="247"/>
      <c r="AC113" s="247"/>
    </row>
    <row r="114">
      <c r="A114" s="247"/>
      <c r="B114" s="247"/>
      <c r="C114" s="247"/>
      <c r="D114" s="249"/>
      <c r="E114" s="250"/>
      <c r="F114" s="248"/>
      <c r="G114" s="248"/>
      <c r="H114" s="251"/>
      <c r="I114" s="247"/>
      <c r="J114" s="247"/>
      <c r="K114" s="247"/>
      <c r="L114" s="247"/>
      <c r="M114" s="247"/>
      <c r="N114" s="247"/>
      <c r="O114" s="247"/>
      <c r="P114" s="247"/>
      <c r="Q114" s="247"/>
      <c r="R114" s="247"/>
      <c r="S114" s="247"/>
      <c r="T114" s="247"/>
      <c r="U114" s="247"/>
      <c r="V114" s="247"/>
      <c r="W114" s="247"/>
      <c r="X114" s="247"/>
      <c r="Y114" s="247"/>
      <c r="Z114" s="247"/>
      <c r="AA114" s="247"/>
      <c r="AB114" s="247"/>
      <c r="AC114" s="247"/>
    </row>
    <row r="115">
      <c r="A115" s="247"/>
      <c r="B115" s="247"/>
      <c r="C115" s="247"/>
      <c r="D115" s="249"/>
      <c r="E115" s="250"/>
      <c r="F115" s="248"/>
      <c r="G115" s="248"/>
      <c r="H115" s="251"/>
      <c r="I115" s="247"/>
      <c r="J115" s="247"/>
      <c r="K115" s="247"/>
      <c r="L115" s="247"/>
      <c r="M115" s="247"/>
      <c r="N115" s="247"/>
      <c r="O115" s="247"/>
      <c r="P115" s="247"/>
      <c r="Q115" s="247"/>
      <c r="R115" s="247"/>
      <c r="S115" s="247"/>
      <c r="T115" s="247"/>
      <c r="U115" s="247"/>
      <c r="V115" s="247"/>
      <c r="W115" s="247"/>
      <c r="X115" s="247"/>
      <c r="Y115" s="247"/>
      <c r="Z115" s="247"/>
      <c r="AA115" s="247"/>
      <c r="AB115" s="247"/>
      <c r="AC115" s="247"/>
    </row>
    <row r="116">
      <c r="A116" s="247"/>
      <c r="B116" s="247"/>
      <c r="C116" s="247"/>
      <c r="D116" s="249"/>
      <c r="E116" s="250"/>
      <c r="F116" s="248"/>
      <c r="G116" s="248"/>
      <c r="H116" s="251"/>
      <c r="I116" s="247"/>
      <c r="J116" s="247"/>
      <c r="K116" s="247"/>
      <c r="L116" s="247"/>
      <c r="M116" s="247"/>
      <c r="N116" s="247"/>
      <c r="O116" s="247"/>
      <c r="P116" s="247"/>
      <c r="Q116" s="247"/>
      <c r="R116" s="247"/>
      <c r="S116" s="247"/>
      <c r="T116" s="247"/>
      <c r="U116" s="247"/>
      <c r="V116" s="247"/>
      <c r="W116" s="247"/>
      <c r="X116" s="247"/>
      <c r="Y116" s="247"/>
      <c r="Z116" s="247"/>
      <c r="AA116" s="247"/>
      <c r="AB116" s="247"/>
      <c r="AC116" s="247"/>
    </row>
    <row r="117">
      <c r="A117" s="247"/>
      <c r="B117" s="247"/>
      <c r="C117" s="247"/>
      <c r="D117" s="249"/>
      <c r="E117" s="250"/>
      <c r="F117" s="248"/>
      <c r="G117" s="248"/>
      <c r="H117" s="251"/>
      <c r="I117" s="247"/>
      <c r="J117" s="247"/>
      <c r="K117" s="247"/>
      <c r="L117" s="247"/>
      <c r="M117" s="247"/>
      <c r="N117" s="247"/>
      <c r="O117" s="247"/>
      <c r="P117" s="247"/>
      <c r="Q117" s="247"/>
      <c r="R117" s="247"/>
      <c r="S117" s="247"/>
      <c r="T117" s="247"/>
      <c r="U117" s="247"/>
      <c r="V117" s="247"/>
      <c r="W117" s="247"/>
      <c r="X117" s="247"/>
      <c r="Y117" s="247"/>
      <c r="Z117" s="247"/>
      <c r="AA117" s="247"/>
      <c r="AB117" s="247"/>
      <c r="AC117" s="247"/>
    </row>
    <row r="118">
      <c r="A118" s="247"/>
      <c r="B118" s="247"/>
      <c r="C118" s="247"/>
      <c r="D118" s="249"/>
      <c r="E118" s="250"/>
      <c r="F118" s="248"/>
      <c r="G118" s="248"/>
      <c r="H118" s="251"/>
      <c r="I118" s="247"/>
      <c r="J118" s="247"/>
      <c r="K118" s="247"/>
      <c r="L118" s="247"/>
      <c r="M118" s="247"/>
      <c r="N118" s="247"/>
      <c r="O118" s="247"/>
      <c r="P118" s="247"/>
      <c r="Q118" s="247"/>
      <c r="R118" s="247"/>
      <c r="S118" s="247"/>
      <c r="T118" s="247"/>
      <c r="U118" s="247"/>
      <c r="V118" s="247"/>
      <c r="W118" s="247"/>
      <c r="X118" s="247"/>
      <c r="Y118" s="247"/>
      <c r="Z118" s="247"/>
      <c r="AA118" s="247"/>
      <c r="AB118" s="247"/>
      <c r="AC118" s="247"/>
    </row>
    <row r="119">
      <c r="A119" s="247"/>
      <c r="B119" s="247"/>
      <c r="C119" s="247"/>
      <c r="D119" s="249"/>
      <c r="E119" s="250"/>
      <c r="F119" s="248"/>
      <c r="G119" s="248"/>
      <c r="H119" s="251"/>
      <c r="I119" s="247"/>
      <c r="J119" s="247"/>
      <c r="K119" s="247"/>
      <c r="L119" s="247"/>
      <c r="M119" s="247"/>
      <c r="N119" s="247"/>
      <c r="O119" s="247"/>
      <c r="P119" s="247"/>
      <c r="Q119" s="247"/>
      <c r="R119" s="247"/>
      <c r="S119" s="247"/>
      <c r="T119" s="247"/>
      <c r="U119" s="247"/>
      <c r="V119" s="247"/>
      <c r="W119" s="247"/>
      <c r="X119" s="247"/>
      <c r="Y119" s="247"/>
      <c r="Z119" s="247"/>
      <c r="AA119" s="247"/>
      <c r="AB119" s="247"/>
      <c r="AC119" s="247"/>
    </row>
    <row r="120">
      <c r="A120" s="247"/>
      <c r="B120" s="247"/>
      <c r="C120" s="247"/>
      <c r="D120" s="249"/>
      <c r="E120" s="250"/>
      <c r="F120" s="248"/>
      <c r="G120" s="248"/>
      <c r="H120" s="251"/>
      <c r="I120" s="247"/>
      <c r="J120" s="247"/>
      <c r="K120" s="247"/>
      <c r="L120" s="247"/>
      <c r="M120" s="247"/>
      <c r="N120" s="247"/>
      <c r="O120" s="247"/>
      <c r="P120" s="247"/>
      <c r="Q120" s="247"/>
      <c r="R120" s="247"/>
      <c r="S120" s="247"/>
      <c r="T120" s="247"/>
      <c r="U120" s="247"/>
      <c r="V120" s="247"/>
      <c r="W120" s="247"/>
      <c r="X120" s="247"/>
      <c r="Y120" s="247"/>
      <c r="Z120" s="247"/>
      <c r="AA120" s="247"/>
      <c r="AB120" s="247"/>
      <c r="AC120" s="247"/>
    </row>
    <row r="121">
      <c r="A121" s="247"/>
      <c r="B121" s="247"/>
      <c r="C121" s="247"/>
      <c r="D121" s="249"/>
      <c r="E121" s="250"/>
      <c r="F121" s="248"/>
      <c r="G121" s="248"/>
      <c r="H121" s="251"/>
      <c r="I121" s="247"/>
      <c r="J121" s="247"/>
      <c r="K121" s="247"/>
      <c r="L121" s="247"/>
      <c r="M121" s="247"/>
      <c r="N121" s="247"/>
      <c r="O121" s="247"/>
      <c r="P121" s="247"/>
      <c r="Q121" s="247"/>
      <c r="R121" s="247"/>
      <c r="S121" s="247"/>
      <c r="T121" s="247"/>
      <c r="U121" s="247"/>
      <c r="V121" s="247"/>
      <c r="W121" s="247"/>
      <c r="X121" s="247"/>
      <c r="Y121" s="247"/>
      <c r="Z121" s="247"/>
      <c r="AA121" s="247"/>
      <c r="AB121" s="247"/>
      <c r="AC121" s="247"/>
    </row>
    <row r="122">
      <c r="A122" s="247"/>
      <c r="B122" s="247"/>
      <c r="C122" s="247"/>
      <c r="D122" s="249"/>
      <c r="E122" s="250"/>
      <c r="F122" s="248"/>
      <c r="G122" s="248"/>
      <c r="H122" s="251"/>
      <c r="I122" s="247"/>
      <c r="J122" s="247"/>
      <c r="K122" s="247"/>
      <c r="L122" s="247"/>
      <c r="M122" s="247"/>
      <c r="N122" s="247"/>
      <c r="O122" s="247"/>
      <c r="P122" s="247"/>
      <c r="Q122" s="247"/>
      <c r="R122" s="247"/>
      <c r="S122" s="247"/>
      <c r="T122" s="247"/>
      <c r="U122" s="247"/>
      <c r="V122" s="247"/>
      <c r="W122" s="247"/>
      <c r="X122" s="247"/>
      <c r="Y122" s="247"/>
      <c r="Z122" s="247"/>
      <c r="AA122" s="247"/>
      <c r="AB122" s="247"/>
      <c r="AC122" s="247"/>
    </row>
    <row r="123">
      <c r="A123" s="247"/>
      <c r="B123" s="247"/>
      <c r="C123" s="247"/>
      <c r="D123" s="249"/>
      <c r="E123" s="250"/>
      <c r="F123" s="248"/>
      <c r="G123" s="248"/>
      <c r="H123" s="251"/>
      <c r="I123" s="247"/>
      <c r="J123" s="247"/>
      <c r="K123" s="247"/>
      <c r="L123" s="247"/>
      <c r="M123" s="247"/>
      <c r="N123" s="247"/>
      <c r="O123" s="247"/>
      <c r="P123" s="247"/>
      <c r="Q123" s="247"/>
      <c r="R123" s="247"/>
      <c r="S123" s="247"/>
      <c r="T123" s="247"/>
      <c r="U123" s="247"/>
      <c r="V123" s="247"/>
      <c r="W123" s="247"/>
      <c r="X123" s="247"/>
      <c r="Y123" s="247"/>
      <c r="Z123" s="247"/>
      <c r="AA123" s="247"/>
      <c r="AB123" s="247"/>
      <c r="AC123" s="247"/>
    </row>
    <row r="124">
      <c r="A124" s="247"/>
      <c r="B124" s="247"/>
      <c r="C124" s="247"/>
      <c r="D124" s="249"/>
      <c r="E124" s="250"/>
      <c r="F124" s="248"/>
      <c r="G124" s="248"/>
      <c r="H124" s="251"/>
      <c r="I124" s="247"/>
      <c r="J124" s="247"/>
      <c r="K124" s="247"/>
      <c r="L124" s="247"/>
      <c r="M124" s="247"/>
      <c r="N124" s="247"/>
      <c r="O124" s="247"/>
      <c r="P124" s="247"/>
      <c r="Q124" s="247"/>
      <c r="R124" s="247"/>
      <c r="S124" s="247"/>
      <c r="T124" s="247"/>
      <c r="U124" s="247"/>
      <c r="V124" s="247"/>
      <c r="W124" s="247"/>
      <c r="X124" s="247"/>
      <c r="Y124" s="247"/>
      <c r="Z124" s="247"/>
      <c r="AA124" s="247"/>
      <c r="AB124" s="247"/>
      <c r="AC124" s="247"/>
    </row>
    <row r="125">
      <c r="A125" s="247"/>
      <c r="B125" s="247"/>
      <c r="C125" s="247"/>
      <c r="D125" s="249"/>
      <c r="E125" s="250"/>
      <c r="F125" s="248"/>
      <c r="G125" s="248"/>
      <c r="H125" s="251"/>
      <c r="I125" s="247"/>
      <c r="J125" s="247"/>
      <c r="K125" s="247"/>
      <c r="L125" s="247"/>
      <c r="M125" s="247"/>
      <c r="N125" s="247"/>
      <c r="O125" s="247"/>
      <c r="P125" s="247"/>
      <c r="Q125" s="247"/>
      <c r="R125" s="247"/>
      <c r="S125" s="247"/>
      <c r="T125" s="247"/>
      <c r="U125" s="247"/>
      <c r="V125" s="247"/>
      <c r="W125" s="247"/>
      <c r="X125" s="247"/>
      <c r="Y125" s="247"/>
      <c r="Z125" s="247"/>
      <c r="AA125" s="247"/>
      <c r="AB125" s="247"/>
      <c r="AC125" s="247"/>
    </row>
    <row r="126">
      <c r="A126" s="247"/>
      <c r="B126" s="247"/>
      <c r="C126" s="247"/>
      <c r="D126" s="249"/>
      <c r="E126" s="250"/>
      <c r="F126" s="248"/>
      <c r="G126" s="248"/>
      <c r="H126" s="251"/>
      <c r="I126" s="247"/>
      <c r="J126" s="247"/>
      <c r="K126" s="247"/>
      <c r="L126" s="247"/>
      <c r="M126" s="247"/>
      <c r="N126" s="247"/>
      <c r="O126" s="247"/>
      <c r="P126" s="247"/>
      <c r="Q126" s="247"/>
      <c r="R126" s="247"/>
      <c r="S126" s="247"/>
      <c r="T126" s="247"/>
      <c r="U126" s="247"/>
      <c r="V126" s="247"/>
      <c r="W126" s="247"/>
      <c r="X126" s="247"/>
      <c r="Y126" s="247"/>
      <c r="Z126" s="247"/>
      <c r="AA126" s="247"/>
      <c r="AB126" s="247"/>
      <c r="AC126" s="247"/>
    </row>
    <row r="127">
      <c r="A127" s="247"/>
      <c r="B127" s="247"/>
      <c r="C127" s="247"/>
      <c r="D127" s="249"/>
      <c r="E127" s="250"/>
      <c r="F127" s="248"/>
      <c r="G127" s="248"/>
      <c r="H127" s="251"/>
      <c r="I127" s="247"/>
      <c r="J127" s="247"/>
      <c r="K127" s="247"/>
      <c r="L127" s="247"/>
      <c r="M127" s="247"/>
      <c r="N127" s="247"/>
      <c r="O127" s="247"/>
      <c r="P127" s="247"/>
      <c r="Q127" s="247"/>
      <c r="R127" s="247"/>
      <c r="S127" s="247"/>
      <c r="T127" s="247"/>
      <c r="U127" s="247"/>
      <c r="V127" s="247"/>
      <c r="W127" s="247"/>
      <c r="X127" s="247"/>
      <c r="Y127" s="247"/>
      <c r="Z127" s="247"/>
      <c r="AA127" s="247"/>
      <c r="AB127" s="247"/>
      <c r="AC127" s="247"/>
    </row>
    <row r="128">
      <c r="A128" s="247"/>
      <c r="B128" s="247"/>
      <c r="C128" s="247"/>
      <c r="D128" s="249"/>
      <c r="E128" s="250"/>
      <c r="F128" s="248"/>
      <c r="G128" s="248"/>
      <c r="H128" s="251"/>
      <c r="I128" s="247"/>
      <c r="J128" s="247"/>
      <c r="K128" s="247"/>
      <c r="L128" s="247"/>
      <c r="M128" s="247"/>
      <c r="N128" s="247"/>
      <c r="O128" s="247"/>
      <c r="P128" s="247"/>
      <c r="Q128" s="247"/>
      <c r="R128" s="247"/>
      <c r="S128" s="247"/>
      <c r="T128" s="247"/>
      <c r="U128" s="247"/>
      <c r="V128" s="247"/>
      <c r="W128" s="247"/>
      <c r="X128" s="247"/>
      <c r="Y128" s="247"/>
      <c r="Z128" s="247"/>
      <c r="AA128" s="247"/>
      <c r="AB128" s="247"/>
      <c r="AC128" s="247"/>
    </row>
    <row r="129">
      <c r="A129" s="247"/>
      <c r="B129" s="247"/>
      <c r="C129" s="247"/>
      <c r="D129" s="249"/>
      <c r="E129" s="250"/>
      <c r="F129" s="248"/>
      <c r="G129" s="248"/>
      <c r="H129" s="251"/>
      <c r="I129" s="247"/>
      <c r="J129" s="247"/>
      <c r="K129" s="247"/>
      <c r="L129" s="247"/>
      <c r="M129" s="247"/>
      <c r="N129" s="247"/>
      <c r="O129" s="247"/>
      <c r="P129" s="247"/>
      <c r="Q129" s="247"/>
      <c r="R129" s="247"/>
      <c r="S129" s="247"/>
      <c r="T129" s="247"/>
      <c r="U129" s="247"/>
      <c r="V129" s="247"/>
      <c r="W129" s="247"/>
      <c r="X129" s="247"/>
      <c r="Y129" s="247"/>
      <c r="Z129" s="247"/>
      <c r="AA129" s="247"/>
      <c r="AB129" s="247"/>
      <c r="AC129" s="247"/>
    </row>
    <row r="130">
      <c r="A130" s="247"/>
      <c r="B130" s="247"/>
      <c r="C130" s="247"/>
      <c r="D130" s="249"/>
      <c r="E130" s="250"/>
      <c r="F130" s="248"/>
      <c r="G130" s="248"/>
      <c r="H130" s="251"/>
      <c r="I130" s="247"/>
      <c r="J130" s="247"/>
      <c r="K130" s="247"/>
      <c r="L130" s="247"/>
      <c r="M130" s="247"/>
      <c r="N130" s="247"/>
      <c r="O130" s="247"/>
      <c r="P130" s="247"/>
      <c r="Q130" s="247"/>
      <c r="R130" s="247"/>
      <c r="S130" s="247"/>
      <c r="T130" s="247"/>
      <c r="U130" s="247"/>
      <c r="V130" s="247"/>
      <c r="W130" s="247"/>
      <c r="X130" s="247"/>
      <c r="Y130" s="247"/>
      <c r="Z130" s="247"/>
      <c r="AA130" s="247"/>
      <c r="AB130" s="247"/>
      <c r="AC130" s="247"/>
    </row>
    <row r="131">
      <c r="A131" s="247"/>
      <c r="B131" s="247"/>
      <c r="C131" s="247"/>
      <c r="D131" s="249"/>
      <c r="E131" s="250"/>
      <c r="F131" s="248"/>
      <c r="G131" s="248"/>
      <c r="H131" s="251"/>
      <c r="I131" s="247"/>
      <c r="J131" s="247"/>
      <c r="K131" s="247"/>
      <c r="L131" s="247"/>
      <c r="M131" s="247"/>
      <c r="N131" s="247"/>
      <c r="O131" s="247"/>
      <c r="P131" s="247"/>
      <c r="Q131" s="247"/>
      <c r="R131" s="247"/>
      <c r="S131" s="247"/>
      <c r="T131" s="247"/>
      <c r="U131" s="247"/>
      <c r="V131" s="247"/>
      <c r="W131" s="247"/>
      <c r="X131" s="247"/>
      <c r="Y131" s="247"/>
      <c r="Z131" s="247"/>
      <c r="AA131" s="247"/>
      <c r="AB131" s="247"/>
      <c r="AC131" s="247"/>
    </row>
    <row r="132">
      <c r="A132" s="247"/>
      <c r="B132" s="247"/>
      <c r="C132" s="247"/>
      <c r="D132" s="249"/>
      <c r="E132" s="250"/>
      <c r="F132" s="248"/>
      <c r="G132" s="248"/>
      <c r="H132" s="251"/>
      <c r="I132" s="247"/>
      <c r="J132" s="247"/>
      <c r="K132" s="247"/>
      <c r="L132" s="247"/>
      <c r="M132" s="247"/>
      <c r="N132" s="247"/>
      <c r="O132" s="247"/>
      <c r="P132" s="247"/>
      <c r="Q132" s="247"/>
      <c r="R132" s="247"/>
      <c r="S132" s="247"/>
      <c r="T132" s="247"/>
      <c r="U132" s="247"/>
      <c r="V132" s="247"/>
      <c r="W132" s="247"/>
      <c r="X132" s="247"/>
      <c r="Y132" s="247"/>
      <c r="Z132" s="247"/>
      <c r="AA132" s="247"/>
      <c r="AB132" s="247"/>
      <c r="AC132" s="247"/>
    </row>
    <row r="133">
      <c r="A133" s="247"/>
      <c r="B133" s="247"/>
      <c r="C133" s="247"/>
      <c r="D133" s="249"/>
      <c r="E133" s="250"/>
      <c r="F133" s="248"/>
      <c r="G133" s="248"/>
      <c r="H133" s="251"/>
      <c r="I133" s="247"/>
      <c r="J133" s="247"/>
      <c r="K133" s="247"/>
      <c r="L133" s="247"/>
      <c r="M133" s="247"/>
      <c r="N133" s="247"/>
      <c r="O133" s="247"/>
      <c r="P133" s="247"/>
      <c r="Q133" s="247"/>
      <c r="R133" s="247"/>
      <c r="S133" s="247"/>
      <c r="T133" s="247"/>
      <c r="U133" s="247"/>
      <c r="V133" s="247"/>
      <c r="W133" s="247"/>
      <c r="X133" s="247"/>
      <c r="Y133" s="247"/>
      <c r="Z133" s="247"/>
      <c r="AA133" s="247"/>
      <c r="AB133" s="247"/>
      <c r="AC133" s="247"/>
    </row>
    <row r="134">
      <c r="A134" s="247"/>
      <c r="B134" s="247"/>
      <c r="C134" s="247"/>
      <c r="D134" s="249"/>
      <c r="E134" s="250"/>
      <c r="F134" s="248"/>
      <c r="G134" s="248"/>
      <c r="H134" s="251"/>
      <c r="I134" s="247"/>
      <c r="J134" s="247"/>
      <c r="K134" s="247"/>
      <c r="L134" s="247"/>
      <c r="M134" s="247"/>
      <c r="N134" s="247"/>
      <c r="O134" s="247"/>
      <c r="P134" s="247"/>
      <c r="Q134" s="247"/>
      <c r="R134" s="247"/>
      <c r="S134" s="247"/>
      <c r="T134" s="247"/>
      <c r="U134" s="247"/>
      <c r="V134" s="247"/>
      <c r="W134" s="247"/>
      <c r="X134" s="247"/>
      <c r="Y134" s="247"/>
      <c r="Z134" s="247"/>
      <c r="AA134" s="247"/>
      <c r="AB134" s="247"/>
      <c r="AC134" s="247"/>
    </row>
    <row r="135">
      <c r="A135" s="247"/>
      <c r="B135" s="247"/>
      <c r="C135" s="247"/>
      <c r="D135" s="249"/>
      <c r="E135" s="250"/>
      <c r="F135" s="248"/>
      <c r="G135" s="248"/>
      <c r="H135" s="251"/>
      <c r="I135" s="247"/>
      <c r="J135" s="247"/>
      <c r="K135" s="247"/>
      <c r="L135" s="247"/>
      <c r="M135" s="247"/>
      <c r="N135" s="247"/>
      <c r="O135" s="247"/>
      <c r="P135" s="247"/>
      <c r="Q135" s="247"/>
      <c r="R135" s="247"/>
      <c r="S135" s="247"/>
      <c r="T135" s="247"/>
      <c r="U135" s="247"/>
      <c r="V135" s="247"/>
      <c r="W135" s="247"/>
      <c r="X135" s="247"/>
      <c r="Y135" s="247"/>
      <c r="Z135" s="247"/>
      <c r="AA135" s="247"/>
      <c r="AB135" s="247"/>
      <c r="AC135" s="247"/>
    </row>
    <row r="136">
      <c r="A136" s="247"/>
      <c r="B136" s="247"/>
      <c r="C136" s="247"/>
      <c r="D136" s="249"/>
      <c r="E136" s="250"/>
      <c r="F136" s="248"/>
      <c r="G136" s="248"/>
      <c r="H136" s="251"/>
      <c r="I136" s="247"/>
      <c r="J136" s="247"/>
      <c r="K136" s="247"/>
      <c r="L136" s="247"/>
      <c r="M136" s="247"/>
      <c r="N136" s="247"/>
      <c r="O136" s="247"/>
      <c r="P136" s="247"/>
      <c r="Q136" s="247"/>
      <c r="R136" s="247"/>
      <c r="S136" s="247"/>
      <c r="T136" s="247"/>
      <c r="U136" s="247"/>
      <c r="V136" s="247"/>
      <c r="W136" s="247"/>
      <c r="X136" s="247"/>
      <c r="Y136" s="247"/>
      <c r="Z136" s="247"/>
      <c r="AA136" s="247"/>
      <c r="AB136" s="247"/>
      <c r="AC136" s="247"/>
    </row>
    <row r="137">
      <c r="A137" s="247"/>
      <c r="B137" s="247"/>
      <c r="C137" s="247"/>
      <c r="D137" s="249"/>
      <c r="E137" s="250"/>
      <c r="F137" s="248"/>
      <c r="G137" s="248"/>
      <c r="H137" s="251"/>
      <c r="I137" s="247"/>
      <c r="J137" s="247"/>
      <c r="K137" s="247"/>
      <c r="L137" s="247"/>
      <c r="M137" s="247"/>
      <c r="N137" s="247"/>
      <c r="O137" s="247"/>
      <c r="P137" s="247"/>
      <c r="Q137" s="247"/>
      <c r="R137" s="247"/>
      <c r="S137" s="247"/>
      <c r="T137" s="247"/>
      <c r="U137" s="247"/>
      <c r="V137" s="247"/>
      <c r="W137" s="247"/>
      <c r="X137" s="247"/>
      <c r="Y137" s="247"/>
      <c r="Z137" s="247"/>
      <c r="AA137" s="247"/>
      <c r="AB137" s="247"/>
      <c r="AC137" s="247"/>
    </row>
    <row r="138">
      <c r="A138" s="247"/>
      <c r="B138" s="247"/>
      <c r="C138" s="247"/>
      <c r="D138" s="249"/>
      <c r="E138" s="250"/>
      <c r="F138" s="248"/>
      <c r="G138" s="248"/>
      <c r="H138" s="251"/>
      <c r="I138" s="247"/>
      <c r="J138" s="247"/>
      <c r="K138" s="247"/>
      <c r="L138" s="247"/>
      <c r="M138" s="247"/>
      <c r="N138" s="247"/>
      <c r="O138" s="247"/>
      <c r="P138" s="247"/>
      <c r="Q138" s="247"/>
      <c r="R138" s="247"/>
      <c r="S138" s="247"/>
      <c r="T138" s="247"/>
      <c r="U138" s="247"/>
      <c r="V138" s="247"/>
      <c r="W138" s="247"/>
      <c r="X138" s="247"/>
      <c r="Y138" s="247"/>
      <c r="Z138" s="247"/>
      <c r="AA138" s="247"/>
      <c r="AB138" s="247"/>
      <c r="AC138" s="247"/>
    </row>
    <row r="139">
      <c r="A139" s="247"/>
      <c r="B139" s="247"/>
      <c r="C139" s="247"/>
      <c r="D139" s="249"/>
      <c r="E139" s="250"/>
      <c r="F139" s="248"/>
      <c r="G139" s="248"/>
      <c r="H139" s="251"/>
      <c r="I139" s="247"/>
      <c r="J139" s="247"/>
      <c r="K139" s="247"/>
      <c r="L139" s="247"/>
      <c r="M139" s="247"/>
      <c r="N139" s="247"/>
      <c r="O139" s="247"/>
      <c r="P139" s="247"/>
      <c r="Q139" s="247"/>
      <c r="R139" s="247"/>
      <c r="S139" s="247"/>
      <c r="T139" s="247"/>
      <c r="U139" s="247"/>
      <c r="V139" s="247"/>
      <c r="W139" s="247"/>
      <c r="X139" s="247"/>
      <c r="Y139" s="247"/>
      <c r="Z139" s="247"/>
      <c r="AA139" s="247"/>
      <c r="AB139" s="247"/>
      <c r="AC139" s="247"/>
    </row>
    <row r="140">
      <c r="A140" s="247"/>
      <c r="B140" s="247"/>
      <c r="C140" s="247"/>
      <c r="D140" s="249"/>
      <c r="E140" s="250"/>
      <c r="F140" s="248"/>
      <c r="G140" s="248"/>
      <c r="H140" s="251"/>
      <c r="I140" s="247"/>
      <c r="J140" s="247"/>
      <c r="K140" s="247"/>
      <c r="L140" s="247"/>
      <c r="M140" s="247"/>
      <c r="N140" s="247"/>
      <c r="O140" s="247"/>
      <c r="P140" s="247"/>
      <c r="Q140" s="247"/>
      <c r="R140" s="247"/>
      <c r="S140" s="247"/>
      <c r="T140" s="247"/>
      <c r="U140" s="247"/>
      <c r="V140" s="247"/>
      <c r="W140" s="247"/>
      <c r="X140" s="247"/>
      <c r="Y140" s="247"/>
      <c r="Z140" s="247"/>
      <c r="AA140" s="247"/>
      <c r="AB140" s="247"/>
      <c r="AC140" s="247"/>
    </row>
    <row r="141">
      <c r="A141" s="247"/>
      <c r="B141" s="247"/>
      <c r="C141" s="247"/>
      <c r="D141" s="249"/>
      <c r="E141" s="250"/>
      <c r="F141" s="248"/>
      <c r="G141" s="248"/>
      <c r="H141" s="251"/>
      <c r="I141" s="247"/>
      <c r="J141" s="247"/>
      <c r="K141" s="247"/>
      <c r="L141" s="247"/>
      <c r="M141" s="247"/>
      <c r="N141" s="247"/>
      <c r="O141" s="247"/>
      <c r="P141" s="247"/>
      <c r="Q141" s="247"/>
      <c r="R141" s="247"/>
      <c r="S141" s="247"/>
      <c r="T141" s="247"/>
      <c r="U141" s="247"/>
      <c r="V141" s="247"/>
      <c r="W141" s="247"/>
      <c r="X141" s="247"/>
      <c r="Y141" s="247"/>
      <c r="Z141" s="247"/>
      <c r="AA141" s="247"/>
      <c r="AB141" s="247"/>
      <c r="AC141" s="247"/>
    </row>
    <row r="142">
      <c r="A142" s="247"/>
      <c r="B142" s="247"/>
      <c r="C142" s="247"/>
      <c r="D142" s="249"/>
      <c r="E142" s="250"/>
      <c r="F142" s="248"/>
      <c r="G142" s="248"/>
      <c r="H142" s="251"/>
      <c r="I142" s="247"/>
      <c r="J142" s="247"/>
      <c r="K142" s="247"/>
      <c r="L142" s="247"/>
      <c r="M142" s="247"/>
      <c r="N142" s="247"/>
      <c r="O142" s="247"/>
      <c r="P142" s="247"/>
      <c r="Q142" s="247"/>
      <c r="R142" s="247"/>
      <c r="S142" s="247"/>
      <c r="T142" s="247"/>
      <c r="U142" s="247"/>
      <c r="V142" s="247"/>
      <c r="W142" s="247"/>
      <c r="X142" s="247"/>
      <c r="Y142" s="247"/>
      <c r="Z142" s="247"/>
      <c r="AA142" s="247"/>
      <c r="AB142" s="247"/>
      <c r="AC142" s="247"/>
    </row>
    <row r="143">
      <c r="A143" s="247"/>
      <c r="B143" s="247"/>
      <c r="C143" s="247"/>
      <c r="D143" s="249"/>
      <c r="E143" s="250"/>
      <c r="F143" s="248"/>
      <c r="G143" s="248"/>
      <c r="H143" s="251"/>
      <c r="I143" s="247"/>
      <c r="J143" s="247"/>
      <c r="K143" s="247"/>
      <c r="L143" s="247"/>
      <c r="M143" s="247"/>
      <c r="N143" s="247"/>
      <c r="O143" s="247"/>
      <c r="P143" s="247"/>
      <c r="Q143" s="247"/>
      <c r="R143" s="247"/>
      <c r="S143" s="247"/>
      <c r="T143" s="247"/>
      <c r="U143" s="247"/>
      <c r="V143" s="247"/>
      <c r="W143" s="247"/>
      <c r="X143" s="247"/>
      <c r="Y143" s="247"/>
      <c r="Z143" s="247"/>
      <c r="AA143" s="247"/>
      <c r="AB143" s="247"/>
      <c r="AC143" s="247"/>
    </row>
    <row r="144">
      <c r="A144" s="247"/>
      <c r="B144" s="247"/>
      <c r="C144" s="247"/>
      <c r="D144" s="249"/>
      <c r="E144" s="250"/>
      <c r="F144" s="248"/>
      <c r="G144" s="248"/>
      <c r="H144" s="251"/>
      <c r="I144" s="247"/>
      <c r="J144" s="247"/>
      <c r="K144" s="247"/>
      <c r="L144" s="247"/>
      <c r="M144" s="247"/>
      <c r="N144" s="247"/>
      <c r="O144" s="247"/>
      <c r="P144" s="247"/>
      <c r="Q144" s="247"/>
      <c r="R144" s="247"/>
      <c r="S144" s="247"/>
      <c r="T144" s="247"/>
      <c r="U144" s="247"/>
      <c r="V144" s="247"/>
      <c r="W144" s="247"/>
      <c r="X144" s="247"/>
      <c r="Y144" s="247"/>
      <c r="Z144" s="247"/>
      <c r="AA144" s="247"/>
      <c r="AB144" s="247"/>
      <c r="AC144" s="247"/>
    </row>
    <row r="145">
      <c r="A145" s="247"/>
      <c r="B145" s="247"/>
      <c r="C145" s="247"/>
      <c r="D145" s="249"/>
      <c r="E145" s="250"/>
      <c r="F145" s="248"/>
      <c r="G145" s="248"/>
      <c r="H145" s="251"/>
      <c r="I145" s="247"/>
      <c r="J145" s="247"/>
      <c r="K145" s="247"/>
      <c r="L145" s="247"/>
      <c r="M145" s="247"/>
      <c r="N145" s="247"/>
      <c r="O145" s="247"/>
      <c r="P145" s="247"/>
      <c r="Q145" s="247"/>
      <c r="R145" s="247"/>
      <c r="S145" s="247"/>
      <c r="T145" s="247"/>
      <c r="U145" s="247"/>
      <c r="V145" s="247"/>
      <c r="W145" s="247"/>
      <c r="X145" s="247"/>
      <c r="Y145" s="247"/>
      <c r="Z145" s="247"/>
      <c r="AA145" s="247"/>
      <c r="AB145" s="247"/>
      <c r="AC145" s="247"/>
    </row>
    <row r="146">
      <c r="A146" s="247"/>
      <c r="B146" s="247"/>
      <c r="C146" s="247"/>
      <c r="D146" s="249"/>
      <c r="E146" s="250"/>
      <c r="F146" s="248"/>
      <c r="G146" s="248"/>
      <c r="H146" s="251"/>
      <c r="I146" s="247"/>
      <c r="J146" s="247"/>
      <c r="K146" s="247"/>
      <c r="L146" s="247"/>
      <c r="M146" s="247"/>
      <c r="N146" s="247"/>
      <c r="O146" s="247"/>
      <c r="P146" s="247"/>
      <c r="Q146" s="247"/>
      <c r="R146" s="247"/>
      <c r="S146" s="247"/>
      <c r="T146" s="247"/>
      <c r="U146" s="247"/>
      <c r="V146" s="247"/>
      <c r="W146" s="247"/>
      <c r="X146" s="247"/>
      <c r="Y146" s="247"/>
      <c r="Z146" s="247"/>
      <c r="AA146" s="247"/>
      <c r="AB146" s="247"/>
      <c r="AC146" s="247"/>
    </row>
    <row r="147">
      <c r="A147" s="247"/>
      <c r="B147" s="247"/>
      <c r="C147" s="247"/>
      <c r="D147" s="249"/>
      <c r="E147" s="250"/>
      <c r="F147" s="248"/>
      <c r="G147" s="248"/>
      <c r="H147" s="251"/>
      <c r="I147" s="247"/>
      <c r="J147" s="247"/>
      <c r="K147" s="247"/>
      <c r="L147" s="247"/>
      <c r="M147" s="247"/>
      <c r="N147" s="247"/>
      <c r="O147" s="247"/>
      <c r="P147" s="247"/>
      <c r="Q147" s="247"/>
      <c r="R147" s="247"/>
      <c r="S147" s="247"/>
      <c r="T147" s="247"/>
      <c r="U147" s="247"/>
      <c r="V147" s="247"/>
      <c r="W147" s="247"/>
      <c r="X147" s="247"/>
      <c r="Y147" s="247"/>
      <c r="Z147" s="247"/>
      <c r="AA147" s="247"/>
      <c r="AB147" s="247"/>
      <c r="AC147" s="247"/>
    </row>
    <row r="148">
      <c r="A148" s="247"/>
      <c r="B148" s="247"/>
      <c r="C148" s="247"/>
      <c r="D148" s="249"/>
      <c r="E148" s="250"/>
      <c r="F148" s="248"/>
      <c r="G148" s="248"/>
      <c r="H148" s="251"/>
      <c r="I148" s="247"/>
      <c r="J148" s="247"/>
      <c r="K148" s="247"/>
      <c r="L148" s="247"/>
      <c r="M148" s="247"/>
      <c r="N148" s="247"/>
      <c r="O148" s="247"/>
      <c r="P148" s="247"/>
      <c r="Q148" s="247"/>
      <c r="R148" s="247"/>
      <c r="S148" s="247"/>
      <c r="T148" s="247"/>
      <c r="U148" s="247"/>
      <c r="V148" s="247"/>
      <c r="W148" s="247"/>
      <c r="X148" s="247"/>
      <c r="Y148" s="247"/>
      <c r="Z148" s="247"/>
      <c r="AA148" s="247"/>
      <c r="AB148" s="247"/>
      <c r="AC148" s="247"/>
    </row>
    <row r="149">
      <c r="A149" s="247"/>
      <c r="B149" s="247"/>
      <c r="C149" s="247"/>
      <c r="D149" s="249"/>
      <c r="E149" s="250"/>
      <c r="F149" s="248"/>
      <c r="G149" s="248"/>
      <c r="H149" s="251"/>
      <c r="I149" s="247"/>
      <c r="J149" s="247"/>
      <c r="K149" s="247"/>
      <c r="L149" s="247"/>
      <c r="M149" s="247"/>
      <c r="N149" s="247"/>
      <c r="O149" s="247"/>
      <c r="P149" s="247"/>
      <c r="Q149" s="247"/>
      <c r="R149" s="247"/>
      <c r="S149" s="247"/>
      <c r="T149" s="247"/>
      <c r="U149" s="247"/>
      <c r="V149" s="247"/>
      <c r="W149" s="247"/>
      <c r="X149" s="247"/>
      <c r="Y149" s="247"/>
      <c r="Z149" s="247"/>
      <c r="AA149" s="247"/>
      <c r="AB149" s="247"/>
      <c r="AC149" s="247"/>
    </row>
    <row r="150">
      <c r="A150" s="247"/>
      <c r="B150" s="247"/>
      <c r="C150" s="247"/>
      <c r="D150" s="249"/>
      <c r="E150" s="250"/>
      <c r="F150" s="248"/>
      <c r="G150" s="248"/>
      <c r="H150" s="251"/>
      <c r="I150" s="247"/>
      <c r="J150" s="247"/>
      <c r="K150" s="247"/>
      <c r="L150" s="247"/>
      <c r="M150" s="247"/>
      <c r="N150" s="247"/>
      <c r="O150" s="247"/>
      <c r="P150" s="247"/>
      <c r="Q150" s="247"/>
      <c r="R150" s="247"/>
      <c r="S150" s="247"/>
      <c r="T150" s="247"/>
      <c r="U150" s="247"/>
      <c r="V150" s="247"/>
      <c r="W150" s="247"/>
      <c r="X150" s="247"/>
      <c r="Y150" s="247"/>
      <c r="Z150" s="247"/>
      <c r="AA150" s="247"/>
      <c r="AB150" s="247"/>
      <c r="AC150" s="247"/>
    </row>
    <row r="151">
      <c r="A151" s="247"/>
      <c r="B151" s="247"/>
      <c r="C151" s="247"/>
      <c r="D151" s="249"/>
      <c r="E151" s="250"/>
      <c r="F151" s="248"/>
      <c r="G151" s="248"/>
      <c r="H151" s="251"/>
      <c r="I151" s="247"/>
      <c r="J151" s="247"/>
      <c r="K151" s="247"/>
      <c r="L151" s="247"/>
      <c r="M151" s="247"/>
      <c r="N151" s="247"/>
      <c r="O151" s="247"/>
      <c r="P151" s="247"/>
      <c r="Q151" s="247"/>
      <c r="R151" s="247"/>
      <c r="S151" s="247"/>
      <c r="T151" s="247"/>
      <c r="U151" s="247"/>
      <c r="V151" s="247"/>
      <c r="W151" s="247"/>
      <c r="X151" s="247"/>
      <c r="Y151" s="247"/>
      <c r="Z151" s="247"/>
      <c r="AA151" s="247"/>
      <c r="AB151" s="247"/>
      <c r="AC151" s="247"/>
    </row>
    <row r="152">
      <c r="A152" s="247"/>
      <c r="B152" s="247"/>
      <c r="C152" s="247"/>
      <c r="D152" s="249"/>
      <c r="E152" s="250"/>
      <c r="F152" s="248"/>
      <c r="G152" s="248"/>
      <c r="H152" s="251"/>
      <c r="I152" s="247"/>
      <c r="J152" s="247"/>
      <c r="K152" s="247"/>
      <c r="L152" s="247"/>
      <c r="M152" s="247"/>
      <c r="N152" s="247"/>
      <c r="O152" s="247"/>
      <c r="P152" s="247"/>
      <c r="Q152" s="247"/>
      <c r="R152" s="247"/>
      <c r="S152" s="247"/>
      <c r="T152" s="247"/>
      <c r="U152" s="247"/>
      <c r="V152" s="247"/>
      <c r="W152" s="247"/>
      <c r="X152" s="247"/>
      <c r="Y152" s="247"/>
      <c r="Z152" s="247"/>
      <c r="AA152" s="247"/>
      <c r="AB152" s="247"/>
      <c r="AC152" s="247"/>
    </row>
    <row r="153">
      <c r="A153" s="247"/>
      <c r="B153" s="247"/>
      <c r="C153" s="247"/>
      <c r="D153" s="249"/>
      <c r="E153" s="250"/>
      <c r="F153" s="248"/>
      <c r="G153" s="248"/>
      <c r="H153" s="251"/>
      <c r="I153" s="247"/>
      <c r="J153" s="247"/>
      <c r="K153" s="247"/>
      <c r="L153" s="247"/>
      <c r="M153" s="247"/>
      <c r="N153" s="247"/>
      <c r="O153" s="247"/>
      <c r="P153" s="247"/>
      <c r="Q153" s="247"/>
      <c r="R153" s="247"/>
      <c r="S153" s="247"/>
      <c r="T153" s="247"/>
      <c r="U153" s="247"/>
      <c r="V153" s="247"/>
      <c r="W153" s="247"/>
      <c r="X153" s="247"/>
      <c r="Y153" s="247"/>
      <c r="Z153" s="247"/>
      <c r="AA153" s="247"/>
      <c r="AB153" s="247"/>
      <c r="AC153" s="247"/>
    </row>
    <row r="154">
      <c r="A154" s="247"/>
      <c r="B154" s="247"/>
      <c r="C154" s="247"/>
      <c r="D154" s="249"/>
      <c r="E154" s="250"/>
      <c r="F154" s="248"/>
      <c r="G154" s="248"/>
      <c r="H154" s="251"/>
      <c r="I154" s="247"/>
      <c r="J154" s="247"/>
      <c r="K154" s="247"/>
      <c r="L154" s="247"/>
      <c r="M154" s="247"/>
      <c r="N154" s="247"/>
      <c r="O154" s="247"/>
      <c r="P154" s="247"/>
      <c r="Q154" s="247"/>
      <c r="R154" s="247"/>
      <c r="S154" s="247"/>
      <c r="T154" s="247"/>
      <c r="U154" s="247"/>
      <c r="V154" s="247"/>
      <c r="W154" s="247"/>
      <c r="X154" s="247"/>
      <c r="Y154" s="247"/>
      <c r="Z154" s="247"/>
      <c r="AA154" s="247"/>
      <c r="AB154" s="247"/>
      <c r="AC154" s="247"/>
    </row>
    <row r="155">
      <c r="A155" s="247"/>
      <c r="B155" s="247"/>
      <c r="C155" s="247"/>
      <c r="D155" s="249"/>
      <c r="E155" s="250"/>
      <c r="F155" s="248"/>
      <c r="G155" s="248"/>
      <c r="H155" s="251"/>
      <c r="I155" s="247"/>
      <c r="J155" s="247"/>
      <c r="K155" s="247"/>
      <c r="L155" s="247"/>
      <c r="M155" s="247"/>
      <c r="N155" s="247"/>
      <c r="O155" s="247"/>
      <c r="P155" s="247"/>
      <c r="Q155" s="247"/>
      <c r="R155" s="247"/>
      <c r="S155" s="247"/>
      <c r="T155" s="247"/>
      <c r="U155" s="247"/>
      <c r="V155" s="247"/>
      <c r="W155" s="247"/>
      <c r="X155" s="247"/>
      <c r="Y155" s="247"/>
      <c r="Z155" s="247"/>
      <c r="AA155" s="247"/>
      <c r="AB155" s="247"/>
      <c r="AC155" s="247"/>
    </row>
    <row r="156">
      <c r="A156" s="247"/>
      <c r="B156" s="247"/>
      <c r="C156" s="247"/>
      <c r="D156" s="249"/>
      <c r="E156" s="250"/>
      <c r="F156" s="248"/>
      <c r="G156" s="248"/>
      <c r="H156" s="251"/>
      <c r="I156" s="247"/>
      <c r="J156" s="247"/>
      <c r="K156" s="247"/>
      <c r="L156" s="247"/>
      <c r="M156" s="247"/>
      <c r="N156" s="247"/>
      <c r="O156" s="247"/>
      <c r="P156" s="247"/>
      <c r="Q156" s="247"/>
      <c r="R156" s="247"/>
      <c r="S156" s="247"/>
      <c r="T156" s="247"/>
      <c r="U156" s="247"/>
      <c r="V156" s="247"/>
      <c r="W156" s="247"/>
      <c r="X156" s="247"/>
      <c r="Y156" s="247"/>
      <c r="Z156" s="247"/>
      <c r="AA156" s="247"/>
      <c r="AB156" s="247"/>
      <c r="AC156" s="247"/>
    </row>
    <row r="157">
      <c r="A157" s="247"/>
      <c r="B157" s="247"/>
      <c r="C157" s="247"/>
      <c r="D157" s="249"/>
      <c r="E157" s="250"/>
      <c r="F157" s="248"/>
      <c r="G157" s="248"/>
      <c r="H157" s="251"/>
      <c r="I157" s="247"/>
      <c r="J157" s="247"/>
      <c r="K157" s="247"/>
      <c r="L157" s="247"/>
      <c r="M157" s="247"/>
      <c r="N157" s="247"/>
      <c r="O157" s="247"/>
      <c r="P157" s="247"/>
      <c r="Q157" s="247"/>
      <c r="R157" s="247"/>
      <c r="S157" s="247"/>
      <c r="T157" s="247"/>
      <c r="U157" s="247"/>
      <c r="V157" s="247"/>
      <c r="W157" s="247"/>
      <c r="X157" s="247"/>
      <c r="Y157" s="247"/>
      <c r="Z157" s="247"/>
      <c r="AA157" s="247"/>
      <c r="AB157" s="247"/>
      <c r="AC157" s="247"/>
    </row>
    <row r="158">
      <c r="A158" s="247"/>
      <c r="B158" s="247"/>
      <c r="C158" s="247"/>
      <c r="D158" s="249"/>
      <c r="E158" s="250"/>
      <c r="F158" s="248"/>
      <c r="G158" s="248"/>
      <c r="H158" s="251"/>
      <c r="I158" s="247"/>
      <c r="J158" s="247"/>
      <c r="K158" s="247"/>
      <c r="L158" s="247"/>
      <c r="M158" s="247"/>
      <c r="N158" s="247"/>
      <c r="O158" s="247"/>
      <c r="P158" s="247"/>
      <c r="Q158" s="247"/>
      <c r="R158" s="247"/>
      <c r="S158" s="247"/>
      <c r="T158" s="247"/>
      <c r="U158" s="247"/>
      <c r="V158" s="247"/>
      <c r="W158" s="247"/>
      <c r="X158" s="247"/>
      <c r="Y158" s="247"/>
      <c r="Z158" s="247"/>
      <c r="AA158" s="247"/>
      <c r="AB158" s="247"/>
      <c r="AC158" s="247"/>
    </row>
    <row r="159">
      <c r="A159" s="247"/>
      <c r="B159" s="247"/>
      <c r="C159" s="247"/>
      <c r="D159" s="249"/>
      <c r="E159" s="250"/>
      <c r="F159" s="248"/>
      <c r="G159" s="248"/>
      <c r="H159" s="251"/>
      <c r="I159" s="247"/>
      <c r="J159" s="247"/>
      <c r="K159" s="247"/>
      <c r="L159" s="247"/>
      <c r="M159" s="247"/>
      <c r="N159" s="247"/>
      <c r="O159" s="247"/>
      <c r="P159" s="247"/>
      <c r="Q159" s="247"/>
      <c r="R159" s="247"/>
      <c r="S159" s="247"/>
      <c r="T159" s="247"/>
      <c r="U159" s="247"/>
      <c r="V159" s="247"/>
      <c r="W159" s="247"/>
      <c r="X159" s="247"/>
      <c r="Y159" s="247"/>
      <c r="Z159" s="247"/>
      <c r="AA159" s="247"/>
      <c r="AB159" s="247"/>
      <c r="AC159" s="247"/>
    </row>
    <row r="160">
      <c r="A160" s="247"/>
      <c r="B160" s="247"/>
      <c r="C160" s="247"/>
      <c r="D160" s="249"/>
      <c r="E160" s="250"/>
      <c r="F160" s="248"/>
      <c r="G160" s="248"/>
      <c r="H160" s="251"/>
      <c r="I160" s="247"/>
      <c r="J160" s="247"/>
      <c r="K160" s="247"/>
      <c r="L160" s="247"/>
      <c r="M160" s="247"/>
      <c r="N160" s="247"/>
      <c r="O160" s="247"/>
      <c r="P160" s="247"/>
      <c r="Q160" s="247"/>
      <c r="R160" s="247"/>
      <c r="S160" s="247"/>
      <c r="T160" s="247"/>
      <c r="U160" s="247"/>
      <c r="V160" s="247"/>
      <c r="W160" s="247"/>
      <c r="X160" s="247"/>
      <c r="Y160" s="247"/>
      <c r="Z160" s="247"/>
      <c r="AA160" s="247"/>
      <c r="AB160" s="247"/>
      <c r="AC160" s="247"/>
    </row>
    <row r="161">
      <c r="A161" s="247"/>
      <c r="B161" s="247"/>
      <c r="C161" s="247"/>
      <c r="D161" s="249"/>
      <c r="E161" s="250"/>
      <c r="F161" s="248"/>
      <c r="G161" s="248"/>
      <c r="H161" s="251"/>
      <c r="I161" s="247"/>
      <c r="J161" s="247"/>
      <c r="K161" s="247"/>
      <c r="L161" s="247"/>
      <c r="M161" s="247"/>
      <c r="N161" s="247"/>
      <c r="O161" s="247"/>
      <c r="P161" s="247"/>
      <c r="Q161" s="247"/>
      <c r="R161" s="247"/>
      <c r="S161" s="247"/>
      <c r="T161" s="247"/>
      <c r="U161" s="247"/>
      <c r="V161" s="247"/>
      <c r="W161" s="247"/>
      <c r="X161" s="247"/>
      <c r="Y161" s="247"/>
      <c r="Z161" s="247"/>
      <c r="AA161" s="247"/>
      <c r="AB161" s="247"/>
      <c r="AC161" s="247"/>
    </row>
    <row r="162">
      <c r="A162" s="247"/>
      <c r="B162" s="247"/>
      <c r="C162" s="247"/>
      <c r="D162" s="249"/>
      <c r="E162" s="250"/>
      <c r="F162" s="248"/>
      <c r="G162" s="248"/>
      <c r="H162" s="251"/>
      <c r="I162" s="247"/>
      <c r="J162" s="247"/>
      <c r="K162" s="247"/>
      <c r="L162" s="247"/>
      <c r="M162" s="247"/>
      <c r="N162" s="247"/>
      <c r="O162" s="247"/>
      <c r="P162" s="247"/>
      <c r="Q162" s="247"/>
      <c r="R162" s="247"/>
      <c r="S162" s="247"/>
      <c r="T162" s="247"/>
      <c r="U162" s="247"/>
      <c r="V162" s="247"/>
      <c r="W162" s="247"/>
      <c r="X162" s="247"/>
      <c r="Y162" s="247"/>
      <c r="Z162" s="247"/>
      <c r="AA162" s="247"/>
      <c r="AB162" s="247"/>
      <c r="AC162" s="247"/>
    </row>
    <row r="163">
      <c r="A163" s="247"/>
      <c r="B163" s="247"/>
      <c r="C163" s="247"/>
      <c r="D163" s="249"/>
      <c r="E163" s="250"/>
      <c r="F163" s="248"/>
      <c r="G163" s="248"/>
      <c r="H163" s="251"/>
      <c r="I163" s="247"/>
      <c r="J163" s="247"/>
      <c r="K163" s="247"/>
      <c r="L163" s="247"/>
      <c r="M163" s="247"/>
      <c r="N163" s="247"/>
      <c r="O163" s="247"/>
      <c r="P163" s="247"/>
      <c r="Q163" s="247"/>
      <c r="R163" s="247"/>
      <c r="S163" s="247"/>
      <c r="T163" s="247"/>
      <c r="U163" s="247"/>
      <c r="V163" s="247"/>
      <c r="W163" s="247"/>
      <c r="X163" s="247"/>
      <c r="Y163" s="247"/>
      <c r="Z163" s="247"/>
      <c r="AA163" s="247"/>
      <c r="AB163" s="247"/>
      <c r="AC163" s="247"/>
    </row>
    <row r="164">
      <c r="A164" s="247"/>
      <c r="B164" s="247"/>
      <c r="C164" s="247"/>
      <c r="D164" s="249"/>
      <c r="E164" s="250"/>
      <c r="F164" s="248"/>
      <c r="G164" s="248"/>
      <c r="H164" s="251"/>
      <c r="I164" s="247"/>
      <c r="J164" s="247"/>
      <c r="K164" s="247"/>
      <c r="L164" s="247"/>
      <c r="M164" s="247"/>
      <c r="N164" s="247"/>
      <c r="O164" s="247"/>
      <c r="P164" s="247"/>
      <c r="Q164" s="247"/>
      <c r="R164" s="247"/>
      <c r="S164" s="247"/>
      <c r="T164" s="247"/>
      <c r="U164" s="247"/>
      <c r="V164" s="247"/>
      <c r="W164" s="247"/>
      <c r="X164" s="247"/>
      <c r="Y164" s="247"/>
      <c r="Z164" s="247"/>
      <c r="AA164" s="247"/>
      <c r="AB164" s="247"/>
      <c r="AC164" s="247"/>
    </row>
    <row r="165">
      <c r="A165" s="247"/>
      <c r="B165" s="247"/>
      <c r="C165" s="247"/>
      <c r="D165" s="249"/>
      <c r="E165" s="250"/>
      <c r="F165" s="248"/>
      <c r="G165" s="248"/>
      <c r="H165" s="251"/>
      <c r="I165" s="247"/>
      <c r="J165" s="247"/>
      <c r="K165" s="247"/>
      <c r="L165" s="247"/>
      <c r="M165" s="247"/>
      <c r="N165" s="247"/>
      <c r="O165" s="247"/>
      <c r="P165" s="247"/>
      <c r="Q165" s="247"/>
      <c r="R165" s="247"/>
      <c r="S165" s="247"/>
      <c r="T165" s="247"/>
      <c r="U165" s="247"/>
      <c r="V165" s="247"/>
      <c r="W165" s="247"/>
      <c r="X165" s="247"/>
      <c r="Y165" s="247"/>
      <c r="Z165" s="247"/>
      <c r="AA165" s="247"/>
      <c r="AB165" s="247"/>
      <c r="AC165" s="247"/>
    </row>
    <row r="166">
      <c r="A166" s="247"/>
      <c r="B166" s="247"/>
      <c r="C166" s="247"/>
      <c r="D166" s="249"/>
      <c r="E166" s="250"/>
      <c r="F166" s="248"/>
      <c r="G166" s="248"/>
      <c r="H166" s="251"/>
      <c r="I166" s="247"/>
      <c r="J166" s="247"/>
      <c r="K166" s="247"/>
      <c r="L166" s="247"/>
      <c r="M166" s="247"/>
      <c r="N166" s="247"/>
      <c r="O166" s="247"/>
      <c r="P166" s="247"/>
      <c r="Q166" s="247"/>
      <c r="R166" s="247"/>
      <c r="S166" s="247"/>
      <c r="T166" s="247"/>
      <c r="U166" s="247"/>
      <c r="V166" s="247"/>
      <c r="W166" s="247"/>
      <c r="X166" s="247"/>
      <c r="Y166" s="247"/>
      <c r="Z166" s="247"/>
      <c r="AA166" s="247"/>
      <c r="AB166" s="247"/>
      <c r="AC166" s="247"/>
    </row>
    <row r="167">
      <c r="A167" s="247"/>
      <c r="B167" s="247"/>
      <c r="C167" s="247"/>
      <c r="D167" s="249"/>
      <c r="E167" s="250"/>
      <c r="F167" s="248"/>
      <c r="G167" s="248"/>
      <c r="H167" s="251"/>
      <c r="I167" s="247"/>
      <c r="J167" s="247"/>
      <c r="K167" s="247"/>
      <c r="L167" s="247"/>
      <c r="M167" s="247"/>
      <c r="N167" s="247"/>
      <c r="O167" s="247"/>
      <c r="P167" s="247"/>
      <c r="Q167" s="247"/>
      <c r="R167" s="247"/>
      <c r="S167" s="247"/>
      <c r="T167" s="247"/>
      <c r="U167" s="247"/>
      <c r="V167" s="247"/>
      <c r="W167" s="247"/>
      <c r="X167" s="247"/>
      <c r="Y167" s="247"/>
      <c r="Z167" s="247"/>
      <c r="AA167" s="247"/>
      <c r="AB167" s="247"/>
      <c r="AC167" s="247"/>
    </row>
    <row r="168">
      <c r="A168" s="247"/>
      <c r="B168" s="247"/>
      <c r="C168" s="247"/>
      <c r="D168" s="249"/>
      <c r="E168" s="250"/>
      <c r="F168" s="248"/>
      <c r="G168" s="248"/>
      <c r="H168" s="251"/>
      <c r="I168" s="247"/>
      <c r="J168" s="247"/>
      <c r="K168" s="247"/>
      <c r="L168" s="247"/>
      <c r="M168" s="247"/>
      <c r="N168" s="247"/>
      <c r="O168" s="247"/>
      <c r="P168" s="247"/>
      <c r="Q168" s="247"/>
      <c r="R168" s="247"/>
      <c r="S168" s="247"/>
      <c r="T168" s="247"/>
      <c r="U168" s="247"/>
      <c r="V168" s="247"/>
      <c r="W168" s="247"/>
      <c r="X168" s="247"/>
      <c r="Y168" s="247"/>
      <c r="Z168" s="247"/>
      <c r="AA168" s="247"/>
      <c r="AB168" s="247"/>
      <c r="AC168" s="247"/>
    </row>
    <row r="169">
      <c r="A169" s="247"/>
      <c r="B169" s="247"/>
      <c r="C169" s="247"/>
      <c r="D169" s="249"/>
      <c r="E169" s="250"/>
      <c r="F169" s="248"/>
      <c r="G169" s="248"/>
      <c r="H169" s="251"/>
      <c r="I169" s="247"/>
      <c r="J169" s="247"/>
      <c r="K169" s="247"/>
      <c r="L169" s="247"/>
      <c r="M169" s="247"/>
      <c r="N169" s="247"/>
      <c r="O169" s="247"/>
      <c r="P169" s="247"/>
      <c r="Q169" s="247"/>
      <c r="R169" s="247"/>
      <c r="S169" s="247"/>
      <c r="T169" s="247"/>
      <c r="U169" s="247"/>
      <c r="V169" s="247"/>
      <c r="W169" s="247"/>
      <c r="X169" s="247"/>
      <c r="Y169" s="247"/>
      <c r="Z169" s="247"/>
      <c r="AA169" s="247"/>
      <c r="AB169" s="247"/>
      <c r="AC169" s="247"/>
    </row>
    <row r="170">
      <c r="A170" s="247"/>
      <c r="B170" s="247"/>
      <c r="C170" s="247"/>
      <c r="D170" s="249"/>
      <c r="E170" s="250"/>
      <c r="F170" s="248"/>
      <c r="G170" s="248"/>
      <c r="H170" s="251"/>
      <c r="I170" s="247"/>
      <c r="J170" s="247"/>
      <c r="K170" s="247"/>
      <c r="L170" s="247"/>
      <c r="M170" s="247"/>
      <c r="N170" s="247"/>
      <c r="O170" s="247"/>
      <c r="P170" s="247"/>
      <c r="Q170" s="247"/>
      <c r="R170" s="247"/>
      <c r="S170" s="247"/>
      <c r="T170" s="247"/>
      <c r="U170" s="247"/>
      <c r="V170" s="247"/>
      <c r="W170" s="247"/>
      <c r="X170" s="247"/>
      <c r="Y170" s="247"/>
      <c r="Z170" s="247"/>
      <c r="AA170" s="247"/>
      <c r="AB170" s="247"/>
      <c r="AC170" s="247"/>
    </row>
    <row r="171">
      <c r="A171" s="247"/>
      <c r="B171" s="247"/>
      <c r="C171" s="247"/>
      <c r="D171" s="249"/>
      <c r="E171" s="250"/>
      <c r="F171" s="248"/>
      <c r="G171" s="248"/>
      <c r="H171" s="251"/>
      <c r="I171" s="247"/>
      <c r="J171" s="247"/>
      <c r="K171" s="247"/>
      <c r="L171" s="247"/>
      <c r="M171" s="247"/>
      <c r="N171" s="247"/>
      <c r="O171" s="247"/>
      <c r="P171" s="247"/>
      <c r="Q171" s="247"/>
      <c r="R171" s="247"/>
      <c r="S171" s="247"/>
      <c r="T171" s="247"/>
      <c r="U171" s="247"/>
      <c r="V171" s="247"/>
      <c r="W171" s="247"/>
      <c r="X171" s="247"/>
      <c r="Y171" s="247"/>
      <c r="Z171" s="247"/>
      <c r="AA171" s="247"/>
      <c r="AB171" s="247"/>
      <c r="AC171" s="247"/>
    </row>
    <row r="172">
      <c r="A172" s="247"/>
      <c r="B172" s="247"/>
      <c r="C172" s="247"/>
      <c r="D172" s="249"/>
      <c r="E172" s="250"/>
      <c r="F172" s="248"/>
      <c r="G172" s="248"/>
      <c r="H172" s="251"/>
      <c r="I172" s="247"/>
      <c r="J172" s="247"/>
      <c r="K172" s="247"/>
      <c r="L172" s="247"/>
      <c r="M172" s="247"/>
      <c r="N172" s="247"/>
      <c r="O172" s="247"/>
      <c r="P172" s="247"/>
      <c r="Q172" s="247"/>
      <c r="R172" s="247"/>
      <c r="S172" s="247"/>
      <c r="T172" s="247"/>
      <c r="U172" s="247"/>
      <c r="V172" s="247"/>
      <c r="W172" s="247"/>
      <c r="X172" s="247"/>
      <c r="Y172" s="247"/>
      <c r="Z172" s="247"/>
      <c r="AA172" s="247"/>
      <c r="AB172" s="247"/>
      <c r="AC172" s="247"/>
    </row>
    <row r="173">
      <c r="A173" s="247"/>
      <c r="B173" s="247"/>
      <c r="C173" s="247"/>
      <c r="D173" s="249"/>
      <c r="E173" s="250"/>
      <c r="F173" s="248"/>
      <c r="G173" s="248"/>
      <c r="H173" s="251"/>
      <c r="I173" s="247"/>
      <c r="J173" s="247"/>
      <c r="K173" s="247"/>
      <c r="L173" s="247"/>
      <c r="M173" s="247"/>
      <c r="N173" s="247"/>
      <c r="O173" s="247"/>
      <c r="P173" s="247"/>
      <c r="Q173" s="247"/>
      <c r="R173" s="247"/>
      <c r="S173" s="247"/>
      <c r="T173" s="247"/>
      <c r="U173" s="247"/>
      <c r="V173" s="247"/>
      <c r="W173" s="247"/>
      <c r="X173" s="247"/>
      <c r="Y173" s="247"/>
      <c r="Z173" s="247"/>
      <c r="AA173" s="247"/>
      <c r="AB173" s="247"/>
      <c r="AC173" s="247"/>
    </row>
    <row r="174">
      <c r="A174" s="247"/>
      <c r="B174" s="247"/>
      <c r="C174" s="247"/>
      <c r="D174" s="249"/>
      <c r="E174" s="250"/>
      <c r="F174" s="248"/>
      <c r="G174" s="248"/>
      <c r="H174" s="251"/>
      <c r="I174" s="247"/>
      <c r="J174" s="247"/>
      <c r="K174" s="247"/>
      <c r="L174" s="247"/>
      <c r="M174" s="247"/>
      <c r="N174" s="247"/>
      <c r="O174" s="247"/>
      <c r="P174" s="247"/>
      <c r="Q174" s="247"/>
      <c r="R174" s="247"/>
      <c r="S174" s="247"/>
      <c r="T174" s="247"/>
      <c r="U174" s="247"/>
      <c r="V174" s="247"/>
      <c r="W174" s="247"/>
      <c r="X174" s="247"/>
      <c r="Y174" s="247"/>
      <c r="Z174" s="247"/>
      <c r="AA174" s="247"/>
      <c r="AB174" s="247"/>
      <c r="AC174" s="247"/>
    </row>
    <row r="175">
      <c r="A175" s="247"/>
      <c r="B175" s="247"/>
      <c r="C175" s="247"/>
      <c r="D175" s="249"/>
      <c r="E175" s="250"/>
      <c r="F175" s="248"/>
      <c r="G175" s="248"/>
      <c r="H175" s="251"/>
      <c r="I175" s="247"/>
      <c r="J175" s="247"/>
      <c r="K175" s="247"/>
      <c r="L175" s="247"/>
      <c r="M175" s="247"/>
      <c r="N175" s="247"/>
      <c r="O175" s="247"/>
      <c r="P175" s="247"/>
      <c r="Q175" s="247"/>
      <c r="R175" s="247"/>
      <c r="S175" s="247"/>
      <c r="T175" s="247"/>
      <c r="U175" s="247"/>
      <c r="V175" s="247"/>
      <c r="W175" s="247"/>
      <c r="X175" s="247"/>
      <c r="Y175" s="247"/>
      <c r="Z175" s="247"/>
      <c r="AA175" s="247"/>
      <c r="AB175" s="247"/>
      <c r="AC175" s="247"/>
    </row>
    <row r="176">
      <c r="A176" s="247"/>
      <c r="B176" s="247"/>
      <c r="C176" s="247"/>
      <c r="D176" s="249"/>
      <c r="E176" s="250"/>
      <c r="F176" s="248"/>
      <c r="G176" s="248"/>
      <c r="H176" s="251"/>
      <c r="I176" s="247"/>
      <c r="J176" s="247"/>
      <c r="K176" s="247"/>
      <c r="L176" s="247"/>
      <c r="M176" s="247"/>
      <c r="N176" s="247"/>
      <c r="O176" s="247"/>
      <c r="P176" s="247"/>
      <c r="Q176" s="247"/>
      <c r="R176" s="247"/>
      <c r="S176" s="247"/>
      <c r="T176" s="247"/>
      <c r="U176" s="247"/>
      <c r="V176" s="247"/>
      <c r="W176" s="247"/>
      <c r="X176" s="247"/>
      <c r="Y176" s="247"/>
      <c r="Z176" s="247"/>
      <c r="AA176" s="247"/>
      <c r="AB176" s="247"/>
      <c r="AC176" s="247"/>
    </row>
    <row r="177">
      <c r="A177" s="247"/>
      <c r="B177" s="247"/>
      <c r="C177" s="247"/>
      <c r="D177" s="249"/>
      <c r="E177" s="250"/>
      <c r="F177" s="248"/>
      <c r="G177" s="248"/>
      <c r="H177" s="251"/>
      <c r="I177" s="247"/>
      <c r="J177" s="247"/>
      <c r="K177" s="247"/>
      <c r="L177" s="247"/>
      <c r="M177" s="247"/>
      <c r="N177" s="247"/>
      <c r="O177" s="247"/>
      <c r="P177" s="247"/>
      <c r="Q177" s="247"/>
      <c r="R177" s="247"/>
      <c r="S177" s="247"/>
      <c r="T177" s="247"/>
      <c r="U177" s="247"/>
      <c r="V177" s="247"/>
      <c r="W177" s="247"/>
      <c r="X177" s="247"/>
      <c r="Y177" s="247"/>
      <c r="Z177" s="247"/>
      <c r="AA177" s="247"/>
      <c r="AB177" s="247"/>
      <c r="AC177" s="247"/>
    </row>
    <row r="178">
      <c r="A178" s="247"/>
      <c r="B178" s="247"/>
      <c r="C178" s="247"/>
      <c r="D178" s="249"/>
      <c r="E178" s="250"/>
      <c r="F178" s="248"/>
      <c r="G178" s="248"/>
      <c r="H178" s="251"/>
      <c r="I178" s="247"/>
      <c r="J178" s="247"/>
      <c r="K178" s="247"/>
      <c r="L178" s="247"/>
      <c r="M178" s="247"/>
      <c r="N178" s="247"/>
      <c r="O178" s="247"/>
      <c r="P178" s="247"/>
      <c r="Q178" s="247"/>
      <c r="R178" s="247"/>
      <c r="S178" s="247"/>
      <c r="T178" s="247"/>
      <c r="U178" s="247"/>
      <c r="V178" s="247"/>
      <c r="W178" s="247"/>
      <c r="X178" s="247"/>
      <c r="Y178" s="247"/>
      <c r="Z178" s="247"/>
      <c r="AA178" s="247"/>
      <c r="AB178" s="247"/>
      <c r="AC178" s="247"/>
    </row>
    <row r="179">
      <c r="A179" s="247"/>
      <c r="B179" s="247"/>
      <c r="C179" s="247"/>
      <c r="D179" s="249"/>
      <c r="E179" s="250"/>
      <c r="F179" s="248"/>
      <c r="G179" s="248"/>
      <c r="H179" s="251"/>
      <c r="I179" s="247"/>
      <c r="J179" s="247"/>
      <c r="K179" s="247"/>
      <c r="L179" s="247"/>
      <c r="M179" s="247"/>
      <c r="N179" s="247"/>
      <c r="O179" s="247"/>
      <c r="P179" s="247"/>
      <c r="Q179" s="247"/>
      <c r="R179" s="247"/>
      <c r="S179" s="247"/>
      <c r="T179" s="247"/>
      <c r="U179" s="247"/>
      <c r="V179" s="247"/>
      <c r="W179" s="247"/>
      <c r="X179" s="247"/>
      <c r="Y179" s="247"/>
      <c r="Z179" s="247"/>
      <c r="AA179" s="247"/>
      <c r="AB179" s="247"/>
      <c r="AC179" s="247"/>
    </row>
    <row r="180">
      <c r="A180" s="247"/>
      <c r="B180" s="247"/>
      <c r="C180" s="247"/>
      <c r="D180" s="249"/>
      <c r="E180" s="250"/>
      <c r="F180" s="248"/>
      <c r="G180" s="248"/>
      <c r="H180" s="251"/>
      <c r="I180" s="247"/>
      <c r="J180" s="247"/>
      <c r="K180" s="247"/>
      <c r="L180" s="247"/>
      <c r="M180" s="247"/>
      <c r="N180" s="247"/>
      <c r="O180" s="247"/>
      <c r="P180" s="247"/>
      <c r="Q180" s="247"/>
      <c r="R180" s="247"/>
      <c r="S180" s="247"/>
      <c r="T180" s="247"/>
      <c r="U180" s="247"/>
      <c r="V180" s="247"/>
      <c r="W180" s="247"/>
      <c r="X180" s="247"/>
      <c r="Y180" s="247"/>
      <c r="Z180" s="247"/>
      <c r="AA180" s="247"/>
      <c r="AB180" s="247"/>
      <c r="AC180" s="247"/>
    </row>
    <row r="181">
      <c r="A181" s="247"/>
      <c r="B181" s="247"/>
      <c r="C181" s="247"/>
      <c r="D181" s="249"/>
      <c r="E181" s="250"/>
      <c r="F181" s="248"/>
      <c r="G181" s="248"/>
      <c r="H181" s="251"/>
      <c r="I181" s="247"/>
      <c r="J181" s="247"/>
      <c r="K181" s="247"/>
      <c r="L181" s="247"/>
      <c r="M181" s="247"/>
      <c r="N181" s="247"/>
      <c r="O181" s="247"/>
      <c r="P181" s="247"/>
      <c r="Q181" s="247"/>
      <c r="R181" s="247"/>
      <c r="S181" s="247"/>
      <c r="T181" s="247"/>
      <c r="U181" s="247"/>
      <c r="V181" s="247"/>
      <c r="W181" s="247"/>
      <c r="X181" s="247"/>
      <c r="Y181" s="247"/>
      <c r="Z181" s="247"/>
      <c r="AA181" s="247"/>
      <c r="AB181" s="247"/>
      <c r="AC181" s="247"/>
    </row>
    <row r="182">
      <c r="A182" s="247"/>
      <c r="B182" s="247"/>
      <c r="C182" s="247"/>
      <c r="D182" s="249"/>
      <c r="E182" s="250"/>
      <c r="F182" s="248"/>
      <c r="G182" s="248"/>
      <c r="H182" s="251"/>
      <c r="I182" s="247"/>
      <c r="J182" s="247"/>
      <c r="K182" s="247"/>
      <c r="L182" s="247"/>
      <c r="M182" s="247"/>
      <c r="N182" s="247"/>
      <c r="O182" s="247"/>
      <c r="P182" s="247"/>
      <c r="Q182" s="247"/>
      <c r="R182" s="247"/>
      <c r="S182" s="247"/>
      <c r="T182" s="247"/>
      <c r="U182" s="247"/>
      <c r="V182" s="247"/>
      <c r="W182" s="247"/>
      <c r="X182" s="247"/>
      <c r="Y182" s="247"/>
      <c r="Z182" s="247"/>
      <c r="AA182" s="247"/>
      <c r="AB182" s="247"/>
      <c r="AC182" s="247"/>
    </row>
    <row r="183">
      <c r="A183" s="247"/>
      <c r="B183" s="247"/>
      <c r="C183" s="247"/>
      <c r="D183" s="249"/>
      <c r="E183" s="250"/>
      <c r="F183" s="248"/>
      <c r="G183" s="248"/>
      <c r="H183" s="251"/>
      <c r="I183" s="247"/>
      <c r="J183" s="247"/>
      <c r="K183" s="247"/>
      <c r="L183" s="247"/>
      <c r="M183" s="247"/>
      <c r="N183" s="247"/>
      <c r="O183" s="247"/>
      <c r="P183" s="247"/>
      <c r="Q183" s="247"/>
      <c r="R183" s="247"/>
      <c r="S183" s="247"/>
      <c r="T183" s="247"/>
      <c r="U183" s="247"/>
      <c r="V183" s="247"/>
      <c r="W183" s="247"/>
      <c r="X183" s="247"/>
      <c r="Y183" s="247"/>
      <c r="Z183" s="247"/>
      <c r="AA183" s="247"/>
      <c r="AB183" s="247"/>
      <c r="AC183" s="247"/>
    </row>
    <row r="184">
      <c r="A184" s="247"/>
      <c r="B184" s="247"/>
      <c r="C184" s="247"/>
      <c r="D184" s="249"/>
      <c r="E184" s="250"/>
      <c r="F184" s="248"/>
      <c r="G184" s="248"/>
      <c r="H184" s="251"/>
      <c r="I184" s="247"/>
      <c r="J184" s="247"/>
      <c r="K184" s="247"/>
      <c r="L184" s="247"/>
      <c r="M184" s="247"/>
      <c r="N184" s="247"/>
      <c r="O184" s="247"/>
      <c r="P184" s="247"/>
      <c r="Q184" s="247"/>
      <c r="R184" s="247"/>
      <c r="S184" s="247"/>
      <c r="T184" s="247"/>
      <c r="U184" s="247"/>
      <c r="V184" s="247"/>
      <c r="W184" s="247"/>
      <c r="X184" s="247"/>
      <c r="Y184" s="247"/>
      <c r="Z184" s="247"/>
      <c r="AA184" s="247"/>
      <c r="AB184" s="247"/>
      <c r="AC184" s="247"/>
    </row>
    <row r="185">
      <c r="A185" s="247"/>
      <c r="B185" s="247"/>
      <c r="C185" s="247"/>
      <c r="D185" s="249"/>
      <c r="E185" s="250"/>
      <c r="F185" s="248"/>
      <c r="G185" s="248"/>
      <c r="H185" s="251"/>
      <c r="I185" s="247"/>
      <c r="J185" s="247"/>
      <c r="K185" s="247"/>
      <c r="L185" s="247"/>
      <c r="M185" s="247"/>
      <c r="N185" s="247"/>
      <c r="O185" s="247"/>
      <c r="P185" s="247"/>
      <c r="Q185" s="247"/>
      <c r="R185" s="247"/>
      <c r="S185" s="247"/>
      <c r="T185" s="247"/>
      <c r="U185" s="247"/>
      <c r="V185" s="247"/>
      <c r="W185" s="247"/>
      <c r="X185" s="247"/>
      <c r="Y185" s="247"/>
      <c r="Z185" s="247"/>
      <c r="AA185" s="247"/>
      <c r="AB185" s="247"/>
      <c r="AC185" s="247"/>
    </row>
    <row r="186">
      <c r="A186" s="247"/>
      <c r="B186" s="247"/>
      <c r="C186" s="247"/>
      <c r="D186" s="249"/>
      <c r="E186" s="250"/>
      <c r="F186" s="248"/>
      <c r="G186" s="248"/>
      <c r="H186" s="251"/>
      <c r="I186" s="247"/>
      <c r="J186" s="247"/>
      <c r="K186" s="247"/>
      <c r="L186" s="247"/>
      <c r="M186" s="247"/>
      <c r="N186" s="247"/>
      <c r="O186" s="247"/>
      <c r="P186" s="247"/>
      <c r="Q186" s="247"/>
      <c r="R186" s="247"/>
      <c r="S186" s="247"/>
      <c r="T186" s="247"/>
      <c r="U186" s="247"/>
      <c r="V186" s="247"/>
      <c r="W186" s="247"/>
      <c r="X186" s="247"/>
      <c r="Y186" s="247"/>
      <c r="Z186" s="247"/>
      <c r="AA186" s="247"/>
      <c r="AB186" s="247"/>
      <c r="AC186" s="247"/>
    </row>
    <row r="187">
      <c r="A187" s="247"/>
      <c r="B187" s="247"/>
      <c r="C187" s="247"/>
      <c r="D187" s="249"/>
      <c r="E187" s="250"/>
      <c r="F187" s="248"/>
      <c r="G187" s="248"/>
      <c r="H187" s="251"/>
      <c r="I187" s="247"/>
      <c r="J187" s="247"/>
      <c r="K187" s="247"/>
      <c r="L187" s="247"/>
      <c r="M187" s="247"/>
      <c r="N187" s="247"/>
      <c r="O187" s="247"/>
      <c r="P187" s="247"/>
      <c r="Q187" s="247"/>
      <c r="R187" s="247"/>
      <c r="S187" s="247"/>
      <c r="T187" s="247"/>
      <c r="U187" s="247"/>
      <c r="V187" s="247"/>
      <c r="W187" s="247"/>
      <c r="X187" s="247"/>
      <c r="Y187" s="247"/>
      <c r="Z187" s="247"/>
      <c r="AA187" s="247"/>
      <c r="AB187" s="247"/>
      <c r="AC187" s="247"/>
    </row>
    <row r="188">
      <c r="A188" s="247"/>
      <c r="B188" s="247"/>
      <c r="C188" s="247"/>
      <c r="D188" s="249"/>
      <c r="E188" s="250"/>
      <c r="F188" s="248"/>
      <c r="G188" s="248"/>
      <c r="H188" s="251"/>
      <c r="I188" s="247"/>
      <c r="J188" s="247"/>
      <c r="K188" s="247"/>
      <c r="L188" s="247"/>
      <c r="M188" s="247"/>
      <c r="N188" s="247"/>
      <c r="O188" s="247"/>
      <c r="P188" s="247"/>
      <c r="Q188" s="247"/>
      <c r="R188" s="247"/>
      <c r="S188" s="247"/>
      <c r="T188" s="247"/>
      <c r="U188" s="247"/>
      <c r="V188" s="247"/>
      <c r="W188" s="247"/>
      <c r="X188" s="247"/>
      <c r="Y188" s="247"/>
      <c r="Z188" s="247"/>
      <c r="AA188" s="247"/>
      <c r="AB188" s="247"/>
      <c r="AC188" s="247"/>
    </row>
    <row r="189">
      <c r="A189" s="247"/>
      <c r="B189" s="247"/>
      <c r="C189" s="247"/>
      <c r="D189" s="249"/>
      <c r="E189" s="250"/>
      <c r="F189" s="248"/>
      <c r="G189" s="248"/>
      <c r="H189" s="251"/>
      <c r="I189" s="247"/>
      <c r="J189" s="247"/>
      <c r="K189" s="247"/>
      <c r="L189" s="247"/>
      <c r="M189" s="247"/>
      <c r="N189" s="247"/>
      <c r="O189" s="247"/>
      <c r="P189" s="247"/>
      <c r="Q189" s="247"/>
      <c r="R189" s="247"/>
      <c r="S189" s="247"/>
      <c r="T189" s="247"/>
      <c r="U189" s="247"/>
      <c r="V189" s="247"/>
      <c r="W189" s="247"/>
      <c r="X189" s="247"/>
      <c r="Y189" s="247"/>
      <c r="Z189" s="247"/>
      <c r="AA189" s="247"/>
      <c r="AB189" s="247"/>
      <c r="AC189" s="247"/>
    </row>
    <row r="190">
      <c r="A190" s="247"/>
      <c r="B190" s="247"/>
      <c r="C190" s="247"/>
      <c r="D190" s="249"/>
      <c r="E190" s="250"/>
      <c r="F190" s="248"/>
      <c r="G190" s="248"/>
      <c r="H190" s="251"/>
      <c r="I190" s="247"/>
      <c r="J190" s="247"/>
      <c r="K190" s="247"/>
      <c r="L190" s="247"/>
      <c r="M190" s="247"/>
      <c r="N190" s="247"/>
      <c r="O190" s="247"/>
      <c r="P190" s="247"/>
      <c r="Q190" s="247"/>
      <c r="R190" s="247"/>
      <c r="S190" s="247"/>
      <c r="T190" s="247"/>
      <c r="U190" s="247"/>
      <c r="V190" s="247"/>
      <c r="W190" s="247"/>
      <c r="X190" s="247"/>
      <c r="Y190" s="247"/>
      <c r="Z190" s="247"/>
      <c r="AA190" s="247"/>
      <c r="AB190" s="247"/>
      <c r="AC190" s="247"/>
    </row>
    <row r="191">
      <c r="A191" s="247"/>
      <c r="B191" s="247"/>
      <c r="C191" s="247"/>
      <c r="D191" s="249"/>
      <c r="E191" s="250"/>
      <c r="F191" s="248"/>
      <c r="G191" s="248"/>
      <c r="H191" s="251"/>
      <c r="I191" s="247"/>
      <c r="J191" s="247"/>
      <c r="K191" s="247"/>
      <c r="L191" s="247"/>
      <c r="M191" s="247"/>
      <c r="N191" s="247"/>
      <c r="O191" s="247"/>
      <c r="P191" s="247"/>
      <c r="Q191" s="247"/>
      <c r="R191" s="247"/>
      <c r="S191" s="247"/>
      <c r="T191" s="247"/>
      <c r="U191" s="247"/>
      <c r="V191" s="247"/>
      <c r="W191" s="247"/>
      <c r="X191" s="247"/>
      <c r="Y191" s="247"/>
      <c r="Z191" s="247"/>
      <c r="AA191" s="247"/>
      <c r="AB191" s="247"/>
      <c r="AC191" s="247"/>
    </row>
    <row r="192">
      <c r="A192" s="247"/>
      <c r="B192" s="247"/>
      <c r="C192" s="247"/>
      <c r="D192" s="249"/>
      <c r="E192" s="250"/>
      <c r="F192" s="248"/>
      <c r="G192" s="248"/>
      <c r="H192" s="251"/>
      <c r="I192" s="247"/>
      <c r="J192" s="247"/>
      <c r="K192" s="247"/>
      <c r="L192" s="247"/>
      <c r="M192" s="247"/>
      <c r="N192" s="247"/>
      <c r="O192" s="247"/>
      <c r="P192" s="247"/>
      <c r="Q192" s="247"/>
      <c r="R192" s="247"/>
      <c r="S192" s="247"/>
      <c r="T192" s="247"/>
      <c r="U192" s="247"/>
      <c r="V192" s="247"/>
      <c r="W192" s="247"/>
      <c r="X192" s="247"/>
      <c r="Y192" s="247"/>
      <c r="Z192" s="247"/>
      <c r="AA192" s="247"/>
      <c r="AB192" s="247"/>
      <c r="AC192" s="247"/>
    </row>
    <row r="193">
      <c r="A193" s="247"/>
      <c r="B193" s="247"/>
      <c r="C193" s="247"/>
      <c r="D193" s="249"/>
      <c r="E193" s="250"/>
      <c r="F193" s="248"/>
      <c r="G193" s="248"/>
      <c r="H193" s="251"/>
      <c r="I193" s="247"/>
      <c r="J193" s="247"/>
      <c r="K193" s="247"/>
      <c r="L193" s="247"/>
      <c r="M193" s="247"/>
      <c r="N193" s="247"/>
      <c r="O193" s="247"/>
      <c r="P193" s="247"/>
      <c r="Q193" s="247"/>
      <c r="R193" s="247"/>
      <c r="S193" s="247"/>
      <c r="T193" s="247"/>
      <c r="U193" s="247"/>
      <c r="V193" s="247"/>
      <c r="W193" s="247"/>
      <c r="X193" s="247"/>
      <c r="Y193" s="247"/>
      <c r="Z193" s="247"/>
      <c r="AA193" s="247"/>
      <c r="AB193" s="247"/>
      <c r="AC193" s="247"/>
    </row>
    <row r="194">
      <c r="A194" s="247"/>
      <c r="B194" s="247"/>
      <c r="C194" s="247"/>
      <c r="D194" s="249"/>
      <c r="E194" s="250"/>
      <c r="F194" s="248"/>
      <c r="G194" s="248"/>
      <c r="H194" s="251"/>
      <c r="I194" s="247"/>
      <c r="J194" s="247"/>
      <c r="K194" s="247"/>
      <c r="L194" s="247"/>
      <c r="M194" s="247"/>
      <c r="N194" s="247"/>
      <c r="O194" s="247"/>
      <c r="P194" s="247"/>
      <c r="Q194" s="247"/>
      <c r="R194" s="247"/>
      <c r="S194" s="247"/>
      <c r="T194" s="247"/>
      <c r="U194" s="247"/>
      <c r="V194" s="247"/>
      <c r="W194" s="247"/>
      <c r="X194" s="247"/>
      <c r="Y194" s="247"/>
      <c r="Z194" s="247"/>
      <c r="AA194" s="247"/>
      <c r="AB194" s="247"/>
      <c r="AC194" s="247"/>
    </row>
    <row r="195">
      <c r="A195" s="247"/>
      <c r="B195" s="247"/>
      <c r="C195" s="247"/>
      <c r="D195" s="249"/>
      <c r="E195" s="250"/>
      <c r="F195" s="248"/>
      <c r="G195" s="248"/>
      <c r="H195" s="251"/>
      <c r="I195" s="247"/>
      <c r="J195" s="247"/>
      <c r="K195" s="247"/>
      <c r="L195" s="247"/>
      <c r="M195" s="247"/>
      <c r="N195" s="247"/>
      <c r="O195" s="247"/>
      <c r="P195" s="247"/>
      <c r="Q195" s="247"/>
      <c r="R195" s="247"/>
      <c r="S195" s="247"/>
      <c r="T195" s="247"/>
      <c r="U195" s="247"/>
      <c r="V195" s="247"/>
      <c r="W195" s="247"/>
      <c r="X195" s="247"/>
      <c r="Y195" s="247"/>
      <c r="Z195" s="247"/>
      <c r="AA195" s="247"/>
      <c r="AB195" s="247"/>
      <c r="AC195" s="247"/>
    </row>
    <row r="196">
      <c r="A196" s="247"/>
      <c r="B196" s="247"/>
      <c r="C196" s="247"/>
      <c r="D196" s="249"/>
      <c r="E196" s="250"/>
      <c r="F196" s="248"/>
      <c r="G196" s="248"/>
      <c r="H196" s="251"/>
      <c r="I196" s="247"/>
      <c r="J196" s="247"/>
      <c r="K196" s="247"/>
      <c r="L196" s="247"/>
      <c r="M196" s="247"/>
      <c r="N196" s="247"/>
      <c r="O196" s="247"/>
      <c r="P196" s="247"/>
      <c r="Q196" s="247"/>
      <c r="R196" s="247"/>
      <c r="S196" s="247"/>
      <c r="T196" s="247"/>
      <c r="U196" s="247"/>
      <c r="V196" s="247"/>
      <c r="W196" s="247"/>
      <c r="X196" s="247"/>
      <c r="Y196" s="247"/>
      <c r="Z196" s="247"/>
      <c r="AA196" s="247"/>
      <c r="AB196" s="247"/>
      <c r="AC196" s="247"/>
    </row>
    <row r="197">
      <c r="A197" s="247"/>
      <c r="B197" s="247"/>
      <c r="C197" s="247"/>
      <c r="D197" s="249"/>
      <c r="E197" s="250"/>
      <c r="F197" s="248"/>
      <c r="G197" s="248"/>
      <c r="H197" s="251"/>
      <c r="I197" s="247"/>
      <c r="J197" s="247"/>
      <c r="K197" s="247"/>
      <c r="L197" s="247"/>
      <c r="M197" s="247"/>
      <c r="N197" s="247"/>
      <c r="O197" s="247"/>
      <c r="P197" s="247"/>
      <c r="Q197" s="247"/>
      <c r="R197" s="247"/>
      <c r="S197" s="247"/>
      <c r="T197" s="247"/>
      <c r="U197" s="247"/>
      <c r="V197" s="247"/>
      <c r="W197" s="247"/>
      <c r="X197" s="247"/>
      <c r="Y197" s="247"/>
      <c r="Z197" s="247"/>
      <c r="AA197" s="247"/>
      <c r="AB197" s="247"/>
      <c r="AC197" s="247"/>
    </row>
    <row r="198">
      <c r="A198" s="247"/>
      <c r="B198" s="247"/>
      <c r="C198" s="247"/>
      <c r="D198" s="249"/>
      <c r="E198" s="250"/>
      <c r="F198" s="248"/>
      <c r="G198" s="248"/>
      <c r="H198" s="251"/>
      <c r="I198" s="247"/>
      <c r="J198" s="247"/>
      <c r="K198" s="247"/>
      <c r="L198" s="247"/>
      <c r="M198" s="247"/>
      <c r="N198" s="247"/>
      <c r="O198" s="247"/>
      <c r="P198" s="247"/>
      <c r="Q198" s="247"/>
      <c r="R198" s="247"/>
      <c r="S198" s="247"/>
      <c r="T198" s="247"/>
      <c r="U198" s="247"/>
      <c r="V198" s="247"/>
      <c r="W198" s="247"/>
      <c r="X198" s="247"/>
      <c r="Y198" s="247"/>
      <c r="Z198" s="247"/>
      <c r="AA198" s="247"/>
      <c r="AB198" s="247"/>
      <c r="AC198" s="247"/>
    </row>
    <row r="199">
      <c r="A199" s="247"/>
      <c r="B199" s="247"/>
      <c r="C199" s="247"/>
      <c r="D199" s="249"/>
      <c r="E199" s="250"/>
      <c r="F199" s="248"/>
      <c r="G199" s="248"/>
      <c r="H199" s="251"/>
      <c r="I199" s="247"/>
      <c r="J199" s="247"/>
      <c r="K199" s="247"/>
      <c r="L199" s="247"/>
      <c r="M199" s="247"/>
      <c r="N199" s="247"/>
      <c r="O199" s="247"/>
      <c r="P199" s="247"/>
      <c r="Q199" s="247"/>
      <c r="R199" s="247"/>
      <c r="S199" s="247"/>
      <c r="T199" s="247"/>
      <c r="U199" s="247"/>
      <c r="V199" s="247"/>
      <c r="W199" s="247"/>
      <c r="X199" s="247"/>
      <c r="Y199" s="247"/>
      <c r="Z199" s="247"/>
      <c r="AA199" s="247"/>
      <c r="AB199" s="247"/>
      <c r="AC199" s="247"/>
    </row>
    <row r="200">
      <c r="A200" s="247"/>
      <c r="B200" s="247"/>
      <c r="C200" s="247"/>
      <c r="D200" s="249"/>
      <c r="E200" s="250"/>
      <c r="F200" s="248"/>
      <c r="G200" s="248"/>
      <c r="H200" s="251"/>
      <c r="I200" s="247"/>
      <c r="J200" s="247"/>
      <c r="K200" s="247"/>
      <c r="L200" s="247"/>
      <c r="M200" s="247"/>
      <c r="N200" s="247"/>
      <c r="O200" s="247"/>
      <c r="P200" s="247"/>
      <c r="Q200" s="247"/>
      <c r="R200" s="247"/>
      <c r="S200" s="247"/>
      <c r="T200" s="247"/>
      <c r="U200" s="247"/>
      <c r="V200" s="247"/>
      <c r="W200" s="247"/>
      <c r="X200" s="247"/>
      <c r="Y200" s="247"/>
      <c r="Z200" s="247"/>
      <c r="AA200" s="247"/>
      <c r="AB200" s="247"/>
      <c r="AC200" s="247"/>
    </row>
    <row r="201">
      <c r="A201" s="247"/>
      <c r="B201" s="247"/>
      <c r="C201" s="247"/>
      <c r="D201" s="249"/>
      <c r="E201" s="250"/>
      <c r="F201" s="248"/>
      <c r="G201" s="248"/>
      <c r="H201" s="251"/>
      <c r="I201" s="247"/>
      <c r="J201" s="247"/>
      <c r="K201" s="247"/>
      <c r="L201" s="247"/>
      <c r="M201" s="247"/>
      <c r="N201" s="247"/>
      <c r="O201" s="247"/>
      <c r="P201" s="247"/>
      <c r="Q201" s="247"/>
      <c r="R201" s="247"/>
      <c r="S201" s="247"/>
      <c r="T201" s="247"/>
      <c r="U201" s="247"/>
      <c r="V201" s="247"/>
      <c r="W201" s="247"/>
      <c r="X201" s="247"/>
      <c r="Y201" s="247"/>
      <c r="Z201" s="247"/>
      <c r="AA201" s="247"/>
      <c r="AB201" s="247"/>
      <c r="AC201" s="247"/>
    </row>
    <row r="202">
      <c r="A202" s="247"/>
      <c r="B202" s="247"/>
      <c r="C202" s="247"/>
      <c r="D202" s="249"/>
      <c r="E202" s="250"/>
      <c r="F202" s="248"/>
      <c r="G202" s="248"/>
      <c r="H202" s="251"/>
      <c r="I202" s="247"/>
      <c r="J202" s="247"/>
      <c r="K202" s="247"/>
      <c r="L202" s="247"/>
      <c r="M202" s="247"/>
      <c r="N202" s="247"/>
      <c r="O202" s="247"/>
      <c r="P202" s="247"/>
      <c r="Q202" s="247"/>
      <c r="R202" s="247"/>
      <c r="S202" s="247"/>
      <c r="T202" s="247"/>
      <c r="U202" s="247"/>
      <c r="V202" s="247"/>
      <c r="W202" s="247"/>
      <c r="X202" s="247"/>
      <c r="Y202" s="247"/>
      <c r="Z202" s="247"/>
      <c r="AA202" s="247"/>
      <c r="AB202" s="247"/>
      <c r="AC202" s="247"/>
    </row>
    <row r="203">
      <c r="A203" s="247"/>
      <c r="B203" s="247"/>
      <c r="C203" s="247"/>
      <c r="D203" s="249"/>
      <c r="E203" s="250"/>
      <c r="F203" s="248"/>
      <c r="G203" s="248"/>
      <c r="H203" s="251"/>
      <c r="I203" s="247"/>
      <c r="J203" s="247"/>
      <c r="K203" s="247"/>
      <c r="L203" s="247"/>
      <c r="M203" s="247"/>
      <c r="N203" s="247"/>
      <c r="O203" s="247"/>
      <c r="P203" s="247"/>
      <c r="Q203" s="247"/>
      <c r="R203" s="247"/>
      <c r="S203" s="247"/>
      <c r="T203" s="247"/>
      <c r="U203" s="247"/>
      <c r="V203" s="247"/>
      <c r="W203" s="247"/>
      <c r="X203" s="247"/>
      <c r="Y203" s="247"/>
      <c r="Z203" s="247"/>
      <c r="AA203" s="247"/>
      <c r="AB203" s="247"/>
      <c r="AC203" s="247"/>
    </row>
    <row r="204">
      <c r="A204" s="247"/>
      <c r="B204" s="247"/>
      <c r="C204" s="247"/>
      <c r="D204" s="249"/>
      <c r="E204" s="250"/>
      <c r="F204" s="248"/>
      <c r="G204" s="248"/>
      <c r="H204" s="251"/>
      <c r="I204" s="247"/>
      <c r="J204" s="247"/>
      <c r="K204" s="247"/>
      <c r="L204" s="247"/>
      <c r="M204" s="247"/>
      <c r="N204" s="247"/>
      <c r="O204" s="247"/>
      <c r="P204" s="247"/>
      <c r="Q204" s="247"/>
      <c r="R204" s="247"/>
      <c r="S204" s="247"/>
      <c r="T204" s="247"/>
      <c r="U204" s="247"/>
      <c r="V204" s="247"/>
      <c r="W204" s="247"/>
      <c r="X204" s="247"/>
      <c r="Y204" s="247"/>
      <c r="Z204" s="247"/>
      <c r="AA204" s="247"/>
      <c r="AB204" s="247"/>
      <c r="AC204" s="247"/>
    </row>
    <row r="205">
      <c r="A205" s="247"/>
      <c r="B205" s="247"/>
      <c r="C205" s="247"/>
      <c r="D205" s="249"/>
      <c r="E205" s="250"/>
      <c r="F205" s="248"/>
      <c r="G205" s="248"/>
      <c r="H205" s="251"/>
      <c r="I205" s="247"/>
      <c r="J205" s="247"/>
      <c r="K205" s="247"/>
      <c r="L205" s="247"/>
      <c r="M205" s="247"/>
      <c r="N205" s="247"/>
      <c r="O205" s="247"/>
      <c r="P205" s="247"/>
      <c r="Q205" s="247"/>
      <c r="R205" s="247"/>
      <c r="S205" s="247"/>
      <c r="T205" s="247"/>
      <c r="U205" s="247"/>
      <c r="V205" s="247"/>
      <c r="W205" s="247"/>
      <c r="X205" s="247"/>
      <c r="Y205" s="247"/>
      <c r="Z205" s="247"/>
      <c r="AA205" s="247"/>
      <c r="AB205" s="247"/>
      <c r="AC205" s="247"/>
    </row>
    <row r="206">
      <c r="A206" s="247"/>
      <c r="B206" s="247"/>
      <c r="C206" s="247"/>
      <c r="D206" s="249"/>
      <c r="E206" s="250"/>
      <c r="F206" s="248"/>
      <c r="G206" s="248"/>
      <c r="H206" s="251"/>
      <c r="I206" s="247"/>
      <c r="J206" s="247"/>
      <c r="K206" s="247"/>
      <c r="L206" s="247"/>
      <c r="M206" s="247"/>
      <c r="N206" s="247"/>
      <c r="O206" s="247"/>
      <c r="P206" s="247"/>
      <c r="Q206" s="247"/>
      <c r="R206" s="247"/>
      <c r="S206" s="247"/>
      <c r="T206" s="247"/>
      <c r="U206" s="247"/>
      <c r="V206" s="247"/>
      <c r="W206" s="247"/>
      <c r="X206" s="247"/>
      <c r="Y206" s="247"/>
      <c r="Z206" s="247"/>
      <c r="AA206" s="247"/>
      <c r="AB206" s="247"/>
      <c r="AC206" s="247"/>
    </row>
    <row r="207">
      <c r="A207" s="247"/>
      <c r="B207" s="247"/>
      <c r="C207" s="247"/>
      <c r="D207" s="249"/>
      <c r="E207" s="250"/>
      <c r="F207" s="248"/>
      <c r="G207" s="248"/>
      <c r="H207" s="251"/>
      <c r="I207" s="247"/>
      <c r="J207" s="247"/>
      <c r="K207" s="247"/>
      <c r="L207" s="247"/>
      <c r="M207" s="247"/>
      <c r="N207" s="247"/>
      <c r="O207" s="247"/>
      <c r="P207" s="247"/>
      <c r="Q207" s="247"/>
      <c r="R207" s="247"/>
      <c r="S207" s="247"/>
      <c r="T207" s="247"/>
      <c r="U207" s="247"/>
      <c r="V207" s="247"/>
      <c r="W207" s="247"/>
      <c r="X207" s="247"/>
      <c r="Y207" s="247"/>
      <c r="Z207" s="247"/>
      <c r="AA207" s="247"/>
      <c r="AB207" s="247"/>
      <c r="AC207" s="247"/>
    </row>
    <row r="208">
      <c r="A208" s="247"/>
      <c r="B208" s="247"/>
      <c r="C208" s="247"/>
      <c r="D208" s="249"/>
      <c r="E208" s="250"/>
      <c r="F208" s="248"/>
      <c r="G208" s="248"/>
      <c r="H208" s="251"/>
      <c r="I208" s="247"/>
      <c r="J208" s="247"/>
      <c r="K208" s="247"/>
      <c r="L208" s="247"/>
      <c r="M208" s="247"/>
      <c r="N208" s="247"/>
      <c r="O208" s="247"/>
      <c r="P208" s="247"/>
      <c r="Q208" s="247"/>
      <c r="R208" s="247"/>
      <c r="S208" s="247"/>
      <c r="T208" s="247"/>
      <c r="U208" s="247"/>
      <c r="V208" s="247"/>
      <c r="W208" s="247"/>
      <c r="X208" s="247"/>
      <c r="Y208" s="247"/>
      <c r="Z208" s="247"/>
      <c r="AA208" s="247"/>
      <c r="AB208" s="247"/>
      <c r="AC208" s="247"/>
    </row>
    <row r="209">
      <c r="A209" s="247"/>
      <c r="B209" s="247"/>
      <c r="C209" s="247"/>
      <c r="D209" s="249"/>
      <c r="E209" s="250"/>
      <c r="F209" s="248"/>
      <c r="G209" s="248"/>
      <c r="H209" s="251"/>
      <c r="I209" s="247"/>
      <c r="J209" s="247"/>
      <c r="K209" s="247"/>
      <c r="L209" s="247"/>
      <c r="M209" s="247"/>
      <c r="N209" s="247"/>
      <c r="O209" s="247"/>
      <c r="P209" s="247"/>
      <c r="Q209" s="247"/>
      <c r="R209" s="247"/>
      <c r="S209" s="247"/>
      <c r="T209" s="247"/>
      <c r="U209" s="247"/>
      <c r="V209" s="247"/>
      <c r="W209" s="247"/>
      <c r="X209" s="247"/>
      <c r="Y209" s="247"/>
      <c r="Z209" s="247"/>
      <c r="AA209" s="247"/>
      <c r="AB209" s="247"/>
      <c r="AC209" s="247"/>
    </row>
    <row r="210">
      <c r="A210" s="247"/>
      <c r="B210" s="247"/>
      <c r="C210" s="247"/>
      <c r="D210" s="249"/>
      <c r="E210" s="250"/>
      <c r="F210" s="248"/>
      <c r="G210" s="248"/>
      <c r="H210" s="251"/>
      <c r="I210" s="247"/>
      <c r="J210" s="247"/>
      <c r="K210" s="247"/>
      <c r="L210" s="247"/>
      <c r="M210" s="247"/>
      <c r="N210" s="247"/>
      <c r="O210" s="247"/>
      <c r="P210" s="247"/>
      <c r="Q210" s="247"/>
      <c r="R210" s="247"/>
      <c r="S210" s="247"/>
      <c r="T210" s="247"/>
      <c r="U210" s="247"/>
      <c r="V210" s="247"/>
      <c r="W210" s="247"/>
      <c r="X210" s="247"/>
      <c r="Y210" s="247"/>
      <c r="Z210" s="247"/>
      <c r="AA210" s="247"/>
      <c r="AB210" s="247"/>
      <c r="AC210" s="247"/>
    </row>
    <row r="211">
      <c r="A211" s="247"/>
      <c r="B211" s="247"/>
      <c r="C211" s="247"/>
      <c r="D211" s="249"/>
      <c r="E211" s="250"/>
      <c r="F211" s="248"/>
      <c r="G211" s="248"/>
      <c r="H211" s="251"/>
      <c r="I211" s="247"/>
      <c r="J211" s="247"/>
      <c r="K211" s="247"/>
      <c r="L211" s="247"/>
      <c r="M211" s="247"/>
      <c r="N211" s="247"/>
      <c r="O211" s="247"/>
      <c r="P211" s="247"/>
      <c r="Q211" s="247"/>
      <c r="R211" s="247"/>
      <c r="S211" s="247"/>
      <c r="T211" s="247"/>
      <c r="U211" s="247"/>
      <c r="V211" s="247"/>
      <c r="W211" s="247"/>
      <c r="X211" s="247"/>
      <c r="Y211" s="247"/>
      <c r="Z211" s="247"/>
      <c r="AA211" s="247"/>
      <c r="AB211" s="247"/>
      <c r="AC211" s="247"/>
    </row>
    <row r="212">
      <c r="A212" s="247"/>
      <c r="B212" s="247"/>
      <c r="C212" s="247"/>
      <c r="D212" s="249"/>
      <c r="E212" s="250"/>
      <c r="F212" s="248"/>
      <c r="G212" s="248"/>
      <c r="H212" s="251"/>
      <c r="I212" s="247"/>
      <c r="J212" s="247"/>
      <c r="K212" s="247"/>
      <c r="L212" s="247"/>
      <c r="M212" s="247"/>
      <c r="N212" s="247"/>
      <c r="O212" s="247"/>
      <c r="P212" s="247"/>
      <c r="Q212" s="247"/>
      <c r="R212" s="247"/>
      <c r="S212" s="247"/>
      <c r="T212" s="247"/>
      <c r="U212" s="247"/>
      <c r="V212" s="247"/>
      <c r="W212" s="247"/>
      <c r="X212" s="247"/>
      <c r="Y212" s="247"/>
      <c r="Z212" s="247"/>
      <c r="AA212" s="247"/>
      <c r="AB212" s="247"/>
      <c r="AC212" s="247"/>
    </row>
    <row r="213">
      <c r="A213" s="247"/>
      <c r="B213" s="247"/>
      <c r="C213" s="247"/>
      <c r="D213" s="249"/>
      <c r="E213" s="250"/>
      <c r="F213" s="248"/>
      <c r="G213" s="248"/>
      <c r="H213" s="251"/>
      <c r="I213" s="247"/>
      <c r="J213" s="247"/>
      <c r="K213" s="247"/>
      <c r="L213" s="247"/>
      <c r="M213" s="247"/>
      <c r="N213" s="247"/>
      <c r="O213" s="247"/>
      <c r="P213" s="247"/>
      <c r="Q213" s="247"/>
      <c r="R213" s="247"/>
      <c r="S213" s="247"/>
      <c r="T213" s="247"/>
      <c r="U213" s="247"/>
      <c r="V213" s="247"/>
      <c r="W213" s="247"/>
      <c r="X213" s="247"/>
      <c r="Y213" s="247"/>
      <c r="Z213" s="247"/>
      <c r="AA213" s="247"/>
      <c r="AB213" s="247"/>
      <c r="AC213" s="247"/>
    </row>
    <row r="214">
      <c r="A214" s="247"/>
      <c r="B214" s="247"/>
      <c r="C214" s="247"/>
      <c r="D214" s="249"/>
      <c r="E214" s="250"/>
      <c r="F214" s="248"/>
      <c r="G214" s="248"/>
      <c r="H214" s="251"/>
      <c r="I214" s="247"/>
      <c r="J214" s="247"/>
      <c r="K214" s="247"/>
      <c r="L214" s="247"/>
      <c r="M214" s="247"/>
      <c r="N214" s="247"/>
      <c r="O214" s="247"/>
      <c r="P214" s="247"/>
      <c r="Q214" s="247"/>
      <c r="R214" s="247"/>
      <c r="S214" s="247"/>
      <c r="T214" s="247"/>
      <c r="U214" s="247"/>
      <c r="V214" s="247"/>
      <c r="W214" s="247"/>
      <c r="X214" s="247"/>
      <c r="Y214" s="247"/>
      <c r="Z214" s="247"/>
      <c r="AA214" s="247"/>
      <c r="AB214" s="247"/>
      <c r="AC214" s="247"/>
    </row>
    <row r="215">
      <c r="A215" s="247"/>
      <c r="B215" s="247"/>
      <c r="C215" s="247"/>
      <c r="D215" s="249"/>
      <c r="E215" s="250"/>
      <c r="F215" s="248"/>
      <c r="G215" s="248"/>
      <c r="H215" s="251"/>
      <c r="I215" s="247"/>
      <c r="J215" s="247"/>
      <c r="K215" s="247"/>
      <c r="L215" s="247"/>
      <c r="M215" s="247"/>
      <c r="N215" s="247"/>
      <c r="O215" s="247"/>
      <c r="P215" s="247"/>
      <c r="Q215" s="247"/>
      <c r="R215" s="247"/>
      <c r="S215" s="247"/>
      <c r="T215" s="247"/>
      <c r="U215" s="247"/>
      <c r="V215" s="247"/>
      <c r="W215" s="247"/>
      <c r="X215" s="247"/>
      <c r="Y215" s="247"/>
      <c r="Z215" s="247"/>
      <c r="AA215" s="247"/>
      <c r="AB215" s="247"/>
      <c r="AC215" s="247"/>
    </row>
    <row r="216">
      <c r="A216" s="247"/>
      <c r="B216" s="247"/>
      <c r="C216" s="247"/>
      <c r="D216" s="249"/>
      <c r="E216" s="250"/>
      <c r="F216" s="248"/>
      <c r="G216" s="248"/>
      <c r="H216" s="251"/>
      <c r="I216" s="247"/>
      <c r="J216" s="247"/>
      <c r="K216" s="247"/>
      <c r="L216" s="247"/>
      <c r="M216" s="247"/>
      <c r="N216" s="247"/>
      <c r="O216" s="247"/>
      <c r="P216" s="247"/>
      <c r="Q216" s="247"/>
      <c r="R216" s="247"/>
      <c r="S216" s="247"/>
      <c r="T216" s="247"/>
      <c r="U216" s="247"/>
      <c r="V216" s="247"/>
      <c r="W216" s="247"/>
      <c r="X216" s="247"/>
      <c r="Y216" s="247"/>
      <c r="Z216" s="247"/>
      <c r="AA216" s="247"/>
      <c r="AB216" s="247"/>
      <c r="AC216" s="247"/>
    </row>
    <row r="217">
      <c r="A217" s="247"/>
      <c r="B217" s="247"/>
      <c r="C217" s="247"/>
      <c r="D217" s="249"/>
      <c r="E217" s="250"/>
      <c r="F217" s="248"/>
      <c r="G217" s="248"/>
      <c r="H217" s="251"/>
      <c r="I217" s="247"/>
      <c r="J217" s="247"/>
      <c r="K217" s="247"/>
      <c r="L217" s="247"/>
      <c r="M217" s="247"/>
      <c r="N217" s="247"/>
      <c r="O217" s="247"/>
      <c r="P217" s="247"/>
      <c r="Q217" s="247"/>
      <c r="R217" s="247"/>
      <c r="S217" s="247"/>
      <c r="T217" s="247"/>
      <c r="U217" s="247"/>
      <c r="V217" s="247"/>
      <c r="W217" s="247"/>
      <c r="X217" s="247"/>
      <c r="Y217" s="247"/>
      <c r="Z217" s="247"/>
      <c r="AA217" s="247"/>
      <c r="AB217" s="247"/>
      <c r="AC217" s="247"/>
    </row>
    <row r="218">
      <c r="A218" s="247"/>
      <c r="B218" s="247"/>
      <c r="C218" s="247"/>
      <c r="D218" s="249"/>
      <c r="E218" s="250"/>
      <c r="F218" s="248"/>
      <c r="G218" s="248"/>
      <c r="H218" s="251"/>
      <c r="I218" s="247"/>
      <c r="J218" s="247"/>
      <c r="K218" s="247"/>
      <c r="L218" s="247"/>
      <c r="M218" s="247"/>
      <c r="N218" s="247"/>
      <c r="O218" s="247"/>
      <c r="P218" s="247"/>
      <c r="Q218" s="247"/>
      <c r="R218" s="247"/>
      <c r="S218" s="247"/>
      <c r="T218" s="247"/>
      <c r="U218" s="247"/>
      <c r="V218" s="247"/>
      <c r="W218" s="247"/>
      <c r="X218" s="247"/>
      <c r="Y218" s="247"/>
      <c r="Z218" s="247"/>
      <c r="AA218" s="247"/>
      <c r="AB218" s="247"/>
      <c r="AC218" s="247"/>
    </row>
    <row r="219">
      <c r="A219" s="247"/>
      <c r="B219" s="247"/>
      <c r="C219" s="247"/>
      <c r="D219" s="249"/>
      <c r="E219" s="250"/>
      <c r="F219" s="248"/>
      <c r="G219" s="248"/>
      <c r="H219" s="251"/>
      <c r="I219" s="247"/>
      <c r="J219" s="247"/>
      <c r="K219" s="247"/>
      <c r="L219" s="247"/>
      <c r="M219" s="247"/>
      <c r="N219" s="247"/>
      <c r="O219" s="247"/>
      <c r="P219" s="247"/>
      <c r="Q219" s="247"/>
      <c r="R219" s="247"/>
      <c r="S219" s="247"/>
      <c r="T219" s="247"/>
      <c r="U219" s="247"/>
      <c r="V219" s="247"/>
      <c r="W219" s="247"/>
      <c r="X219" s="247"/>
      <c r="Y219" s="247"/>
      <c r="Z219" s="247"/>
      <c r="AA219" s="247"/>
      <c r="AB219" s="247"/>
      <c r="AC219" s="247"/>
    </row>
    <row r="220">
      <c r="A220" s="247"/>
      <c r="B220" s="247"/>
      <c r="C220" s="247"/>
      <c r="D220" s="249"/>
      <c r="E220" s="250"/>
      <c r="F220" s="248"/>
      <c r="G220" s="248"/>
      <c r="H220" s="251"/>
      <c r="I220" s="247"/>
      <c r="J220" s="247"/>
      <c r="K220" s="247"/>
      <c r="L220" s="247"/>
      <c r="M220" s="247"/>
      <c r="N220" s="247"/>
      <c r="O220" s="247"/>
      <c r="P220" s="247"/>
      <c r="Q220" s="247"/>
      <c r="R220" s="247"/>
      <c r="S220" s="247"/>
      <c r="T220" s="247"/>
      <c r="U220" s="247"/>
      <c r="V220" s="247"/>
      <c r="W220" s="247"/>
      <c r="X220" s="247"/>
      <c r="Y220" s="247"/>
      <c r="Z220" s="247"/>
      <c r="AA220" s="247"/>
      <c r="AB220" s="247"/>
      <c r="AC220" s="247"/>
    </row>
    <row r="221">
      <c r="A221" s="247"/>
      <c r="B221" s="247"/>
      <c r="C221" s="247"/>
      <c r="D221" s="249"/>
      <c r="E221" s="250"/>
      <c r="F221" s="248"/>
      <c r="G221" s="248"/>
      <c r="H221" s="251"/>
      <c r="I221" s="247"/>
      <c r="J221" s="247"/>
      <c r="K221" s="247"/>
      <c r="L221" s="247"/>
      <c r="M221" s="247"/>
      <c r="N221" s="247"/>
      <c r="O221" s="247"/>
      <c r="P221" s="247"/>
      <c r="Q221" s="247"/>
      <c r="R221" s="247"/>
      <c r="S221" s="247"/>
      <c r="T221" s="247"/>
      <c r="U221" s="247"/>
      <c r="V221" s="247"/>
      <c r="W221" s="247"/>
      <c r="X221" s="247"/>
      <c r="Y221" s="247"/>
      <c r="Z221" s="247"/>
      <c r="AA221" s="247"/>
      <c r="AB221" s="247"/>
      <c r="AC221" s="247"/>
    </row>
    <row r="222">
      <c r="A222" s="247"/>
      <c r="B222" s="247"/>
      <c r="C222" s="247"/>
      <c r="D222" s="249"/>
      <c r="E222" s="250"/>
      <c r="F222" s="248"/>
      <c r="G222" s="248"/>
      <c r="H222" s="251"/>
      <c r="I222" s="247"/>
      <c r="J222" s="247"/>
      <c r="K222" s="247"/>
      <c r="L222" s="247"/>
      <c r="M222" s="247"/>
      <c r="N222" s="247"/>
      <c r="O222" s="247"/>
      <c r="P222" s="247"/>
      <c r="Q222" s="247"/>
      <c r="R222" s="247"/>
      <c r="S222" s="247"/>
      <c r="T222" s="247"/>
      <c r="U222" s="247"/>
      <c r="V222" s="247"/>
      <c r="W222" s="247"/>
      <c r="X222" s="247"/>
      <c r="Y222" s="247"/>
      <c r="Z222" s="247"/>
      <c r="AA222" s="247"/>
      <c r="AB222" s="247"/>
      <c r="AC222" s="247"/>
    </row>
    <row r="223">
      <c r="A223" s="247"/>
      <c r="B223" s="247"/>
      <c r="C223" s="247"/>
      <c r="D223" s="249"/>
      <c r="E223" s="250"/>
      <c r="F223" s="248"/>
      <c r="G223" s="248"/>
      <c r="H223" s="251"/>
      <c r="I223" s="247"/>
      <c r="J223" s="247"/>
      <c r="K223" s="247"/>
      <c r="L223" s="247"/>
      <c r="M223" s="247"/>
      <c r="N223" s="247"/>
      <c r="O223" s="247"/>
      <c r="P223" s="247"/>
      <c r="Q223" s="247"/>
      <c r="R223" s="247"/>
      <c r="S223" s="247"/>
      <c r="T223" s="247"/>
      <c r="U223" s="247"/>
      <c r="V223" s="247"/>
      <c r="W223" s="247"/>
      <c r="X223" s="247"/>
      <c r="Y223" s="247"/>
      <c r="Z223" s="247"/>
      <c r="AA223" s="247"/>
      <c r="AB223" s="247"/>
      <c r="AC223" s="247"/>
    </row>
    <row r="224">
      <c r="A224" s="247"/>
      <c r="B224" s="247"/>
      <c r="C224" s="247"/>
      <c r="D224" s="249"/>
      <c r="E224" s="250"/>
      <c r="F224" s="248"/>
      <c r="G224" s="248"/>
      <c r="H224" s="251"/>
      <c r="I224" s="247"/>
      <c r="J224" s="247"/>
      <c r="K224" s="247"/>
      <c r="L224" s="247"/>
      <c r="M224" s="247"/>
      <c r="N224" s="247"/>
      <c r="O224" s="247"/>
      <c r="P224" s="247"/>
      <c r="Q224" s="247"/>
      <c r="R224" s="247"/>
      <c r="S224" s="247"/>
      <c r="T224" s="247"/>
      <c r="U224" s="247"/>
      <c r="V224" s="247"/>
      <c r="W224" s="247"/>
      <c r="X224" s="247"/>
      <c r="Y224" s="247"/>
      <c r="Z224" s="247"/>
      <c r="AA224" s="247"/>
      <c r="AB224" s="247"/>
      <c r="AC224" s="247"/>
    </row>
    <row r="225">
      <c r="A225" s="247"/>
      <c r="B225" s="247"/>
      <c r="C225" s="247"/>
      <c r="D225" s="249"/>
      <c r="E225" s="250"/>
      <c r="F225" s="248"/>
      <c r="G225" s="248"/>
      <c r="H225" s="251"/>
      <c r="I225" s="247"/>
      <c r="J225" s="247"/>
      <c r="K225" s="247"/>
      <c r="L225" s="247"/>
      <c r="M225" s="247"/>
      <c r="N225" s="247"/>
      <c r="O225" s="247"/>
      <c r="P225" s="247"/>
      <c r="Q225" s="247"/>
      <c r="R225" s="247"/>
      <c r="S225" s="247"/>
      <c r="T225" s="247"/>
      <c r="U225" s="247"/>
      <c r="V225" s="247"/>
      <c r="W225" s="247"/>
      <c r="X225" s="247"/>
      <c r="Y225" s="247"/>
      <c r="Z225" s="247"/>
      <c r="AA225" s="247"/>
      <c r="AB225" s="247"/>
      <c r="AC225" s="247"/>
    </row>
    <row r="226">
      <c r="A226" s="247"/>
      <c r="B226" s="247"/>
      <c r="C226" s="247"/>
      <c r="D226" s="249"/>
      <c r="E226" s="250"/>
      <c r="F226" s="248"/>
      <c r="G226" s="248"/>
      <c r="H226" s="251"/>
      <c r="I226" s="247"/>
      <c r="J226" s="247"/>
      <c r="K226" s="247"/>
      <c r="L226" s="247"/>
      <c r="M226" s="247"/>
      <c r="N226" s="247"/>
      <c r="O226" s="247"/>
      <c r="P226" s="247"/>
      <c r="Q226" s="247"/>
      <c r="R226" s="247"/>
      <c r="S226" s="247"/>
      <c r="T226" s="247"/>
      <c r="U226" s="247"/>
      <c r="V226" s="247"/>
      <c r="W226" s="247"/>
      <c r="X226" s="247"/>
      <c r="Y226" s="247"/>
      <c r="Z226" s="247"/>
      <c r="AA226" s="247"/>
      <c r="AB226" s="247"/>
      <c r="AC226" s="247"/>
    </row>
    <row r="227">
      <c r="A227" s="247"/>
      <c r="B227" s="247"/>
      <c r="C227" s="247"/>
      <c r="D227" s="249"/>
      <c r="E227" s="250"/>
      <c r="F227" s="248"/>
      <c r="G227" s="248"/>
      <c r="H227" s="251"/>
      <c r="I227" s="247"/>
      <c r="J227" s="247"/>
      <c r="K227" s="247"/>
      <c r="L227" s="247"/>
      <c r="M227" s="247"/>
      <c r="N227" s="247"/>
      <c r="O227" s="247"/>
      <c r="P227" s="247"/>
      <c r="Q227" s="247"/>
      <c r="R227" s="247"/>
      <c r="S227" s="247"/>
      <c r="T227" s="247"/>
      <c r="U227" s="247"/>
      <c r="V227" s="247"/>
      <c r="W227" s="247"/>
      <c r="X227" s="247"/>
      <c r="Y227" s="247"/>
      <c r="Z227" s="247"/>
      <c r="AA227" s="247"/>
      <c r="AB227" s="247"/>
      <c r="AC227" s="247"/>
    </row>
    <row r="228">
      <c r="A228" s="247"/>
      <c r="B228" s="247"/>
      <c r="C228" s="247"/>
      <c r="D228" s="249"/>
      <c r="E228" s="250"/>
      <c r="F228" s="248"/>
      <c r="G228" s="248"/>
      <c r="H228" s="251"/>
      <c r="I228" s="247"/>
      <c r="J228" s="247"/>
      <c r="K228" s="247"/>
      <c r="L228" s="247"/>
      <c r="M228" s="247"/>
      <c r="N228" s="247"/>
      <c r="O228" s="247"/>
      <c r="P228" s="247"/>
      <c r="Q228" s="247"/>
      <c r="R228" s="247"/>
      <c r="S228" s="247"/>
      <c r="T228" s="247"/>
      <c r="U228" s="247"/>
      <c r="V228" s="247"/>
      <c r="W228" s="247"/>
      <c r="X228" s="247"/>
      <c r="Y228" s="247"/>
      <c r="Z228" s="247"/>
      <c r="AA228" s="247"/>
      <c r="AB228" s="247"/>
      <c r="AC228" s="247"/>
    </row>
    <row r="229">
      <c r="A229" s="247"/>
      <c r="B229" s="247"/>
      <c r="C229" s="247"/>
      <c r="D229" s="249"/>
      <c r="E229" s="250"/>
      <c r="F229" s="248"/>
      <c r="G229" s="248"/>
      <c r="H229" s="251"/>
      <c r="I229" s="247"/>
      <c r="J229" s="247"/>
      <c r="K229" s="247"/>
      <c r="L229" s="247"/>
      <c r="M229" s="247"/>
      <c r="N229" s="247"/>
      <c r="O229" s="247"/>
      <c r="P229" s="247"/>
      <c r="Q229" s="247"/>
      <c r="R229" s="247"/>
      <c r="S229" s="247"/>
      <c r="T229" s="247"/>
      <c r="U229" s="247"/>
      <c r="V229" s="247"/>
      <c r="W229" s="247"/>
      <c r="X229" s="247"/>
      <c r="Y229" s="247"/>
      <c r="Z229" s="247"/>
      <c r="AA229" s="247"/>
      <c r="AB229" s="247"/>
      <c r="AC229" s="247"/>
    </row>
    <row r="230">
      <c r="A230" s="247"/>
      <c r="B230" s="247"/>
      <c r="C230" s="247"/>
      <c r="D230" s="249"/>
      <c r="E230" s="250"/>
      <c r="F230" s="248"/>
      <c r="G230" s="248"/>
      <c r="H230" s="251"/>
      <c r="I230" s="247"/>
      <c r="J230" s="247"/>
      <c r="K230" s="247"/>
      <c r="L230" s="247"/>
      <c r="M230" s="247"/>
      <c r="N230" s="247"/>
      <c r="O230" s="247"/>
      <c r="P230" s="247"/>
      <c r="Q230" s="247"/>
      <c r="R230" s="247"/>
      <c r="S230" s="247"/>
      <c r="T230" s="247"/>
      <c r="U230" s="247"/>
      <c r="V230" s="247"/>
      <c r="W230" s="247"/>
      <c r="X230" s="247"/>
      <c r="Y230" s="247"/>
      <c r="Z230" s="247"/>
      <c r="AA230" s="247"/>
      <c r="AB230" s="247"/>
      <c r="AC230" s="247"/>
    </row>
    <row r="231">
      <c r="A231" s="247"/>
      <c r="B231" s="247"/>
      <c r="C231" s="247"/>
      <c r="D231" s="249"/>
      <c r="E231" s="250"/>
      <c r="F231" s="248"/>
      <c r="G231" s="248"/>
      <c r="H231" s="251"/>
      <c r="I231" s="247"/>
      <c r="J231" s="247"/>
      <c r="K231" s="247"/>
      <c r="L231" s="247"/>
      <c r="M231" s="247"/>
      <c r="N231" s="247"/>
      <c r="O231" s="247"/>
      <c r="P231" s="247"/>
      <c r="Q231" s="247"/>
      <c r="R231" s="247"/>
      <c r="S231" s="247"/>
      <c r="T231" s="247"/>
      <c r="U231" s="247"/>
      <c r="V231" s="247"/>
      <c r="W231" s="247"/>
      <c r="X231" s="247"/>
      <c r="Y231" s="247"/>
      <c r="Z231" s="247"/>
      <c r="AA231" s="247"/>
      <c r="AB231" s="247"/>
      <c r="AC231" s="247"/>
    </row>
    <row r="232">
      <c r="A232" s="247"/>
      <c r="B232" s="247"/>
      <c r="C232" s="247"/>
      <c r="D232" s="249"/>
      <c r="E232" s="250"/>
      <c r="F232" s="248"/>
      <c r="G232" s="248"/>
      <c r="H232" s="251"/>
      <c r="I232" s="247"/>
      <c r="J232" s="247"/>
      <c r="K232" s="247"/>
      <c r="L232" s="247"/>
      <c r="M232" s="247"/>
      <c r="N232" s="247"/>
      <c r="O232" s="247"/>
      <c r="P232" s="247"/>
      <c r="Q232" s="247"/>
      <c r="R232" s="247"/>
      <c r="S232" s="247"/>
      <c r="T232" s="247"/>
      <c r="U232" s="247"/>
      <c r="V232" s="247"/>
      <c r="W232" s="247"/>
      <c r="X232" s="247"/>
      <c r="Y232" s="247"/>
      <c r="Z232" s="247"/>
      <c r="AA232" s="247"/>
      <c r="AB232" s="247"/>
      <c r="AC232" s="247"/>
    </row>
    <row r="233">
      <c r="A233" s="247"/>
      <c r="B233" s="247"/>
      <c r="C233" s="247"/>
      <c r="D233" s="249"/>
      <c r="E233" s="250"/>
      <c r="F233" s="248"/>
      <c r="G233" s="248"/>
      <c r="H233" s="251"/>
      <c r="I233" s="247"/>
      <c r="J233" s="247"/>
      <c r="K233" s="247"/>
      <c r="L233" s="247"/>
      <c r="M233" s="247"/>
      <c r="N233" s="247"/>
      <c r="O233" s="247"/>
      <c r="P233" s="247"/>
      <c r="Q233" s="247"/>
      <c r="R233" s="247"/>
      <c r="S233" s="247"/>
      <c r="T233" s="247"/>
      <c r="U233" s="247"/>
      <c r="V233" s="247"/>
      <c r="W233" s="247"/>
      <c r="X233" s="247"/>
      <c r="Y233" s="247"/>
      <c r="Z233" s="247"/>
      <c r="AA233" s="247"/>
      <c r="AB233" s="247"/>
      <c r="AC233" s="247"/>
    </row>
    <row r="234">
      <c r="A234" s="247"/>
      <c r="B234" s="247"/>
      <c r="C234" s="247"/>
      <c r="D234" s="249"/>
      <c r="E234" s="250"/>
      <c r="F234" s="248"/>
      <c r="G234" s="248"/>
      <c r="H234" s="251"/>
      <c r="I234" s="247"/>
      <c r="J234" s="247"/>
      <c r="K234" s="247"/>
      <c r="L234" s="247"/>
      <c r="M234" s="247"/>
      <c r="N234" s="247"/>
      <c r="O234" s="247"/>
      <c r="P234" s="247"/>
      <c r="Q234" s="247"/>
      <c r="R234" s="247"/>
      <c r="S234" s="247"/>
      <c r="T234" s="247"/>
      <c r="U234" s="247"/>
      <c r="V234" s="247"/>
      <c r="W234" s="247"/>
      <c r="X234" s="247"/>
      <c r="Y234" s="247"/>
      <c r="Z234" s="247"/>
      <c r="AA234" s="247"/>
      <c r="AB234" s="247"/>
      <c r="AC234" s="247"/>
    </row>
    <row r="235">
      <c r="A235" s="247"/>
      <c r="B235" s="247"/>
      <c r="C235" s="247"/>
      <c r="D235" s="249"/>
      <c r="E235" s="250"/>
      <c r="F235" s="248"/>
      <c r="G235" s="248"/>
      <c r="H235" s="251"/>
      <c r="I235" s="247"/>
      <c r="J235" s="247"/>
      <c r="K235" s="247"/>
      <c r="L235" s="247"/>
      <c r="M235" s="247"/>
      <c r="N235" s="247"/>
      <c r="O235" s="247"/>
      <c r="P235" s="247"/>
      <c r="Q235" s="247"/>
      <c r="R235" s="247"/>
      <c r="S235" s="247"/>
      <c r="T235" s="247"/>
      <c r="U235" s="247"/>
      <c r="V235" s="247"/>
      <c r="W235" s="247"/>
      <c r="X235" s="247"/>
      <c r="Y235" s="247"/>
      <c r="Z235" s="247"/>
      <c r="AA235" s="247"/>
      <c r="AB235" s="247"/>
      <c r="AC235" s="247"/>
    </row>
    <row r="236">
      <c r="A236" s="247"/>
      <c r="B236" s="247"/>
      <c r="C236" s="247"/>
      <c r="D236" s="249"/>
      <c r="E236" s="250"/>
      <c r="F236" s="248"/>
      <c r="G236" s="248"/>
      <c r="H236" s="251"/>
      <c r="I236" s="247"/>
      <c r="J236" s="247"/>
      <c r="K236" s="247"/>
      <c r="L236" s="247"/>
      <c r="M236" s="247"/>
      <c r="N236" s="247"/>
      <c r="O236" s="247"/>
      <c r="P236" s="247"/>
      <c r="Q236" s="247"/>
      <c r="R236" s="247"/>
      <c r="S236" s="247"/>
      <c r="T236" s="247"/>
      <c r="U236" s="247"/>
      <c r="V236" s="247"/>
      <c r="W236" s="247"/>
      <c r="X236" s="247"/>
      <c r="Y236" s="247"/>
      <c r="Z236" s="247"/>
      <c r="AA236" s="247"/>
      <c r="AB236" s="247"/>
      <c r="AC236" s="247"/>
    </row>
    <row r="237">
      <c r="A237" s="247"/>
      <c r="B237" s="247"/>
      <c r="C237" s="247"/>
      <c r="D237" s="249"/>
      <c r="E237" s="250"/>
      <c r="F237" s="248"/>
      <c r="G237" s="248"/>
      <c r="H237" s="251"/>
      <c r="I237" s="247"/>
      <c r="J237" s="247"/>
      <c r="K237" s="247"/>
      <c r="L237" s="247"/>
      <c r="M237" s="247"/>
      <c r="N237" s="247"/>
      <c r="O237" s="247"/>
      <c r="P237" s="247"/>
      <c r="Q237" s="247"/>
      <c r="R237" s="247"/>
      <c r="S237" s="247"/>
      <c r="T237" s="247"/>
      <c r="U237" s="247"/>
      <c r="V237" s="247"/>
      <c r="W237" s="247"/>
      <c r="X237" s="247"/>
      <c r="Y237" s="247"/>
      <c r="Z237" s="247"/>
      <c r="AA237" s="247"/>
      <c r="AB237" s="247"/>
      <c r="AC237" s="247"/>
    </row>
    <row r="238">
      <c r="A238" s="247"/>
      <c r="B238" s="247"/>
      <c r="C238" s="247"/>
      <c r="D238" s="249"/>
      <c r="E238" s="250"/>
      <c r="F238" s="248"/>
      <c r="G238" s="248"/>
      <c r="H238" s="251"/>
      <c r="I238" s="247"/>
      <c r="J238" s="247"/>
      <c r="K238" s="247"/>
      <c r="L238" s="247"/>
      <c r="M238" s="247"/>
      <c r="N238" s="247"/>
      <c r="O238" s="247"/>
      <c r="P238" s="247"/>
      <c r="Q238" s="247"/>
      <c r="R238" s="247"/>
      <c r="S238" s="247"/>
      <c r="T238" s="247"/>
      <c r="U238" s="247"/>
      <c r="V238" s="247"/>
      <c r="W238" s="247"/>
      <c r="X238" s="247"/>
      <c r="Y238" s="247"/>
      <c r="Z238" s="247"/>
      <c r="AA238" s="247"/>
      <c r="AB238" s="247"/>
      <c r="AC238" s="247"/>
    </row>
    <row r="239">
      <c r="A239" s="247"/>
      <c r="B239" s="247"/>
      <c r="C239" s="247"/>
      <c r="D239" s="249"/>
      <c r="E239" s="250"/>
      <c r="F239" s="248"/>
      <c r="G239" s="248"/>
      <c r="H239" s="251"/>
      <c r="I239" s="247"/>
      <c r="J239" s="247"/>
      <c r="K239" s="247"/>
      <c r="L239" s="247"/>
      <c r="M239" s="247"/>
      <c r="N239" s="247"/>
      <c r="O239" s="247"/>
      <c r="P239" s="247"/>
      <c r="Q239" s="247"/>
      <c r="R239" s="247"/>
      <c r="S239" s="247"/>
      <c r="T239" s="247"/>
      <c r="U239" s="247"/>
      <c r="V239" s="247"/>
      <c r="W239" s="247"/>
      <c r="X239" s="247"/>
      <c r="Y239" s="247"/>
      <c r="Z239" s="247"/>
      <c r="AA239" s="247"/>
      <c r="AB239" s="247"/>
      <c r="AC239" s="247"/>
    </row>
    <row r="240">
      <c r="A240" s="247"/>
      <c r="B240" s="247"/>
      <c r="C240" s="247"/>
      <c r="D240" s="249"/>
      <c r="E240" s="250"/>
      <c r="F240" s="248"/>
      <c r="G240" s="248"/>
      <c r="H240" s="251"/>
      <c r="I240" s="247"/>
      <c r="J240" s="247"/>
      <c r="K240" s="247"/>
      <c r="L240" s="247"/>
      <c r="M240" s="247"/>
      <c r="N240" s="247"/>
      <c r="O240" s="247"/>
      <c r="P240" s="247"/>
      <c r="Q240" s="247"/>
      <c r="R240" s="247"/>
      <c r="S240" s="247"/>
      <c r="T240" s="247"/>
      <c r="U240" s="247"/>
      <c r="V240" s="247"/>
      <c r="W240" s="247"/>
      <c r="X240" s="247"/>
      <c r="Y240" s="247"/>
      <c r="Z240" s="247"/>
      <c r="AA240" s="247"/>
      <c r="AB240" s="247"/>
      <c r="AC240" s="247"/>
    </row>
    <row r="241">
      <c r="A241" s="247"/>
      <c r="B241" s="247"/>
      <c r="C241" s="247"/>
      <c r="D241" s="249"/>
      <c r="E241" s="250"/>
      <c r="F241" s="248"/>
      <c r="G241" s="248"/>
      <c r="H241" s="251"/>
      <c r="I241" s="247"/>
      <c r="J241" s="247"/>
      <c r="K241" s="247"/>
      <c r="L241" s="247"/>
      <c r="M241" s="247"/>
      <c r="N241" s="247"/>
      <c r="O241" s="247"/>
      <c r="P241" s="247"/>
      <c r="Q241" s="247"/>
      <c r="R241" s="247"/>
      <c r="S241" s="247"/>
      <c r="T241" s="247"/>
      <c r="U241" s="247"/>
      <c r="V241" s="247"/>
      <c r="W241" s="247"/>
      <c r="X241" s="247"/>
      <c r="Y241" s="247"/>
      <c r="Z241" s="247"/>
      <c r="AA241" s="247"/>
      <c r="AB241" s="247"/>
      <c r="AC241" s="247"/>
    </row>
    <row r="242">
      <c r="A242" s="247"/>
      <c r="B242" s="247"/>
      <c r="C242" s="247"/>
      <c r="D242" s="249"/>
      <c r="E242" s="250"/>
      <c r="F242" s="248"/>
      <c r="G242" s="248"/>
      <c r="H242" s="251"/>
      <c r="I242" s="247"/>
      <c r="J242" s="247"/>
      <c r="K242" s="247"/>
      <c r="L242" s="247"/>
      <c r="M242" s="247"/>
      <c r="N242" s="247"/>
      <c r="O242" s="247"/>
      <c r="P242" s="247"/>
      <c r="Q242" s="247"/>
      <c r="R242" s="247"/>
      <c r="S242" s="247"/>
      <c r="T242" s="247"/>
      <c r="U242" s="247"/>
      <c r="V242" s="247"/>
      <c r="W242" s="247"/>
      <c r="X242" s="247"/>
      <c r="Y242" s="247"/>
      <c r="Z242" s="247"/>
      <c r="AA242" s="247"/>
      <c r="AB242" s="247"/>
      <c r="AC242" s="247"/>
    </row>
    <row r="243">
      <c r="A243" s="247"/>
      <c r="B243" s="247"/>
      <c r="C243" s="247"/>
      <c r="D243" s="249"/>
      <c r="E243" s="250"/>
      <c r="F243" s="248"/>
      <c r="G243" s="248"/>
      <c r="H243" s="251"/>
      <c r="I243" s="247"/>
      <c r="J243" s="247"/>
      <c r="K243" s="247"/>
      <c r="L243" s="247"/>
      <c r="M243" s="247"/>
      <c r="N243" s="247"/>
      <c r="O243" s="247"/>
      <c r="P243" s="247"/>
      <c r="Q243" s="247"/>
      <c r="R243" s="247"/>
      <c r="S243" s="247"/>
      <c r="T243" s="247"/>
      <c r="U243" s="247"/>
      <c r="V243" s="247"/>
      <c r="W243" s="247"/>
      <c r="X243" s="247"/>
      <c r="Y243" s="247"/>
      <c r="Z243" s="247"/>
      <c r="AA243" s="247"/>
      <c r="AB243" s="247"/>
      <c r="AC243" s="247"/>
    </row>
    <row r="244">
      <c r="A244" s="247"/>
      <c r="B244" s="247"/>
      <c r="C244" s="247"/>
      <c r="D244" s="249"/>
      <c r="E244" s="250"/>
      <c r="F244" s="248"/>
      <c r="G244" s="248"/>
      <c r="H244" s="251"/>
      <c r="I244" s="247"/>
      <c r="J244" s="247"/>
      <c r="K244" s="247"/>
      <c r="L244" s="247"/>
      <c r="M244" s="247"/>
      <c r="N244" s="247"/>
      <c r="O244" s="247"/>
      <c r="P244" s="247"/>
      <c r="Q244" s="247"/>
      <c r="R244" s="247"/>
      <c r="S244" s="247"/>
      <c r="T244" s="247"/>
      <c r="U244" s="247"/>
      <c r="V244" s="247"/>
      <c r="W244" s="247"/>
      <c r="X244" s="247"/>
      <c r="Y244" s="247"/>
      <c r="Z244" s="247"/>
      <c r="AA244" s="247"/>
      <c r="AB244" s="247"/>
      <c r="AC244" s="247"/>
    </row>
    <row r="245">
      <c r="A245" s="247"/>
      <c r="B245" s="247"/>
      <c r="C245" s="247"/>
      <c r="D245" s="249"/>
      <c r="E245" s="250"/>
      <c r="F245" s="248"/>
      <c r="G245" s="248"/>
      <c r="H245" s="251"/>
      <c r="I245" s="247"/>
      <c r="J245" s="247"/>
      <c r="K245" s="247"/>
      <c r="L245" s="247"/>
      <c r="M245" s="247"/>
      <c r="N245" s="247"/>
      <c r="O245" s="247"/>
      <c r="P245" s="247"/>
      <c r="Q245" s="247"/>
      <c r="R245" s="247"/>
      <c r="S245" s="247"/>
      <c r="T245" s="247"/>
      <c r="U245" s="247"/>
      <c r="V245" s="247"/>
      <c r="W245" s="247"/>
      <c r="X245" s="247"/>
      <c r="Y245" s="247"/>
      <c r="Z245" s="247"/>
      <c r="AA245" s="247"/>
      <c r="AB245" s="247"/>
      <c r="AC245" s="247"/>
    </row>
    <row r="246">
      <c r="A246" s="247"/>
      <c r="B246" s="247"/>
      <c r="C246" s="247"/>
      <c r="D246" s="249"/>
      <c r="E246" s="250"/>
      <c r="F246" s="248"/>
      <c r="G246" s="248"/>
      <c r="H246" s="251"/>
      <c r="I246" s="247"/>
      <c r="J246" s="247"/>
      <c r="K246" s="247"/>
      <c r="L246" s="247"/>
      <c r="M246" s="247"/>
      <c r="N246" s="247"/>
      <c r="O246" s="247"/>
      <c r="P246" s="247"/>
      <c r="Q246" s="247"/>
      <c r="R246" s="247"/>
      <c r="S246" s="247"/>
      <c r="T246" s="247"/>
      <c r="U246" s="247"/>
      <c r="V246" s="247"/>
      <c r="W246" s="247"/>
      <c r="X246" s="247"/>
      <c r="Y246" s="247"/>
      <c r="Z246" s="247"/>
      <c r="AA246" s="247"/>
      <c r="AB246" s="247"/>
      <c r="AC246" s="247"/>
    </row>
    <row r="247">
      <c r="A247" s="247"/>
      <c r="B247" s="247"/>
      <c r="C247" s="247"/>
      <c r="D247" s="249"/>
      <c r="E247" s="250"/>
      <c r="F247" s="248"/>
      <c r="G247" s="248"/>
      <c r="H247" s="251"/>
      <c r="I247" s="247"/>
      <c r="J247" s="247"/>
      <c r="K247" s="247"/>
      <c r="L247" s="247"/>
      <c r="M247" s="247"/>
      <c r="N247" s="247"/>
      <c r="O247" s="247"/>
      <c r="P247" s="247"/>
      <c r="Q247" s="247"/>
      <c r="R247" s="247"/>
      <c r="S247" s="247"/>
      <c r="T247" s="247"/>
      <c r="U247" s="247"/>
      <c r="V247" s="247"/>
      <c r="W247" s="247"/>
      <c r="X247" s="247"/>
      <c r="Y247" s="247"/>
      <c r="Z247" s="247"/>
      <c r="AA247" s="247"/>
      <c r="AB247" s="247"/>
      <c r="AC247" s="247"/>
    </row>
    <row r="248">
      <c r="A248" s="247"/>
      <c r="B248" s="247"/>
      <c r="C248" s="247"/>
      <c r="D248" s="249"/>
      <c r="E248" s="250"/>
      <c r="F248" s="248"/>
      <c r="G248" s="248"/>
      <c r="H248" s="251"/>
      <c r="I248" s="247"/>
      <c r="J248" s="247"/>
      <c r="K248" s="247"/>
      <c r="L248" s="247"/>
      <c r="M248" s="247"/>
      <c r="N248" s="247"/>
      <c r="O248" s="247"/>
      <c r="P248" s="247"/>
      <c r="Q248" s="247"/>
      <c r="R248" s="247"/>
      <c r="S248" s="247"/>
      <c r="T248" s="247"/>
      <c r="U248" s="247"/>
      <c r="V248" s="247"/>
      <c r="W248" s="247"/>
      <c r="X248" s="247"/>
      <c r="Y248" s="247"/>
      <c r="Z248" s="247"/>
      <c r="AA248" s="247"/>
      <c r="AB248" s="247"/>
      <c r="AC248" s="247"/>
    </row>
    <row r="249">
      <c r="A249" s="247"/>
      <c r="B249" s="247"/>
      <c r="C249" s="247"/>
      <c r="D249" s="249"/>
      <c r="E249" s="250"/>
      <c r="F249" s="248"/>
      <c r="G249" s="248"/>
      <c r="H249" s="251"/>
      <c r="I249" s="247"/>
      <c r="J249" s="247"/>
      <c r="K249" s="247"/>
      <c r="L249" s="247"/>
      <c r="M249" s="247"/>
      <c r="N249" s="247"/>
      <c r="O249" s="247"/>
      <c r="P249" s="247"/>
      <c r="Q249" s="247"/>
      <c r="R249" s="247"/>
      <c r="S249" s="247"/>
      <c r="T249" s="247"/>
      <c r="U249" s="247"/>
      <c r="V249" s="247"/>
      <c r="W249" s="247"/>
      <c r="X249" s="247"/>
      <c r="Y249" s="247"/>
      <c r="Z249" s="247"/>
      <c r="AA249" s="247"/>
      <c r="AB249" s="247"/>
      <c r="AC249" s="247"/>
    </row>
    <row r="250">
      <c r="A250" s="247"/>
      <c r="B250" s="247"/>
      <c r="C250" s="247"/>
      <c r="D250" s="249"/>
      <c r="E250" s="250"/>
      <c r="F250" s="248"/>
      <c r="G250" s="248"/>
      <c r="H250" s="251"/>
      <c r="I250" s="247"/>
      <c r="J250" s="247"/>
      <c r="K250" s="247"/>
      <c r="L250" s="247"/>
      <c r="M250" s="247"/>
      <c r="N250" s="247"/>
      <c r="O250" s="247"/>
      <c r="P250" s="247"/>
      <c r="Q250" s="247"/>
      <c r="R250" s="247"/>
      <c r="S250" s="247"/>
      <c r="T250" s="247"/>
      <c r="U250" s="247"/>
      <c r="V250" s="247"/>
      <c r="W250" s="247"/>
      <c r="X250" s="247"/>
      <c r="Y250" s="247"/>
      <c r="Z250" s="247"/>
      <c r="AA250" s="247"/>
      <c r="AB250" s="247"/>
      <c r="AC250" s="247"/>
    </row>
    <row r="251">
      <c r="A251" s="247"/>
      <c r="B251" s="247"/>
      <c r="C251" s="247"/>
      <c r="D251" s="249"/>
      <c r="E251" s="250"/>
      <c r="F251" s="248"/>
      <c r="G251" s="248"/>
      <c r="H251" s="251"/>
      <c r="I251" s="247"/>
      <c r="J251" s="247"/>
      <c r="K251" s="247"/>
      <c r="L251" s="247"/>
      <c r="M251" s="247"/>
      <c r="N251" s="247"/>
      <c r="O251" s="247"/>
      <c r="P251" s="247"/>
      <c r="Q251" s="247"/>
      <c r="R251" s="247"/>
      <c r="S251" s="247"/>
      <c r="T251" s="247"/>
      <c r="U251" s="247"/>
      <c r="V251" s="247"/>
      <c r="W251" s="247"/>
      <c r="X251" s="247"/>
      <c r="Y251" s="247"/>
      <c r="Z251" s="247"/>
      <c r="AA251" s="247"/>
      <c r="AB251" s="247"/>
      <c r="AC251" s="247"/>
    </row>
    <row r="252">
      <c r="A252" s="247"/>
      <c r="B252" s="247"/>
      <c r="C252" s="247"/>
      <c r="D252" s="249"/>
      <c r="E252" s="250"/>
      <c r="F252" s="248"/>
      <c r="G252" s="248"/>
      <c r="H252" s="251"/>
      <c r="I252" s="247"/>
      <c r="J252" s="247"/>
      <c r="K252" s="247"/>
      <c r="L252" s="247"/>
      <c r="M252" s="247"/>
      <c r="N252" s="247"/>
      <c r="O252" s="247"/>
      <c r="P252" s="247"/>
      <c r="Q252" s="247"/>
      <c r="R252" s="247"/>
      <c r="S252" s="247"/>
      <c r="T252" s="247"/>
      <c r="U252" s="247"/>
      <c r="V252" s="247"/>
      <c r="W252" s="247"/>
      <c r="X252" s="247"/>
      <c r="Y252" s="247"/>
      <c r="Z252" s="247"/>
      <c r="AA252" s="247"/>
      <c r="AB252" s="247"/>
      <c r="AC252" s="247"/>
    </row>
    <row r="253">
      <c r="A253" s="247"/>
      <c r="B253" s="247"/>
      <c r="C253" s="247"/>
      <c r="D253" s="249"/>
      <c r="E253" s="250"/>
      <c r="F253" s="248"/>
      <c r="G253" s="248"/>
      <c r="H253" s="251"/>
      <c r="I253" s="247"/>
      <c r="J253" s="247"/>
      <c r="K253" s="247"/>
      <c r="L253" s="247"/>
      <c r="M253" s="247"/>
      <c r="N253" s="247"/>
      <c r="O253" s="247"/>
      <c r="P253" s="247"/>
      <c r="Q253" s="247"/>
      <c r="R253" s="247"/>
      <c r="S253" s="247"/>
      <c r="T253" s="247"/>
      <c r="U253" s="247"/>
      <c r="V253" s="247"/>
      <c r="W253" s="247"/>
      <c r="X253" s="247"/>
      <c r="Y253" s="247"/>
      <c r="Z253" s="247"/>
      <c r="AA253" s="247"/>
      <c r="AB253" s="247"/>
      <c r="AC253" s="247"/>
    </row>
    <row r="254">
      <c r="A254" s="247"/>
      <c r="B254" s="247"/>
      <c r="C254" s="247"/>
      <c r="D254" s="249"/>
      <c r="E254" s="250"/>
      <c r="F254" s="248"/>
      <c r="G254" s="248"/>
      <c r="H254" s="251"/>
      <c r="I254" s="247"/>
      <c r="J254" s="247"/>
      <c r="K254" s="247"/>
      <c r="L254" s="247"/>
      <c r="M254" s="247"/>
      <c r="N254" s="247"/>
      <c r="O254" s="247"/>
      <c r="P254" s="247"/>
      <c r="Q254" s="247"/>
      <c r="R254" s="247"/>
      <c r="S254" s="247"/>
      <c r="T254" s="247"/>
      <c r="U254" s="247"/>
      <c r="V254" s="247"/>
      <c r="W254" s="247"/>
      <c r="X254" s="247"/>
      <c r="Y254" s="247"/>
      <c r="Z254" s="247"/>
      <c r="AA254" s="247"/>
      <c r="AB254" s="247"/>
      <c r="AC254" s="247"/>
    </row>
    <row r="255">
      <c r="A255" s="247"/>
      <c r="B255" s="247"/>
      <c r="C255" s="247"/>
      <c r="D255" s="249"/>
      <c r="E255" s="250"/>
      <c r="F255" s="248"/>
      <c r="G255" s="248"/>
      <c r="H255" s="251"/>
      <c r="I255" s="247"/>
      <c r="J255" s="247"/>
      <c r="K255" s="247"/>
      <c r="L255" s="247"/>
      <c r="M255" s="247"/>
      <c r="N255" s="247"/>
      <c r="O255" s="247"/>
      <c r="P255" s="247"/>
      <c r="Q255" s="247"/>
      <c r="R255" s="247"/>
      <c r="S255" s="247"/>
      <c r="T255" s="247"/>
      <c r="U255" s="247"/>
      <c r="V255" s="247"/>
      <c r="W255" s="247"/>
      <c r="X255" s="247"/>
      <c r="Y255" s="247"/>
      <c r="Z255" s="247"/>
      <c r="AA255" s="247"/>
      <c r="AB255" s="247"/>
      <c r="AC255" s="247"/>
    </row>
    <row r="256">
      <c r="A256" s="247"/>
      <c r="B256" s="247"/>
      <c r="C256" s="247"/>
      <c r="D256" s="249"/>
      <c r="E256" s="250"/>
      <c r="F256" s="248"/>
      <c r="G256" s="248"/>
      <c r="H256" s="251"/>
      <c r="I256" s="247"/>
      <c r="J256" s="247"/>
      <c r="K256" s="247"/>
      <c r="L256" s="247"/>
      <c r="M256" s="247"/>
      <c r="N256" s="247"/>
      <c r="O256" s="247"/>
      <c r="P256" s="247"/>
      <c r="Q256" s="247"/>
      <c r="R256" s="247"/>
      <c r="S256" s="247"/>
      <c r="T256" s="247"/>
      <c r="U256" s="247"/>
      <c r="V256" s="247"/>
      <c r="W256" s="247"/>
      <c r="X256" s="247"/>
      <c r="Y256" s="247"/>
      <c r="Z256" s="247"/>
      <c r="AA256" s="247"/>
      <c r="AB256" s="247"/>
      <c r="AC256" s="247"/>
    </row>
    <row r="257">
      <c r="A257" s="247"/>
      <c r="B257" s="247"/>
      <c r="C257" s="247"/>
      <c r="D257" s="249"/>
      <c r="E257" s="250"/>
      <c r="F257" s="248"/>
      <c r="G257" s="248"/>
      <c r="H257" s="251"/>
      <c r="I257" s="247"/>
      <c r="J257" s="247"/>
      <c r="K257" s="247"/>
      <c r="L257" s="247"/>
      <c r="M257" s="247"/>
      <c r="N257" s="247"/>
      <c r="O257" s="247"/>
      <c r="P257" s="247"/>
      <c r="Q257" s="247"/>
      <c r="R257" s="247"/>
      <c r="S257" s="247"/>
      <c r="T257" s="247"/>
      <c r="U257" s="247"/>
      <c r="V257" s="247"/>
      <c r="W257" s="247"/>
      <c r="X257" s="247"/>
      <c r="Y257" s="247"/>
      <c r="Z257" s="247"/>
      <c r="AA257" s="247"/>
      <c r="AB257" s="247"/>
      <c r="AC257" s="247"/>
    </row>
    <row r="258">
      <c r="A258" s="247"/>
      <c r="B258" s="247"/>
      <c r="C258" s="247"/>
      <c r="D258" s="249"/>
      <c r="E258" s="250"/>
      <c r="F258" s="248"/>
      <c r="G258" s="248"/>
      <c r="H258" s="251"/>
      <c r="I258" s="247"/>
      <c r="J258" s="247"/>
      <c r="K258" s="247"/>
      <c r="L258" s="247"/>
      <c r="M258" s="247"/>
      <c r="N258" s="247"/>
      <c r="O258" s="247"/>
      <c r="P258" s="247"/>
      <c r="Q258" s="247"/>
      <c r="R258" s="247"/>
      <c r="S258" s="247"/>
      <c r="T258" s="247"/>
      <c r="U258" s="247"/>
      <c r="V258" s="247"/>
      <c r="W258" s="247"/>
      <c r="X258" s="247"/>
      <c r="Y258" s="247"/>
      <c r="Z258" s="247"/>
      <c r="AA258" s="247"/>
      <c r="AB258" s="247"/>
      <c r="AC258" s="247"/>
    </row>
    <row r="259">
      <c r="A259" s="247"/>
      <c r="B259" s="247"/>
      <c r="C259" s="247"/>
      <c r="D259" s="249"/>
      <c r="E259" s="250"/>
      <c r="F259" s="248"/>
      <c r="G259" s="248"/>
      <c r="H259" s="251"/>
      <c r="I259" s="247"/>
      <c r="J259" s="247"/>
      <c r="K259" s="247"/>
      <c r="L259" s="247"/>
      <c r="M259" s="247"/>
      <c r="N259" s="247"/>
      <c r="O259" s="247"/>
      <c r="P259" s="247"/>
      <c r="Q259" s="247"/>
      <c r="R259" s="247"/>
      <c r="S259" s="247"/>
      <c r="T259" s="247"/>
      <c r="U259" s="247"/>
      <c r="V259" s="247"/>
      <c r="W259" s="247"/>
      <c r="X259" s="247"/>
      <c r="Y259" s="247"/>
      <c r="Z259" s="247"/>
      <c r="AA259" s="247"/>
      <c r="AB259" s="247"/>
      <c r="AC259" s="247"/>
    </row>
    <row r="260">
      <c r="A260" s="247"/>
      <c r="B260" s="247"/>
      <c r="C260" s="247"/>
      <c r="D260" s="249"/>
      <c r="E260" s="250"/>
      <c r="F260" s="248"/>
      <c r="G260" s="248"/>
      <c r="H260" s="251"/>
      <c r="I260" s="247"/>
      <c r="J260" s="247"/>
      <c r="K260" s="247"/>
      <c r="L260" s="247"/>
      <c r="M260" s="247"/>
      <c r="N260" s="247"/>
      <c r="O260" s="247"/>
      <c r="P260" s="247"/>
      <c r="Q260" s="247"/>
      <c r="R260" s="247"/>
      <c r="S260" s="247"/>
      <c r="T260" s="247"/>
      <c r="U260" s="247"/>
      <c r="V260" s="247"/>
      <c r="W260" s="247"/>
      <c r="X260" s="247"/>
      <c r="Y260" s="247"/>
      <c r="Z260" s="247"/>
      <c r="AA260" s="247"/>
      <c r="AB260" s="247"/>
      <c r="AC260" s="247"/>
    </row>
    <row r="261">
      <c r="A261" s="247"/>
      <c r="B261" s="247"/>
      <c r="C261" s="247"/>
      <c r="D261" s="249"/>
      <c r="E261" s="250"/>
      <c r="F261" s="248"/>
      <c r="G261" s="248"/>
      <c r="H261" s="251"/>
      <c r="I261" s="247"/>
      <c r="J261" s="247"/>
      <c r="K261" s="247"/>
      <c r="L261" s="247"/>
      <c r="M261" s="247"/>
      <c r="N261" s="247"/>
      <c r="O261" s="247"/>
      <c r="P261" s="247"/>
      <c r="Q261" s="247"/>
      <c r="R261" s="247"/>
      <c r="S261" s="247"/>
      <c r="T261" s="247"/>
      <c r="U261" s="247"/>
      <c r="V261" s="247"/>
      <c r="W261" s="247"/>
      <c r="X261" s="247"/>
      <c r="Y261" s="247"/>
      <c r="Z261" s="247"/>
      <c r="AA261" s="247"/>
      <c r="AB261" s="247"/>
      <c r="AC261" s="247"/>
    </row>
    <row r="262">
      <c r="A262" s="247"/>
      <c r="B262" s="247"/>
      <c r="C262" s="247"/>
      <c r="D262" s="249"/>
      <c r="E262" s="250"/>
      <c r="F262" s="248"/>
      <c r="G262" s="248"/>
      <c r="H262" s="251"/>
      <c r="I262" s="247"/>
      <c r="J262" s="247"/>
      <c r="K262" s="247"/>
      <c r="L262" s="247"/>
      <c r="M262" s="247"/>
      <c r="N262" s="247"/>
      <c r="O262" s="247"/>
      <c r="P262" s="247"/>
      <c r="Q262" s="247"/>
      <c r="R262" s="247"/>
      <c r="S262" s="247"/>
      <c r="T262" s="247"/>
      <c r="U262" s="247"/>
      <c r="V262" s="247"/>
      <c r="W262" s="247"/>
      <c r="X262" s="247"/>
      <c r="Y262" s="247"/>
      <c r="Z262" s="247"/>
      <c r="AA262" s="247"/>
      <c r="AB262" s="247"/>
      <c r="AC262" s="247"/>
    </row>
    <row r="263">
      <c r="A263" s="247"/>
      <c r="B263" s="247"/>
      <c r="C263" s="247"/>
      <c r="D263" s="249"/>
      <c r="E263" s="250"/>
      <c r="F263" s="248"/>
      <c r="G263" s="248"/>
      <c r="H263" s="251"/>
      <c r="I263" s="247"/>
      <c r="J263" s="247"/>
      <c r="K263" s="247"/>
      <c r="L263" s="247"/>
      <c r="M263" s="247"/>
      <c r="N263" s="247"/>
      <c r="O263" s="247"/>
      <c r="P263" s="247"/>
      <c r="Q263" s="247"/>
      <c r="R263" s="247"/>
      <c r="S263" s="247"/>
      <c r="T263" s="247"/>
      <c r="U263" s="247"/>
      <c r="V263" s="247"/>
      <c r="W263" s="247"/>
      <c r="X263" s="247"/>
      <c r="Y263" s="247"/>
      <c r="Z263" s="247"/>
      <c r="AA263" s="247"/>
      <c r="AB263" s="247"/>
      <c r="AC263" s="247"/>
    </row>
    <row r="264">
      <c r="A264" s="247"/>
      <c r="B264" s="247"/>
      <c r="C264" s="247"/>
      <c r="D264" s="249"/>
      <c r="E264" s="250"/>
      <c r="F264" s="248"/>
      <c r="G264" s="248"/>
      <c r="H264" s="251"/>
      <c r="I264" s="247"/>
      <c r="J264" s="247"/>
      <c r="K264" s="247"/>
      <c r="L264" s="247"/>
      <c r="M264" s="247"/>
      <c r="N264" s="247"/>
      <c r="O264" s="247"/>
      <c r="P264" s="247"/>
      <c r="Q264" s="247"/>
      <c r="R264" s="247"/>
      <c r="S264" s="247"/>
      <c r="T264" s="247"/>
      <c r="U264" s="247"/>
      <c r="V264" s="247"/>
      <c r="W264" s="247"/>
      <c r="X264" s="247"/>
      <c r="Y264" s="247"/>
      <c r="Z264" s="247"/>
      <c r="AA264" s="247"/>
      <c r="AB264" s="247"/>
      <c r="AC264" s="247"/>
    </row>
    <row r="265">
      <c r="A265" s="247"/>
      <c r="B265" s="247"/>
      <c r="C265" s="247"/>
      <c r="D265" s="249"/>
      <c r="E265" s="250"/>
      <c r="F265" s="248"/>
      <c r="G265" s="248"/>
      <c r="H265" s="251"/>
      <c r="I265" s="247"/>
      <c r="J265" s="247"/>
      <c r="K265" s="247"/>
      <c r="L265" s="247"/>
      <c r="M265" s="247"/>
      <c r="N265" s="247"/>
      <c r="O265" s="247"/>
      <c r="P265" s="247"/>
      <c r="Q265" s="247"/>
      <c r="R265" s="247"/>
      <c r="S265" s="247"/>
      <c r="T265" s="247"/>
      <c r="U265" s="247"/>
      <c r="V265" s="247"/>
      <c r="W265" s="247"/>
      <c r="X265" s="247"/>
      <c r="Y265" s="247"/>
      <c r="Z265" s="247"/>
      <c r="AA265" s="247"/>
      <c r="AB265" s="247"/>
      <c r="AC265" s="247"/>
    </row>
    <row r="266">
      <c r="A266" s="247"/>
      <c r="B266" s="247"/>
      <c r="C266" s="247"/>
      <c r="D266" s="249"/>
      <c r="E266" s="250"/>
      <c r="F266" s="248"/>
      <c r="G266" s="248"/>
      <c r="H266" s="251"/>
      <c r="I266" s="247"/>
      <c r="J266" s="247"/>
      <c r="K266" s="247"/>
      <c r="L266" s="247"/>
      <c r="M266" s="247"/>
      <c r="N266" s="247"/>
      <c r="O266" s="247"/>
      <c r="P266" s="247"/>
      <c r="Q266" s="247"/>
      <c r="R266" s="247"/>
      <c r="S266" s="247"/>
      <c r="T266" s="247"/>
      <c r="U266" s="247"/>
      <c r="V266" s="247"/>
      <c r="W266" s="247"/>
      <c r="X266" s="247"/>
      <c r="Y266" s="247"/>
      <c r="Z266" s="247"/>
      <c r="AA266" s="247"/>
      <c r="AB266" s="247"/>
      <c r="AC266" s="247"/>
    </row>
    <row r="267">
      <c r="A267" s="247"/>
      <c r="B267" s="247"/>
      <c r="C267" s="247"/>
      <c r="D267" s="249"/>
      <c r="E267" s="250"/>
      <c r="F267" s="248"/>
      <c r="G267" s="248"/>
      <c r="H267" s="251"/>
      <c r="I267" s="247"/>
      <c r="J267" s="247"/>
      <c r="K267" s="247"/>
      <c r="L267" s="247"/>
      <c r="M267" s="247"/>
      <c r="N267" s="247"/>
      <c r="O267" s="247"/>
      <c r="P267" s="247"/>
      <c r="Q267" s="247"/>
      <c r="R267" s="247"/>
      <c r="S267" s="247"/>
      <c r="T267" s="247"/>
      <c r="U267" s="247"/>
      <c r="V267" s="247"/>
      <c r="W267" s="247"/>
      <c r="X267" s="247"/>
      <c r="Y267" s="247"/>
      <c r="Z267" s="247"/>
      <c r="AA267" s="247"/>
      <c r="AB267" s="247"/>
      <c r="AC267" s="247"/>
    </row>
    <row r="268">
      <c r="A268" s="247"/>
      <c r="B268" s="247"/>
      <c r="C268" s="247"/>
      <c r="D268" s="249"/>
      <c r="E268" s="250"/>
      <c r="F268" s="248"/>
      <c r="G268" s="248"/>
      <c r="H268" s="251"/>
      <c r="I268" s="247"/>
      <c r="J268" s="247"/>
      <c r="K268" s="247"/>
      <c r="L268" s="247"/>
      <c r="M268" s="247"/>
      <c r="N268" s="247"/>
      <c r="O268" s="247"/>
      <c r="P268" s="247"/>
      <c r="Q268" s="247"/>
      <c r="R268" s="247"/>
      <c r="S268" s="247"/>
      <c r="T268" s="247"/>
      <c r="U268" s="247"/>
      <c r="V268" s="247"/>
      <c r="W268" s="247"/>
      <c r="X268" s="247"/>
      <c r="Y268" s="247"/>
      <c r="Z268" s="247"/>
      <c r="AA268" s="247"/>
      <c r="AB268" s="247"/>
      <c r="AC268" s="247"/>
    </row>
    <row r="269">
      <c r="A269" s="247"/>
      <c r="B269" s="247"/>
      <c r="C269" s="247"/>
      <c r="D269" s="249"/>
      <c r="E269" s="250"/>
      <c r="F269" s="248"/>
      <c r="G269" s="248"/>
      <c r="H269" s="251"/>
      <c r="I269" s="247"/>
      <c r="J269" s="247"/>
      <c r="K269" s="247"/>
      <c r="L269" s="247"/>
      <c r="M269" s="247"/>
      <c r="N269" s="247"/>
      <c r="O269" s="247"/>
      <c r="P269" s="247"/>
      <c r="Q269" s="247"/>
      <c r="R269" s="247"/>
      <c r="S269" s="247"/>
      <c r="T269" s="247"/>
      <c r="U269" s="247"/>
      <c r="V269" s="247"/>
      <c r="W269" s="247"/>
      <c r="X269" s="247"/>
      <c r="Y269" s="247"/>
      <c r="Z269" s="247"/>
      <c r="AA269" s="247"/>
      <c r="AB269" s="247"/>
      <c r="AC269" s="247"/>
    </row>
    <row r="270">
      <c r="A270" s="247"/>
      <c r="B270" s="247"/>
      <c r="C270" s="247"/>
      <c r="D270" s="249"/>
      <c r="E270" s="250"/>
      <c r="F270" s="248"/>
      <c r="G270" s="248"/>
      <c r="H270" s="251"/>
      <c r="I270" s="247"/>
      <c r="J270" s="247"/>
      <c r="K270" s="247"/>
      <c r="L270" s="247"/>
      <c r="M270" s="247"/>
      <c r="N270" s="247"/>
      <c r="O270" s="247"/>
      <c r="P270" s="247"/>
      <c r="Q270" s="247"/>
      <c r="R270" s="247"/>
      <c r="S270" s="247"/>
      <c r="T270" s="247"/>
      <c r="U270" s="247"/>
      <c r="V270" s="247"/>
      <c r="W270" s="247"/>
      <c r="X270" s="247"/>
      <c r="Y270" s="247"/>
      <c r="Z270" s="247"/>
      <c r="AA270" s="247"/>
      <c r="AB270" s="247"/>
      <c r="AC270" s="247"/>
    </row>
    <row r="271">
      <c r="A271" s="247"/>
      <c r="B271" s="247"/>
      <c r="C271" s="247"/>
      <c r="D271" s="249"/>
      <c r="E271" s="250"/>
      <c r="F271" s="248"/>
      <c r="G271" s="248"/>
      <c r="H271" s="251"/>
      <c r="I271" s="247"/>
      <c r="J271" s="247"/>
      <c r="K271" s="247"/>
      <c r="L271" s="247"/>
      <c r="M271" s="247"/>
      <c r="N271" s="247"/>
      <c r="O271" s="247"/>
      <c r="P271" s="247"/>
      <c r="Q271" s="247"/>
      <c r="R271" s="247"/>
      <c r="S271" s="247"/>
      <c r="T271" s="247"/>
      <c r="U271" s="247"/>
      <c r="V271" s="247"/>
      <c r="W271" s="247"/>
      <c r="X271" s="247"/>
      <c r="Y271" s="247"/>
      <c r="Z271" s="247"/>
      <c r="AA271" s="247"/>
      <c r="AB271" s="247"/>
      <c r="AC271" s="247"/>
    </row>
    <row r="272">
      <c r="A272" s="247"/>
      <c r="B272" s="247"/>
      <c r="C272" s="247"/>
      <c r="D272" s="249"/>
      <c r="E272" s="250"/>
      <c r="F272" s="248"/>
      <c r="G272" s="248"/>
      <c r="H272" s="251"/>
      <c r="I272" s="247"/>
      <c r="J272" s="247"/>
      <c r="K272" s="247"/>
      <c r="L272" s="247"/>
      <c r="M272" s="247"/>
      <c r="N272" s="247"/>
      <c r="O272" s="247"/>
      <c r="P272" s="247"/>
      <c r="Q272" s="247"/>
      <c r="R272" s="247"/>
      <c r="S272" s="247"/>
      <c r="T272" s="247"/>
      <c r="U272" s="247"/>
      <c r="V272" s="247"/>
      <c r="W272" s="247"/>
      <c r="X272" s="247"/>
      <c r="Y272" s="247"/>
      <c r="Z272" s="247"/>
      <c r="AA272" s="247"/>
      <c r="AB272" s="247"/>
      <c r="AC272" s="247"/>
    </row>
    <row r="273">
      <c r="A273" s="247"/>
      <c r="B273" s="247"/>
      <c r="C273" s="247"/>
      <c r="D273" s="249"/>
      <c r="E273" s="250"/>
      <c r="F273" s="248"/>
      <c r="G273" s="248"/>
      <c r="H273" s="251"/>
      <c r="I273" s="247"/>
      <c r="J273" s="247"/>
      <c r="K273" s="247"/>
      <c r="L273" s="247"/>
      <c r="M273" s="247"/>
      <c r="N273" s="247"/>
      <c r="O273" s="247"/>
      <c r="P273" s="247"/>
      <c r="Q273" s="247"/>
      <c r="R273" s="247"/>
      <c r="S273" s="247"/>
      <c r="T273" s="247"/>
      <c r="U273" s="247"/>
      <c r="V273" s="247"/>
      <c r="W273" s="247"/>
      <c r="X273" s="247"/>
      <c r="Y273" s="247"/>
      <c r="Z273" s="247"/>
      <c r="AA273" s="247"/>
      <c r="AB273" s="247"/>
      <c r="AC273" s="247"/>
    </row>
    <row r="274">
      <c r="A274" s="247"/>
      <c r="B274" s="247"/>
      <c r="C274" s="247"/>
      <c r="D274" s="249"/>
      <c r="E274" s="250"/>
      <c r="F274" s="248"/>
      <c r="G274" s="248"/>
      <c r="H274" s="251"/>
      <c r="I274" s="247"/>
      <c r="J274" s="247"/>
      <c r="K274" s="247"/>
      <c r="L274" s="247"/>
      <c r="M274" s="247"/>
      <c r="N274" s="247"/>
      <c r="O274" s="247"/>
      <c r="P274" s="247"/>
      <c r="Q274" s="247"/>
      <c r="R274" s="247"/>
      <c r="S274" s="247"/>
      <c r="T274" s="247"/>
      <c r="U274" s="247"/>
      <c r="V274" s="247"/>
      <c r="W274" s="247"/>
      <c r="X274" s="247"/>
      <c r="Y274" s="247"/>
      <c r="Z274" s="247"/>
      <c r="AA274" s="247"/>
      <c r="AB274" s="247"/>
      <c r="AC274" s="247"/>
    </row>
    <row r="275">
      <c r="A275" s="247"/>
      <c r="B275" s="247"/>
      <c r="C275" s="247"/>
      <c r="D275" s="249"/>
      <c r="E275" s="250"/>
      <c r="F275" s="248"/>
      <c r="G275" s="248"/>
      <c r="H275" s="251"/>
      <c r="I275" s="247"/>
      <c r="J275" s="247"/>
      <c r="K275" s="247"/>
      <c r="L275" s="247"/>
      <c r="M275" s="247"/>
      <c r="N275" s="247"/>
      <c r="O275" s="247"/>
      <c r="P275" s="247"/>
      <c r="Q275" s="247"/>
      <c r="R275" s="247"/>
      <c r="S275" s="247"/>
      <c r="T275" s="247"/>
      <c r="U275" s="247"/>
      <c r="V275" s="247"/>
      <c r="W275" s="247"/>
      <c r="X275" s="247"/>
      <c r="Y275" s="247"/>
      <c r="Z275" s="247"/>
      <c r="AA275" s="247"/>
      <c r="AB275" s="247"/>
      <c r="AC275" s="247"/>
    </row>
    <row r="276">
      <c r="A276" s="247"/>
      <c r="B276" s="247"/>
      <c r="C276" s="247"/>
      <c r="D276" s="249"/>
      <c r="E276" s="250"/>
      <c r="F276" s="248"/>
      <c r="G276" s="248"/>
      <c r="H276" s="251"/>
      <c r="I276" s="247"/>
      <c r="J276" s="247"/>
      <c r="K276" s="247"/>
      <c r="L276" s="247"/>
      <c r="M276" s="247"/>
      <c r="N276" s="247"/>
      <c r="O276" s="247"/>
      <c r="P276" s="247"/>
      <c r="Q276" s="247"/>
      <c r="R276" s="247"/>
      <c r="S276" s="247"/>
      <c r="T276" s="247"/>
      <c r="U276" s="247"/>
      <c r="V276" s="247"/>
      <c r="W276" s="247"/>
      <c r="X276" s="247"/>
      <c r="Y276" s="247"/>
      <c r="Z276" s="247"/>
      <c r="AA276" s="247"/>
      <c r="AB276" s="247"/>
      <c r="AC276" s="247"/>
    </row>
    <row r="277">
      <c r="A277" s="247"/>
      <c r="B277" s="247"/>
      <c r="C277" s="247"/>
      <c r="D277" s="249"/>
      <c r="E277" s="250"/>
      <c r="F277" s="248"/>
      <c r="G277" s="248"/>
      <c r="H277" s="251"/>
      <c r="I277" s="247"/>
      <c r="J277" s="247"/>
      <c r="K277" s="247"/>
      <c r="L277" s="247"/>
      <c r="M277" s="247"/>
      <c r="N277" s="247"/>
      <c r="O277" s="247"/>
      <c r="P277" s="247"/>
      <c r="Q277" s="247"/>
      <c r="R277" s="247"/>
      <c r="S277" s="247"/>
      <c r="T277" s="247"/>
      <c r="U277" s="247"/>
      <c r="V277" s="247"/>
      <c r="W277" s="247"/>
      <c r="X277" s="247"/>
      <c r="Y277" s="247"/>
      <c r="Z277" s="247"/>
      <c r="AA277" s="247"/>
      <c r="AB277" s="247"/>
      <c r="AC277" s="247"/>
    </row>
    <row r="278">
      <c r="A278" s="247"/>
      <c r="B278" s="247"/>
      <c r="C278" s="247"/>
      <c r="D278" s="249"/>
      <c r="E278" s="250"/>
      <c r="F278" s="248"/>
      <c r="G278" s="248"/>
      <c r="H278" s="251"/>
      <c r="I278" s="247"/>
      <c r="J278" s="247"/>
      <c r="K278" s="247"/>
      <c r="L278" s="247"/>
      <c r="M278" s="247"/>
      <c r="N278" s="247"/>
      <c r="O278" s="247"/>
      <c r="P278" s="247"/>
      <c r="Q278" s="247"/>
      <c r="R278" s="247"/>
      <c r="S278" s="247"/>
      <c r="T278" s="247"/>
      <c r="U278" s="247"/>
      <c r="V278" s="247"/>
      <c r="W278" s="247"/>
      <c r="X278" s="247"/>
      <c r="Y278" s="247"/>
      <c r="Z278" s="247"/>
      <c r="AA278" s="247"/>
      <c r="AB278" s="247"/>
      <c r="AC278" s="247"/>
    </row>
    <row r="279">
      <c r="A279" s="247"/>
      <c r="B279" s="247"/>
      <c r="C279" s="247"/>
      <c r="D279" s="249"/>
      <c r="E279" s="250"/>
      <c r="F279" s="248"/>
      <c r="G279" s="248"/>
      <c r="H279" s="251"/>
      <c r="I279" s="247"/>
      <c r="J279" s="247"/>
      <c r="K279" s="247"/>
      <c r="L279" s="247"/>
      <c r="M279" s="247"/>
      <c r="N279" s="247"/>
      <c r="O279" s="247"/>
      <c r="P279" s="247"/>
      <c r="Q279" s="247"/>
      <c r="R279" s="247"/>
      <c r="S279" s="247"/>
      <c r="T279" s="247"/>
      <c r="U279" s="247"/>
      <c r="V279" s="247"/>
      <c r="W279" s="247"/>
      <c r="X279" s="247"/>
      <c r="Y279" s="247"/>
      <c r="Z279" s="247"/>
      <c r="AA279" s="247"/>
      <c r="AB279" s="247"/>
      <c r="AC279" s="247"/>
    </row>
    <row r="280">
      <c r="A280" s="247"/>
      <c r="B280" s="247"/>
      <c r="C280" s="247"/>
      <c r="D280" s="249"/>
      <c r="E280" s="250"/>
      <c r="F280" s="248"/>
      <c r="G280" s="248"/>
      <c r="H280" s="251"/>
      <c r="I280" s="247"/>
      <c r="J280" s="247"/>
      <c r="K280" s="247"/>
      <c r="L280" s="247"/>
      <c r="M280" s="247"/>
      <c r="N280" s="247"/>
      <c r="O280" s="247"/>
      <c r="P280" s="247"/>
      <c r="Q280" s="247"/>
      <c r="R280" s="247"/>
      <c r="S280" s="247"/>
      <c r="T280" s="247"/>
      <c r="U280" s="247"/>
      <c r="V280" s="247"/>
      <c r="W280" s="247"/>
      <c r="X280" s="247"/>
      <c r="Y280" s="247"/>
      <c r="Z280" s="247"/>
      <c r="AA280" s="247"/>
      <c r="AB280" s="247"/>
      <c r="AC280" s="247"/>
    </row>
    <row r="281">
      <c r="A281" s="247"/>
      <c r="B281" s="247"/>
      <c r="C281" s="247"/>
      <c r="D281" s="249"/>
      <c r="E281" s="250"/>
      <c r="F281" s="248"/>
      <c r="G281" s="248"/>
      <c r="H281" s="251"/>
      <c r="I281" s="247"/>
      <c r="J281" s="247"/>
      <c r="K281" s="247"/>
      <c r="L281" s="247"/>
      <c r="M281" s="247"/>
      <c r="N281" s="247"/>
      <c r="O281" s="247"/>
      <c r="P281" s="247"/>
      <c r="Q281" s="247"/>
      <c r="R281" s="247"/>
      <c r="S281" s="247"/>
      <c r="T281" s="247"/>
      <c r="U281" s="247"/>
      <c r="V281" s="247"/>
      <c r="W281" s="247"/>
      <c r="X281" s="247"/>
      <c r="Y281" s="247"/>
      <c r="Z281" s="247"/>
      <c r="AA281" s="247"/>
      <c r="AB281" s="247"/>
      <c r="AC281" s="247"/>
    </row>
    <row r="282">
      <c r="A282" s="247"/>
      <c r="B282" s="247"/>
      <c r="C282" s="247"/>
      <c r="D282" s="249"/>
      <c r="E282" s="250"/>
      <c r="F282" s="248"/>
      <c r="G282" s="248"/>
      <c r="H282" s="251"/>
      <c r="I282" s="247"/>
      <c r="J282" s="247"/>
      <c r="K282" s="247"/>
      <c r="L282" s="247"/>
      <c r="M282" s="247"/>
      <c r="N282" s="247"/>
      <c r="O282" s="247"/>
      <c r="P282" s="247"/>
      <c r="Q282" s="247"/>
      <c r="R282" s="247"/>
      <c r="S282" s="247"/>
      <c r="T282" s="247"/>
      <c r="U282" s="247"/>
      <c r="V282" s="247"/>
      <c r="W282" s="247"/>
      <c r="X282" s="247"/>
      <c r="Y282" s="247"/>
      <c r="Z282" s="247"/>
      <c r="AA282" s="247"/>
      <c r="AB282" s="247"/>
      <c r="AC282" s="247"/>
    </row>
    <row r="283">
      <c r="A283" s="247"/>
      <c r="B283" s="247"/>
      <c r="C283" s="247"/>
      <c r="D283" s="249"/>
      <c r="E283" s="250"/>
      <c r="F283" s="248"/>
      <c r="G283" s="248"/>
      <c r="H283" s="251"/>
      <c r="I283" s="247"/>
      <c r="J283" s="247"/>
      <c r="K283" s="247"/>
      <c r="L283" s="247"/>
      <c r="M283" s="247"/>
      <c r="N283" s="247"/>
      <c r="O283" s="247"/>
      <c r="P283" s="247"/>
      <c r="Q283" s="247"/>
      <c r="R283" s="247"/>
      <c r="S283" s="247"/>
      <c r="T283" s="247"/>
      <c r="U283" s="247"/>
      <c r="V283" s="247"/>
      <c r="W283" s="247"/>
      <c r="X283" s="247"/>
      <c r="Y283" s="247"/>
      <c r="Z283" s="247"/>
      <c r="AA283" s="247"/>
      <c r="AB283" s="247"/>
      <c r="AC283" s="247"/>
    </row>
    <row r="284">
      <c r="A284" s="247"/>
      <c r="B284" s="247"/>
      <c r="C284" s="247"/>
      <c r="D284" s="249"/>
      <c r="E284" s="250"/>
      <c r="F284" s="248"/>
      <c r="G284" s="248"/>
      <c r="H284" s="251"/>
      <c r="I284" s="247"/>
      <c r="J284" s="247"/>
      <c r="K284" s="247"/>
      <c r="L284" s="247"/>
      <c r="M284" s="247"/>
      <c r="N284" s="247"/>
      <c r="O284" s="247"/>
      <c r="P284" s="247"/>
      <c r="Q284" s="247"/>
      <c r="R284" s="247"/>
      <c r="S284" s="247"/>
      <c r="T284" s="247"/>
      <c r="U284" s="247"/>
      <c r="V284" s="247"/>
      <c r="W284" s="247"/>
      <c r="X284" s="247"/>
      <c r="Y284" s="247"/>
      <c r="Z284" s="247"/>
      <c r="AA284" s="247"/>
      <c r="AB284" s="247"/>
      <c r="AC284" s="247"/>
    </row>
    <row r="285">
      <c r="A285" s="247"/>
      <c r="B285" s="247"/>
      <c r="C285" s="247"/>
      <c r="D285" s="249"/>
      <c r="E285" s="250"/>
      <c r="F285" s="248"/>
      <c r="G285" s="248"/>
      <c r="H285" s="251"/>
      <c r="I285" s="247"/>
      <c r="J285" s="247"/>
      <c r="K285" s="247"/>
      <c r="L285" s="247"/>
      <c r="M285" s="247"/>
      <c r="N285" s="247"/>
      <c r="O285" s="247"/>
      <c r="P285" s="247"/>
      <c r="Q285" s="247"/>
      <c r="R285" s="247"/>
      <c r="S285" s="247"/>
      <c r="T285" s="247"/>
      <c r="U285" s="247"/>
      <c r="V285" s="247"/>
      <c r="W285" s="247"/>
      <c r="X285" s="247"/>
      <c r="Y285" s="247"/>
      <c r="Z285" s="247"/>
      <c r="AA285" s="247"/>
      <c r="AB285" s="247"/>
      <c r="AC285" s="247"/>
    </row>
    <row r="286">
      <c r="A286" s="247"/>
      <c r="B286" s="247"/>
      <c r="C286" s="247"/>
      <c r="D286" s="249"/>
      <c r="E286" s="250"/>
      <c r="F286" s="248"/>
      <c r="G286" s="248"/>
      <c r="H286" s="251"/>
      <c r="I286" s="247"/>
      <c r="J286" s="247"/>
      <c r="K286" s="247"/>
      <c r="L286" s="247"/>
      <c r="M286" s="247"/>
      <c r="N286" s="247"/>
      <c r="O286" s="247"/>
      <c r="P286" s="247"/>
      <c r="Q286" s="247"/>
      <c r="R286" s="247"/>
      <c r="S286" s="247"/>
      <c r="T286" s="247"/>
      <c r="U286" s="247"/>
      <c r="V286" s="247"/>
      <c r="W286" s="247"/>
      <c r="X286" s="247"/>
      <c r="Y286" s="247"/>
      <c r="Z286" s="247"/>
      <c r="AA286" s="247"/>
      <c r="AB286" s="247"/>
      <c r="AC286" s="247"/>
    </row>
    <row r="287">
      <c r="A287" s="247"/>
      <c r="B287" s="247"/>
      <c r="C287" s="247"/>
      <c r="D287" s="249"/>
      <c r="E287" s="250"/>
      <c r="F287" s="248"/>
      <c r="G287" s="248"/>
      <c r="H287" s="251"/>
      <c r="I287" s="247"/>
      <c r="J287" s="247"/>
      <c r="K287" s="247"/>
      <c r="L287" s="247"/>
      <c r="M287" s="247"/>
      <c r="N287" s="247"/>
      <c r="O287" s="247"/>
      <c r="P287" s="247"/>
      <c r="Q287" s="247"/>
      <c r="R287" s="247"/>
      <c r="S287" s="247"/>
      <c r="T287" s="247"/>
      <c r="U287" s="247"/>
      <c r="V287" s="247"/>
      <c r="W287" s="247"/>
      <c r="X287" s="247"/>
      <c r="Y287" s="247"/>
      <c r="Z287" s="247"/>
      <c r="AA287" s="247"/>
      <c r="AB287" s="247"/>
      <c r="AC287" s="247"/>
    </row>
    <row r="288">
      <c r="A288" s="247"/>
      <c r="B288" s="247"/>
      <c r="C288" s="247"/>
      <c r="D288" s="249"/>
      <c r="E288" s="250"/>
      <c r="F288" s="248"/>
      <c r="G288" s="248"/>
      <c r="H288" s="251"/>
      <c r="I288" s="247"/>
      <c r="J288" s="247"/>
      <c r="K288" s="247"/>
      <c r="L288" s="247"/>
      <c r="M288" s="247"/>
      <c r="N288" s="247"/>
      <c r="O288" s="247"/>
      <c r="P288" s="247"/>
      <c r="Q288" s="247"/>
      <c r="R288" s="247"/>
      <c r="S288" s="247"/>
      <c r="T288" s="247"/>
      <c r="U288" s="247"/>
      <c r="V288" s="247"/>
      <c r="W288" s="247"/>
      <c r="X288" s="247"/>
      <c r="Y288" s="247"/>
      <c r="Z288" s="247"/>
      <c r="AA288" s="247"/>
      <c r="AB288" s="247"/>
      <c r="AC288" s="247"/>
    </row>
    <row r="289">
      <c r="A289" s="247"/>
      <c r="B289" s="247"/>
      <c r="C289" s="247"/>
      <c r="D289" s="249"/>
      <c r="E289" s="250"/>
      <c r="F289" s="248"/>
      <c r="G289" s="248"/>
      <c r="H289" s="251"/>
      <c r="I289" s="247"/>
      <c r="J289" s="247"/>
      <c r="K289" s="247"/>
      <c r="L289" s="247"/>
      <c r="M289" s="247"/>
      <c r="N289" s="247"/>
      <c r="O289" s="247"/>
      <c r="P289" s="247"/>
      <c r="Q289" s="247"/>
      <c r="R289" s="247"/>
      <c r="S289" s="247"/>
      <c r="T289" s="247"/>
      <c r="U289" s="247"/>
      <c r="V289" s="247"/>
      <c r="W289" s="247"/>
      <c r="X289" s="247"/>
      <c r="Y289" s="247"/>
      <c r="Z289" s="247"/>
      <c r="AA289" s="247"/>
      <c r="AB289" s="247"/>
      <c r="AC289" s="247"/>
    </row>
    <row r="290">
      <c r="A290" s="247"/>
      <c r="B290" s="247"/>
      <c r="C290" s="247"/>
      <c r="D290" s="249"/>
      <c r="E290" s="250"/>
      <c r="F290" s="248"/>
      <c r="G290" s="248"/>
      <c r="H290" s="251"/>
      <c r="I290" s="247"/>
      <c r="J290" s="247"/>
      <c r="K290" s="247"/>
      <c r="L290" s="247"/>
      <c r="M290" s="247"/>
      <c r="N290" s="247"/>
      <c r="O290" s="247"/>
      <c r="P290" s="247"/>
      <c r="Q290" s="247"/>
      <c r="R290" s="247"/>
      <c r="S290" s="247"/>
      <c r="T290" s="247"/>
      <c r="U290" s="247"/>
      <c r="V290" s="247"/>
      <c r="W290" s="247"/>
      <c r="X290" s="247"/>
      <c r="Y290" s="247"/>
      <c r="Z290" s="247"/>
      <c r="AA290" s="247"/>
      <c r="AB290" s="247"/>
      <c r="AC290" s="247"/>
    </row>
    <row r="291">
      <c r="A291" s="247"/>
      <c r="B291" s="247"/>
      <c r="C291" s="247"/>
      <c r="D291" s="249"/>
      <c r="E291" s="250"/>
      <c r="F291" s="248"/>
      <c r="G291" s="248"/>
      <c r="H291" s="251"/>
      <c r="I291" s="247"/>
      <c r="J291" s="247"/>
      <c r="K291" s="247"/>
      <c r="L291" s="247"/>
      <c r="M291" s="247"/>
      <c r="N291" s="247"/>
      <c r="O291" s="247"/>
      <c r="P291" s="247"/>
      <c r="Q291" s="247"/>
      <c r="R291" s="247"/>
      <c r="S291" s="247"/>
      <c r="T291" s="247"/>
      <c r="U291" s="247"/>
      <c r="V291" s="247"/>
      <c r="W291" s="247"/>
      <c r="X291" s="247"/>
      <c r="Y291" s="247"/>
      <c r="Z291" s="247"/>
      <c r="AA291" s="247"/>
      <c r="AB291" s="247"/>
      <c r="AC291" s="247"/>
    </row>
    <row r="292">
      <c r="A292" s="247"/>
      <c r="B292" s="247"/>
      <c r="C292" s="247"/>
      <c r="D292" s="249"/>
      <c r="E292" s="250"/>
      <c r="F292" s="248"/>
      <c r="G292" s="248"/>
      <c r="H292" s="251"/>
      <c r="I292" s="247"/>
      <c r="J292" s="247"/>
      <c r="K292" s="247"/>
      <c r="L292" s="247"/>
      <c r="M292" s="247"/>
      <c r="N292" s="247"/>
      <c r="O292" s="247"/>
      <c r="P292" s="247"/>
      <c r="Q292" s="247"/>
      <c r="R292" s="247"/>
      <c r="S292" s="247"/>
      <c r="T292" s="247"/>
      <c r="U292" s="247"/>
      <c r="V292" s="247"/>
      <c r="W292" s="247"/>
      <c r="X292" s="247"/>
      <c r="Y292" s="247"/>
      <c r="Z292" s="247"/>
      <c r="AA292" s="247"/>
      <c r="AB292" s="247"/>
      <c r="AC292" s="247"/>
    </row>
    <row r="293">
      <c r="A293" s="247"/>
      <c r="B293" s="247"/>
      <c r="C293" s="247"/>
      <c r="D293" s="249"/>
      <c r="E293" s="250"/>
      <c r="F293" s="248"/>
      <c r="G293" s="248"/>
      <c r="H293" s="251"/>
      <c r="I293" s="247"/>
      <c r="J293" s="247"/>
      <c r="K293" s="247"/>
      <c r="L293" s="247"/>
      <c r="M293" s="247"/>
      <c r="N293" s="247"/>
      <c r="O293" s="247"/>
      <c r="P293" s="247"/>
      <c r="Q293" s="247"/>
      <c r="R293" s="247"/>
      <c r="S293" s="247"/>
      <c r="T293" s="247"/>
      <c r="U293" s="247"/>
      <c r="V293" s="247"/>
      <c r="W293" s="247"/>
      <c r="X293" s="247"/>
      <c r="Y293" s="247"/>
      <c r="Z293" s="247"/>
      <c r="AA293" s="247"/>
      <c r="AB293" s="247"/>
      <c r="AC293" s="247"/>
    </row>
    <row r="294">
      <c r="A294" s="247"/>
      <c r="B294" s="247"/>
      <c r="C294" s="247"/>
      <c r="D294" s="249"/>
      <c r="E294" s="250"/>
      <c r="F294" s="248"/>
      <c r="G294" s="248"/>
      <c r="H294" s="251"/>
      <c r="I294" s="247"/>
      <c r="J294" s="247"/>
      <c r="K294" s="247"/>
      <c r="L294" s="247"/>
      <c r="M294" s="247"/>
      <c r="N294" s="247"/>
      <c r="O294" s="247"/>
      <c r="P294" s="247"/>
      <c r="Q294" s="247"/>
      <c r="R294" s="247"/>
      <c r="S294" s="247"/>
      <c r="T294" s="247"/>
      <c r="U294" s="247"/>
      <c r="V294" s="247"/>
      <c r="W294" s="247"/>
      <c r="X294" s="247"/>
      <c r="Y294" s="247"/>
      <c r="Z294" s="247"/>
      <c r="AA294" s="247"/>
      <c r="AB294" s="247"/>
      <c r="AC294" s="247"/>
    </row>
    <row r="295">
      <c r="A295" s="247"/>
      <c r="B295" s="247"/>
      <c r="C295" s="247"/>
      <c r="D295" s="249"/>
      <c r="E295" s="250"/>
      <c r="F295" s="248"/>
      <c r="G295" s="248"/>
      <c r="H295" s="251"/>
      <c r="I295" s="247"/>
      <c r="J295" s="247"/>
      <c r="K295" s="247"/>
      <c r="L295" s="247"/>
      <c r="M295" s="247"/>
      <c r="N295" s="247"/>
      <c r="O295" s="247"/>
      <c r="P295" s="247"/>
      <c r="Q295" s="247"/>
      <c r="R295" s="247"/>
      <c r="S295" s="247"/>
      <c r="T295" s="247"/>
      <c r="U295" s="247"/>
      <c r="V295" s="247"/>
      <c r="W295" s="247"/>
      <c r="X295" s="247"/>
      <c r="Y295" s="247"/>
      <c r="Z295" s="247"/>
      <c r="AA295" s="247"/>
      <c r="AB295" s="247"/>
      <c r="AC295" s="247"/>
    </row>
    <row r="296">
      <c r="A296" s="247"/>
      <c r="B296" s="247"/>
      <c r="C296" s="247"/>
      <c r="D296" s="249"/>
      <c r="E296" s="250"/>
      <c r="F296" s="248"/>
      <c r="G296" s="248"/>
      <c r="H296" s="251"/>
      <c r="I296" s="247"/>
      <c r="J296" s="247"/>
      <c r="K296" s="247"/>
      <c r="L296" s="247"/>
      <c r="M296" s="247"/>
      <c r="N296" s="247"/>
      <c r="O296" s="247"/>
      <c r="P296" s="247"/>
      <c r="Q296" s="247"/>
      <c r="R296" s="247"/>
      <c r="S296" s="247"/>
      <c r="T296" s="247"/>
      <c r="U296" s="247"/>
      <c r="V296" s="247"/>
      <c r="W296" s="247"/>
      <c r="X296" s="247"/>
      <c r="Y296" s="247"/>
      <c r="Z296" s="247"/>
      <c r="AA296" s="247"/>
      <c r="AB296" s="247"/>
      <c r="AC296" s="247"/>
    </row>
    <row r="297">
      <c r="A297" s="247"/>
      <c r="B297" s="247"/>
      <c r="C297" s="247"/>
      <c r="D297" s="249"/>
      <c r="E297" s="250"/>
      <c r="F297" s="248"/>
      <c r="G297" s="248"/>
      <c r="H297" s="251"/>
      <c r="I297" s="247"/>
      <c r="J297" s="247"/>
      <c r="K297" s="247"/>
      <c r="L297" s="247"/>
      <c r="M297" s="247"/>
      <c r="N297" s="247"/>
      <c r="O297" s="247"/>
      <c r="P297" s="247"/>
      <c r="Q297" s="247"/>
      <c r="R297" s="247"/>
      <c r="S297" s="247"/>
      <c r="T297" s="247"/>
      <c r="U297" s="247"/>
      <c r="V297" s="247"/>
      <c r="W297" s="247"/>
      <c r="X297" s="247"/>
      <c r="Y297" s="247"/>
      <c r="Z297" s="247"/>
      <c r="AA297" s="247"/>
      <c r="AB297" s="247"/>
      <c r="AC297" s="247"/>
    </row>
    <row r="298">
      <c r="A298" s="247"/>
      <c r="B298" s="247"/>
      <c r="C298" s="247"/>
      <c r="D298" s="249"/>
      <c r="E298" s="250"/>
      <c r="F298" s="248"/>
      <c r="G298" s="248"/>
      <c r="H298" s="251"/>
      <c r="I298" s="247"/>
      <c r="J298" s="247"/>
      <c r="K298" s="247"/>
      <c r="L298" s="247"/>
      <c r="M298" s="247"/>
      <c r="N298" s="247"/>
      <c r="O298" s="247"/>
      <c r="P298" s="247"/>
      <c r="Q298" s="247"/>
      <c r="R298" s="247"/>
      <c r="S298" s="247"/>
      <c r="T298" s="247"/>
      <c r="U298" s="247"/>
      <c r="V298" s="247"/>
      <c r="W298" s="247"/>
      <c r="X298" s="247"/>
      <c r="Y298" s="247"/>
      <c r="Z298" s="247"/>
      <c r="AA298" s="247"/>
      <c r="AB298" s="247"/>
      <c r="AC298" s="247"/>
    </row>
    <row r="299">
      <c r="A299" s="247"/>
      <c r="B299" s="247"/>
      <c r="C299" s="247"/>
      <c r="D299" s="249"/>
      <c r="E299" s="250"/>
      <c r="F299" s="248"/>
      <c r="G299" s="248"/>
      <c r="H299" s="251"/>
      <c r="I299" s="247"/>
      <c r="J299" s="247"/>
      <c r="K299" s="247"/>
      <c r="L299" s="247"/>
      <c r="M299" s="247"/>
      <c r="N299" s="247"/>
      <c r="O299" s="247"/>
      <c r="P299" s="247"/>
      <c r="Q299" s="247"/>
      <c r="R299" s="247"/>
      <c r="S299" s="247"/>
      <c r="T299" s="247"/>
      <c r="U299" s="247"/>
      <c r="V299" s="247"/>
      <c r="W299" s="247"/>
      <c r="X299" s="247"/>
      <c r="Y299" s="247"/>
      <c r="Z299" s="247"/>
      <c r="AA299" s="247"/>
      <c r="AB299" s="247"/>
      <c r="AC299" s="247"/>
    </row>
    <row r="300">
      <c r="A300" s="247"/>
      <c r="B300" s="247"/>
      <c r="C300" s="247"/>
      <c r="D300" s="249"/>
      <c r="E300" s="250"/>
      <c r="F300" s="248"/>
      <c r="G300" s="248"/>
      <c r="H300" s="251"/>
      <c r="I300" s="247"/>
      <c r="J300" s="247"/>
      <c r="K300" s="247"/>
      <c r="L300" s="247"/>
      <c r="M300" s="247"/>
      <c r="N300" s="247"/>
      <c r="O300" s="247"/>
      <c r="P300" s="247"/>
      <c r="Q300" s="247"/>
      <c r="R300" s="247"/>
      <c r="S300" s="247"/>
      <c r="T300" s="247"/>
      <c r="U300" s="247"/>
      <c r="V300" s="247"/>
      <c r="W300" s="247"/>
      <c r="X300" s="247"/>
      <c r="Y300" s="247"/>
      <c r="Z300" s="247"/>
      <c r="AA300" s="247"/>
      <c r="AB300" s="247"/>
      <c r="AC300" s="247"/>
    </row>
    <row r="301">
      <c r="A301" s="247"/>
      <c r="B301" s="247"/>
      <c r="C301" s="247"/>
      <c r="D301" s="249"/>
      <c r="E301" s="250"/>
      <c r="F301" s="248"/>
      <c r="G301" s="248"/>
      <c r="H301" s="251"/>
      <c r="I301" s="247"/>
      <c r="J301" s="247"/>
      <c r="K301" s="247"/>
      <c r="L301" s="247"/>
      <c r="M301" s="247"/>
      <c r="N301" s="247"/>
      <c r="O301" s="247"/>
      <c r="P301" s="247"/>
      <c r="Q301" s="247"/>
      <c r="R301" s="247"/>
      <c r="S301" s="247"/>
      <c r="T301" s="247"/>
      <c r="U301" s="247"/>
      <c r="V301" s="247"/>
      <c r="W301" s="247"/>
      <c r="X301" s="247"/>
      <c r="Y301" s="247"/>
      <c r="Z301" s="247"/>
      <c r="AA301" s="247"/>
      <c r="AB301" s="247"/>
      <c r="AC301" s="247"/>
    </row>
    <row r="302">
      <c r="A302" s="247"/>
      <c r="B302" s="247"/>
      <c r="C302" s="247"/>
      <c r="D302" s="249"/>
      <c r="E302" s="250"/>
      <c r="F302" s="248"/>
      <c r="G302" s="248"/>
      <c r="H302" s="251"/>
      <c r="I302" s="247"/>
      <c r="J302" s="247"/>
      <c r="K302" s="247"/>
      <c r="L302" s="247"/>
      <c r="M302" s="247"/>
      <c r="N302" s="247"/>
      <c r="O302" s="247"/>
      <c r="P302" s="247"/>
      <c r="Q302" s="247"/>
      <c r="R302" s="247"/>
      <c r="S302" s="247"/>
      <c r="T302" s="247"/>
      <c r="U302" s="247"/>
      <c r="V302" s="247"/>
      <c r="W302" s="247"/>
      <c r="X302" s="247"/>
      <c r="Y302" s="247"/>
      <c r="Z302" s="247"/>
      <c r="AA302" s="247"/>
      <c r="AB302" s="247"/>
      <c r="AC302" s="247"/>
    </row>
    <row r="303">
      <c r="A303" s="247"/>
      <c r="B303" s="247"/>
      <c r="C303" s="247"/>
      <c r="D303" s="249"/>
      <c r="E303" s="250"/>
      <c r="F303" s="248"/>
      <c r="G303" s="248"/>
      <c r="H303" s="251"/>
      <c r="I303" s="247"/>
      <c r="J303" s="247"/>
      <c r="K303" s="247"/>
      <c r="L303" s="247"/>
      <c r="M303" s="247"/>
      <c r="N303" s="247"/>
      <c r="O303" s="247"/>
      <c r="P303" s="247"/>
      <c r="Q303" s="247"/>
      <c r="R303" s="247"/>
      <c r="S303" s="247"/>
      <c r="T303" s="247"/>
      <c r="U303" s="247"/>
      <c r="V303" s="247"/>
      <c r="W303" s="247"/>
      <c r="X303" s="247"/>
      <c r="Y303" s="247"/>
      <c r="Z303" s="247"/>
      <c r="AA303" s="247"/>
      <c r="AB303" s="247"/>
      <c r="AC303" s="247"/>
    </row>
    <row r="304">
      <c r="A304" s="247"/>
      <c r="B304" s="247"/>
      <c r="C304" s="247"/>
      <c r="D304" s="249"/>
      <c r="E304" s="250"/>
      <c r="F304" s="248"/>
      <c r="G304" s="248"/>
      <c r="H304" s="251"/>
      <c r="I304" s="247"/>
      <c r="J304" s="247"/>
      <c r="K304" s="247"/>
      <c r="L304" s="247"/>
      <c r="M304" s="247"/>
      <c r="N304" s="247"/>
      <c r="O304" s="247"/>
      <c r="P304" s="247"/>
      <c r="Q304" s="247"/>
      <c r="R304" s="247"/>
      <c r="S304" s="247"/>
      <c r="T304" s="247"/>
      <c r="U304" s="247"/>
      <c r="V304" s="247"/>
      <c r="W304" s="247"/>
      <c r="X304" s="247"/>
      <c r="Y304" s="247"/>
      <c r="Z304" s="247"/>
      <c r="AA304" s="247"/>
      <c r="AB304" s="247"/>
      <c r="AC304" s="247"/>
    </row>
    <row r="305">
      <c r="A305" s="247"/>
      <c r="B305" s="247"/>
      <c r="C305" s="247"/>
      <c r="D305" s="249"/>
      <c r="E305" s="250"/>
      <c r="F305" s="248"/>
      <c r="G305" s="248"/>
      <c r="H305" s="251"/>
      <c r="I305" s="247"/>
      <c r="J305" s="247"/>
      <c r="K305" s="247"/>
      <c r="L305" s="247"/>
      <c r="M305" s="247"/>
      <c r="N305" s="247"/>
      <c r="O305" s="247"/>
      <c r="P305" s="247"/>
      <c r="Q305" s="247"/>
      <c r="R305" s="247"/>
      <c r="S305" s="247"/>
      <c r="T305" s="247"/>
      <c r="U305" s="247"/>
      <c r="V305" s="247"/>
      <c r="W305" s="247"/>
      <c r="X305" s="247"/>
      <c r="Y305" s="247"/>
      <c r="Z305" s="247"/>
      <c r="AA305" s="247"/>
      <c r="AB305" s="247"/>
      <c r="AC305" s="247"/>
    </row>
    <row r="306">
      <c r="A306" s="247"/>
      <c r="B306" s="247"/>
      <c r="C306" s="247"/>
      <c r="D306" s="249"/>
      <c r="E306" s="250"/>
      <c r="F306" s="248"/>
      <c r="G306" s="248"/>
      <c r="H306" s="251"/>
      <c r="I306" s="247"/>
      <c r="J306" s="247"/>
      <c r="K306" s="247"/>
      <c r="L306" s="247"/>
      <c r="M306" s="247"/>
      <c r="N306" s="247"/>
      <c r="O306" s="247"/>
      <c r="P306" s="247"/>
      <c r="Q306" s="247"/>
      <c r="R306" s="247"/>
      <c r="S306" s="247"/>
      <c r="T306" s="247"/>
      <c r="U306" s="247"/>
      <c r="V306" s="247"/>
      <c r="W306" s="247"/>
      <c r="X306" s="247"/>
      <c r="Y306" s="247"/>
      <c r="Z306" s="247"/>
      <c r="AA306" s="247"/>
      <c r="AB306" s="247"/>
      <c r="AC306" s="247"/>
    </row>
    <row r="307">
      <c r="A307" s="247"/>
      <c r="B307" s="247"/>
      <c r="C307" s="247"/>
      <c r="D307" s="249"/>
      <c r="E307" s="250"/>
      <c r="F307" s="248"/>
      <c r="G307" s="248"/>
      <c r="H307" s="251"/>
      <c r="I307" s="247"/>
      <c r="J307" s="247"/>
      <c r="K307" s="247"/>
      <c r="L307" s="247"/>
      <c r="M307" s="247"/>
      <c r="N307" s="247"/>
      <c r="O307" s="247"/>
      <c r="P307" s="247"/>
      <c r="Q307" s="247"/>
      <c r="R307" s="247"/>
      <c r="S307" s="247"/>
      <c r="T307" s="247"/>
      <c r="U307" s="247"/>
      <c r="V307" s="247"/>
      <c r="W307" s="247"/>
      <c r="X307" s="247"/>
      <c r="Y307" s="247"/>
      <c r="Z307" s="247"/>
      <c r="AA307" s="247"/>
      <c r="AB307" s="247"/>
      <c r="AC307" s="247"/>
    </row>
    <row r="308">
      <c r="A308" s="247"/>
      <c r="B308" s="247"/>
      <c r="C308" s="247"/>
      <c r="D308" s="249"/>
      <c r="E308" s="250"/>
      <c r="F308" s="248"/>
      <c r="G308" s="248"/>
      <c r="H308" s="251"/>
      <c r="I308" s="247"/>
      <c r="J308" s="247"/>
      <c r="K308" s="247"/>
      <c r="L308" s="247"/>
      <c r="M308" s="247"/>
      <c r="N308" s="247"/>
      <c r="O308" s="247"/>
      <c r="P308" s="247"/>
      <c r="Q308" s="247"/>
      <c r="R308" s="247"/>
      <c r="S308" s="247"/>
      <c r="T308" s="247"/>
      <c r="U308" s="247"/>
      <c r="V308" s="247"/>
      <c r="W308" s="247"/>
      <c r="X308" s="247"/>
      <c r="Y308" s="247"/>
      <c r="Z308" s="247"/>
      <c r="AA308" s="247"/>
      <c r="AB308" s="247"/>
      <c r="AC308" s="247"/>
    </row>
    <row r="309">
      <c r="A309" s="247"/>
      <c r="B309" s="247"/>
      <c r="C309" s="247"/>
      <c r="D309" s="249"/>
      <c r="E309" s="250"/>
      <c r="F309" s="248"/>
      <c r="G309" s="248"/>
      <c r="H309" s="251"/>
      <c r="I309" s="247"/>
      <c r="J309" s="247"/>
      <c r="K309" s="247"/>
      <c r="L309" s="247"/>
      <c r="M309" s="247"/>
      <c r="N309" s="247"/>
      <c r="O309" s="247"/>
      <c r="P309" s="247"/>
      <c r="Q309" s="247"/>
      <c r="R309" s="247"/>
      <c r="S309" s="247"/>
      <c r="T309" s="247"/>
      <c r="U309" s="247"/>
      <c r="V309" s="247"/>
      <c r="W309" s="247"/>
      <c r="X309" s="247"/>
      <c r="Y309" s="247"/>
      <c r="Z309" s="247"/>
      <c r="AA309" s="247"/>
      <c r="AB309" s="247"/>
      <c r="AC309" s="247"/>
    </row>
    <row r="310">
      <c r="A310" s="247"/>
      <c r="B310" s="247"/>
      <c r="C310" s="247"/>
      <c r="D310" s="249"/>
      <c r="E310" s="250"/>
      <c r="F310" s="248"/>
      <c r="G310" s="248"/>
      <c r="H310" s="251"/>
      <c r="I310" s="247"/>
      <c r="J310" s="247"/>
      <c r="K310" s="247"/>
      <c r="L310" s="247"/>
      <c r="M310" s="247"/>
      <c r="N310" s="247"/>
      <c r="O310" s="247"/>
      <c r="P310" s="247"/>
      <c r="Q310" s="247"/>
      <c r="R310" s="247"/>
      <c r="S310" s="247"/>
      <c r="T310" s="247"/>
      <c r="U310" s="247"/>
      <c r="V310" s="247"/>
      <c r="W310" s="247"/>
      <c r="X310" s="247"/>
      <c r="Y310" s="247"/>
      <c r="Z310" s="247"/>
      <c r="AA310" s="247"/>
      <c r="AB310" s="247"/>
      <c r="AC310" s="247"/>
    </row>
    <row r="311">
      <c r="A311" s="247"/>
      <c r="B311" s="247"/>
      <c r="C311" s="247"/>
      <c r="D311" s="249"/>
      <c r="E311" s="250"/>
      <c r="F311" s="248"/>
      <c r="G311" s="248"/>
      <c r="H311" s="251"/>
      <c r="I311" s="247"/>
      <c r="J311" s="247"/>
      <c r="K311" s="247"/>
      <c r="L311" s="247"/>
      <c r="M311" s="247"/>
      <c r="N311" s="247"/>
      <c r="O311" s="247"/>
      <c r="P311" s="247"/>
      <c r="Q311" s="247"/>
      <c r="R311" s="247"/>
      <c r="S311" s="247"/>
      <c r="T311" s="247"/>
      <c r="U311" s="247"/>
      <c r="V311" s="247"/>
      <c r="W311" s="247"/>
      <c r="X311" s="247"/>
      <c r="Y311" s="247"/>
      <c r="Z311" s="247"/>
      <c r="AA311" s="247"/>
      <c r="AB311" s="247"/>
      <c r="AC311" s="247"/>
    </row>
    <row r="312">
      <c r="A312" s="247"/>
      <c r="B312" s="247"/>
      <c r="C312" s="247"/>
      <c r="D312" s="249"/>
      <c r="E312" s="250"/>
      <c r="F312" s="248"/>
      <c r="G312" s="248"/>
      <c r="H312" s="251"/>
      <c r="I312" s="247"/>
      <c r="J312" s="247"/>
      <c r="K312" s="247"/>
      <c r="L312" s="247"/>
      <c r="M312" s="247"/>
      <c r="N312" s="247"/>
      <c r="O312" s="247"/>
      <c r="P312" s="247"/>
      <c r="Q312" s="247"/>
      <c r="R312" s="247"/>
      <c r="S312" s="247"/>
      <c r="T312" s="247"/>
      <c r="U312" s="247"/>
      <c r="V312" s="247"/>
      <c r="W312" s="247"/>
      <c r="X312" s="247"/>
      <c r="Y312" s="247"/>
      <c r="Z312" s="247"/>
      <c r="AA312" s="247"/>
      <c r="AB312" s="247"/>
      <c r="AC312" s="247"/>
    </row>
    <row r="313">
      <c r="A313" s="247"/>
      <c r="B313" s="247"/>
      <c r="C313" s="247"/>
      <c r="D313" s="249"/>
      <c r="E313" s="250"/>
      <c r="F313" s="248"/>
      <c r="G313" s="248"/>
      <c r="H313" s="251"/>
      <c r="I313" s="247"/>
      <c r="J313" s="247"/>
      <c r="K313" s="247"/>
      <c r="L313" s="247"/>
      <c r="M313" s="247"/>
      <c r="N313" s="247"/>
      <c r="O313" s="247"/>
      <c r="P313" s="247"/>
      <c r="Q313" s="247"/>
      <c r="R313" s="247"/>
      <c r="S313" s="247"/>
      <c r="T313" s="247"/>
      <c r="U313" s="247"/>
      <c r="V313" s="247"/>
      <c r="W313" s="247"/>
      <c r="X313" s="247"/>
      <c r="Y313" s="247"/>
      <c r="Z313" s="247"/>
      <c r="AA313" s="247"/>
      <c r="AB313" s="247"/>
      <c r="AC313" s="247"/>
    </row>
    <row r="314">
      <c r="A314" s="247"/>
      <c r="B314" s="247"/>
      <c r="C314" s="247"/>
      <c r="D314" s="249"/>
      <c r="E314" s="250"/>
      <c r="F314" s="248"/>
      <c r="G314" s="248"/>
      <c r="H314" s="251"/>
      <c r="I314" s="247"/>
      <c r="J314" s="247"/>
      <c r="K314" s="247"/>
      <c r="L314" s="247"/>
      <c r="M314" s="247"/>
      <c r="N314" s="247"/>
      <c r="O314" s="247"/>
      <c r="P314" s="247"/>
      <c r="Q314" s="247"/>
      <c r="R314" s="247"/>
      <c r="S314" s="247"/>
      <c r="T314" s="247"/>
      <c r="U314" s="247"/>
      <c r="V314" s="247"/>
      <c r="W314" s="247"/>
      <c r="X314" s="247"/>
      <c r="Y314" s="247"/>
      <c r="Z314" s="247"/>
      <c r="AA314" s="247"/>
      <c r="AB314" s="247"/>
      <c r="AC314" s="247"/>
    </row>
    <row r="315">
      <c r="A315" s="247"/>
      <c r="B315" s="247"/>
      <c r="C315" s="247"/>
      <c r="D315" s="249"/>
      <c r="E315" s="250"/>
      <c r="F315" s="248"/>
      <c r="G315" s="248"/>
      <c r="H315" s="251"/>
      <c r="I315" s="247"/>
      <c r="J315" s="247"/>
      <c r="K315" s="247"/>
      <c r="L315" s="247"/>
      <c r="M315" s="247"/>
      <c r="N315" s="247"/>
      <c r="O315" s="247"/>
      <c r="P315" s="247"/>
      <c r="Q315" s="247"/>
      <c r="R315" s="247"/>
      <c r="S315" s="247"/>
      <c r="T315" s="247"/>
      <c r="U315" s="247"/>
      <c r="V315" s="247"/>
      <c r="W315" s="247"/>
      <c r="X315" s="247"/>
      <c r="Y315" s="247"/>
      <c r="Z315" s="247"/>
      <c r="AA315" s="247"/>
      <c r="AB315" s="247"/>
      <c r="AC315" s="247"/>
    </row>
    <row r="316">
      <c r="A316" s="247"/>
      <c r="B316" s="247"/>
      <c r="C316" s="247"/>
      <c r="D316" s="249"/>
      <c r="E316" s="250"/>
      <c r="F316" s="248"/>
      <c r="G316" s="248"/>
      <c r="H316" s="251"/>
      <c r="I316" s="247"/>
      <c r="J316" s="247"/>
      <c r="K316" s="247"/>
      <c r="L316" s="247"/>
      <c r="M316" s="247"/>
      <c r="N316" s="247"/>
      <c r="O316" s="247"/>
      <c r="P316" s="247"/>
      <c r="Q316" s="247"/>
      <c r="R316" s="247"/>
      <c r="S316" s="247"/>
      <c r="T316" s="247"/>
      <c r="U316" s="247"/>
      <c r="V316" s="247"/>
      <c r="W316" s="247"/>
      <c r="X316" s="247"/>
      <c r="Y316" s="247"/>
      <c r="Z316" s="247"/>
      <c r="AA316" s="247"/>
      <c r="AB316" s="247"/>
      <c r="AC316" s="247"/>
    </row>
    <row r="317">
      <c r="A317" s="247"/>
      <c r="B317" s="247"/>
      <c r="C317" s="247"/>
      <c r="D317" s="249"/>
      <c r="E317" s="250"/>
      <c r="F317" s="248"/>
      <c r="G317" s="248"/>
      <c r="H317" s="251"/>
      <c r="I317" s="247"/>
      <c r="J317" s="247"/>
      <c r="K317" s="247"/>
      <c r="L317" s="247"/>
      <c r="M317" s="247"/>
      <c r="N317" s="247"/>
      <c r="O317" s="247"/>
      <c r="P317" s="247"/>
      <c r="Q317" s="247"/>
      <c r="R317" s="247"/>
      <c r="S317" s="247"/>
      <c r="T317" s="247"/>
      <c r="U317" s="247"/>
      <c r="V317" s="247"/>
      <c r="W317" s="247"/>
      <c r="X317" s="247"/>
      <c r="Y317" s="247"/>
      <c r="Z317" s="247"/>
      <c r="AA317" s="247"/>
      <c r="AB317" s="247"/>
      <c r="AC317" s="247"/>
    </row>
    <row r="318">
      <c r="A318" s="247"/>
      <c r="B318" s="247"/>
      <c r="C318" s="247"/>
      <c r="D318" s="249"/>
      <c r="E318" s="250"/>
      <c r="F318" s="248"/>
      <c r="G318" s="248"/>
      <c r="H318" s="251"/>
      <c r="I318" s="247"/>
      <c r="J318" s="247"/>
      <c r="K318" s="247"/>
      <c r="L318" s="247"/>
      <c r="M318" s="247"/>
      <c r="N318" s="247"/>
      <c r="O318" s="247"/>
      <c r="P318" s="247"/>
      <c r="Q318" s="247"/>
      <c r="R318" s="247"/>
      <c r="S318" s="247"/>
      <c r="T318" s="247"/>
      <c r="U318" s="247"/>
      <c r="V318" s="247"/>
      <c r="W318" s="247"/>
      <c r="X318" s="247"/>
      <c r="Y318" s="247"/>
      <c r="Z318" s="247"/>
      <c r="AA318" s="247"/>
      <c r="AB318" s="247"/>
      <c r="AC318" s="247"/>
    </row>
    <row r="319">
      <c r="A319" s="247"/>
      <c r="B319" s="247"/>
      <c r="C319" s="247"/>
      <c r="D319" s="249"/>
      <c r="E319" s="250"/>
      <c r="F319" s="248"/>
      <c r="G319" s="248"/>
      <c r="H319" s="251"/>
      <c r="I319" s="247"/>
      <c r="J319" s="247"/>
      <c r="K319" s="247"/>
      <c r="L319" s="247"/>
      <c r="M319" s="247"/>
      <c r="N319" s="247"/>
      <c r="O319" s="247"/>
      <c r="P319" s="247"/>
      <c r="Q319" s="247"/>
      <c r="R319" s="247"/>
      <c r="S319" s="247"/>
      <c r="T319" s="247"/>
      <c r="U319" s="247"/>
      <c r="V319" s="247"/>
      <c r="W319" s="247"/>
      <c r="X319" s="247"/>
      <c r="Y319" s="247"/>
      <c r="Z319" s="247"/>
      <c r="AA319" s="247"/>
      <c r="AB319" s="247"/>
      <c r="AC319" s="247"/>
    </row>
    <row r="320">
      <c r="A320" s="247"/>
      <c r="B320" s="247"/>
      <c r="C320" s="247"/>
      <c r="D320" s="249"/>
      <c r="E320" s="250"/>
      <c r="F320" s="248"/>
      <c r="G320" s="248"/>
      <c r="H320" s="251"/>
      <c r="I320" s="247"/>
      <c r="J320" s="247"/>
      <c r="K320" s="247"/>
      <c r="L320" s="247"/>
      <c r="M320" s="247"/>
      <c r="N320" s="247"/>
      <c r="O320" s="247"/>
      <c r="P320" s="247"/>
      <c r="Q320" s="247"/>
      <c r="R320" s="247"/>
      <c r="S320" s="247"/>
      <c r="T320" s="247"/>
      <c r="U320" s="247"/>
      <c r="V320" s="247"/>
      <c r="W320" s="247"/>
      <c r="X320" s="247"/>
      <c r="Y320" s="247"/>
      <c r="Z320" s="247"/>
      <c r="AA320" s="247"/>
      <c r="AB320" s="247"/>
      <c r="AC320" s="247"/>
    </row>
    <row r="321">
      <c r="A321" s="247"/>
      <c r="B321" s="247"/>
      <c r="C321" s="247"/>
      <c r="D321" s="249"/>
      <c r="E321" s="250"/>
      <c r="F321" s="248"/>
      <c r="G321" s="248"/>
      <c r="H321" s="251"/>
      <c r="I321" s="247"/>
      <c r="J321" s="247"/>
      <c r="K321" s="247"/>
      <c r="L321" s="247"/>
      <c r="M321" s="247"/>
      <c r="N321" s="247"/>
      <c r="O321" s="247"/>
      <c r="P321" s="247"/>
      <c r="Q321" s="247"/>
      <c r="R321" s="247"/>
      <c r="S321" s="247"/>
      <c r="T321" s="247"/>
      <c r="U321" s="247"/>
      <c r="V321" s="247"/>
      <c r="W321" s="247"/>
      <c r="X321" s="247"/>
      <c r="Y321" s="247"/>
      <c r="Z321" s="247"/>
      <c r="AA321" s="247"/>
      <c r="AB321" s="247"/>
      <c r="AC321" s="247"/>
    </row>
    <row r="322">
      <c r="A322" s="247"/>
      <c r="B322" s="247"/>
      <c r="C322" s="247"/>
      <c r="D322" s="249"/>
      <c r="E322" s="250"/>
      <c r="F322" s="248"/>
      <c r="G322" s="248"/>
      <c r="H322" s="251"/>
      <c r="I322" s="247"/>
      <c r="J322" s="247"/>
      <c r="K322" s="247"/>
      <c r="L322" s="247"/>
      <c r="M322" s="247"/>
      <c r="N322" s="247"/>
      <c r="O322" s="247"/>
      <c r="P322" s="247"/>
      <c r="Q322" s="247"/>
      <c r="R322" s="247"/>
      <c r="S322" s="247"/>
      <c r="T322" s="247"/>
      <c r="U322" s="247"/>
      <c r="V322" s="247"/>
      <c r="W322" s="247"/>
      <c r="X322" s="247"/>
      <c r="Y322" s="247"/>
      <c r="Z322" s="247"/>
      <c r="AA322" s="247"/>
      <c r="AB322" s="247"/>
      <c r="AC322" s="247"/>
    </row>
    <row r="323">
      <c r="A323" s="247"/>
      <c r="B323" s="247"/>
      <c r="C323" s="247"/>
      <c r="D323" s="249"/>
      <c r="E323" s="250"/>
      <c r="F323" s="248"/>
      <c r="G323" s="248"/>
      <c r="H323" s="251"/>
      <c r="I323" s="247"/>
      <c r="J323" s="247"/>
      <c r="K323" s="247"/>
      <c r="L323" s="247"/>
      <c r="M323" s="247"/>
      <c r="N323" s="247"/>
      <c r="O323" s="247"/>
      <c r="P323" s="247"/>
      <c r="Q323" s="247"/>
      <c r="R323" s="247"/>
      <c r="S323" s="247"/>
      <c r="T323" s="247"/>
      <c r="U323" s="247"/>
      <c r="V323" s="247"/>
      <c r="W323" s="247"/>
      <c r="X323" s="247"/>
      <c r="Y323" s="247"/>
      <c r="Z323" s="247"/>
      <c r="AA323" s="247"/>
      <c r="AB323" s="247"/>
      <c r="AC323" s="247"/>
    </row>
    <row r="324">
      <c r="A324" s="247"/>
      <c r="B324" s="247"/>
      <c r="C324" s="247"/>
      <c r="D324" s="249"/>
      <c r="E324" s="250"/>
      <c r="F324" s="248"/>
      <c r="G324" s="248"/>
      <c r="H324" s="251"/>
      <c r="I324" s="247"/>
      <c r="J324" s="247"/>
      <c r="K324" s="247"/>
      <c r="L324" s="247"/>
      <c r="M324" s="247"/>
      <c r="N324" s="247"/>
      <c r="O324" s="247"/>
      <c r="P324" s="247"/>
      <c r="Q324" s="247"/>
      <c r="R324" s="247"/>
      <c r="S324" s="247"/>
      <c r="T324" s="247"/>
      <c r="U324" s="247"/>
      <c r="V324" s="247"/>
      <c r="W324" s="247"/>
      <c r="X324" s="247"/>
      <c r="Y324" s="247"/>
      <c r="Z324" s="247"/>
      <c r="AA324" s="247"/>
      <c r="AB324" s="247"/>
      <c r="AC324" s="247"/>
    </row>
    <row r="325">
      <c r="A325" s="247"/>
      <c r="B325" s="247"/>
      <c r="C325" s="247"/>
      <c r="D325" s="249"/>
      <c r="E325" s="250"/>
      <c r="F325" s="248"/>
      <c r="G325" s="248"/>
      <c r="H325" s="251"/>
      <c r="I325" s="247"/>
      <c r="J325" s="247"/>
      <c r="K325" s="247"/>
      <c r="L325" s="247"/>
      <c r="M325" s="247"/>
      <c r="N325" s="247"/>
      <c r="O325" s="247"/>
      <c r="P325" s="247"/>
      <c r="Q325" s="247"/>
      <c r="R325" s="247"/>
      <c r="S325" s="247"/>
      <c r="T325" s="247"/>
      <c r="U325" s="247"/>
      <c r="V325" s="247"/>
      <c r="W325" s="247"/>
      <c r="X325" s="247"/>
      <c r="Y325" s="247"/>
      <c r="Z325" s="247"/>
      <c r="AA325" s="247"/>
      <c r="AB325" s="247"/>
      <c r="AC325" s="247"/>
    </row>
    <row r="326">
      <c r="A326" s="247"/>
      <c r="B326" s="247"/>
      <c r="C326" s="247"/>
      <c r="D326" s="249"/>
      <c r="E326" s="250"/>
      <c r="F326" s="248"/>
      <c r="G326" s="248"/>
      <c r="H326" s="251"/>
      <c r="I326" s="247"/>
      <c r="J326" s="247"/>
      <c r="K326" s="247"/>
      <c r="L326" s="247"/>
      <c r="M326" s="247"/>
      <c r="N326" s="247"/>
      <c r="O326" s="247"/>
      <c r="P326" s="247"/>
      <c r="Q326" s="247"/>
      <c r="R326" s="247"/>
      <c r="S326" s="247"/>
      <c r="T326" s="247"/>
      <c r="U326" s="247"/>
      <c r="V326" s="247"/>
      <c r="W326" s="247"/>
      <c r="X326" s="247"/>
      <c r="Y326" s="247"/>
      <c r="Z326" s="247"/>
      <c r="AA326" s="247"/>
      <c r="AB326" s="247"/>
      <c r="AC326" s="247"/>
    </row>
    <row r="327">
      <c r="A327" s="247"/>
      <c r="B327" s="247"/>
      <c r="C327" s="247"/>
      <c r="D327" s="249"/>
      <c r="E327" s="250"/>
      <c r="F327" s="248"/>
      <c r="G327" s="248"/>
      <c r="H327" s="251"/>
      <c r="I327" s="247"/>
      <c r="J327" s="247"/>
      <c r="K327" s="247"/>
      <c r="L327" s="247"/>
      <c r="M327" s="247"/>
      <c r="N327" s="247"/>
      <c r="O327" s="247"/>
      <c r="P327" s="247"/>
      <c r="Q327" s="247"/>
      <c r="R327" s="247"/>
      <c r="S327" s="247"/>
      <c r="T327" s="247"/>
      <c r="U327" s="247"/>
      <c r="V327" s="247"/>
      <c r="W327" s="247"/>
      <c r="X327" s="247"/>
      <c r="Y327" s="247"/>
      <c r="Z327" s="247"/>
      <c r="AA327" s="247"/>
      <c r="AB327" s="247"/>
      <c r="AC327" s="247"/>
    </row>
    <row r="328">
      <c r="A328" s="247"/>
      <c r="B328" s="247"/>
      <c r="C328" s="247"/>
      <c r="D328" s="249"/>
      <c r="E328" s="250"/>
      <c r="F328" s="248"/>
      <c r="G328" s="248"/>
      <c r="H328" s="251"/>
      <c r="I328" s="247"/>
      <c r="J328" s="247"/>
      <c r="K328" s="247"/>
      <c r="L328" s="247"/>
      <c r="M328" s="247"/>
      <c r="N328" s="247"/>
      <c r="O328" s="247"/>
      <c r="P328" s="247"/>
      <c r="Q328" s="247"/>
      <c r="R328" s="247"/>
      <c r="S328" s="247"/>
      <c r="T328" s="247"/>
      <c r="U328" s="247"/>
      <c r="V328" s="247"/>
      <c r="W328" s="247"/>
      <c r="X328" s="247"/>
      <c r="Y328" s="247"/>
      <c r="Z328" s="247"/>
      <c r="AA328" s="247"/>
      <c r="AB328" s="247"/>
      <c r="AC328" s="247"/>
    </row>
    <row r="329">
      <c r="A329" s="247"/>
      <c r="B329" s="247"/>
      <c r="C329" s="247"/>
      <c r="D329" s="249"/>
      <c r="E329" s="250"/>
      <c r="F329" s="248"/>
      <c r="G329" s="248"/>
      <c r="H329" s="251"/>
      <c r="I329" s="247"/>
      <c r="J329" s="247"/>
      <c r="K329" s="247"/>
      <c r="L329" s="247"/>
      <c r="M329" s="247"/>
      <c r="N329" s="247"/>
      <c r="O329" s="247"/>
      <c r="P329" s="247"/>
      <c r="Q329" s="247"/>
      <c r="R329" s="247"/>
      <c r="S329" s="247"/>
      <c r="T329" s="247"/>
      <c r="U329" s="247"/>
      <c r="V329" s="247"/>
      <c r="W329" s="247"/>
      <c r="X329" s="247"/>
      <c r="Y329" s="247"/>
      <c r="Z329" s="247"/>
      <c r="AA329" s="247"/>
      <c r="AB329" s="247"/>
      <c r="AC329" s="247"/>
    </row>
    <row r="330">
      <c r="A330" s="247"/>
      <c r="B330" s="247"/>
      <c r="C330" s="247"/>
      <c r="D330" s="249"/>
      <c r="E330" s="250"/>
      <c r="F330" s="248"/>
      <c r="G330" s="248"/>
      <c r="H330" s="251"/>
      <c r="I330" s="247"/>
      <c r="J330" s="247"/>
      <c r="K330" s="247"/>
      <c r="L330" s="247"/>
      <c r="M330" s="247"/>
      <c r="N330" s="247"/>
      <c r="O330" s="247"/>
      <c r="P330" s="247"/>
      <c r="Q330" s="247"/>
      <c r="R330" s="247"/>
      <c r="S330" s="247"/>
      <c r="T330" s="247"/>
      <c r="U330" s="247"/>
      <c r="V330" s="247"/>
      <c r="W330" s="247"/>
      <c r="X330" s="247"/>
      <c r="Y330" s="247"/>
      <c r="Z330" s="247"/>
      <c r="AA330" s="247"/>
      <c r="AB330" s="247"/>
      <c r="AC330" s="247"/>
    </row>
    <row r="331">
      <c r="A331" s="247"/>
      <c r="B331" s="247"/>
      <c r="C331" s="247"/>
      <c r="D331" s="249"/>
      <c r="E331" s="250"/>
      <c r="F331" s="248"/>
      <c r="G331" s="248"/>
      <c r="H331" s="251"/>
      <c r="I331" s="247"/>
      <c r="J331" s="247"/>
      <c r="K331" s="247"/>
      <c r="L331" s="247"/>
      <c r="M331" s="247"/>
      <c r="N331" s="247"/>
      <c r="O331" s="247"/>
      <c r="P331" s="247"/>
      <c r="Q331" s="247"/>
      <c r="R331" s="247"/>
      <c r="S331" s="247"/>
      <c r="T331" s="247"/>
      <c r="U331" s="247"/>
      <c r="V331" s="247"/>
      <c r="W331" s="247"/>
      <c r="X331" s="247"/>
      <c r="Y331" s="247"/>
      <c r="Z331" s="247"/>
      <c r="AA331" s="247"/>
      <c r="AB331" s="247"/>
      <c r="AC331" s="247"/>
    </row>
    <row r="332">
      <c r="A332" s="247"/>
      <c r="B332" s="247"/>
      <c r="C332" s="247"/>
      <c r="D332" s="249"/>
      <c r="E332" s="250"/>
      <c r="F332" s="248"/>
      <c r="G332" s="248"/>
      <c r="H332" s="251"/>
      <c r="I332" s="247"/>
      <c r="J332" s="247"/>
      <c r="K332" s="247"/>
      <c r="L332" s="247"/>
      <c r="M332" s="247"/>
      <c r="N332" s="247"/>
      <c r="O332" s="247"/>
      <c r="P332" s="247"/>
      <c r="Q332" s="247"/>
      <c r="R332" s="247"/>
      <c r="S332" s="247"/>
      <c r="T332" s="247"/>
      <c r="U332" s="247"/>
      <c r="V332" s="247"/>
      <c r="W332" s="247"/>
      <c r="X332" s="247"/>
      <c r="Y332" s="247"/>
      <c r="Z332" s="247"/>
      <c r="AA332" s="247"/>
      <c r="AB332" s="247"/>
      <c r="AC332" s="247"/>
    </row>
    <row r="333">
      <c r="A333" s="247"/>
      <c r="B333" s="247"/>
      <c r="C333" s="247"/>
      <c r="D333" s="249"/>
      <c r="E333" s="250"/>
      <c r="F333" s="248"/>
      <c r="G333" s="248"/>
      <c r="H333" s="251"/>
      <c r="I333" s="247"/>
      <c r="J333" s="247"/>
      <c r="K333" s="247"/>
      <c r="L333" s="247"/>
      <c r="M333" s="247"/>
      <c r="N333" s="247"/>
      <c r="O333" s="247"/>
      <c r="P333" s="247"/>
      <c r="Q333" s="247"/>
      <c r="R333" s="247"/>
      <c r="S333" s="247"/>
      <c r="T333" s="247"/>
      <c r="U333" s="247"/>
      <c r="V333" s="247"/>
      <c r="W333" s="247"/>
      <c r="X333" s="247"/>
      <c r="Y333" s="247"/>
      <c r="Z333" s="247"/>
      <c r="AA333" s="247"/>
      <c r="AB333" s="247"/>
      <c r="AC333" s="247"/>
    </row>
    <row r="334">
      <c r="A334" s="247"/>
      <c r="B334" s="247"/>
      <c r="C334" s="247"/>
      <c r="D334" s="249"/>
      <c r="E334" s="250"/>
      <c r="F334" s="248"/>
      <c r="G334" s="248"/>
      <c r="H334" s="251"/>
      <c r="I334" s="247"/>
      <c r="J334" s="247"/>
      <c r="K334" s="247"/>
      <c r="L334" s="247"/>
      <c r="M334" s="247"/>
      <c r="N334" s="247"/>
      <c r="O334" s="247"/>
      <c r="P334" s="247"/>
      <c r="Q334" s="247"/>
      <c r="R334" s="247"/>
      <c r="S334" s="247"/>
      <c r="T334" s="247"/>
      <c r="U334" s="247"/>
      <c r="V334" s="247"/>
      <c r="W334" s="247"/>
      <c r="X334" s="247"/>
      <c r="Y334" s="247"/>
      <c r="Z334" s="247"/>
      <c r="AA334" s="247"/>
      <c r="AB334" s="247"/>
      <c r="AC334" s="247"/>
    </row>
    <row r="335">
      <c r="A335" s="247"/>
      <c r="B335" s="247"/>
      <c r="C335" s="247"/>
      <c r="D335" s="249"/>
      <c r="E335" s="250"/>
      <c r="F335" s="248"/>
      <c r="G335" s="248"/>
      <c r="H335" s="251"/>
      <c r="I335" s="247"/>
      <c r="J335" s="247"/>
      <c r="K335" s="247"/>
      <c r="L335" s="247"/>
      <c r="M335" s="247"/>
      <c r="N335" s="247"/>
      <c r="O335" s="247"/>
      <c r="P335" s="247"/>
      <c r="Q335" s="247"/>
      <c r="R335" s="247"/>
      <c r="S335" s="247"/>
      <c r="T335" s="247"/>
      <c r="U335" s="247"/>
      <c r="V335" s="247"/>
      <c r="W335" s="247"/>
      <c r="X335" s="247"/>
      <c r="Y335" s="247"/>
      <c r="Z335" s="247"/>
      <c r="AA335" s="247"/>
      <c r="AB335" s="247"/>
      <c r="AC335" s="247"/>
    </row>
    <row r="336">
      <c r="A336" s="247"/>
      <c r="B336" s="247"/>
      <c r="C336" s="247"/>
      <c r="D336" s="249"/>
      <c r="E336" s="250"/>
      <c r="F336" s="248"/>
      <c r="G336" s="248"/>
      <c r="H336" s="251"/>
      <c r="I336" s="247"/>
      <c r="J336" s="247"/>
      <c r="K336" s="247"/>
      <c r="L336" s="247"/>
      <c r="M336" s="247"/>
      <c r="N336" s="247"/>
      <c r="O336" s="247"/>
      <c r="P336" s="247"/>
      <c r="Q336" s="247"/>
      <c r="R336" s="247"/>
      <c r="S336" s="247"/>
      <c r="T336" s="247"/>
      <c r="U336" s="247"/>
      <c r="V336" s="247"/>
      <c r="W336" s="247"/>
      <c r="X336" s="247"/>
      <c r="Y336" s="247"/>
      <c r="Z336" s="247"/>
      <c r="AA336" s="247"/>
      <c r="AB336" s="247"/>
      <c r="AC336" s="247"/>
    </row>
    <row r="337">
      <c r="A337" s="247"/>
      <c r="B337" s="247"/>
      <c r="C337" s="247"/>
      <c r="D337" s="249"/>
      <c r="E337" s="250"/>
      <c r="F337" s="248"/>
      <c r="G337" s="248"/>
      <c r="H337" s="251"/>
      <c r="I337" s="247"/>
      <c r="J337" s="247"/>
      <c r="K337" s="247"/>
      <c r="L337" s="247"/>
      <c r="M337" s="247"/>
      <c r="N337" s="247"/>
      <c r="O337" s="247"/>
      <c r="P337" s="247"/>
      <c r="Q337" s="247"/>
      <c r="R337" s="247"/>
      <c r="S337" s="247"/>
      <c r="T337" s="247"/>
      <c r="U337" s="247"/>
      <c r="V337" s="247"/>
      <c r="W337" s="247"/>
      <c r="X337" s="247"/>
      <c r="Y337" s="247"/>
      <c r="Z337" s="247"/>
      <c r="AA337" s="247"/>
      <c r="AB337" s="247"/>
      <c r="AC337" s="247"/>
    </row>
    <row r="338">
      <c r="A338" s="247"/>
      <c r="B338" s="247"/>
      <c r="C338" s="247"/>
      <c r="D338" s="249"/>
      <c r="E338" s="250"/>
      <c r="F338" s="248"/>
      <c r="G338" s="248"/>
      <c r="H338" s="251"/>
      <c r="I338" s="247"/>
      <c r="J338" s="247"/>
      <c r="K338" s="247"/>
      <c r="L338" s="247"/>
      <c r="M338" s="247"/>
      <c r="N338" s="247"/>
      <c r="O338" s="247"/>
      <c r="P338" s="247"/>
      <c r="Q338" s="247"/>
      <c r="R338" s="247"/>
      <c r="S338" s="247"/>
      <c r="T338" s="247"/>
      <c r="U338" s="247"/>
      <c r="V338" s="247"/>
      <c r="W338" s="247"/>
      <c r="X338" s="247"/>
      <c r="Y338" s="247"/>
      <c r="Z338" s="247"/>
      <c r="AA338" s="247"/>
      <c r="AB338" s="247"/>
      <c r="AC338" s="247"/>
    </row>
    <row r="339">
      <c r="A339" s="247"/>
      <c r="B339" s="247"/>
      <c r="C339" s="247"/>
      <c r="D339" s="249"/>
      <c r="E339" s="250"/>
      <c r="F339" s="248"/>
      <c r="G339" s="248"/>
      <c r="H339" s="251"/>
      <c r="I339" s="247"/>
      <c r="J339" s="247"/>
      <c r="K339" s="247"/>
      <c r="L339" s="247"/>
      <c r="M339" s="247"/>
      <c r="N339" s="247"/>
      <c r="O339" s="247"/>
      <c r="P339" s="247"/>
      <c r="Q339" s="247"/>
      <c r="R339" s="247"/>
      <c r="S339" s="247"/>
      <c r="T339" s="247"/>
      <c r="U339" s="247"/>
      <c r="V339" s="247"/>
      <c r="W339" s="247"/>
      <c r="X339" s="247"/>
      <c r="Y339" s="247"/>
      <c r="Z339" s="247"/>
      <c r="AA339" s="247"/>
      <c r="AB339" s="247"/>
      <c r="AC339" s="247"/>
    </row>
    <row r="340">
      <c r="A340" s="247"/>
      <c r="B340" s="247"/>
      <c r="C340" s="247"/>
      <c r="D340" s="249"/>
      <c r="E340" s="250"/>
      <c r="F340" s="248"/>
      <c r="G340" s="248"/>
      <c r="H340" s="251"/>
      <c r="I340" s="247"/>
      <c r="J340" s="247"/>
      <c r="K340" s="247"/>
      <c r="L340" s="247"/>
      <c r="M340" s="247"/>
      <c r="N340" s="247"/>
      <c r="O340" s="247"/>
      <c r="P340" s="247"/>
      <c r="Q340" s="247"/>
      <c r="R340" s="247"/>
      <c r="S340" s="247"/>
      <c r="T340" s="247"/>
      <c r="U340" s="247"/>
      <c r="V340" s="247"/>
      <c r="W340" s="247"/>
      <c r="X340" s="247"/>
      <c r="Y340" s="247"/>
      <c r="Z340" s="247"/>
      <c r="AA340" s="247"/>
      <c r="AB340" s="247"/>
      <c r="AC340" s="247"/>
    </row>
    <row r="341">
      <c r="A341" s="247"/>
      <c r="B341" s="247"/>
      <c r="C341" s="247"/>
      <c r="D341" s="249"/>
      <c r="E341" s="250"/>
      <c r="F341" s="248"/>
      <c r="G341" s="248"/>
      <c r="H341" s="251"/>
      <c r="I341" s="247"/>
      <c r="J341" s="247"/>
      <c r="K341" s="247"/>
      <c r="L341" s="247"/>
      <c r="M341" s="247"/>
      <c r="N341" s="247"/>
      <c r="O341" s="247"/>
      <c r="P341" s="247"/>
      <c r="Q341" s="247"/>
      <c r="R341" s="247"/>
      <c r="S341" s="247"/>
      <c r="T341" s="247"/>
      <c r="U341" s="247"/>
      <c r="V341" s="247"/>
      <c r="W341" s="247"/>
      <c r="X341" s="247"/>
      <c r="Y341" s="247"/>
      <c r="Z341" s="247"/>
      <c r="AA341" s="247"/>
      <c r="AB341" s="247"/>
      <c r="AC341" s="247"/>
    </row>
    <row r="342">
      <c r="A342" s="247"/>
      <c r="B342" s="247"/>
      <c r="C342" s="247"/>
      <c r="D342" s="249"/>
      <c r="E342" s="250"/>
      <c r="F342" s="248"/>
      <c r="G342" s="248"/>
      <c r="H342" s="251"/>
      <c r="I342" s="247"/>
      <c r="J342" s="247"/>
      <c r="K342" s="247"/>
      <c r="L342" s="247"/>
      <c r="M342" s="247"/>
      <c r="N342" s="247"/>
      <c r="O342" s="247"/>
      <c r="P342" s="247"/>
      <c r="Q342" s="247"/>
      <c r="R342" s="247"/>
      <c r="S342" s="247"/>
      <c r="T342" s="247"/>
      <c r="U342" s="247"/>
      <c r="V342" s="247"/>
      <c r="W342" s="247"/>
      <c r="X342" s="247"/>
      <c r="Y342" s="247"/>
      <c r="Z342" s="247"/>
      <c r="AA342" s="247"/>
      <c r="AB342" s="247"/>
      <c r="AC342" s="247"/>
    </row>
    <row r="343">
      <c r="A343" s="247"/>
      <c r="B343" s="247"/>
      <c r="C343" s="247"/>
      <c r="D343" s="249"/>
      <c r="E343" s="250"/>
      <c r="F343" s="248"/>
      <c r="G343" s="248"/>
      <c r="H343" s="251"/>
      <c r="I343" s="247"/>
      <c r="J343" s="247"/>
      <c r="K343" s="247"/>
      <c r="L343" s="247"/>
      <c r="M343" s="247"/>
      <c r="N343" s="247"/>
      <c r="O343" s="247"/>
      <c r="P343" s="247"/>
      <c r="Q343" s="247"/>
      <c r="R343" s="247"/>
      <c r="S343" s="247"/>
      <c r="T343" s="247"/>
      <c r="U343" s="247"/>
      <c r="V343" s="247"/>
      <c r="W343" s="247"/>
      <c r="X343" s="247"/>
      <c r="Y343" s="247"/>
      <c r="Z343" s="247"/>
      <c r="AA343" s="247"/>
      <c r="AB343" s="247"/>
      <c r="AC343" s="247"/>
    </row>
    <row r="344">
      <c r="A344" s="247"/>
      <c r="B344" s="247"/>
      <c r="C344" s="247"/>
      <c r="D344" s="249"/>
      <c r="E344" s="250"/>
      <c r="F344" s="248"/>
      <c r="G344" s="248"/>
      <c r="H344" s="251"/>
      <c r="I344" s="247"/>
      <c r="J344" s="247"/>
      <c r="K344" s="247"/>
      <c r="L344" s="247"/>
      <c r="M344" s="247"/>
      <c r="N344" s="247"/>
      <c r="O344" s="247"/>
      <c r="P344" s="247"/>
      <c r="Q344" s="247"/>
      <c r="R344" s="247"/>
      <c r="S344" s="247"/>
      <c r="T344" s="247"/>
      <c r="U344" s="247"/>
      <c r="V344" s="247"/>
      <c r="W344" s="247"/>
      <c r="X344" s="247"/>
      <c r="Y344" s="247"/>
      <c r="Z344" s="247"/>
      <c r="AA344" s="247"/>
      <c r="AB344" s="247"/>
      <c r="AC344" s="247"/>
    </row>
    <row r="345">
      <c r="A345" s="247"/>
      <c r="B345" s="247"/>
      <c r="C345" s="247"/>
      <c r="D345" s="249"/>
      <c r="E345" s="250"/>
      <c r="F345" s="248"/>
      <c r="G345" s="248"/>
      <c r="H345" s="251"/>
      <c r="I345" s="247"/>
      <c r="J345" s="247"/>
      <c r="K345" s="247"/>
      <c r="L345" s="247"/>
      <c r="M345" s="247"/>
      <c r="N345" s="247"/>
      <c r="O345" s="247"/>
      <c r="P345" s="247"/>
      <c r="Q345" s="247"/>
      <c r="R345" s="247"/>
      <c r="S345" s="247"/>
      <c r="T345" s="247"/>
      <c r="U345" s="247"/>
      <c r="V345" s="247"/>
      <c r="W345" s="247"/>
      <c r="X345" s="247"/>
      <c r="Y345" s="247"/>
      <c r="Z345" s="247"/>
      <c r="AA345" s="247"/>
      <c r="AB345" s="247"/>
      <c r="AC345" s="247"/>
    </row>
    <row r="346">
      <c r="A346" s="247"/>
      <c r="B346" s="247"/>
      <c r="C346" s="247"/>
      <c r="D346" s="249"/>
      <c r="E346" s="250"/>
      <c r="F346" s="248"/>
      <c r="G346" s="248"/>
      <c r="H346" s="251"/>
      <c r="I346" s="247"/>
      <c r="J346" s="247"/>
      <c r="K346" s="247"/>
      <c r="L346" s="247"/>
      <c r="M346" s="247"/>
      <c r="N346" s="247"/>
      <c r="O346" s="247"/>
      <c r="P346" s="247"/>
      <c r="Q346" s="247"/>
      <c r="R346" s="247"/>
      <c r="S346" s="247"/>
      <c r="T346" s="247"/>
      <c r="U346" s="247"/>
      <c r="V346" s="247"/>
      <c r="W346" s="247"/>
      <c r="X346" s="247"/>
      <c r="Y346" s="247"/>
      <c r="Z346" s="247"/>
      <c r="AA346" s="247"/>
      <c r="AB346" s="247"/>
      <c r="AC346" s="247"/>
    </row>
    <row r="347">
      <c r="A347" s="247"/>
      <c r="B347" s="247"/>
      <c r="C347" s="247"/>
      <c r="D347" s="249"/>
      <c r="E347" s="250"/>
      <c r="F347" s="248"/>
      <c r="G347" s="248"/>
      <c r="H347" s="251"/>
      <c r="I347" s="247"/>
      <c r="J347" s="247"/>
      <c r="K347" s="247"/>
      <c r="L347" s="247"/>
      <c r="M347" s="247"/>
      <c r="N347" s="247"/>
      <c r="O347" s="247"/>
      <c r="P347" s="247"/>
      <c r="Q347" s="247"/>
      <c r="R347" s="247"/>
      <c r="S347" s="247"/>
      <c r="T347" s="247"/>
      <c r="U347" s="247"/>
      <c r="V347" s="247"/>
      <c r="W347" s="247"/>
      <c r="X347" s="247"/>
      <c r="Y347" s="247"/>
      <c r="Z347" s="247"/>
      <c r="AA347" s="247"/>
      <c r="AB347" s="247"/>
      <c r="AC347" s="247"/>
    </row>
    <row r="348">
      <c r="A348" s="247"/>
      <c r="B348" s="247"/>
      <c r="C348" s="247"/>
      <c r="D348" s="249"/>
      <c r="E348" s="250"/>
      <c r="F348" s="248"/>
      <c r="G348" s="248"/>
      <c r="H348" s="251"/>
      <c r="I348" s="247"/>
      <c r="J348" s="247"/>
      <c r="K348" s="247"/>
      <c r="L348" s="247"/>
      <c r="M348" s="247"/>
      <c r="N348" s="247"/>
      <c r="O348" s="247"/>
      <c r="P348" s="247"/>
      <c r="Q348" s="247"/>
      <c r="R348" s="247"/>
      <c r="S348" s="247"/>
      <c r="T348" s="247"/>
      <c r="U348" s="247"/>
      <c r="V348" s="247"/>
      <c r="W348" s="247"/>
      <c r="X348" s="247"/>
      <c r="Y348" s="247"/>
      <c r="Z348" s="247"/>
      <c r="AA348" s="247"/>
      <c r="AB348" s="247"/>
      <c r="AC348" s="247"/>
    </row>
    <row r="349">
      <c r="A349" s="247"/>
      <c r="B349" s="247"/>
      <c r="C349" s="247"/>
      <c r="D349" s="249"/>
      <c r="E349" s="250"/>
      <c r="F349" s="248"/>
      <c r="G349" s="248"/>
      <c r="H349" s="251"/>
      <c r="I349" s="247"/>
      <c r="J349" s="247"/>
      <c r="K349" s="247"/>
      <c r="L349" s="247"/>
      <c r="M349" s="247"/>
      <c r="N349" s="247"/>
      <c r="O349" s="247"/>
      <c r="P349" s="247"/>
      <c r="Q349" s="247"/>
      <c r="R349" s="247"/>
      <c r="S349" s="247"/>
      <c r="T349" s="247"/>
      <c r="U349" s="247"/>
      <c r="V349" s="247"/>
      <c r="W349" s="247"/>
      <c r="X349" s="247"/>
      <c r="Y349" s="247"/>
      <c r="Z349" s="247"/>
      <c r="AA349" s="247"/>
      <c r="AB349" s="247"/>
      <c r="AC349" s="247"/>
    </row>
    <row r="350">
      <c r="A350" s="247"/>
      <c r="B350" s="247"/>
      <c r="C350" s="247"/>
      <c r="D350" s="249"/>
      <c r="E350" s="250"/>
      <c r="F350" s="248"/>
      <c r="G350" s="248"/>
      <c r="H350" s="251"/>
      <c r="I350" s="247"/>
      <c r="J350" s="247"/>
      <c r="K350" s="247"/>
      <c r="L350" s="247"/>
      <c r="M350" s="247"/>
      <c r="N350" s="247"/>
      <c r="O350" s="247"/>
      <c r="P350" s="247"/>
      <c r="Q350" s="247"/>
      <c r="R350" s="247"/>
      <c r="S350" s="247"/>
      <c r="T350" s="247"/>
      <c r="U350" s="247"/>
      <c r="V350" s="247"/>
      <c r="W350" s="247"/>
      <c r="X350" s="247"/>
      <c r="Y350" s="247"/>
      <c r="Z350" s="247"/>
      <c r="AA350" s="247"/>
      <c r="AB350" s="247"/>
      <c r="AC350" s="247"/>
    </row>
    <row r="351">
      <c r="A351" s="247"/>
      <c r="B351" s="247"/>
      <c r="C351" s="247"/>
      <c r="D351" s="249"/>
      <c r="E351" s="250"/>
      <c r="F351" s="248"/>
      <c r="G351" s="248"/>
      <c r="H351" s="251"/>
      <c r="I351" s="247"/>
      <c r="J351" s="247"/>
      <c r="K351" s="247"/>
      <c r="L351" s="247"/>
      <c r="M351" s="247"/>
      <c r="N351" s="247"/>
      <c r="O351" s="247"/>
      <c r="P351" s="247"/>
      <c r="Q351" s="247"/>
      <c r="R351" s="247"/>
      <c r="S351" s="247"/>
      <c r="T351" s="247"/>
      <c r="U351" s="247"/>
      <c r="V351" s="247"/>
      <c r="W351" s="247"/>
      <c r="X351" s="247"/>
      <c r="Y351" s="247"/>
      <c r="Z351" s="247"/>
      <c r="AA351" s="247"/>
      <c r="AB351" s="247"/>
      <c r="AC351" s="247"/>
    </row>
    <row r="352">
      <c r="A352" s="247"/>
      <c r="B352" s="247"/>
      <c r="C352" s="247"/>
      <c r="D352" s="249"/>
      <c r="E352" s="250"/>
      <c r="F352" s="248"/>
      <c r="G352" s="248"/>
      <c r="H352" s="251"/>
      <c r="I352" s="247"/>
      <c r="J352" s="247"/>
      <c r="K352" s="247"/>
      <c r="L352" s="247"/>
      <c r="M352" s="247"/>
      <c r="N352" s="247"/>
      <c r="O352" s="247"/>
      <c r="P352" s="247"/>
      <c r="Q352" s="247"/>
      <c r="R352" s="247"/>
      <c r="S352" s="247"/>
      <c r="T352" s="247"/>
      <c r="U352" s="247"/>
      <c r="V352" s="247"/>
      <c r="W352" s="247"/>
      <c r="X352" s="247"/>
      <c r="Y352" s="247"/>
      <c r="Z352" s="247"/>
      <c r="AA352" s="247"/>
      <c r="AB352" s="247"/>
      <c r="AC352" s="247"/>
    </row>
    <row r="353">
      <c r="A353" s="247"/>
      <c r="B353" s="247"/>
      <c r="C353" s="247"/>
      <c r="D353" s="249"/>
      <c r="E353" s="250"/>
      <c r="F353" s="248"/>
      <c r="G353" s="248"/>
      <c r="H353" s="251"/>
      <c r="I353" s="247"/>
      <c r="J353" s="247"/>
      <c r="K353" s="247"/>
      <c r="L353" s="247"/>
      <c r="M353" s="247"/>
      <c r="N353" s="247"/>
      <c r="O353" s="247"/>
      <c r="P353" s="247"/>
      <c r="Q353" s="247"/>
      <c r="R353" s="247"/>
      <c r="S353" s="247"/>
      <c r="T353" s="247"/>
      <c r="U353" s="247"/>
      <c r="V353" s="247"/>
      <c r="W353" s="247"/>
      <c r="X353" s="247"/>
      <c r="Y353" s="247"/>
      <c r="Z353" s="247"/>
      <c r="AA353" s="247"/>
      <c r="AB353" s="247"/>
      <c r="AC353" s="247"/>
    </row>
    <row r="354">
      <c r="A354" s="247"/>
      <c r="B354" s="247"/>
      <c r="C354" s="247"/>
      <c r="D354" s="249"/>
      <c r="E354" s="250"/>
      <c r="F354" s="248"/>
      <c r="G354" s="248"/>
      <c r="H354" s="251"/>
      <c r="I354" s="247"/>
      <c r="J354" s="247"/>
      <c r="K354" s="247"/>
      <c r="L354" s="247"/>
      <c r="M354" s="247"/>
      <c r="N354" s="247"/>
      <c r="O354" s="247"/>
      <c r="P354" s="247"/>
      <c r="Q354" s="247"/>
      <c r="R354" s="247"/>
      <c r="S354" s="247"/>
      <c r="T354" s="247"/>
      <c r="U354" s="247"/>
      <c r="V354" s="247"/>
      <c r="W354" s="247"/>
      <c r="X354" s="247"/>
      <c r="Y354" s="247"/>
      <c r="Z354" s="247"/>
      <c r="AA354" s="247"/>
      <c r="AB354" s="247"/>
      <c r="AC354" s="247"/>
    </row>
    <row r="355">
      <c r="A355" s="247"/>
      <c r="B355" s="247"/>
      <c r="C355" s="247"/>
      <c r="D355" s="249"/>
      <c r="E355" s="250"/>
      <c r="F355" s="248"/>
      <c r="G355" s="248"/>
      <c r="H355" s="251"/>
      <c r="I355" s="247"/>
      <c r="J355" s="247"/>
      <c r="K355" s="247"/>
      <c r="L355" s="247"/>
      <c r="M355" s="247"/>
      <c r="N355" s="247"/>
      <c r="O355" s="247"/>
      <c r="P355" s="247"/>
      <c r="Q355" s="247"/>
      <c r="R355" s="247"/>
      <c r="S355" s="247"/>
      <c r="T355" s="247"/>
      <c r="U355" s="247"/>
      <c r="V355" s="247"/>
      <c r="W355" s="247"/>
      <c r="X355" s="247"/>
      <c r="Y355" s="247"/>
      <c r="Z355" s="247"/>
      <c r="AA355" s="247"/>
      <c r="AB355" s="247"/>
      <c r="AC355" s="247"/>
    </row>
    <row r="356">
      <c r="A356" s="247"/>
      <c r="B356" s="247"/>
      <c r="C356" s="247"/>
      <c r="D356" s="249"/>
      <c r="E356" s="250"/>
      <c r="F356" s="248"/>
      <c r="G356" s="248"/>
      <c r="H356" s="251"/>
      <c r="I356" s="247"/>
      <c r="J356" s="247"/>
      <c r="K356" s="247"/>
      <c r="L356" s="247"/>
      <c r="M356" s="247"/>
      <c r="N356" s="247"/>
      <c r="O356" s="247"/>
      <c r="P356" s="247"/>
      <c r="Q356" s="247"/>
      <c r="R356" s="247"/>
      <c r="S356" s="247"/>
      <c r="T356" s="247"/>
      <c r="U356" s="247"/>
      <c r="V356" s="247"/>
      <c r="W356" s="247"/>
      <c r="X356" s="247"/>
      <c r="Y356" s="247"/>
      <c r="Z356" s="247"/>
      <c r="AA356" s="247"/>
      <c r="AB356" s="247"/>
      <c r="AC356" s="247"/>
    </row>
    <row r="357">
      <c r="A357" s="247"/>
      <c r="B357" s="247"/>
      <c r="C357" s="247"/>
      <c r="D357" s="249"/>
      <c r="E357" s="250"/>
      <c r="F357" s="248"/>
      <c r="G357" s="248"/>
      <c r="H357" s="251"/>
      <c r="I357" s="247"/>
      <c r="J357" s="247"/>
      <c r="K357" s="247"/>
      <c r="L357" s="247"/>
      <c r="M357" s="247"/>
      <c r="N357" s="247"/>
      <c r="O357" s="247"/>
      <c r="P357" s="247"/>
      <c r="Q357" s="247"/>
      <c r="R357" s="247"/>
      <c r="S357" s="247"/>
      <c r="T357" s="247"/>
      <c r="U357" s="247"/>
      <c r="V357" s="247"/>
      <c r="W357" s="247"/>
      <c r="X357" s="247"/>
      <c r="Y357" s="247"/>
      <c r="Z357" s="247"/>
      <c r="AA357" s="247"/>
      <c r="AB357" s="247"/>
      <c r="AC357" s="247"/>
    </row>
    <row r="358">
      <c r="A358" s="247"/>
      <c r="B358" s="247"/>
      <c r="C358" s="247"/>
      <c r="D358" s="249"/>
      <c r="E358" s="250"/>
      <c r="F358" s="248"/>
      <c r="G358" s="248"/>
      <c r="H358" s="251"/>
      <c r="I358" s="247"/>
      <c r="J358" s="247"/>
      <c r="K358" s="247"/>
      <c r="L358" s="247"/>
      <c r="M358" s="247"/>
      <c r="N358" s="247"/>
      <c r="O358" s="247"/>
      <c r="P358" s="247"/>
      <c r="Q358" s="247"/>
      <c r="R358" s="247"/>
      <c r="S358" s="247"/>
      <c r="T358" s="247"/>
      <c r="U358" s="247"/>
      <c r="V358" s="247"/>
      <c r="W358" s="247"/>
      <c r="X358" s="247"/>
      <c r="Y358" s="247"/>
      <c r="Z358" s="247"/>
      <c r="AA358" s="247"/>
      <c r="AB358" s="247"/>
      <c r="AC358" s="247"/>
    </row>
    <row r="359">
      <c r="A359" s="247"/>
      <c r="B359" s="247"/>
      <c r="C359" s="247"/>
      <c r="D359" s="249"/>
      <c r="E359" s="250"/>
      <c r="F359" s="248"/>
      <c r="G359" s="248"/>
      <c r="H359" s="251"/>
      <c r="I359" s="247"/>
      <c r="J359" s="247"/>
      <c r="K359" s="247"/>
      <c r="L359" s="247"/>
      <c r="M359" s="247"/>
      <c r="N359" s="247"/>
      <c r="O359" s="247"/>
      <c r="P359" s="247"/>
      <c r="Q359" s="247"/>
      <c r="R359" s="247"/>
      <c r="S359" s="247"/>
      <c r="T359" s="247"/>
      <c r="U359" s="247"/>
      <c r="V359" s="247"/>
      <c r="W359" s="247"/>
      <c r="X359" s="247"/>
      <c r="Y359" s="247"/>
      <c r="Z359" s="247"/>
      <c r="AA359" s="247"/>
      <c r="AB359" s="247"/>
      <c r="AC359" s="247"/>
    </row>
    <row r="360">
      <c r="A360" s="247"/>
      <c r="B360" s="247"/>
      <c r="C360" s="247"/>
      <c r="D360" s="249"/>
      <c r="E360" s="250"/>
      <c r="F360" s="248"/>
      <c r="G360" s="248"/>
      <c r="H360" s="251"/>
      <c r="I360" s="247"/>
      <c r="J360" s="247"/>
      <c r="K360" s="247"/>
      <c r="L360" s="247"/>
      <c r="M360" s="247"/>
      <c r="N360" s="247"/>
      <c r="O360" s="247"/>
      <c r="P360" s="247"/>
      <c r="Q360" s="247"/>
      <c r="R360" s="247"/>
      <c r="S360" s="247"/>
      <c r="T360" s="247"/>
      <c r="U360" s="247"/>
      <c r="V360" s="247"/>
      <c r="W360" s="247"/>
      <c r="X360" s="247"/>
      <c r="Y360" s="247"/>
      <c r="Z360" s="247"/>
      <c r="AA360" s="247"/>
      <c r="AB360" s="247"/>
      <c r="AC360" s="247"/>
    </row>
    <row r="361">
      <c r="A361" s="247"/>
      <c r="B361" s="247"/>
      <c r="C361" s="247"/>
      <c r="D361" s="249"/>
      <c r="E361" s="250"/>
      <c r="F361" s="248"/>
      <c r="G361" s="248"/>
      <c r="H361" s="251"/>
      <c r="I361" s="247"/>
      <c r="J361" s="247"/>
      <c r="K361" s="247"/>
      <c r="L361" s="247"/>
      <c r="M361" s="247"/>
      <c r="N361" s="247"/>
      <c r="O361" s="247"/>
      <c r="P361" s="247"/>
      <c r="Q361" s="247"/>
      <c r="R361" s="247"/>
      <c r="S361" s="247"/>
      <c r="T361" s="247"/>
      <c r="U361" s="247"/>
      <c r="V361" s="247"/>
      <c r="W361" s="247"/>
      <c r="X361" s="247"/>
      <c r="Y361" s="247"/>
      <c r="Z361" s="247"/>
      <c r="AA361" s="247"/>
      <c r="AB361" s="247"/>
      <c r="AC361" s="247"/>
    </row>
    <row r="362">
      <c r="A362" s="247"/>
      <c r="B362" s="247"/>
      <c r="C362" s="247"/>
      <c r="D362" s="249"/>
      <c r="E362" s="250"/>
      <c r="F362" s="248"/>
      <c r="G362" s="248"/>
      <c r="H362" s="251"/>
      <c r="I362" s="247"/>
      <c r="J362" s="247"/>
      <c r="K362" s="247"/>
      <c r="L362" s="247"/>
      <c r="M362" s="247"/>
      <c r="N362" s="247"/>
      <c r="O362" s="247"/>
      <c r="P362" s="247"/>
      <c r="Q362" s="247"/>
      <c r="R362" s="247"/>
      <c r="S362" s="247"/>
      <c r="T362" s="247"/>
      <c r="U362" s="247"/>
      <c r="V362" s="247"/>
      <c r="W362" s="247"/>
      <c r="X362" s="247"/>
      <c r="Y362" s="247"/>
      <c r="Z362" s="247"/>
      <c r="AA362" s="247"/>
      <c r="AB362" s="247"/>
      <c r="AC362" s="247"/>
    </row>
    <row r="363">
      <c r="A363" s="247"/>
      <c r="B363" s="247"/>
      <c r="C363" s="247"/>
      <c r="D363" s="249"/>
      <c r="E363" s="250"/>
      <c r="F363" s="248"/>
      <c r="G363" s="248"/>
      <c r="H363" s="251"/>
      <c r="I363" s="247"/>
      <c r="J363" s="247"/>
      <c r="K363" s="247"/>
      <c r="L363" s="247"/>
      <c r="M363" s="247"/>
      <c r="N363" s="247"/>
      <c r="O363" s="247"/>
      <c r="P363" s="247"/>
      <c r="Q363" s="247"/>
      <c r="R363" s="247"/>
      <c r="S363" s="247"/>
      <c r="T363" s="247"/>
      <c r="U363" s="247"/>
      <c r="V363" s="247"/>
      <c r="W363" s="247"/>
      <c r="X363" s="247"/>
      <c r="Y363" s="247"/>
      <c r="Z363" s="247"/>
      <c r="AA363" s="247"/>
      <c r="AB363" s="247"/>
      <c r="AC363" s="247"/>
    </row>
    <row r="364">
      <c r="A364" s="247"/>
      <c r="B364" s="247"/>
      <c r="C364" s="247"/>
      <c r="D364" s="249"/>
      <c r="E364" s="250"/>
      <c r="F364" s="248"/>
      <c r="G364" s="248"/>
      <c r="H364" s="251"/>
      <c r="I364" s="247"/>
      <c r="J364" s="247"/>
      <c r="K364" s="247"/>
      <c r="L364" s="247"/>
      <c r="M364" s="247"/>
      <c r="N364" s="247"/>
      <c r="O364" s="247"/>
      <c r="P364" s="247"/>
      <c r="Q364" s="247"/>
      <c r="R364" s="247"/>
      <c r="S364" s="247"/>
      <c r="T364" s="247"/>
      <c r="U364" s="247"/>
      <c r="V364" s="247"/>
      <c r="W364" s="247"/>
      <c r="X364" s="247"/>
      <c r="Y364" s="247"/>
      <c r="Z364" s="247"/>
      <c r="AA364" s="247"/>
      <c r="AB364" s="247"/>
      <c r="AC364" s="247"/>
    </row>
    <row r="365">
      <c r="A365" s="247"/>
      <c r="B365" s="247"/>
      <c r="C365" s="247"/>
      <c r="D365" s="249"/>
      <c r="E365" s="250"/>
      <c r="F365" s="248"/>
      <c r="G365" s="248"/>
      <c r="H365" s="251"/>
      <c r="I365" s="247"/>
      <c r="J365" s="247"/>
      <c r="K365" s="247"/>
      <c r="L365" s="247"/>
      <c r="M365" s="247"/>
      <c r="N365" s="247"/>
      <c r="O365" s="247"/>
      <c r="P365" s="247"/>
      <c r="Q365" s="247"/>
      <c r="R365" s="247"/>
      <c r="S365" s="247"/>
      <c r="T365" s="247"/>
      <c r="U365" s="247"/>
      <c r="V365" s="247"/>
      <c r="W365" s="247"/>
      <c r="X365" s="247"/>
      <c r="Y365" s="247"/>
      <c r="Z365" s="247"/>
      <c r="AA365" s="247"/>
      <c r="AB365" s="247"/>
      <c r="AC365" s="247"/>
    </row>
    <row r="366">
      <c r="A366" s="247"/>
      <c r="B366" s="247"/>
      <c r="C366" s="247"/>
      <c r="D366" s="249"/>
      <c r="E366" s="250"/>
      <c r="F366" s="248"/>
      <c r="G366" s="248"/>
      <c r="H366" s="251"/>
      <c r="I366" s="247"/>
      <c r="J366" s="247"/>
      <c r="K366" s="247"/>
      <c r="L366" s="247"/>
      <c r="M366" s="247"/>
      <c r="N366" s="247"/>
      <c r="O366" s="247"/>
      <c r="P366" s="247"/>
      <c r="Q366" s="247"/>
      <c r="R366" s="247"/>
      <c r="S366" s="247"/>
      <c r="T366" s="247"/>
      <c r="U366" s="247"/>
      <c r="V366" s="247"/>
      <c r="W366" s="247"/>
      <c r="X366" s="247"/>
      <c r="Y366" s="247"/>
      <c r="Z366" s="247"/>
      <c r="AA366" s="247"/>
      <c r="AB366" s="247"/>
      <c r="AC366" s="247"/>
    </row>
    <row r="367">
      <c r="A367" s="247"/>
      <c r="B367" s="247"/>
      <c r="C367" s="247"/>
      <c r="D367" s="249"/>
      <c r="E367" s="250"/>
      <c r="F367" s="248"/>
      <c r="G367" s="248"/>
      <c r="H367" s="251"/>
      <c r="I367" s="247"/>
      <c r="J367" s="247"/>
      <c r="K367" s="247"/>
      <c r="L367" s="247"/>
      <c r="M367" s="247"/>
      <c r="N367" s="247"/>
      <c r="O367" s="247"/>
      <c r="P367" s="247"/>
      <c r="Q367" s="247"/>
      <c r="R367" s="247"/>
      <c r="S367" s="247"/>
      <c r="T367" s="247"/>
      <c r="U367" s="247"/>
      <c r="V367" s="247"/>
      <c r="W367" s="247"/>
      <c r="X367" s="247"/>
      <c r="Y367" s="247"/>
      <c r="Z367" s="247"/>
      <c r="AA367" s="247"/>
      <c r="AB367" s="247"/>
      <c r="AC367" s="247"/>
    </row>
    <row r="368">
      <c r="A368" s="247"/>
      <c r="B368" s="247"/>
      <c r="C368" s="247"/>
      <c r="D368" s="249"/>
      <c r="E368" s="250"/>
      <c r="F368" s="248"/>
      <c r="G368" s="248"/>
      <c r="H368" s="251"/>
      <c r="I368" s="247"/>
      <c r="J368" s="247"/>
      <c r="K368" s="247"/>
      <c r="L368" s="247"/>
      <c r="M368" s="247"/>
      <c r="N368" s="247"/>
      <c r="O368" s="247"/>
      <c r="P368" s="247"/>
      <c r="Q368" s="247"/>
      <c r="R368" s="247"/>
      <c r="S368" s="247"/>
      <c r="T368" s="247"/>
      <c r="U368" s="247"/>
      <c r="V368" s="247"/>
      <c r="W368" s="247"/>
      <c r="X368" s="247"/>
      <c r="Y368" s="247"/>
      <c r="Z368" s="247"/>
      <c r="AA368" s="247"/>
      <c r="AB368" s="247"/>
      <c r="AC368" s="247"/>
    </row>
    <row r="369">
      <c r="A369" s="247"/>
      <c r="B369" s="247"/>
      <c r="C369" s="247"/>
      <c r="D369" s="249"/>
      <c r="E369" s="250"/>
      <c r="F369" s="248"/>
      <c r="G369" s="248"/>
      <c r="H369" s="251"/>
      <c r="I369" s="247"/>
      <c r="J369" s="247"/>
      <c r="K369" s="247"/>
      <c r="L369" s="247"/>
      <c r="M369" s="247"/>
      <c r="N369" s="247"/>
      <c r="O369" s="247"/>
      <c r="P369" s="247"/>
      <c r="Q369" s="247"/>
      <c r="R369" s="247"/>
      <c r="S369" s="247"/>
      <c r="T369" s="247"/>
      <c r="U369" s="247"/>
      <c r="V369" s="247"/>
      <c r="W369" s="247"/>
      <c r="X369" s="247"/>
      <c r="Y369" s="247"/>
      <c r="Z369" s="247"/>
      <c r="AA369" s="247"/>
      <c r="AB369" s="247"/>
      <c r="AC369" s="247"/>
    </row>
    <row r="370">
      <c r="A370" s="247"/>
      <c r="B370" s="247"/>
      <c r="C370" s="247"/>
      <c r="D370" s="249"/>
      <c r="E370" s="250"/>
      <c r="F370" s="248"/>
      <c r="G370" s="248"/>
      <c r="H370" s="251"/>
      <c r="I370" s="247"/>
      <c r="J370" s="247"/>
      <c r="K370" s="247"/>
      <c r="L370" s="247"/>
      <c r="M370" s="247"/>
      <c r="N370" s="247"/>
      <c r="O370" s="247"/>
      <c r="P370" s="247"/>
      <c r="Q370" s="247"/>
      <c r="R370" s="247"/>
      <c r="S370" s="247"/>
      <c r="T370" s="247"/>
      <c r="U370" s="247"/>
      <c r="V370" s="247"/>
      <c r="W370" s="247"/>
      <c r="X370" s="247"/>
      <c r="Y370" s="247"/>
      <c r="Z370" s="247"/>
      <c r="AA370" s="247"/>
      <c r="AB370" s="247"/>
      <c r="AC370" s="247"/>
    </row>
    <row r="371">
      <c r="A371" s="247"/>
      <c r="B371" s="247"/>
      <c r="C371" s="247"/>
      <c r="D371" s="249"/>
      <c r="E371" s="250"/>
      <c r="F371" s="248"/>
      <c r="G371" s="248"/>
      <c r="H371" s="251"/>
      <c r="I371" s="247"/>
      <c r="J371" s="247"/>
      <c r="K371" s="247"/>
      <c r="L371" s="247"/>
      <c r="M371" s="247"/>
      <c r="N371" s="247"/>
      <c r="O371" s="247"/>
      <c r="P371" s="247"/>
      <c r="Q371" s="247"/>
      <c r="R371" s="247"/>
      <c r="S371" s="247"/>
      <c r="T371" s="247"/>
      <c r="U371" s="247"/>
      <c r="V371" s="247"/>
      <c r="W371" s="247"/>
      <c r="X371" s="247"/>
      <c r="Y371" s="247"/>
      <c r="Z371" s="247"/>
      <c r="AA371" s="247"/>
      <c r="AB371" s="247"/>
      <c r="AC371" s="247"/>
    </row>
    <row r="372">
      <c r="A372" s="247"/>
      <c r="B372" s="247"/>
      <c r="C372" s="247"/>
      <c r="D372" s="249"/>
      <c r="E372" s="250"/>
      <c r="F372" s="248"/>
      <c r="G372" s="248"/>
      <c r="H372" s="251"/>
      <c r="I372" s="247"/>
      <c r="J372" s="247"/>
      <c r="K372" s="247"/>
      <c r="L372" s="247"/>
      <c r="M372" s="247"/>
      <c r="N372" s="247"/>
      <c r="O372" s="247"/>
      <c r="P372" s="247"/>
      <c r="Q372" s="247"/>
      <c r="R372" s="247"/>
      <c r="S372" s="247"/>
      <c r="T372" s="247"/>
      <c r="U372" s="247"/>
      <c r="V372" s="247"/>
      <c r="W372" s="247"/>
      <c r="X372" s="247"/>
      <c r="Y372" s="247"/>
      <c r="Z372" s="247"/>
      <c r="AA372" s="247"/>
      <c r="AB372" s="247"/>
      <c r="AC372" s="247"/>
    </row>
    <row r="373">
      <c r="A373" s="247"/>
      <c r="B373" s="247"/>
      <c r="C373" s="247"/>
      <c r="D373" s="249"/>
      <c r="E373" s="250"/>
      <c r="F373" s="248"/>
      <c r="G373" s="248"/>
      <c r="H373" s="251"/>
      <c r="I373" s="247"/>
      <c r="J373" s="247"/>
      <c r="K373" s="247"/>
      <c r="L373" s="247"/>
      <c r="M373" s="247"/>
      <c r="N373" s="247"/>
      <c r="O373" s="247"/>
      <c r="P373" s="247"/>
      <c r="Q373" s="247"/>
      <c r="R373" s="247"/>
      <c r="S373" s="247"/>
      <c r="T373" s="247"/>
      <c r="U373" s="247"/>
      <c r="V373" s="247"/>
      <c r="W373" s="247"/>
      <c r="X373" s="247"/>
      <c r="Y373" s="247"/>
      <c r="Z373" s="247"/>
      <c r="AA373" s="247"/>
      <c r="AB373" s="247"/>
      <c r="AC373" s="247"/>
    </row>
    <row r="374">
      <c r="A374" s="247"/>
      <c r="B374" s="247"/>
      <c r="C374" s="247"/>
      <c r="D374" s="249"/>
      <c r="E374" s="250"/>
      <c r="F374" s="248"/>
      <c r="G374" s="248"/>
      <c r="H374" s="251"/>
      <c r="I374" s="247"/>
      <c r="J374" s="247"/>
      <c r="K374" s="247"/>
      <c r="L374" s="247"/>
      <c r="M374" s="247"/>
      <c r="N374" s="247"/>
      <c r="O374" s="247"/>
      <c r="P374" s="247"/>
      <c r="Q374" s="247"/>
      <c r="R374" s="247"/>
      <c r="S374" s="247"/>
      <c r="T374" s="247"/>
      <c r="U374" s="247"/>
      <c r="V374" s="247"/>
      <c r="W374" s="247"/>
      <c r="X374" s="247"/>
      <c r="Y374" s="247"/>
      <c r="Z374" s="247"/>
      <c r="AA374" s="247"/>
      <c r="AB374" s="247"/>
      <c r="AC374" s="247"/>
    </row>
    <row r="375">
      <c r="A375" s="247"/>
      <c r="B375" s="247"/>
      <c r="C375" s="247"/>
      <c r="D375" s="249"/>
      <c r="E375" s="250"/>
      <c r="F375" s="248"/>
      <c r="G375" s="248"/>
      <c r="H375" s="251"/>
      <c r="I375" s="247"/>
      <c r="J375" s="247"/>
      <c r="K375" s="247"/>
      <c r="L375" s="247"/>
      <c r="M375" s="247"/>
      <c r="N375" s="247"/>
      <c r="O375" s="247"/>
      <c r="P375" s="247"/>
      <c r="Q375" s="247"/>
      <c r="R375" s="247"/>
      <c r="S375" s="247"/>
      <c r="T375" s="247"/>
      <c r="U375" s="247"/>
      <c r="V375" s="247"/>
      <c r="W375" s="247"/>
      <c r="X375" s="247"/>
      <c r="Y375" s="247"/>
      <c r="Z375" s="247"/>
      <c r="AA375" s="247"/>
      <c r="AB375" s="247"/>
      <c r="AC375" s="247"/>
    </row>
    <row r="376">
      <c r="A376" s="247"/>
      <c r="B376" s="247"/>
      <c r="C376" s="247"/>
      <c r="D376" s="249"/>
      <c r="E376" s="250"/>
      <c r="F376" s="248"/>
      <c r="G376" s="248"/>
      <c r="H376" s="251"/>
      <c r="I376" s="247"/>
      <c r="J376" s="247"/>
      <c r="K376" s="247"/>
      <c r="L376" s="247"/>
      <c r="M376" s="247"/>
      <c r="N376" s="247"/>
      <c r="O376" s="247"/>
      <c r="P376" s="247"/>
      <c r="Q376" s="247"/>
      <c r="R376" s="247"/>
      <c r="S376" s="247"/>
      <c r="T376" s="247"/>
      <c r="U376" s="247"/>
      <c r="V376" s="247"/>
      <c r="W376" s="247"/>
      <c r="X376" s="247"/>
      <c r="Y376" s="247"/>
      <c r="Z376" s="247"/>
      <c r="AA376" s="247"/>
      <c r="AB376" s="247"/>
      <c r="AC376" s="247"/>
    </row>
    <row r="377">
      <c r="A377" s="247"/>
      <c r="B377" s="247"/>
      <c r="C377" s="247"/>
      <c r="D377" s="249"/>
      <c r="E377" s="250"/>
      <c r="F377" s="248"/>
      <c r="G377" s="248"/>
      <c r="H377" s="251"/>
      <c r="I377" s="247"/>
      <c r="J377" s="247"/>
      <c r="K377" s="247"/>
      <c r="L377" s="247"/>
      <c r="M377" s="247"/>
      <c r="N377" s="247"/>
      <c r="O377" s="247"/>
      <c r="P377" s="247"/>
      <c r="Q377" s="247"/>
      <c r="R377" s="247"/>
      <c r="S377" s="247"/>
      <c r="T377" s="247"/>
      <c r="U377" s="247"/>
      <c r="V377" s="247"/>
      <c r="W377" s="247"/>
      <c r="X377" s="247"/>
      <c r="Y377" s="247"/>
      <c r="Z377" s="247"/>
      <c r="AA377" s="247"/>
      <c r="AB377" s="247"/>
      <c r="AC377" s="247"/>
    </row>
    <row r="378">
      <c r="A378" s="247"/>
      <c r="B378" s="247"/>
      <c r="C378" s="247"/>
      <c r="D378" s="249"/>
      <c r="E378" s="250"/>
      <c r="F378" s="248"/>
      <c r="G378" s="248"/>
      <c r="H378" s="251"/>
      <c r="I378" s="247"/>
      <c r="J378" s="247"/>
      <c r="K378" s="247"/>
      <c r="L378" s="247"/>
      <c r="M378" s="247"/>
      <c r="N378" s="247"/>
      <c r="O378" s="247"/>
      <c r="P378" s="247"/>
      <c r="Q378" s="247"/>
      <c r="R378" s="247"/>
      <c r="S378" s="247"/>
      <c r="T378" s="247"/>
      <c r="U378" s="247"/>
      <c r="V378" s="247"/>
      <c r="W378" s="247"/>
      <c r="X378" s="247"/>
      <c r="Y378" s="247"/>
      <c r="Z378" s="247"/>
      <c r="AA378" s="247"/>
      <c r="AB378" s="247"/>
      <c r="AC378" s="247"/>
    </row>
    <row r="379">
      <c r="A379" s="247"/>
      <c r="B379" s="247"/>
      <c r="C379" s="247"/>
      <c r="D379" s="249"/>
      <c r="E379" s="250"/>
      <c r="F379" s="248"/>
      <c r="G379" s="248"/>
      <c r="H379" s="251"/>
      <c r="I379" s="247"/>
      <c r="J379" s="247"/>
      <c r="K379" s="247"/>
      <c r="L379" s="247"/>
      <c r="M379" s="247"/>
      <c r="N379" s="247"/>
      <c r="O379" s="247"/>
      <c r="P379" s="247"/>
      <c r="Q379" s="247"/>
      <c r="R379" s="247"/>
      <c r="S379" s="247"/>
      <c r="T379" s="247"/>
      <c r="U379" s="247"/>
      <c r="V379" s="247"/>
      <c r="W379" s="247"/>
      <c r="X379" s="247"/>
      <c r="Y379" s="247"/>
      <c r="Z379" s="247"/>
      <c r="AA379" s="247"/>
      <c r="AB379" s="247"/>
      <c r="AC379" s="247"/>
    </row>
    <row r="380">
      <c r="A380" s="247"/>
      <c r="B380" s="247"/>
      <c r="C380" s="247"/>
      <c r="D380" s="249"/>
      <c r="E380" s="250"/>
      <c r="F380" s="248"/>
      <c r="G380" s="248"/>
      <c r="H380" s="251"/>
      <c r="I380" s="247"/>
      <c r="J380" s="247"/>
      <c r="K380" s="247"/>
      <c r="L380" s="247"/>
      <c r="M380" s="247"/>
      <c r="N380" s="247"/>
      <c r="O380" s="247"/>
      <c r="P380" s="247"/>
      <c r="Q380" s="247"/>
      <c r="R380" s="247"/>
      <c r="S380" s="247"/>
      <c r="T380" s="247"/>
      <c r="U380" s="247"/>
      <c r="V380" s="247"/>
      <c r="W380" s="247"/>
      <c r="X380" s="247"/>
      <c r="Y380" s="247"/>
      <c r="Z380" s="247"/>
      <c r="AA380" s="247"/>
      <c r="AB380" s="247"/>
      <c r="AC380" s="247"/>
    </row>
    <row r="381">
      <c r="A381" s="247"/>
      <c r="B381" s="247"/>
      <c r="C381" s="247"/>
      <c r="D381" s="249"/>
      <c r="E381" s="250"/>
      <c r="F381" s="248"/>
      <c r="G381" s="248"/>
      <c r="H381" s="251"/>
      <c r="I381" s="247"/>
      <c r="J381" s="247"/>
      <c r="K381" s="247"/>
      <c r="L381" s="247"/>
      <c r="M381" s="247"/>
      <c r="N381" s="247"/>
      <c r="O381" s="247"/>
      <c r="P381" s="247"/>
      <c r="Q381" s="247"/>
      <c r="R381" s="247"/>
      <c r="S381" s="247"/>
      <c r="T381" s="247"/>
      <c r="U381" s="247"/>
      <c r="V381" s="247"/>
      <c r="W381" s="247"/>
      <c r="X381" s="247"/>
      <c r="Y381" s="247"/>
      <c r="Z381" s="247"/>
      <c r="AA381" s="247"/>
      <c r="AB381" s="247"/>
      <c r="AC381" s="247"/>
    </row>
    <row r="382">
      <c r="A382" s="247"/>
      <c r="B382" s="247"/>
      <c r="C382" s="247"/>
      <c r="D382" s="249"/>
      <c r="E382" s="250"/>
      <c r="F382" s="248"/>
      <c r="G382" s="248"/>
      <c r="H382" s="251"/>
      <c r="I382" s="247"/>
      <c r="J382" s="247"/>
      <c r="K382" s="247"/>
      <c r="L382" s="247"/>
      <c r="M382" s="247"/>
      <c r="N382" s="247"/>
      <c r="O382" s="247"/>
      <c r="P382" s="247"/>
      <c r="Q382" s="247"/>
      <c r="R382" s="247"/>
      <c r="S382" s="247"/>
      <c r="T382" s="247"/>
      <c r="U382" s="247"/>
      <c r="V382" s="247"/>
      <c r="W382" s="247"/>
      <c r="X382" s="247"/>
      <c r="Y382" s="247"/>
      <c r="Z382" s="247"/>
      <c r="AA382" s="247"/>
      <c r="AB382" s="247"/>
      <c r="AC382" s="247"/>
    </row>
    <row r="383">
      <c r="A383" s="247"/>
      <c r="B383" s="247"/>
      <c r="C383" s="247"/>
      <c r="D383" s="249"/>
      <c r="E383" s="250"/>
      <c r="F383" s="248"/>
      <c r="G383" s="248"/>
      <c r="H383" s="251"/>
      <c r="I383" s="247"/>
      <c r="J383" s="247"/>
      <c r="K383" s="247"/>
      <c r="L383" s="247"/>
      <c r="M383" s="247"/>
      <c r="N383" s="247"/>
      <c r="O383" s="247"/>
      <c r="P383" s="247"/>
      <c r="Q383" s="247"/>
      <c r="R383" s="247"/>
      <c r="S383" s="247"/>
      <c r="T383" s="247"/>
      <c r="U383" s="247"/>
      <c r="V383" s="247"/>
      <c r="W383" s="247"/>
      <c r="X383" s="247"/>
      <c r="Y383" s="247"/>
      <c r="Z383" s="247"/>
      <c r="AA383" s="247"/>
      <c r="AB383" s="247"/>
      <c r="AC383" s="247"/>
    </row>
    <row r="384">
      <c r="A384" s="247"/>
      <c r="B384" s="247"/>
      <c r="C384" s="247"/>
      <c r="D384" s="249"/>
      <c r="E384" s="250"/>
      <c r="F384" s="248"/>
      <c r="G384" s="248"/>
      <c r="H384" s="251"/>
      <c r="I384" s="247"/>
      <c r="J384" s="247"/>
      <c r="K384" s="247"/>
      <c r="L384" s="247"/>
      <c r="M384" s="247"/>
      <c r="N384" s="247"/>
      <c r="O384" s="247"/>
      <c r="P384" s="247"/>
      <c r="Q384" s="247"/>
      <c r="R384" s="247"/>
      <c r="S384" s="247"/>
      <c r="T384" s="247"/>
      <c r="U384" s="247"/>
      <c r="V384" s="247"/>
      <c r="W384" s="247"/>
      <c r="X384" s="247"/>
      <c r="Y384" s="247"/>
      <c r="Z384" s="247"/>
      <c r="AA384" s="247"/>
      <c r="AB384" s="247"/>
      <c r="AC384" s="247"/>
    </row>
    <row r="385">
      <c r="A385" s="247"/>
      <c r="B385" s="247"/>
      <c r="C385" s="247"/>
      <c r="D385" s="249"/>
      <c r="E385" s="250"/>
      <c r="F385" s="248"/>
      <c r="G385" s="248"/>
      <c r="H385" s="251"/>
      <c r="I385" s="247"/>
      <c r="J385" s="247"/>
      <c r="K385" s="247"/>
      <c r="L385" s="247"/>
      <c r="M385" s="247"/>
      <c r="N385" s="247"/>
      <c r="O385" s="247"/>
      <c r="P385" s="247"/>
      <c r="Q385" s="247"/>
      <c r="R385" s="247"/>
      <c r="S385" s="247"/>
      <c r="T385" s="247"/>
      <c r="U385" s="247"/>
      <c r="V385" s="247"/>
      <c r="W385" s="247"/>
      <c r="X385" s="247"/>
      <c r="Y385" s="247"/>
      <c r="Z385" s="247"/>
      <c r="AA385" s="247"/>
      <c r="AB385" s="247"/>
      <c r="AC385" s="247"/>
    </row>
    <row r="386">
      <c r="A386" s="247"/>
      <c r="B386" s="247"/>
      <c r="C386" s="247"/>
      <c r="D386" s="249"/>
      <c r="E386" s="250"/>
      <c r="F386" s="248"/>
      <c r="G386" s="248"/>
      <c r="H386" s="251"/>
      <c r="I386" s="247"/>
      <c r="J386" s="247"/>
      <c r="K386" s="247"/>
      <c r="L386" s="247"/>
      <c r="M386" s="247"/>
      <c r="N386" s="247"/>
      <c r="O386" s="247"/>
      <c r="P386" s="247"/>
      <c r="Q386" s="247"/>
      <c r="R386" s="247"/>
      <c r="S386" s="247"/>
      <c r="T386" s="247"/>
      <c r="U386" s="247"/>
      <c r="V386" s="247"/>
      <c r="W386" s="247"/>
      <c r="X386" s="247"/>
      <c r="Y386" s="247"/>
      <c r="Z386" s="247"/>
      <c r="AA386" s="247"/>
      <c r="AB386" s="247"/>
      <c r="AC386" s="247"/>
    </row>
    <row r="387">
      <c r="A387" s="247"/>
      <c r="B387" s="247"/>
      <c r="C387" s="247"/>
      <c r="D387" s="249"/>
      <c r="E387" s="250"/>
      <c r="F387" s="248"/>
      <c r="G387" s="248"/>
      <c r="H387" s="251"/>
      <c r="I387" s="247"/>
      <c r="J387" s="247"/>
      <c r="K387" s="247"/>
      <c r="L387" s="247"/>
      <c r="M387" s="247"/>
      <c r="N387" s="247"/>
      <c r="O387" s="247"/>
      <c r="P387" s="247"/>
      <c r="Q387" s="247"/>
      <c r="R387" s="247"/>
      <c r="S387" s="247"/>
      <c r="T387" s="247"/>
      <c r="U387" s="247"/>
      <c r="V387" s="247"/>
      <c r="W387" s="247"/>
      <c r="X387" s="247"/>
      <c r="Y387" s="247"/>
      <c r="Z387" s="247"/>
      <c r="AA387" s="247"/>
      <c r="AB387" s="247"/>
      <c r="AC387" s="247"/>
    </row>
    <row r="388">
      <c r="A388" s="247"/>
      <c r="B388" s="247"/>
      <c r="C388" s="247"/>
      <c r="D388" s="249"/>
      <c r="E388" s="250"/>
      <c r="F388" s="248"/>
      <c r="G388" s="248"/>
      <c r="H388" s="251"/>
      <c r="I388" s="247"/>
      <c r="J388" s="247"/>
      <c r="K388" s="247"/>
      <c r="L388" s="247"/>
      <c r="M388" s="247"/>
      <c r="N388" s="247"/>
      <c r="O388" s="247"/>
      <c r="P388" s="247"/>
      <c r="Q388" s="247"/>
      <c r="R388" s="247"/>
      <c r="S388" s="247"/>
      <c r="T388" s="247"/>
      <c r="U388" s="247"/>
      <c r="V388" s="247"/>
      <c r="W388" s="247"/>
      <c r="X388" s="247"/>
      <c r="Y388" s="247"/>
      <c r="Z388" s="247"/>
      <c r="AA388" s="247"/>
      <c r="AB388" s="247"/>
      <c r="AC388" s="247"/>
    </row>
    <row r="389">
      <c r="A389" s="247"/>
      <c r="B389" s="247"/>
      <c r="C389" s="247"/>
      <c r="D389" s="249"/>
      <c r="E389" s="250"/>
      <c r="F389" s="248"/>
      <c r="G389" s="248"/>
      <c r="H389" s="251"/>
      <c r="I389" s="247"/>
      <c r="J389" s="247"/>
      <c r="K389" s="247"/>
      <c r="L389" s="247"/>
      <c r="M389" s="247"/>
      <c r="N389" s="247"/>
      <c r="O389" s="247"/>
      <c r="P389" s="247"/>
      <c r="Q389" s="247"/>
      <c r="R389" s="247"/>
      <c r="S389" s="247"/>
      <c r="T389" s="247"/>
      <c r="U389" s="247"/>
      <c r="V389" s="247"/>
      <c r="W389" s="247"/>
      <c r="X389" s="247"/>
      <c r="Y389" s="247"/>
      <c r="Z389" s="247"/>
      <c r="AA389" s="247"/>
      <c r="AB389" s="247"/>
      <c r="AC389" s="247"/>
    </row>
    <row r="390">
      <c r="A390" s="247"/>
      <c r="B390" s="247"/>
      <c r="C390" s="247"/>
      <c r="D390" s="249"/>
      <c r="E390" s="250"/>
      <c r="F390" s="248"/>
      <c r="G390" s="248"/>
      <c r="H390" s="251"/>
      <c r="I390" s="247"/>
      <c r="J390" s="247"/>
      <c r="K390" s="247"/>
      <c r="L390" s="247"/>
      <c r="M390" s="247"/>
      <c r="N390" s="247"/>
      <c r="O390" s="247"/>
      <c r="P390" s="247"/>
      <c r="Q390" s="247"/>
      <c r="R390" s="247"/>
      <c r="S390" s="247"/>
      <c r="T390" s="247"/>
      <c r="U390" s="247"/>
      <c r="V390" s="247"/>
      <c r="W390" s="247"/>
      <c r="X390" s="247"/>
      <c r="Y390" s="247"/>
      <c r="Z390" s="247"/>
      <c r="AA390" s="247"/>
      <c r="AB390" s="247"/>
      <c r="AC390" s="247"/>
    </row>
    <row r="391">
      <c r="A391" s="247"/>
      <c r="B391" s="247"/>
      <c r="C391" s="247"/>
      <c r="D391" s="249"/>
      <c r="E391" s="250"/>
      <c r="F391" s="248"/>
      <c r="G391" s="248"/>
      <c r="H391" s="251"/>
      <c r="I391" s="247"/>
      <c r="J391" s="247"/>
      <c r="K391" s="247"/>
      <c r="L391" s="247"/>
      <c r="M391" s="247"/>
      <c r="N391" s="247"/>
      <c r="O391" s="247"/>
      <c r="P391" s="247"/>
      <c r="Q391" s="247"/>
      <c r="R391" s="247"/>
      <c r="S391" s="247"/>
      <c r="T391" s="247"/>
      <c r="U391" s="247"/>
      <c r="V391" s="247"/>
      <c r="W391" s="247"/>
      <c r="X391" s="247"/>
      <c r="Y391" s="247"/>
      <c r="Z391" s="247"/>
      <c r="AA391" s="247"/>
      <c r="AB391" s="247"/>
      <c r="AC391" s="247"/>
    </row>
    <row r="392">
      <c r="A392" s="247"/>
      <c r="B392" s="247"/>
      <c r="C392" s="247"/>
      <c r="D392" s="249"/>
      <c r="E392" s="250"/>
      <c r="F392" s="248"/>
      <c r="G392" s="248"/>
      <c r="H392" s="251"/>
      <c r="I392" s="247"/>
      <c r="J392" s="247"/>
      <c r="K392" s="247"/>
      <c r="L392" s="247"/>
      <c r="M392" s="247"/>
      <c r="N392" s="247"/>
      <c r="O392" s="247"/>
      <c r="P392" s="247"/>
      <c r="Q392" s="247"/>
      <c r="R392" s="247"/>
      <c r="S392" s="247"/>
      <c r="T392" s="247"/>
      <c r="U392" s="247"/>
      <c r="V392" s="247"/>
      <c r="W392" s="247"/>
      <c r="X392" s="247"/>
      <c r="Y392" s="247"/>
      <c r="Z392" s="247"/>
      <c r="AA392" s="247"/>
      <c r="AB392" s="247"/>
      <c r="AC392" s="247"/>
    </row>
    <row r="393">
      <c r="A393" s="247"/>
      <c r="B393" s="247"/>
      <c r="C393" s="247"/>
      <c r="D393" s="249"/>
      <c r="E393" s="250"/>
      <c r="F393" s="248"/>
      <c r="G393" s="248"/>
      <c r="H393" s="251"/>
      <c r="I393" s="247"/>
      <c r="J393" s="247"/>
      <c r="K393" s="247"/>
      <c r="L393" s="247"/>
      <c r="M393" s="247"/>
      <c r="N393" s="247"/>
      <c r="O393" s="247"/>
      <c r="P393" s="247"/>
      <c r="Q393" s="247"/>
      <c r="R393" s="247"/>
      <c r="S393" s="247"/>
      <c r="T393" s="247"/>
      <c r="U393" s="247"/>
      <c r="V393" s="247"/>
      <c r="W393" s="247"/>
      <c r="X393" s="247"/>
      <c r="Y393" s="247"/>
      <c r="Z393" s="247"/>
      <c r="AA393" s="247"/>
      <c r="AB393" s="247"/>
      <c r="AC393" s="247"/>
    </row>
    <row r="394">
      <c r="A394" s="247"/>
      <c r="B394" s="247"/>
      <c r="C394" s="247"/>
      <c r="D394" s="249"/>
      <c r="E394" s="250"/>
      <c r="F394" s="248"/>
      <c r="G394" s="248"/>
      <c r="H394" s="251"/>
      <c r="I394" s="247"/>
      <c r="J394" s="247"/>
      <c r="K394" s="247"/>
      <c r="L394" s="247"/>
      <c r="M394" s="247"/>
      <c r="N394" s="247"/>
      <c r="O394" s="247"/>
      <c r="P394" s="247"/>
      <c r="Q394" s="247"/>
      <c r="R394" s="247"/>
      <c r="S394" s="247"/>
      <c r="T394" s="247"/>
      <c r="U394" s="247"/>
      <c r="V394" s="247"/>
      <c r="W394" s="247"/>
      <c r="X394" s="247"/>
      <c r="Y394" s="247"/>
      <c r="Z394" s="247"/>
      <c r="AA394" s="247"/>
      <c r="AB394" s="247"/>
      <c r="AC394" s="247"/>
    </row>
    <row r="395">
      <c r="A395" s="247"/>
      <c r="B395" s="247"/>
      <c r="C395" s="247"/>
      <c r="D395" s="249"/>
      <c r="E395" s="250"/>
      <c r="F395" s="248"/>
      <c r="G395" s="248"/>
      <c r="H395" s="251"/>
      <c r="I395" s="247"/>
      <c r="J395" s="247"/>
      <c r="K395" s="247"/>
      <c r="L395" s="247"/>
      <c r="M395" s="247"/>
      <c r="N395" s="247"/>
      <c r="O395" s="247"/>
      <c r="P395" s="247"/>
      <c r="Q395" s="247"/>
      <c r="R395" s="247"/>
      <c r="S395" s="247"/>
      <c r="T395" s="247"/>
      <c r="U395" s="247"/>
      <c r="V395" s="247"/>
      <c r="W395" s="247"/>
      <c r="X395" s="247"/>
      <c r="Y395" s="247"/>
      <c r="Z395" s="247"/>
      <c r="AA395" s="247"/>
      <c r="AB395" s="247"/>
      <c r="AC395" s="247"/>
    </row>
    <row r="396">
      <c r="A396" s="247"/>
      <c r="B396" s="247"/>
      <c r="C396" s="247"/>
      <c r="D396" s="249"/>
      <c r="E396" s="250"/>
      <c r="F396" s="248"/>
      <c r="G396" s="248"/>
      <c r="H396" s="251"/>
      <c r="I396" s="247"/>
      <c r="J396" s="247"/>
      <c r="K396" s="247"/>
      <c r="L396" s="247"/>
      <c r="M396" s="247"/>
      <c r="N396" s="247"/>
      <c r="O396" s="247"/>
      <c r="P396" s="247"/>
      <c r="Q396" s="247"/>
      <c r="R396" s="247"/>
      <c r="S396" s="247"/>
      <c r="T396" s="247"/>
      <c r="U396" s="247"/>
      <c r="V396" s="247"/>
      <c r="W396" s="247"/>
      <c r="X396" s="247"/>
      <c r="Y396" s="247"/>
      <c r="Z396" s="247"/>
      <c r="AA396" s="247"/>
      <c r="AB396" s="247"/>
      <c r="AC396" s="247"/>
    </row>
    <row r="397">
      <c r="A397" s="247"/>
      <c r="B397" s="247"/>
      <c r="C397" s="247"/>
      <c r="D397" s="249"/>
      <c r="E397" s="250"/>
      <c r="F397" s="248"/>
      <c r="G397" s="248"/>
      <c r="H397" s="251"/>
      <c r="I397" s="247"/>
      <c r="J397" s="247"/>
      <c r="K397" s="247"/>
      <c r="L397" s="247"/>
      <c r="M397" s="247"/>
      <c r="N397" s="247"/>
      <c r="O397" s="247"/>
      <c r="P397" s="247"/>
      <c r="Q397" s="247"/>
      <c r="R397" s="247"/>
      <c r="S397" s="247"/>
      <c r="T397" s="247"/>
      <c r="U397" s="247"/>
      <c r="V397" s="247"/>
      <c r="W397" s="247"/>
      <c r="X397" s="247"/>
      <c r="Y397" s="247"/>
      <c r="Z397" s="247"/>
      <c r="AA397" s="247"/>
      <c r="AB397" s="247"/>
      <c r="AC397" s="247"/>
    </row>
    <row r="398">
      <c r="A398" s="247"/>
      <c r="B398" s="247"/>
      <c r="C398" s="247"/>
      <c r="D398" s="249"/>
      <c r="E398" s="250"/>
      <c r="F398" s="248"/>
      <c r="G398" s="248"/>
      <c r="H398" s="251"/>
      <c r="I398" s="247"/>
      <c r="J398" s="247"/>
      <c r="K398" s="247"/>
      <c r="L398" s="247"/>
      <c r="M398" s="247"/>
      <c r="N398" s="247"/>
      <c r="O398" s="247"/>
      <c r="P398" s="247"/>
      <c r="Q398" s="247"/>
      <c r="R398" s="247"/>
      <c r="S398" s="247"/>
      <c r="T398" s="247"/>
      <c r="U398" s="247"/>
      <c r="V398" s="247"/>
      <c r="W398" s="247"/>
      <c r="X398" s="247"/>
      <c r="Y398" s="247"/>
      <c r="Z398" s="247"/>
      <c r="AA398" s="247"/>
      <c r="AB398" s="247"/>
      <c r="AC398" s="247"/>
    </row>
    <row r="399">
      <c r="A399" s="247"/>
      <c r="B399" s="247"/>
      <c r="C399" s="247"/>
      <c r="D399" s="249"/>
      <c r="E399" s="250"/>
      <c r="F399" s="248"/>
      <c r="G399" s="248"/>
      <c r="H399" s="251"/>
      <c r="I399" s="247"/>
      <c r="J399" s="247"/>
      <c r="K399" s="247"/>
      <c r="L399" s="247"/>
      <c r="M399" s="247"/>
      <c r="N399" s="247"/>
      <c r="O399" s="247"/>
      <c r="P399" s="247"/>
      <c r="Q399" s="247"/>
      <c r="R399" s="247"/>
      <c r="S399" s="247"/>
      <c r="T399" s="247"/>
      <c r="U399" s="247"/>
      <c r="V399" s="247"/>
      <c r="W399" s="247"/>
      <c r="X399" s="247"/>
      <c r="Y399" s="247"/>
      <c r="Z399" s="247"/>
      <c r="AA399" s="247"/>
      <c r="AB399" s="247"/>
      <c r="AC399" s="247"/>
    </row>
    <row r="400">
      <c r="A400" s="247"/>
      <c r="B400" s="247"/>
      <c r="C400" s="247"/>
      <c r="D400" s="249"/>
      <c r="E400" s="250"/>
      <c r="F400" s="248"/>
      <c r="G400" s="248"/>
      <c r="H400" s="251"/>
      <c r="I400" s="247"/>
      <c r="J400" s="247"/>
      <c r="K400" s="247"/>
      <c r="L400" s="247"/>
      <c r="M400" s="247"/>
      <c r="N400" s="247"/>
      <c r="O400" s="247"/>
      <c r="P400" s="247"/>
      <c r="Q400" s="247"/>
      <c r="R400" s="247"/>
      <c r="S400" s="247"/>
      <c r="T400" s="247"/>
      <c r="U400" s="247"/>
      <c r="V400" s="247"/>
      <c r="W400" s="247"/>
      <c r="X400" s="247"/>
      <c r="Y400" s="247"/>
      <c r="Z400" s="247"/>
      <c r="AA400" s="247"/>
      <c r="AB400" s="247"/>
      <c r="AC400" s="247"/>
    </row>
    <row r="401">
      <c r="A401" s="247"/>
      <c r="B401" s="247"/>
      <c r="C401" s="247"/>
      <c r="D401" s="249"/>
      <c r="E401" s="250"/>
      <c r="F401" s="248"/>
      <c r="G401" s="248"/>
      <c r="H401" s="251"/>
      <c r="I401" s="247"/>
      <c r="J401" s="247"/>
      <c r="K401" s="247"/>
      <c r="L401" s="247"/>
      <c r="M401" s="247"/>
      <c r="N401" s="247"/>
      <c r="O401" s="247"/>
      <c r="P401" s="247"/>
      <c r="Q401" s="247"/>
      <c r="R401" s="247"/>
      <c r="S401" s="247"/>
      <c r="T401" s="247"/>
      <c r="U401" s="247"/>
      <c r="V401" s="247"/>
      <c r="W401" s="247"/>
      <c r="X401" s="247"/>
      <c r="Y401" s="247"/>
      <c r="Z401" s="247"/>
      <c r="AA401" s="247"/>
      <c r="AB401" s="247"/>
      <c r="AC401" s="247"/>
    </row>
    <row r="402">
      <c r="A402" s="247"/>
      <c r="B402" s="247"/>
      <c r="C402" s="247"/>
      <c r="D402" s="249"/>
      <c r="E402" s="250"/>
      <c r="F402" s="248"/>
      <c r="G402" s="248"/>
      <c r="H402" s="251"/>
      <c r="I402" s="247"/>
      <c r="J402" s="247"/>
      <c r="K402" s="247"/>
      <c r="L402" s="247"/>
      <c r="M402" s="247"/>
      <c r="N402" s="247"/>
      <c r="O402" s="247"/>
      <c r="P402" s="247"/>
      <c r="Q402" s="247"/>
      <c r="R402" s="247"/>
      <c r="S402" s="247"/>
      <c r="T402" s="247"/>
      <c r="U402" s="247"/>
      <c r="V402" s="247"/>
      <c r="W402" s="247"/>
      <c r="X402" s="247"/>
      <c r="Y402" s="247"/>
      <c r="Z402" s="247"/>
      <c r="AA402" s="247"/>
      <c r="AB402" s="247"/>
      <c r="AC402" s="247"/>
    </row>
    <row r="403">
      <c r="A403" s="247"/>
      <c r="B403" s="247"/>
      <c r="C403" s="247"/>
      <c r="D403" s="249"/>
      <c r="E403" s="250"/>
      <c r="F403" s="248"/>
      <c r="G403" s="248"/>
      <c r="H403" s="251"/>
      <c r="I403" s="247"/>
      <c r="J403" s="247"/>
      <c r="K403" s="247"/>
      <c r="L403" s="247"/>
      <c r="M403" s="247"/>
      <c r="N403" s="247"/>
      <c r="O403" s="247"/>
      <c r="P403" s="247"/>
      <c r="Q403" s="247"/>
      <c r="R403" s="247"/>
      <c r="S403" s="247"/>
      <c r="T403" s="247"/>
      <c r="U403" s="247"/>
      <c r="V403" s="247"/>
      <c r="W403" s="247"/>
      <c r="X403" s="247"/>
      <c r="Y403" s="247"/>
      <c r="Z403" s="247"/>
      <c r="AA403" s="247"/>
      <c r="AB403" s="247"/>
      <c r="AC403" s="247"/>
    </row>
    <row r="404">
      <c r="A404" s="247"/>
      <c r="B404" s="247"/>
      <c r="C404" s="247"/>
      <c r="D404" s="249"/>
      <c r="E404" s="250"/>
      <c r="F404" s="248"/>
      <c r="G404" s="248"/>
      <c r="H404" s="251"/>
      <c r="I404" s="247"/>
      <c r="J404" s="247"/>
      <c r="K404" s="247"/>
      <c r="L404" s="247"/>
      <c r="M404" s="247"/>
      <c r="N404" s="247"/>
      <c r="O404" s="247"/>
      <c r="P404" s="247"/>
      <c r="Q404" s="247"/>
      <c r="R404" s="247"/>
      <c r="S404" s="247"/>
      <c r="T404" s="247"/>
      <c r="U404" s="247"/>
      <c r="V404" s="247"/>
      <c r="W404" s="247"/>
      <c r="X404" s="247"/>
      <c r="Y404" s="247"/>
      <c r="Z404" s="247"/>
      <c r="AA404" s="247"/>
      <c r="AB404" s="247"/>
      <c r="AC404" s="247"/>
    </row>
    <row r="405">
      <c r="A405" s="247"/>
      <c r="B405" s="247"/>
      <c r="C405" s="247"/>
      <c r="D405" s="249"/>
      <c r="E405" s="250"/>
      <c r="F405" s="248"/>
      <c r="G405" s="248"/>
      <c r="H405" s="251"/>
      <c r="I405" s="247"/>
      <c r="J405" s="247"/>
      <c r="K405" s="247"/>
      <c r="L405" s="247"/>
      <c r="M405" s="247"/>
      <c r="N405" s="247"/>
      <c r="O405" s="247"/>
      <c r="P405" s="247"/>
      <c r="Q405" s="247"/>
      <c r="R405" s="247"/>
      <c r="S405" s="247"/>
      <c r="T405" s="247"/>
      <c r="U405" s="247"/>
      <c r="V405" s="247"/>
      <c r="W405" s="247"/>
      <c r="X405" s="247"/>
      <c r="Y405" s="247"/>
      <c r="Z405" s="247"/>
      <c r="AA405" s="247"/>
      <c r="AB405" s="247"/>
      <c r="AC405" s="247"/>
    </row>
    <row r="406">
      <c r="A406" s="247"/>
      <c r="B406" s="247"/>
      <c r="C406" s="247"/>
      <c r="D406" s="249"/>
      <c r="E406" s="250"/>
      <c r="F406" s="248"/>
      <c r="G406" s="248"/>
      <c r="H406" s="251"/>
      <c r="I406" s="247"/>
      <c r="J406" s="247"/>
      <c r="K406" s="247"/>
      <c r="L406" s="247"/>
      <c r="M406" s="247"/>
      <c r="N406" s="247"/>
      <c r="O406" s="247"/>
      <c r="P406" s="247"/>
      <c r="Q406" s="247"/>
      <c r="R406" s="247"/>
      <c r="S406" s="247"/>
      <c r="T406" s="247"/>
      <c r="U406" s="247"/>
      <c r="V406" s="247"/>
      <c r="W406" s="247"/>
      <c r="X406" s="247"/>
      <c r="Y406" s="247"/>
      <c r="Z406" s="247"/>
      <c r="AA406" s="247"/>
      <c r="AB406" s="247"/>
      <c r="AC406" s="247"/>
    </row>
    <row r="407">
      <c r="A407" s="247"/>
      <c r="B407" s="247"/>
      <c r="C407" s="247"/>
      <c r="D407" s="249"/>
      <c r="E407" s="250"/>
      <c r="F407" s="248"/>
      <c r="G407" s="248"/>
      <c r="H407" s="251"/>
      <c r="I407" s="247"/>
      <c r="J407" s="247"/>
      <c r="K407" s="247"/>
      <c r="L407" s="247"/>
      <c r="M407" s="247"/>
      <c r="N407" s="247"/>
      <c r="O407" s="247"/>
      <c r="P407" s="247"/>
      <c r="Q407" s="247"/>
      <c r="R407" s="247"/>
      <c r="S407" s="247"/>
      <c r="T407" s="247"/>
      <c r="U407" s="247"/>
      <c r="V407" s="247"/>
      <c r="W407" s="247"/>
      <c r="X407" s="247"/>
      <c r="Y407" s="247"/>
      <c r="Z407" s="247"/>
      <c r="AA407" s="247"/>
      <c r="AB407" s="247"/>
      <c r="AC407" s="247"/>
    </row>
    <row r="408">
      <c r="A408" s="247"/>
      <c r="B408" s="247"/>
      <c r="C408" s="247"/>
      <c r="D408" s="249"/>
      <c r="E408" s="250"/>
      <c r="F408" s="248"/>
      <c r="G408" s="248"/>
      <c r="H408" s="251"/>
      <c r="I408" s="247"/>
      <c r="J408" s="247"/>
      <c r="K408" s="247"/>
      <c r="L408" s="247"/>
      <c r="M408" s="247"/>
      <c r="N408" s="247"/>
      <c r="O408" s="247"/>
      <c r="P408" s="247"/>
      <c r="Q408" s="247"/>
      <c r="R408" s="247"/>
      <c r="S408" s="247"/>
      <c r="T408" s="247"/>
      <c r="U408" s="247"/>
      <c r="V408" s="247"/>
      <c r="W408" s="247"/>
      <c r="X408" s="247"/>
      <c r="Y408" s="247"/>
      <c r="Z408" s="247"/>
      <c r="AA408" s="247"/>
      <c r="AB408" s="247"/>
      <c r="AC408" s="247"/>
    </row>
    <row r="409">
      <c r="A409" s="247"/>
      <c r="B409" s="247"/>
      <c r="C409" s="247"/>
      <c r="D409" s="249"/>
      <c r="E409" s="250"/>
      <c r="F409" s="248"/>
      <c r="G409" s="248"/>
      <c r="H409" s="251"/>
      <c r="I409" s="247"/>
      <c r="J409" s="247"/>
      <c r="K409" s="247"/>
      <c r="L409" s="247"/>
      <c r="M409" s="247"/>
      <c r="N409" s="247"/>
      <c r="O409" s="247"/>
      <c r="P409" s="247"/>
      <c r="Q409" s="247"/>
      <c r="R409" s="247"/>
      <c r="S409" s="247"/>
      <c r="T409" s="247"/>
      <c r="U409" s="247"/>
      <c r="V409" s="247"/>
      <c r="W409" s="247"/>
      <c r="X409" s="247"/>
      <c r="Y409" s="247"/>
      <c r="Z409" s="247"/>
      <c r="AA409" s="247"/>
      <c r="AB409" s="247"/>
      <c r="AC409" s="247"/>
    </row>
    <row r="410">
      <c r="A410" s="247"/>
      <c r="B410" s="247"/>
      <c r="C410" s="247"/>
      <c r="D410" s="249"/>
      <c r="E410" s="250"/>
      <c r="F410" s="248"/>
      <c r="G410" s="248"/>
      <c r="H410" s="251"/>
      <c r="I410" s="247"/>
      <c r="J410" s="247"/>
      <c r="K410" s="247"/>
      <c r="L410" s="247"/>
      <c r="M410" s="247"/>
      <c r="N410" s="247"/>
      <c r="O410" s="247"/>
      <c r="P410" s="247"/>
      <c r="Q410" s="247"/>
      <c r="R410" s="247"/>
      <c r="S410" s="247"/>
      <c r="T410" s="247"/>
      <c r="U410" s="247"/>
      <c r="V410" s="247"/>
      <c r="W410" s="247"/>
      <c r="X410" s="247"/>
      <c r="Y410" s="247"/>
      <c r="Z410" s="247"/>
      <c r="AA410" s="247"/>
      <c r="AB410" s="247"/>
      <c r="AC410" s="247"/>
    </row>
    <row r="411">
      <c r="A411" s="247"/>
      <c r="B411" s="247"/>
      <c r="C411" s="247"/>
      <c r="D411" s="249"/>
      <c r="E411" s="250"/>
      <c r="F411" s="248"/>
      <c r="G411" s="248"/>
      <c r="H411" s="251"/>
      <c r="I411" s="247"/>
      <c r="J411" s="247"/>
      <c r="K411" s="247"/>
      <c r="L411" s="247"/>
      <c r="M411" s="247"/>
      <c r="N411" s="247"/>
      <c r="O411" s="247"/>
      <c r="P411" s="247"/>
      <c r="Q411" s="247"/>
      <c r="R411" s="247"/>
      <c r="S411" s="247"/>
      <c r="T411" s="247"/>
      <c r="U411" s="247"/>
      <c r="V411" s="247"/>
      <c r="W411" s="247"/>
      <c r="X411" s="247"/>
      <c r="Y411" s="247"/>
      <c r="Z411" s="247"/>
      <c r="AA411" s="247"/>
      <c r="AB411" s="247"/>
      <c r="AC411" s="247"/>
    </row>
    <row r="412">
      <c r="A412" s="247"/>
      <c r="B412" s="247"/>
      <c r="C412" s="247"/>
      <c r="D412" s="249"/>
      <c r="E412" s="250"/>
      <c r="F412" s="248"/>
      <c r="G412" s="248"/>
      <c r="H412" s="251"/>
      <c r="I412" s="247"/>
      <c r="J412" s="247"/>
      <c r="K412" s="247"/>
      <c r="L412" s="247"/>
      <c r="M412" s="247"/>
      <c r="N412" s="247"/>
      <c r="O412" s="247"/>
      <c r="P412" s="247"/>
      <c r="Q412" s="247"/>
      <c r="R412" s="247"/>
      <c r="S412" s="247"/>
      <c r="T412" s="247"/>
      <c r="U412" s="247"/>
      <c r="V412" s="247"/>
      <c r="W412" s="247"/>
      <c r="X412" s="247"/>
      <c r="Y412" s="247"/>
      <c r="Z412" s="247"/>
      <c r="AA412" s="247"/>
      <c r="AB412" s="247"/>
      <c r="AC412" s="247"/>
    </row>
    <row r="413">
      <c r="A413" s="247"/>
      <c r="B413" s="247"/>
      <c r="C413" s="247"/>
      <c r="D413" s="249"/>
      <c r="E413" s="250"/>
      <c r="F413" s="248"/>
      <c r="G413" s="248"/>
      <c r="H413" s="251"/>
      <c r="I413" s="247"/>
      <c r="J413" s="247"/>
      <c r="K413" s="247"/>
      <c r="L413" s="247"/>
      <c r="M413" s="247"/>
      <c r="N413" s="247"/>
      <c r="O413" s="247"/>
      <c r="P413" s="247"/>
      <c r="Q413" s="247"/>
      <c r="R413" s="247"/>
      <c r="S413" s="247"/>
      <c r="T413" s="247"/>
      <c r="U413" s="247"/>
      <c r="V413" s="247"/>
      <c r="W413" s="247"/>
      <c r="X413" s="247"/>
      <c r="Y413" s="247"/>
      <c r="Z413" s="247"/>
      <c r="AA413" s="247"/>
      <c r="AB413" s="247"/>
      <c r="AC413" s="247"/>
    </row>
    <row r="414">
      <c r="A414" s="247"/>
      <c r="B414" s="247"/>
      <c r="C414" s="247"/>
      <c r="D414" s="249"/>
      <c r="E414" s="250"/>
      <c r="F414" s="248"/>
      <c r="G414" s="248"/>
      <c r="H414" s="251"/>
      <c r="I414" s="247"/>
      <c r="J414" s="247"/>
      <c r="K414" s="247"/>
      <c r="L414" s="247"/>
      <c r="M414" s="247"/>
      <c r="N414" s="247"/>
      <c r="O414" s="247"/>
      <c r="P414" s="247"/>
      <c r="Q414" s="247"/>
      <c r="R414" s="247"/>
      <c r="S414" s="247"/>
      <c r="T414" s="247"/>
      <c r="U414" s="247"/>
      <c r="V414" s="247"/>
      <c r="W414" s="247"/>
      <c r="X414" s="247"/>
      <c r="Y414" s="247"/>
      <c r="Z414" s="247"/>
      <c r="AA414" s="247"/>
      <c r="AB414" s="247"/>
      <c r="AC414" s="247"/>
    </row>
    <row r="415">
      <c r="A415" s="247"/>
      <c r="B415" s="247"/>
      <c r="C415" s="247"/>
      <c r="D415" s="249"/>
      <c r="E415" s="250"/>
      <c r="F415" s="248"/>
      <c r="G415" s="248"/>
      <c r="H415" s="251"/>
      <c r="I415" s="247"/>
      <c r="J415" s="247"/>
      <c r="K415" s="247"/>
      <c r="L415" s="247"/>
      <c r="M415" s="247"/>
      <c r="N415" s="247"/>
      <c r="O415" s="247"/>
      <c r="P415" s="247"/>
      <c r="Q415" s="247"/>
      <c r="R415" s="247"/>
      <c r="S415" s="247"/>
      <c r="T415" s="247"/>
      <c r="U415" s="247"/>
      <c r="V415" s="247"/>
      <c r="W415" s="247"/>
      <c r="X415" s="247"/>
      <c r="Y415" s="247"/>
      <c r="Z415" s="247"/>
      <c r="AA415" s="247"/>
      <c r="AB415" s="247"/>
      <c r="AC415" s="247"/>
    </row>
    <row r="416">
      <c r="A416" s="247"/>
      <c r="B416" s="247"/>
      <c r="C416" s="247"/>
      <c r="D416" s="249"/>
      <c r="E416" s="250"/>
      <c r="F416" s="248"/>
      <c r="G416" s="248"/>
      <c r="H416" s="251"/>
      <c r="I416" s="247"/>
      <c r="J416" s="247"/>
      <c r="K416" s="247"/>
      <c r="L416" s="247"/>
      <c r="M416" s="247"/>
      <c r="N416" s="247"/>
      <c r="O416" s="247"/>
      <c r="P416" s="247"/>
      <c r="Q416" s="247"/>
      <c r="R416" s="247"/>
      <c r="S416" s="247"/>
      <c r="T416" s="247"/>
      <c r="U416" s="247"/>
      <c r="V416" s="247"/>
      <c r="W416" s="247"/>
      <c r="X416" s="247"/>
      <c r="Y416" s="247"/>
      <c r="Z416" s="247"/>
      <c r="AA416" s="247"/>
      <c r="AB416" s="247"/>
      <c r="AC416" s="247"/>
    </row>
    <row r="417">
      <c r="A417" s="247"/>
      <c r="B417" s="247"/>
      <c r="C417" s="247"/>
      <c r="D417" s="249"/>
      <c r="E417" s="250"/>
      <c r="F417" s="248"/>
      <c r="G417" s="248"/>
      <c r="H417" s="251"/>
      <c r="I417" s="247"/>
      <c r="J417" s="247"/>
      <c r="K417" s="247"/>
      <c r="L417" s="247"/>
      <c r="M417" s="247"/>
      <c r="N417" s="247"/>
      <c r="O417" s="247"/>
      <c r="P417" s="247"/>
      <c r="Q417" s="247"/>
      <c r="R417" s="247"/>
      <c r="S417" s="247"/>
      <c r="T417" s="247"/>
      <c r="U417" s="247"/>
      <c r="V417" s="247"/>
      <c r="W417" s="247"/>
      <c r="X417" s="247"/>
      <c r="Y417" s="247"/>
      <c r="Z417" s="247"/>
      <c r="AA417" s="247"/>
      <c r="AB417" s="247"/>
      <c r="AC417" s="247"/>
    </row>
    <row r="418">
      <c r="A418" s="247"/>
      <c r="B418" s="247"/>
      <c r="C418" s="247"/>
      <c r="D418" s="249"/>
      <c r="E418" s="250"/>
      <c r="F418" s="248"/>
      <c r="G418" s="248"/>
      <c r="H418" s="251"/>
      <c r="I418" s="247"/>
      <c r="J418" s="247"/>
      <c r="K418" s="247"/>
      <c r="L418" s="247"/>
      <c r="M418" s="247"/>
      <c r="N418" s="247"/>
      <c r="O418" s="247"/>
      <c r="P418" s="247"/>
      <c r="Q418" s="247"/>
      <c r="R418" s="247"/>
      <c r="S418" s="247"/>
      <c r="T418" s="247"/>
      <c r="U418" s="247"/>
      <c r="V418" s="247"/>
      <c r="W418" s="247"/>
      <c r="X418" s="247"/>
      <c r="Y418" s="247"/>
      <c r="Z418" s="247"/>
      <c r="AA418" s="247"/>
      <c r="AB418" s="247"/>
      <c r="AC418" s="247"/>
    </row>
    <row r="419">
      <c r="A419" s="247"/>
      <c r="B419" s="247"/>
      <c r="C419" s="247"/>
      <c r="D419" s="249"/>
      <c r="E419" s="250"/>
      <c r="F419" s="248"/>
      <c r="G419" s="248"/>
      <c r="H419" s="251"/>
      <c r="I419" s="247"/>
      <c r="J419" s="247"/>
      <c r="K419" s="247"/>
      <c r="L419" s="247"/>
      <c r="M419" s="247"/>
      <c r="N419" s="247"/>
      <c r="O419" s="247"/>
      <c r="P419" s="247"/>
      <c r="Q419" s="247"/>
      <c r="R419" s="247"/>
      <c r="S419" s="247"/>
      <c r="T419" s="247"/>
      <c r="U419" s="247"/>
      <c r="V419" s="247"/>
      <c r="W419" s="247"/>
      <c r="X419" s="247"/>
      <c r="Y419" s="247"/>
      <c r="Z419" s="247"/>
      <c r="AA419" s="247"/>
      <c r="AB419" s="247"/>
      <c r="AC419" s="247"/>
    </row>
    <row r="420">
      <c r="A420" s="247"/>
      <c r="B420" s="247"/>
      <c r="C420" s="247"/>
      <c r="D420" s="249"/>
      <c r="E420" s="250"/>
      <c r="F420" s="248"/>
      <c r="G420" s="248"/>
      <c r="H420" s="251"/>
      <c r="I420" s="247"/>
      <c r="J420" s="247"/>
      <c r="K420" s="247"/>
      <c r="L420" s="247"/>
      <c r="M420" s="247"/>
      <c r="N420" s="247"/>
      <c r="O420" s="247"/>
      <c r="P420" s="247"/>
      <c r="Q420" s="247"/>
      <c r="R420" s="247"/>
      <c r="S420" s="247"/>
      <c r="T420" s="247"/>
      <c r="U420" s="247"/>
      <c r="V420" s="247"/>
      <c r="W420" s="247"/>
      <c r="X420" s="247"/>
      <c r="Y420" s="247"/>
      <c r="Z420" s="247"/>
      <c r="AA420" s="247"/>
      <c r="AB420" s="247"/>
      <c r="AC420" s="247"/>
    </row>
    <row r="421">
      <c r="A421" s="247"/>
      <c r="B421" s="247"/>
      <c r="C421" s="247"/>
      <c r="D421" s="249"/>
      <c r="E421" s="250"/>
      <c r="F421" s="248"/>
      <c r="G421" s="248"/>
      <c r="H421" s="251"/>
      <c r="I421" s="247"/>
      <c r="J421" s="247"/>
      <c r="K421" s="247"/>
      <c r="L421" s="247"/>
      <c r="M421" s="247"/>
      <c r="N421" s="247"/>
      <c r="O421" s="247"/>
      <c r="P421" s="247"/>
      <c r="Q421" s="247"/>
      <c r="R421" s="247"/>
      <c r="S421" s="247"/>
      <c r="T421" s="247"/>
      <c r="U421" s="247"/>
      <c r="V421" s="247"/>
      <c r="W421" s="247"/>
      <c r="X421" s="247"/>
      <c r="Y421" s="247"/>
      <c r="Z421" s="247"/>
      <c r="AA421" s="247"/>
      <c r="AB421" s="247"/>
      <c r="AC421" s="247"/>
    </row>
    <row r="422">
      <c r="A422" s="247"/>
      <c r="B422" s="247"/>
      <c r="C422" s="247"/>
      <c r="D422" s="249"/>
      <c r="E422" s="250"/>
      <c r="F422" s="248"/>
      <c r="G422" s="248"/>
      <c r="H422" s="251"/>
      <c r="I422" s="247"/>
      <c r="J422" s="247"/>
      <c r="K422" s="247"/>
      <c r="L422" s="247"/>
      <c r="M422" s="247"/>
      <c r="N422" s="247"/>
      <c r="O422" s="247"/>
      <c r="P422" s="247"/>
      <c r="Q422" s="247"/>
      <c r="R422" s="247"/>
      <c r="S422" s="247"/>
      <c r="T422" s="247"/>
      <c r="U422" s="247"/>
      <c r="V422" s="247"/>
      <c r="W422" s="247"/>
      <c r="X422" s="247"/>
      <c r="Y422" s="247"/>
      <c r="Z422" s="247"/>
      <c r="AA422" s="247"/>
      <c r="AB422" s="247"/>
      <c r="AC422" s="247"/>
    </row>
    <row r="423">
      <c r="A423" s="247"/>
      <c r="B423" s="247"/>
      <c r="C423" s="247"/>
      <c r="D423" s="249"/>
      <c r="E423" s="250"/>
      <c r="F423" s="248"/>
      <c r="G423" s="248"/>
      <c r="H423" s="251"/>
      <c r="I423" s="247"/>
      <c r="J423" s="247"/>
      <c r="K423" s="247"/>
      <c r="L423" s="247"/>
      <c r="M423" s="247"/>
      <c r="N423" s="247"/>
      <c r="O423" s="247"/>
      <c r="P423" s="247"/>
      <c r="Q423" s="247"/>
      <c r="R423" s="247"/>
      <c r="S423" s="247"/>
      <c r="T423" s="247"/>
      <c r="U423" s="247"/>
      <c r="V423" s="247"/>
      <c r="W423" s="247"/>
      <c r="X423" s="247"/>
      <c r="Y423" s="247"/>
      <c r="Z423" s="247"/>
      <c r="AA423" s="247"/>
      <c r="AB423" s="247"/>
      <c r="AC423" s="247"/>
    </row>
    <row r="424">
      <c r="A424" s="247"/>
      <c r="B424" s="247"/>
      <c r="C424" s="247"/>
      <c r="D424" s="249"/>
      <c r="E424" s="250"/>
      <c r="F424" s="248"/>
      <c r="G424" s="248"/>
      <c r="H424" s="251"/>
      <c r="I424" s="247"/>
      <c r="J424" s="247"/>
      <c r="K424" s="247"/>
      <c r="L424" s="247"/>
      <c r="M424" s="247"/>
      <c r="N424" s="247"/>
      <c r="O424" s="247"/>
      <c r="P424" s="247"/>
      <c r="Q424" s="247"/>
      <c r="R424" s="247"/>
      <c r="S424" s="247"/>
      <c r="T424" s="247"/>
      <c r="U424" s="247"/>
      <c r="V424" s="247"/>
      <c r="W424" s="247"/>
      <c r="X424" s="247"/>
      <c r="Y424" s="247"/>
      <c r="Z424" s="247"/>
      <c r="AA424" s="247"/>
      <c r="AB424" s="247"/>
      <c r="AC424" s="247"/>
    </row>
    <row r="425">
      <c r="A425" s="247"/>
      <c r="B425" s="247"/>
      <c r="C425" s="247"/>
      <c r="D425" s="249"/>
      <c r="E425" s="250"/>
      <c r="F425" s="248"/>
      <c r="G425" s="248"/>
      <c r="H425" s="251"/>
      <c r="I425" s="247"/>
      <c r="J425" s="247"/>
      <c r="K425" s="247"/>
      <c r="L425" s="247"/>
      <c r="M425" s="247"/>
      <c r="N425" s="247"/>
      <c r="O425" s="247"/>
      <c r="P425" s="247"/>
      <c r="Q425" s="247"/>
      <c r="R425" s="247"/>
      <c r="S425" s="247"/>
      <c r="T425" s="247"/>
      <c r="U425" s="247"/>
      <c r="V425" s="247"/>
      <c r="W425" s="247"/>
      <c r="X425" s="247"/>
      <c r="Y425" s="247"/>
      <c r="Z425" s="247"/>
      <c r="AA425" s="247"/>
      <c r="AB425" s="247"/>
      <c r="AC425" s="247"/>
    </row>
    <row r="426">
      <c r="A426" s="247"/>
      <c r="B426" s="247"/>
      <c r="C426" s="247"/>
      <c r="D426" s="249"/>
      <c r="E426" s="250"/>
      <c r="F426" s="248"/>
      <c r="G426" s="248"/>
      <c r="H426" s="251"/>
      <c r="I426" s="247"/>
      <c r="J426" s="247"/>
      <c r="K426" s="247"/>
      <c r="L426" s="247"/>
      <c r="M426" s="247"/>
      <c r="N426" s="247"/>
      <c r="O426" s="247"/>
      <c r="P426" s="247"/>
      <c r="Q426" s="247"/>
      <c r="R426" s="247"/>
      <c r="S426" s="247"/>
      <c r="T426" s="247"/>
      <c r="U426" s="247"/>
      <c r="V426" s="247"/>
      <c r="W426" s="247"/>
      <c r="X426" s="247"/>
      <c r="Y426" s="247"/>
      <c r="Z426" s="247"/>
      <c r="AA426" s="247"/>
      <c r="AB426" s="247"/>
      <c r="AC426" s="247"/>
    </row>
    <row r="427">
      <c r="A427" s="247"/>
      <c r="B427" s="247"/>
      <c r="C427" s="247"/>
      <c r="D427" s="249"/>
      <c r="E427" s="250"/>
      <c r="F427" s="248"/>
      <c r="G427" s="248"/>
      <c r="H427" s="251"/>
      <c r="I427" s="247"/>
      <c r="J427" s="247"/>
      <c r="K427" s="247"/>
      <c r="L427" s="247"/>
      <c r="M427" s="247"/>
      <c r="N427" s="247"/>
      <c r="O427" s="247"/>
      <c r="P427" s="247"/>
      <c r="Q427" s="247"/>
      <c r="R427" s="247"/>
      <c r="S427" s="247"/>
      <c r="T427" s="247"/>
      <c r="U427" s="247"/>
      <c r="V427" s="247"/>
      <c r="W427" s="247"/>
      <c r="X427" s="247"/>
      <c r="Y427" s="247"/>
      <c r="Z427" s="247"/>
      <c r="AA427" s="247"/>
      <c r="AB427" s="247"/>
      <c r="AC427" s="247"/>
    </row>
    <row r="428">
      <c r="A428" s="247"/>
      <c r="B428" s="247"/>
      <c r="C428" s="247"/>
      <c r="D428" s="249"/>
      <c r="E428" s="250"/>
      <c r="F428" s="248"/>
      <c r="G428" s="248"/>
      <c r="H428" s="251"/>
      <c r="I428" s="247"/>
      <c r="J428" s="247"/>
      <c r="K428" s="247"/>
      <c r="L428" s="247"/>
      <c r="M428" s="247"/>
      <c r="N428" s="247"/>
      <c r="O428" s="247"/>
      <c r="P428" s="247"/>
      <c r="Q428" s="247"/>
      <c r="R428" s="247"/>
      <c r="S428" s="247"/>
      <c r="T428" s="247"/>
      <c r="U428" s="247"/>
      <c r="V428" s="247"/>
      <c r="W428" s="247"/>
      <c r="X428" s="247"/>
      <c r="Y428" s="247"/>
      <c r="Z428" s="247"/>
      <c r="AA428" s="247"/>
      <c r="AB428" s="247"/>
      <c r="AC428" s="247"/>
    </row>
    <row r="429">
      <c r="A429" s="247"/>
      <c r="B429" s="247"/>
      <c r="C429" s="247"/>
      <c r="D429" s="249"/>
      <c r="E429" s="250"/>
      <c r="F429" s="248"/>
      <c r="G429" s="248"/>
      <c r="H429" s="251"/>
      <c r="I429" s="247"/>
      <c r="J429" s="247"/>
      <c r="K429" s="247"/>
      <c r="L429" s="247"/>
      <c r="M429" s="247"/>
      <c r="N429" s="247"/>
      <c r="O429" s="247"/>
      <c r="P429" s="247"/>
      <c r="Q429" s="247"/>
      <c r="R429" s="247"/>
      <c r="S429" s="247"/>
      <c r="T429" s="247"/>
      <c r="U429" s="247"/>
      <c r="V429" s="247"/>
      <c r="W429" s="247"/>
      <c r="X429" s="247"/>
      <c r="Y429" s="247"/>
      <c r="Z429" s="247"/>
      <c r="AA429" s="247"/>
      <c r="AB429" s="247"/>
      <c r="AC429" s="247"/>
    </row>
    <row r="430">
      <c r="A430" s="247"/>
      <c r="B430" s="247"/>
      <c r="C430" s="247"/>
      <c r="D430" s="249"/>
      <c r="E430" s="250"/>
      <c r="F430" s="248"/>
      <c r="G430" s="248"/>
      <c r="H430" s="251"/>
      <c r="I430" s="247"/>
      <c r="J430" s="247"/>
      <c r="K430" s="247"/>
      <c r="L430" s="247"/>
      <c r="M430" s="247"/>
      <c r="N430" s="247"/>
      <c r="O430" s="247"/>
      <c r="P430" s="247"/>
      <c r="Q430" s="247"/>
      <c r="R430" s="247"/>
      <c r="S430" s="247"/>
      <c r="T430" s="247"/>
      <c r="U430" s="247"/>
      <c r="V430" s="247"/>
      <c r="W430" s="247"/>
      <c r="X430" s="247"/>
      <c r="Y430" s="247"/>
      <c r="Z430" s="247"/>
      <c r="AA430" s="247"/>
      <c r="AB430" s="247"/>
      <c r="AC430" s="247"/>
    </row>
    <row r="431">
      <c r="A431" s="247"/>
      <c r="B431" s="247"/>
      <c r="C431" s="247"/>
      <c r="D431" s="249"/>
      <c r="E431" s="250"/>
      <c r="F431" s="248"/>
      <c r="G431" s="248"/>
      <c r="H431" s="251"/>
      <c r="I431" s="247"/>
      <c r="J431" s="247"/>
      <c r="K431" s="247"/>
      <c r="L431" s="247"/>
      <c r="M431" s="247"/>
      <c r="N431" s="247"/>
      <c r="O431" s="247"/>
      <c r="P431" s="247"/>
      <c r="Q431" s="247"/>
      <c r="R431" s="247"/>
      <c r="S431" s="247"/>
      <c r="T431" s="247"/>
      <c r="U431" s="247"/>
      <c r="V431" s="247"/>
      <c r="W431" s="247"/>
      <c r="X431" s="247"/>
      <c r="Y431" s="247"/>
      <c r="Z431" s="247"/>
      <c r="AA431" s="247"/>
      <c r="AB431" s="247"/>
      <c r="AC431" s="247"/>
    </row>
    <row r="432">
      <c r="A432" s="247"/>
      <c r="B432" s="247"/>
      <c r="C432" s="247"/>
      <c r="D432" s="249"/>
      <c r="E432" s="250"/>
      <c r="F432" s="248"/>
      <c r="G432" s="248"/>
      <c r="H432" s="251"/>
      <c r="I432" s="247"/>
      <c r="J432" s="247"/>
      <c r="K432" s="247"/>
      <c r="L432" s="247"/>
      <c r="M432" s="247"/>
      <c r="N432" s="247"/>
      <c r="O432" s="247"/>
      <c r="P432" s="247"/>
      <c r="Q432" s="247"/>
      <c r="R432" s="247"/>
      <c r="S432" s="247"/>
      <c r="T432" s="247"/>
      <c r="U432" s="247"/>
      <c r="V432" s="247"/>
      <c r="W432" s="247"/>
      <c r="X432" s="247"/>
      <c r="Y432" s="247"/>
      <c r="Z432" s="247"/>
      <c r="AA432" s="247"/>
      <c r="AB432" s="247"/>
      <c r="AC432" s="247"/>
    </row>
    <row r="433">
      <c r="A433" s="247"/>
      <c r="B433" s="247"/>
      <c r="C433" s="247"/>
      <c r="D433" s="249"/>
      <c r="E433" s="250"/>
      <c r="F433" s="248"/>
      <c r="G433" s="248"/>
      <c r="H433" s="251"/>
      <c r="I433" s="247"/>
      <c r="J433" s="247"/>
      <c r="K433" s="247"/>
      <c r="L433" s="247"/>
      <c r="M433" s="247"/>
      <c r="N433" s="247"/>
      <c r="O433" s="247"/>
      <c r="P433" s="247"/>
      <c r="Q433" s="247"/>
      <c r="R433" s="247"/>
      <c r="S433" s="247"/>
      <c r="T433" s="247"/>
      <c r="U433" s="247"/>
      <c r="V433" s="247"/>
      <c r="W433" s="247"/>
      <c r="X433" s="247"/>
      <c r="Y433" s="247"/>
      <c r="Z433" s="247"/>
      <c r="AA433" s="247"/>
      <c r="AB433" s="247"/>
      <c r="AC433" s="247"/>
    </row>
    <row r="434">
      <c r="A434" s="247"/>
      <c r="B434" s="247"/>
      <c r="C434" s="247"/>
      <c r="D434" s="249"/>
      <c r="E434" s="250"/>
      <c r="F434" s="248"/>
      <c r="G434" s="248"/>
      <c r="H434" s="251"/>
      <c r="I434" s="247"/>
      <c r="J434" s="247"/>
      <c r="K434" s="247"/>
      <c r="L434" s="247"/>
      <c r="M434" s="247"/>
      <c r="N434" s="247"/>
      <c r="O434" s="247"/>
      <c r="P434" s="247"/>
      <c r="Q434" s="247"/>
      <c r="R434" s="247"/>
      <c r="S434" s="247"/>
      <c r="T434" s="247"/>
      <c r="U434" s="247"/>
      <c r="V434" s="247"/>
      <c r="W434" s="247"/>
      <c r="X434" s="247"/>
      <c r="Y434" s="247"/>
      <c r="Z434" s="247"/>
      <c r="AA434" s="247"/>
      <c r="AB434" s="247"/>
      <c r="AC434" s="247"/>
    </row>
    <row r="435">
      <c r="A435" s="247"/>
      <c r="B435" s="247"/>
      <c r="C435" s="247"/>
      <c r="D435" s="249"/>
      <c r="E435" s="250"/>
      <c r="F435" s="248"/>
      <c r="G435" s="248"/>
      <c r="H435" s="251"/>
      <c r="I435" s="247"/>
      <c r="J435" s="247"/>
      <c r="K435" s="247"/>
      <c r="L435" s="247"/>
      <c r="M435" s="247"/>
      <c r="N435" s="247"/>
      <c r="O435" s="247"/>
      <c r="P435" s="247"/>
      <c r="Q435" s="247"/>
      <c r="R435" s="247"/>
      <c r="S435" s="247"/>
      <c r="T435" s="247"/>
      <c r="U435" s="247"/>
      <c r="V435" s="247"/>
      <c r="W435" s="247"/>
      <c r="X435" s="247"/>
      <c r="Y435" s="247"/>
      <c r="Z435" s="247"/>
      <c r="AA435" s="247"/>
      <c r="AB435" s="247"/>
      <c r="AC435" s="247"/>
    </row>
    <row r="436">
      <c r="A436" s="247"/>
      <c r="B436" s="247"/>
      <c r="C436" s="247"/>
      <c r="D436" s="249"/>
      <c r="E436" s="250"/>
      <c r="F436" s="248"/>
      <c r="G436" s="248"/>
      <c r="H436" s="251"/>
      <c r="I436" s="247"/>
      <c r="J436" s="247"/>
      <c r="K436" s="247"/>
      <c r="L436" s="247"/>
      <c r="M436" s="247"/>
      <c r="N436" s="247"/>
      <c r="O436" s="247"/>
      <c r="P436" s="247"/>
      <c r="Q436" s="247"/>
      <c r="R436" s="247"/>
      <c r="S436" s="247"/>
      <c r="T436" s="247"/>
      <c r="U436" s="247"/>
      <c r="V436" s="247"/>
      <c r="W436" s="247"/>
      <c r="X436" s="247"/>
      <c r="Y436" s="247"/>
      <c r="Z436" s="247"/>
      <c r="AA436" s="247"/>
      <c r="AB436" s="247"/>
      <c r="AC436" s="247"/>
    </row>
    <row r="437">
      <c r="A437" s="247"/>
      <c r="B437" s="247"/>
      <c r="C437" s="247"/>
      <c r="D437" s="249"/>
      <c r="E437" s="250"/>
      <c r="F437" s="248"/>
      <c r="G437" s="248"/>
      <c r="H437" s="251"/>
      <c r="I437" s="247"/>
      <c r="J437" s="247"/>
      <c r="K437" s="247"/>
      <c r="L437" s="247"/>
      <c r="M437" s="247"/>
      <c r="N437" s="247"/>
      <c r="O437" s="247"/>
      <c r="P437" s="247"/>
      <c r="Q437" s="247"/>
      <c r="R437" s="247"/>
      <c r="S437" s="247"/>
      <c r="T437" s="247"/>
      <c r="U437" s="247"/>
      <c r="V437" s="247"/>
      <c r="W437" s="247"/>
      <c r="X437" s="247"/>
      <c r="Y437" s="247"/>
      <c r="Z437" s="247"/>
      <c r="AA437" s="247"/>
      <c r="AB437" s="247"/>
      <c r="AC437" s="247"/>
    </row>
    <row r="438">
      <c r="A438" s="247"/>
      <c r="B438" s="247"/>
      <c r="C438" s="247"/>
      <c r="D438" s="249"/>
      <c r="E438" s="250"/>
      <c r="F438" s="248"/>
      <c r="G438" s="248"/>
      <c r="H438" s="251"/>
      <c r="I438" s="247"/>
      <c r="J438" s="247"/>
      <c r="K438" s="247"/>
      <c r="L438" s="247"/>
      <c r="M438" s="247"/>
      <c r="N438" s="247"/>
      <c r="O438" s="247"/>
      <c r="P438" s="247"/>
      <c r="Q438" s="247"/>
      <c r="R438" s="247"/>
      <c r="S438" s="247"/>
      <c r="T438" s="247"/>
      <c r="U438" s="247"/>
      <c r="V438" s="247"/>
      <c r="W438" s="247"/>
      <c r="X438" s="247"/>
      <c r="Y438" s="247"/>
      <c r="Z438" s="247"/>
      <c r="AA438" s="247"/>
      <c r="AB438" s="247"/>
      <c r="AC438" s="247"/>
    </row>
    <row r="439">
      <c r="A439" s="247"/>
      <c r="B439" s="247"/>
      <c r="C439" s="247"/>
      <c r="D439" s="249"/>
      <c r="E439" s="250"/>
      <c r="F439" s="248"/>
      <c r="G439" s="248"/>
      <c r="H439" s="251"/>
      <c r="I439" s="247"/>
      <c r="J439" s="247"/>
      <c r="K439" s="247"/>
      <c r="L439" s="247"/>
      <c r="M439" s="247"/>
      <c r="N439" s="247"/>
      <c r="O439" s="247"/>
      <c r="P439" s="247"/>
      <c r="Q439" s="247"/>
      <c r="R439" s="247"/>
      <c r="S439" s="247"/>
      <c r="T439" s="247"/>
      <c r="U439" s="247"/>
      <c r="V439" s="247"/>
      <c r="W439" s="247"/>
      <c r="X439" s="247"/>
      <c r="Y439" s="247"/>
      <c r="Z439" s="247"/>
      <c r="AA439" s="247"/>
      <c r="AB439" s="247"/>
      <c r="AC439" s="247"/>
    </row>
    <row r="440">
      <c r="A440" s="247"/>
      <c r="B440" s="247"/>
      <c r="C440" s="247"/>
      <c r="D440" s="249"/>
      <c r="E440" s="250"/>
      <c r="F440" s="248"/>
      <c r="G440" s="248"/>
      <c r="H440" s="251"/>
      <c r="I440" s="247"/>
      <c r="J440" s="247"/>
      <c r="K440" s="247"/>
      <c r="L440" s="247"/>
      <c r="M440" s="247"/>
      <c r="N440" s="247"/>
      <c r="O440" s="247"/>
      <c r="P440" s="247"/>
      <c r="Q440" s="247"/>
      <c r="R440" s="247"/>
      <c r="S440" s="247"/>
      <c r="T440" s="247"/>
      <c r="U440" s="247"/>
      <c r="V440" s="247"/>
      <c r="W440" s="247"/>
      <c r="X440" s="247"/>
      <c r="Y440" s="247"/>
      <c r="Z440" s="247"/>
      <c r="AA440" s="247"/>
      <c r="AB440" s="247"/>
      <c r="AC440" s="247"/>
    </row>
    <row r="441">
      <c r="A441" s="247"/>
      <c r="B441" s="247"/>
      <c r="C441" s="247"/>
      <c r="D441" s="249"/>
      <c r="E441" s="250"/>
      <c r="F441" s="248"/>
      <c r="G441" s="248"/>
      <c r="H441" s="251"/>
      <c r="I441" s="247"/>
      <c r="J441" s="247"/>
      <c r="K441" s="247"/>
      <c r="L441" s="247"/>
      <c r="M441" s="247"/>
      <c r="N441" s="247"/>
      <c r="O441" s="247"/>
      <c r="P441" s="247"/>
      <c r="Q441" s="247"/>
      <c r="R441" s="247"/>
      <c r="S441" s="247"/>
      <c r="T441" s="247"/>
      <c r="U441" s="247"/>
      <c r="V441" s="247"/>
      <c r="W441" s="247"/>
      <c r="X441" s="247"/>
      <c r="Y441" s="247"/>
      <c r="Z441" s="247"/>
      <c r="AA441" s="247"/>
      <c r="AB441" s="247"/>
      <c r="AC441" s="247"/>
    </row>
    <row r="442">
      <c r="A442" s="247"/>
      <c r="B442" s="247"/>
      <c r="C442" s="247"/>
      <c r="D442" s="249"/>
      <c r="E442" s="250"/>
      <c r="F442" s="248"/>
      <c r="G442" s="248"/>
      <c r="H442" s="251"/>
      <c r="I442" s="247"/>
      <c r="J442" s="247"/>
      <c r="K442" s="247"/>
      <c r="L442" s="247"/>
      <c r="M442" s="247"/>
      <c r="N442" s="247"/>
      <c r="O442" s="247"/>
      <c r="P442" s="247"/>
      <c r="Q442" s="247"/>
      <c r="R442" s="247"/>
      <c r="S442" s="247"/>
      <c r="T442" s="247"/>
      <c r="U442" s="247"/>
      <c r="V442" s="247"/>
      <c r="W442" s="247"/>
      <c r="X442" s="247"/>
      <c r="Y442" s="247"/>
      <c r="Z442" s="247"/>
      <c r="AA442" s="247"/>
      <c r="AB442" s="247"/>
      <c r="AC442" s="247"/>
    </row>
    <row r="443">
      <c r="A443" s="247"/>
      <c r="B443" s="247"/>
      <c r="C443" s="247"/>
      <c r="D443" s="249"/>
      <c r="E443" s="250"/>
      <c r="F443" s="248"/>
      <c r="G443" s="248"/>
      <c r="H443" s="251"/>
      <c r="I443" s="247"/>
      <c r="J443" s="247"/>
      <c r="K443" s="247"/>
      <c r="L443" s="247"/>
      <c r="M443" s="247"/>
      <c r="N443" s="247"/>
      <c r="O443" s="247"/>
      <c r="P443" s="247"/>
      <c r="Q443" s="247"/>
      <c r="R443" s="247"/>
      <c r="S443" s="247"/>
      <c r="T443" s="247"/>
      <c r="U443" s="247"/>
      <c r="V443" s="247"/>
      <c r="W443" s="247"/>
      <c r="X443" s="247"/>
      <c r="Y443" s="247"/>
      <c r="Z443" s="247"/>
      <c r="AA443" s="247"/>
      <c r="AB443" s="247"/>
      <c r="AC443" s="247"/>
    </row>
    <row r="444">
      <c r="A444" s="247"/>
      <c r="B444" s="247"/>
      <c r="C444" s="247"/>
      <c r="D444" s="249"/>
      <c r="E444" s="250"/>
      <c r="F444" s="248"/>
      <c r="G444" s="248"/>
      <c r="H444" s="251"/>
      <c r="I444" s="247"/>
      <c r="J444" s="247"/>
      <c r="K444" s="247"/>
      <c r="L444" s="247"/>
      <c r="M444" s="247"/>
      <c r="N444" s="247"/>
      <c r="O444" s="247"/>
      <c r="P444" s="247"/>
      <c r="Q444" s="247"/>
      <c r="R444" s="247"/>
      <c r="S444" s="247"/>
      <c r="T444" s="247"/>
      <c r="U444" s="247"/>
      <c r="V444" s="247"/>
      <c r="W444" s="247"/>
      <c r="X444" s="247"/>
      <c r="Y444" s="247"/>
      <c r="Z444" s="247"/>
      <c r="AA444" s="247"/>
      <c r="AB444" s="247"/>
      <c r="AC444" s="247"/>
    </row>
    <row r="445">
      <c r="A445" s="247"/>
      <c r="B445" s="247"/>
      <c r="C445" s="247"/>
      <c r="D445" s="249"/>
      <c r="E445" s="250"/>
      <c r="F445" s="248"/>
      <c r="G445" s="248"/>
      <c r="H445" s="251"/>
      <c r="I445" s="247"/>
      <c r="J445" s="247"/>
      <c r="K445" s="247"/>
      <c r="L445" s="247"/>
      <c r="M445" s="247"/>
      <c r="N445" s="247"/>
      <c r="O445" s="247"/>
      <c r="P445" s="247"/>
      <c r="Q445" s="247"/>
      <c r="R445" s="247"/>
      <c r="S445" s="247"/>
      <c r="T445" s="247"/>
      <c r="U445" s="247"/>
      <c r="V445" s="247"/>
      <c r="W445" s="247"/>
      <c r="X445" s="247"/>
      <c r="Y445" s="247"/>
      <c r="Z445" s="247"/>
      <c r="AA445" s="247"/>
      <c r="AB445" s="247"/>
      <c r="AC445" s="247"/>
    </row>
    <row r="446">
      <c r="A446" s="247"/>
      <c r="B446" s="247"/>
      <c r="C446" s="247"/>
      <c r="D446" s="249"/>
      <c r="E446" s="250"/>
      <c r="F446" s="248"/>
      <c r="G446" s="248"/>
      <c r="H446" s="251"/>
      <c r="I446" s="247"/>
      <c r="J446" s="247"/>
      <c r="K446" s="247"/>
      <c r="L446" s="247"/>
      <c r="M446" s="247"/>
      <c r="N446" s="247"/>
      <c r="O446" s="247"/>
      <c r="P446" s="247"/>
      <c r="Q446" s="247"/>
      <c r="R446" s="247"/>
      <c r="S446" s="247"/>
      <c r="T446" s="247"/>
      <c r="U446" s="247"/>
      <c r="V446" s="247"/>
      <c r="W446" s="247"/>
      <c r="X446" s="247"/>
      <c r="Y446" s="247"/>
      <c r="Z446" s="247"/>
      <c r="AA446" s="247"/>
      <c r="AB446" s="247"/>
      <c r="AC446" s="247"/>
    </row>
    <row r="447">
      <c r="A447" s="247"/>
      <c r="B447" s="247"/>
      <c r="C447" s="247"/>
      <c r="D447" s="249"/>
      <c r="E447" s="250"/>
      <c r="F447" s="248"/>
      <c r="G447" s="248"/>
      <c r="H447" s="251"/>
      <c r="I447" s="247"/>
      <c r="J447" s="247"/>
      <c r="K447" s="247"/>
      <c r="L447" s="247"/>
      <c r="M447" s="247"/>
      <c r="N447" s="247"/>
      <c r="O447" s="247"/>
      <c r="P447" s="247"/>
      <c r="Q447" s="247"/>
      <c r="R447" s="247"/>
      <c r="S447" s="247"/>
      <c r="T447" s="247"/>
      <c r="U447" s="247"/>
      <c r="V447" s="247"/>
      <c r="W447" s="247"/>
      <c r="X447" s="247"/>
      <c r="Y447" s="247"/>
      <c r="Z447" s="247"/>
      <c r="AA447" s="247"/>
      <c r="AB447" s="247"/>
      <c r="AC447" s="247"/>
    </row>
    <row r="448">
      <c r="A448" s="247"/>
      <c r="B448" s="247"/>
      <c r="C448" s="247"/>
      <c r="D448" s="249"/>
      <c r="E448" s="250"/>
      <c r="F448" s="248"/>
      <c r="G448" s="248"/>
      <c r="H448" s="251"/>
      <c r="I448" s="247"/>
      <c r="J448" s="247"/>
      <c r="K448" s="247"/>
      <c r="L448" s="247"/>
      <c r="M448" s="247"/>
      <c r="N448" s="247"/>
      <c r="O448" s="247"/>
      <c r="P448" s="247"/>
      <c r="Q448" s="247"/>
      <c r="R448" s="247"/>
      <c r="S448" s="247"/>
      <c r="T448" s="247"/>
      <c r="U448" s="247"/>
      <c r="V448" s="247"/>
      <c r="W448" s="247"/>
      <c r="X448" s="247"/>
      <c r="Y448" s="247"/>
      <c r="Z448" s="247"/>
      <c r="AA448" s="247"/>
      <c r="AB448" s="247"/>
      <c r="AC448" s="247"/>
    </row>
    <row r="449">
      <c r="A449" s="247"/>
      <c r="B449" s="247"/>
      <c r="C449" s="247"/>
      <c r="D449" s="249"/>
      <c r="E449" s="250"/>
      <c r="F449" s="248"/>
      <c r="G449" s="248"/>
      <c r="H449" s="251"/>
      <c r="I449" s="247"/>
      <c r="J449" s="247"/>
      <c r="K449" s="247"/>
      <c r="L449" s="247"/>
      <c r="M449" s="247"/>
      <c r="N449" s="247"/>
      <c r="O449" s="247"/>
      <c r="P449" s="247"/>
      <c r="Q449" s="247"/>
      <c r="R449" s="247"/>
      <c r="S449" s="247"/>
      <c r="T449" s="247"/>
      <c r="U449" s="247"/>
      <c r="V449" s="247"/>
      <c r="W449" s="247"/>
      <c r="X449" s="247"/>
      <c r="Y449" s="247"/>
      <c r="Z449" s="247"/>
      <c r="AA449" s="247"/>
      <c r="AB449" s="247"/>
      <c r="AC449" s="247"/>
    </row>
    <row r="450">
      <c r="A450" s="247"/>
      <c r="B450" s="247"/>
      <c r="C450" s="247"/>
      <c r="D450" s="249"/>
      <c r="E450" s="250"/>
      <c r="F450" s="248"/>
      <c r="G450" s="248"/>
      <c r="H450" s="251"/>
      <c r="I450" s="247"/>
      <c r="J450" s="247"/>
      <c r="K450" s="247"/>
      <c r="L450" s="247"/>
      <c r="M450" s="247"/>
      <c r="N450" s="247"/>
      <c r="O450" s="247"/>
      <c r="P450" s="247"/>
      <c r="Q450" s="247"/>
      <c r="R450" s="247"/>
      <c r="S450" s="247"/>
      <c r="T450" s="247"/>
      <c r="U450" s="247"/>
      <c r="V450" s="247"/>
      <c r="W450" s="247"/>
      <c r="X450" s="247"/>
      <c r="Y450" s="247"/>
      <c r="Z450" s="247"/>
      <c r="AA450" s="247"/>
      <c r="AB450" s="247"/>
      <c r="AC450" s="247"/>
    </row>
    <row r="451">
      <c r="A451" s="247"/>
      <c r="B451" s="247"/>
      <c r="C451" s="247"/>
      <c r="D451" s="249"/>
      <c r="E451" s="250"/>
      <c r="F451" s="248"/>
      <c r="G451" s="248"/>
      <c r="H451" s="251"/>
      <c r="I451" s="247"/>
      <c r="J451" s="247"/>
      <c r="K451" s="247"/>
      <c r="L451" s="247"/>
      <c r="M451" s="247"/>
      <c r="N451" s="247"/>
      <c r="O451" s="247"/>
      <c r="P451" s="247"/>
      <c r="Q451" s="247"/>
      <c r="R451" s="247"/>
      <c r="S451" s="247"/>
      <c r="T451" s="247"/>
      <c r="U451" s="247"/>
      <c r="V451" s="247"/>
      <c r="W451" s="247"/>
      <c r="X451" s="247"/>
      <c r="Y451" s="247"/>
      <c r="Z451" s="247"/>
      <c r="AA451" s="247"/>
      <c r="AB451" s="247"/>
      <c r="AC451" s="247"/>
    </row>
    <row r="452">
      <c r="A452" s="247"/>
      <c r="B452" s="247"/>
      <c r="C452" s="247"/>
      <c r="D452" s="249"/>
      <c r="E452" s="250"/>
      <c r="F452" s="248"/>
      <c r="G452" s="248"/>
      <c r="H452" s="251"/>
      <c r="I452" s="247"/>
      <c r="J452" s="247"/>
      <c r="K452" s="247"/>
      <c r="L452" s="247"/>
      <c r="M452" s="247"/>
      <c r="N452" s="247"/>
      <c r="O452" s="247"/>
      <c r="P452" s="247"/>
      <c r="Q452" s="247"/>
      <c r="R452" s="247"/>
      <c r="S452" s="247"/>
      <c r="T452" s="247"/>
      <c r="U452" s="247"/>
      <c r="V452" s="247"/>
      <c r="W452" s="247"/>
      <c r="X452" s="247"/>
      <c r="Y452" s="247"/>
      <c r="Z452" s="247"/>
      <c r="AA452" s="247"/>
      <c r="AB452" s="247"/>
      <c r="AC452" s="247"/>
    </row>
    <row r="453">
      <c r="A453" s="247"/>
      <c r="B453" s="247"/>
      <c r="C453" s="247"/>
      <c r="D453" s="249"/>
      <c r="E453" s="250"/>
      <c r="F453" s="248"/>
      <c r="G453" s="248"/>
      <c r="H453" s="251"/>
      <c r="I453" s="247"/>
      <c r="J453" s="247"/>
      <c r="K453" s="247"/>
      <c r="L453" s="247"/>
      <c r="M453" s="247"/>
      <c r="N453" s="247"/>
      <c r="O453" s="247"/>
      <c r="P453" s="247"/>
      <c r="Q453" s="247"/>
      <c r="R453" s="247"/>
      <c r="S453" s="247"/>
      <c r="T453" s="247"/>
      <c r="U453" s="247"/>
      <c r="V453" s="247"/>
      <c r="W453" s="247"/>
      <c r="X453" s="247"/>
      <c r="Y453" s="247"/>
      <c r="Z453" s="247"/>
      <c r="AA453" s="247"/>
      <c r="AB453" s="247"/>
      <c r="AC453" s="247"/>
    </row>
    <row r="454">
      <c r="A454" s="247"/>
      <c r="B454" s="247"/>
      <c r="C454" s="247"/>
      <c r="D454" s="249"/>
      <c r="E454" s="250"/>
      <c r="F454" s="248"/>
      <c r="G454" s="248"/>
      <c r="H454" s="251"/>
      <c r="I454" s="247"/>
      <c r="J454" s="247"/>
      <c r="K454" s="247"/>
      <c r="L454" s="247"/>
      <c r="M454" s="247"/>
      <c r="N454" s="247"/>
      <c r="O454" s="247"/>
      <c r="P454" s="247"/>
      <c r="Q454" s="247"/>
      <c r="R454" s="247"/>
      <c r="S454" s="247"/>
      <c r="T454" s="247"/>
      <c r="U454" s="247"/>
      <c r="V454" s="247"/>
      <c r="W454" s="247"/>
      <c r="X454" s="247"/>
      <c r="Y454" s="247"/>
      <c r="Z454" s="247"/>
      <c r="AA454" s="247"/>
      <c r="AB454" s="247"/>
      <c r="AC454" s="247"/>
    </row>
    <row r="455">
      <c r="A455" s="247"/>
      <c r="B455" s="247"/>
      <c r="C455" s="247"/>
      <c r="D455" s="249"/>
      <c r="E455" s="250"/>
      <c r="F455" s="248"/>
      <c r="G455" s="248"/>
      <c r="H455" s="251"/>
      <c r="I455" s="247"/>
      <c r="J455" s="247"/>
      <c r="K455" s="247"/>
      <c r="L455" s="247"/>
      <c r="M455" s="247"/>
      <c r="N455" s="247"/>
      <c r="O455" s="247"/>
      <c r="P455" s="247"/>
      <c r="Q455" s="247"/>
      <c r="R455" s="247"/>
      <c r="S455" s="247"/>
      <c r="T455" s="247"/>
      <c r="U455" s="247"/>
      <c r="V455" s="247"/>
      <c r="W455" s="247"/>
      <c r="X455" s="247"/>
      <c r="Y455" s="247"/>
      <c r="Z455" s="247"/>
      <c r="AA455" s="247"/>
      <c r="AB455" s="247"/>
      <c r="AC455" s="247"/>
    </row>
    <row r="456">
      <c r="A456" s="247"/>
      <c r="B456" s="247"/>
      <c r="C456" s="247"/>
      <c r="D456" s="249"/>
      <c r="E456" s="250"/>
      <c r="F456" s="248"/>
      <c r="G456" s="248"/>
      <c r="H456" s="251"/>
      <c r="I456" s="247"/>
      <c r="J456" s="247"/>
      <c r="K456" s="247"/>
      <c r="L456" s="247"/>
      <c r="M456" s="247"/>
      <c r="N456" s="247"/>
      <c r="O456" s="247"/>
      <c r="P456" s="247"/>
      <c r="Q456" s="247"/>
      <c r="R456" s="247"/>
      <c r="S456" s="247"/>
      <c r="T456" s="247"/>
      <c r="U456" s="247"/>
      <c r="V456" s="247"/>
      <c r="W456" s="247"/>
      <c r="X456" s="247"/>
      <c r="Y456" s="247"/>
      <c r="Z456" s="247"/>
      <c r="AA456" s="247"/>
      <c r="AB456" s="247"/>
      <c r="AC456" s="247"/>
    </row>
    <row r="457">
      <c r="A457" s="247"/>
      <c r="B457" s="247"/>
      <c r="C457" s="247"/>
      <c r="D457" s="249"/>
      <c r="E457" s="250"/>
      <c r="F457" s="248"/>
      <c r="G457" s="248"/>
      <c r="H457" s="251"/>
      <c r="I457" s="247"/>
      <c r="J457" s="247"/>
      <c r="K457" s="247"/>
      <c r="L457" s="247"/>
      <c r="M457" s="247"/>
      <c r="N457" s="247"/>
      <c r="O457" s="247"/>
      <c r="P457" s="247"/>
      <c r="Q457" s="247"/>
      <c r="R457" s="247"/>
      <c r="S457" s="247"/>
      <c r="T457" s="247"/>
      <c r="U457" s="247"/>
      <c r="V457" s="247"/>
      <c r="W457" s="247"/>
      <c r="X457" s="247"/>
      <c r="Y457" s="247"/>
      <c r="Z457" s="247"/>
      <c r="AA457" s="247"/>
      <c r="AB457" s="247"/>
      <c r="AC457" s="247"/>
    </row>
    <row r="458">
      <c r="A458" s="247"/>
      <c r="B458" s="247"/>
      <c r="C458" s="247"/>
      <c r="D458" s="249"/>
      <c r="E458" s="250"/>
      <c r="F458" s="248"/>
      <c r="G458" s="248"/>
      <c r="H458" s="251"/>
      <c r="I458" s="247"/>
      <c r="J458" s="247"/>
      <c r="K458" s="247"/>
      <c r="L458" s="247"/>
      <c r="M458" s="247"/>
      <c r="N458" s="247"/>
      <c r="O458" s="247"/>
      <c r="P458" s="247"/>
      <c r="Q458" s="247"/>
      <c r="R458" s="247"/>
      <c r="S458" s="247"/>
      <c r="T458" s="247"/>
      <c r="U458" s="247"/>
      <c r="V458" s="247"/>
      <c r="W458" s="247"/>
      <c r="X458" s="247"/>
      <c r="Y458" s="247"/>
      <c r="Z458" s="247"/>
      <c r="AA458" s="247"/>
      <c r="AB458" s="247"/>
      <c r="AC458" s="247"/>
    </row>
    <row r="459">
      <c r="A459" s="247"/>
      <c r="B459" s="247"/>
      <c r="C459" s="247"/>
      <c r="D459" s="249"/>
      <c r="E459" s="250"/>
      <c r="F459" s="248"/>
      <c r="G459" s="248"/>
      <c r="H459" s="251"/>
      <c r="I459" s="247"/>
      <c r="J459" s="247"/>
      <c r="K459" s="247"/>
      <c r="L459" s="247"/>
      <c r="M459" s="247"/>
      <c r="N459" s="247"/>
      <c r="O459" s="247"/>
      <c r="P459" s="247"/>
      <c r="Q459" s="247"/>
      <c r="R459" s="247"/>
      <c r="S459" s="247"/>
      <c r="T459" s="247"/>
      <c r="U459" s="247"/>
      <c r="V459" s="247"/>
      <c r="W459" s="247"/>
      <c r="X459" s="247"/>
      <c r="Y459" s="247"/>
      <c r="Z459" s="247"/>
      <c r="AA459" s="247"/>
      <c r="AB459" s="247"/>
      <c r="AC459" s="247"/>
    </row>
    <row r="460">
      <c r="A460" s="247"/>
      <c r="B460" s="247"/>
      <c r="C460" s="247"/>
      <c r="D460" s="249"/>
      <c r="E460" s="250"/>
      <c r="F460" s="248"/>
      <c r="G460" s="248"/>
      <c r="H460" s="251"/>
      <c r="I460" s="247"/>
      <c r="J460" s="247"/>
      <c r="K460" s="247"/>
      <c r="L460" s="247"/>
      <c r="M460" s="247"/>
      <c r="N460" s="247"/>
      <c r="O460" s="247"/>
      <c r="P460" s="247"/>
      <c r="Q460" s="247"/>
      <c r="R460" s="247"/>
      <c r="S460" s="247"/>
      <c r="T460" s="247"/>
      <c r="U460" s="247"/>
      <c r="V460" s="247"/>
      <c r="W460" s="247"/>
      <c r="X460" s="247"/>
      <c r="Y460" s="247"/>
      <c r="Z460" s="247"/>
      <c r="AA460" s="247"/>
      <c r="AB460" s="247"/>
      <c r="AC460" s="247"/>
    </row>
    <row r="461">
      <c r="A461" s="247"/>
      <c r="B461" s="247"/>
      <c r="C461" s="247"/>
      <c r="D461" s="249"/>
      <c r="E461" s="250"/>
      <c r="F461" s="248"/>
      <c r="G461" s="248"/>
      <c r="H461" s="251"/>
      <c r="I461" s="247"/>
      <c r="J461" s="247"/>
      <c r="K461" s="247"/>
      <c r="L461" s="247"/>
      <c r="M461" s="247"/>
      <c r="N461" s="247"/>
      <c r="O461" s="247"/>
      <c r="P461" s="247"/>
      <c r="Q461" s="247"/>
      <c r="R461" s="247"/>
      <c r="S461" s="247"/>
      <c r="T461" s="247"/>
      <c r="U461" s="247"/>
      <c r="V461" s="247"/>
      <c r="W461" s="247"/>
      <c r="X461" s="247"/>
      <c r="Y461" s="247"/>
      <c r="Z461" s="247"/>
      <c r="AA461" s="247"/>
      <c r="AB461" s="247"/>
      <c r="AC461" s="247"/>
    </row>
    <row r="462">
      <c r="A462" s="247"/>
      <c r="B462" s="247"/>
      <c r="C462" s="247"/>
      <c r="D462" s="249"/>
      <c r="E462" s="250"/>
      <c r="F462" s="248"/>
      <c r="G462" s="248"/>
      <c r="H462" s="251"/>
      <c r="I462" s="247"/>
      <c r="J462" s="247"/>
      <c r="K462" s="247"/>
      <c r="L462" s="247"/>
      <c r="M462" s="247"/>
      <c r="N462" s="247"/>
      <c r="O462" s="247"/>
      <c r="P462" s="247"/>
      <c r="Q462" s="247"/>
      <c r="R462" s="247"/>
      <c r="S462" s="247"/>
      <c r="T462" s="247"/>
      <c r="U462" s="247"/>
      <c r="V462" s="247"/>
      <c r="W462" s="247"/>
      <c r="X462" s="247"/>
      <c r="Y462" s="247"/>
      <c r="Z462" s="247"/>
      <c r="AA462" s="247"/>
      <c r="AB462" s="247"/>
      <c r="AC462" s="247"/>
    </row>
    <row r="463">
      <c r="A463" s="247"/>
      <c r="B463" s="247"/>
      <c r="C463" s="247"/>
      <c r="D463" s="249"/>
      <c r="E463" s="250"/>
      <c r="F463" s="248"/>
      <c r="G463" s="248"/>
      <c r="H463" s="251"/>
      <c r="I463" s="247"/>
      <c r="J463" s="247"/>
      <c r="K463" s="247"/>
      <c r="L463" s="247"/>
      <c r="M463" s="247"/>
      <c r="N463" s="247"/>
      <c r="O463" s="247"/>
      <c r="P463" s="247"/>
      <c r="Q463" s="247"/>
      <c r="R463" s="247"/>
      <c r="S463" s="247"/>
      <c r="T463" s="247"/>
      <c r="U463" s="247"/>
      <c r="V463" s="247"/>
      <c r="W463" s="247"/>
      <c r="X463" s="247"/>
      <c r="Y463" s="247"/>
      <c r="Z463" s="247"/>
      <c r="AA463" s="247"/>
      <c r="AB463" s="247"/>
      <c r="AC463" s="247"/>
    </row>
    <row r="464">
      <c r="A464" s="247"/>
      <c r="B464" s="247"/>
      <c r="C464" s="247"/>
      <c r="D464" s="249"/>
      <c r="E464" s="250"/>
      <c r="F464" s="248"/>
      <c r="G464" s="248"/>
      <c r="H464" s="251"/>
      <c r="I464" s="247"/>
      <c r="J464" s="247"/>
      <c r="K464" s="247"/>
      <c r="L464" s="247"/>
      <c r="M464" s="247"/>
      <c r="N464" s="247"/>
      <c r="O464" s="247"/>
      <c r="P464" s="247"/>
      <c r="Q464" s="247"/>
      <c r="R464" s="247"/>
      <c r="S464" s="247"/>
      <c r="T464" s="247"/>
      <c r="U464" s="247"/>
      <c r="V464" s="247"/>
      <c r="W464" s="247"/>
      <c r="X464" s="247"/>
      <c r="Y464" s="247"/>
      <c r="Z464" s="247"/>
      <c r="AA464" s="247"/>
      <c r="AB464" s="247"/>
      <c r="AC464" s="247"/>
    </row>
    <row r="465">
      <c r="A465" s="247"/>
      <c r="B465" s="247"/>
      <c r="C465" s="247"/>
      <c r="D465" s="249"/>
      <c r="E465" s="250"/>
      <c r="F465" s="248"/>
      <c r="G465" s="248"/>
      <c r="H465" s="251"/>
      <c r="I465" s="247"/>
      <c r="J465" s="247"/>
      <c r="K465" s="247"/>
      <c r="L465" s="247"/>
      <c r="M465" s="247"/>
      <c r="N465" s="247"/>
      <c r="O465" s="247"/>
      <c r="P465" s="247"/>
      <c r="Q465" s="247"/>
      <c r="R465" s="247"/>
      <c r="S465" s="247"/>
      <c r="T465" s="247"/>
      <c r="U465" s="247"/>
      <c r="V465" s="247"/>
      <c r="W465" s="247"/>
      <c r="X465" s="247"/>
      <c r="Y465" s="247"/>
      <c r="Z465" s="247"/>
      <c r="AA465" s="247"/>
      <c r="AB465" s="247"/>
      <c r="AC465" s="247"/>
    </row>
    <row r="466">
      <c r="A466" s="247"/>
      <c r="B466" s="247"/>
      <c r="C466" s="247"/>
      <c r="D466" s="249"/>
      <c r="E466" s="250"/>
      <c r="F466" s="248"/>
      <c r="G466" s="248"/>
      <c r="H466" s="251"/>
      <c r="I466" s="247"/>
      <c r="J466" s="247"/>
      <c r="K466" s="247"/>
      <c r="L466" s="247"/>
      <c r="M466" s="247"/>
      <c r="N466" s="247"/>
      <c r="O466" s="247"/>
      <c r="P466" s="247"/>
      <c r="Q466" s="247"/>
      <c r="R466" s="247"/>
      <c r="S466" s="247"/>
      <c r="T466" s="247"/>
      <c r="U466" s="247"/>
      <c r="V466" s="247"/>
      <c r="W466" s="247"/>
      <c r="X466" s="247"/>
      <c r="Y466" s="247"/>
      <c r="Z466" s="247"/>
      <c r="AA466" s="247"/>
      <c r="AB466" s="247"/>
      <c r="AC466" s="247"/>
    </row>
    <row r="467">
      <c r="A467" s="247"/>
      <c r="B467" s="247"/>
      <c r="C467" s="247"/>
      <c r="D467" s="249"/>
      <c r="E467" s="250"/>
      <c r="F467" s="248"/>
      <c r="G467" s="248"/>
      <c r="H467" s="251"/>
      <c r="I467" s="247"/>
      <c r="J467" s="247"/>
      <c r="K467" s="247"/>
      <c r="L467" s="247"/>
      <c r="M467" s="247"/>
      <c r="N467" s="247"/>
      <c r="O467" s="247"/>
      <c r="P467" s="247"/>
      <c r="Q467" s="247"/>
      <c r="R467" s="247"/>
      <c r="S467" s="247"/>
      <c r="T467" s="247"/>
      <c r="U467" s="247"/>
      <c r="V467" s="247"/>
      <c r="W467" s="247"/>
      <c r="X467" s="247"/>
      <c r="Y467" s="247"/>
      <c r="Z467" s="247"/>
      <c r="AA467" s="247"/>
      <c r="AB467" s="247"/>
      <c r="AC467" s="247"/>
    </row>
    <row r="468">
      <c r="A468" s="247"/>
      <c r="B468" s="247"/>
      <c r="C468" s="247"/>
      <c r="D468" s="249"/>
      <c r="E468" s="250"/>
      <c r="F468" s="248"/>
      <c r="G468" s="248"/>
      <c r="H468" s="251"/>
      <c r="I468" s="247"/>
      <c r="J468" s="247"/>
      <c r="K468" s="247"/>
      <c r="L468" s="247"/>
      <c r="M468" s="247"/>
      <c r="N468" s="247"/>
      <c r="O468" s="247"/>
      <c r="P468" s="247"/>
      <c r="Q468" s="247"/>
      <c r="R468" s="247"/>
      <c r="S468" s="247"/>
      <c r="T468" s="247"/>
      <c r="U468" s="247"/>
      <c r="V468" s="247"/>
      <c r="W468" s="247"/>
      <c r="X468" s="247"/>
      <c r="Y468" s="247"/>
      <c r="Z468" s="247"/>
      <c r="AA468" s="247"/>
      <c r="AB468" s="247"/>
      <c r="AC468" s="247"/>
    </row>
    <row r="469">
      <c r="A469" s="247"/>
      <c r="B469" s="247"/>
      <c r="C469" s="247"/>
      <c r="D469" s="249"/>
      <c r="E469" s="250"/>
      <c r="F469" s="248"/>
      <c r="G469" s="248"/>
      <c r="H469" s="251"/>
      <c r="I469" s="247"/>
      <c r="J469" s="247"/>
      <c r="K469" s="247"/>
      <c r="L469" s="247"/>
      <c r="M469" s="247"/>
      <c r="N469" s="247"/>
      <c r="O469" s="247"/>
      <c r="P469" s="247"/>
      <c r="Q469" s="247"/>
      <c r="R469" s="247"/>
      <c r="S469" s="247"/>
      <c r="T469" s="247"/>
      <c r="U469" s="247"/>
      <c r="V469" s="247"/>
      <c r="W469" s="247"/>
      <c r="X469" s="247"/>
      <c r="Y469" s="247"/>
      <c r="Z469" s="247"/>
      <c r="AA469" s="247"/>
      <c r="AB469" s="247"/>
      <c r="AC469" s="247"/>
    </row>
    <row r="470">
      <c r="A470" s="247"/>
      <c r="B470" s="247"/>
      <c r="C470" s="247"/>
      <c r="D470" s="249"/>
      <c r="E470" s="250"/>
      <c r="F470" s="248"/>
      <c r="G470" s="248"/>
      <c r="H470" s="251"/>
      <c r="I470" s="247"/>
      <c r="J470" s="247"/>
      <c r="K470" s="247"/>
      <c r="L470" s="247"/>
      <c r="M470" s="247"/>
      <c r="N470" s="247"/>
      <c r="O470" s="247"/>
      <c r="P470" s="247"/>
      <c r="Q470" s="247"/>
      <c r="R470" s="247"/>
      <c r="S470" s="247"/>
      <c r="T470" s="247"/>
      <c r="U470" s="247"/>
      <c r="V470" s="247"/>
      <c r="W470" s="247"/>
      <c r="X470" s="247"/>
      <c r="Y470" s="247"/>
      <c r="Z470" s="247"/>
      <c r="AA470" s="247"/>
      <c r="AB470" s="247"/>
      <c r="AC470" s="247"/>
    </row>
    <row r="471">
      <c r="A471" s="247"/>
      <c r="B471" s="247"/>
      <c r="C471" s="247"/>
      <c r="D471" s="249"/>
      <c r="E471" s="250"/>
      <c r="F471" s="248"/>
      <c r="G471" s="248"/>
      <c r="H471" s="251"/>
      <c r="I471" s="247"/>
      <c r="J471" s="247"/>
      <c r="K471" s="247"/>
      <c r="L471" s="247"/>
      <c r="M471" s="247"/>
      <c r="N471" s="247"/>
      <c r="O471" s="247"/>
      <c r="P471" s="247"/>
      <c r="Q471" s="247"/>
      <c r="R471" s="247"/>
      <c r="S471" s="247"/>
      <c r="T471" s="247"/>
      <c r="U471" s="247"/>
      <c r="V471" s="247"/>
      <c r="W471" s="247"/>
      <c r="X471" s="247"/>
      <c r="Y471" s="247"/>
      <c r="Z471" s="247"/>
      <c r="AA471" s="247"/>
      <c r="AB471" s="247"/>
      <c r="AC471" s="247"/>
    </row>
    <row r="472">
      <c r="A472" s="247"/>
      <c r="B472" s="247"/>
      <c r="C472" s="247"/>
      <c r="D472" s="249"/>
      <c r="E472" s="250"/>
      <c r="F472" s="248"/>
      <c r="G472" s="248"/>
      <c r="H472" s="251"/>
      <c r="I472" s="247"/>
      <c r="J472" s="247"/>
      <c r="K472" s="247"/>
      <c r="L472" s="247"/>
      <c r="M472" s="247"/>
      <c r="N472" s="247"/>
      <c r="O472" s="247"/>
      <c r="P472" s="247"/>
      <c r="Q472" s="247"/>
      <c r="R472" s="247"/>
      <c r="S472" s="247"/>
      <c r="T472" s="247"/>
      <c r="U472" s="247"/>
      <c r="V472" s="247"/>
      <c r="W472" s="247"/>
      <c r="X472" s="247"/>
      <c r="Y472" s="247"/>
      <c r="Z472" s="247"/>
      <c r="AA472" s="247"/>
      <c r="AB472" s="247"/>
      <c r="AC472" s="247"/>
    </row>
    <row r="473">
      <c r="A473" s="247"/>
      <c r="B473" s="247"/>
      <c r="C473" s="247"/>
      <c r="D473" s="249"/>
      <c r="E473" s="250"/>
      <c r="F473" s="248"/>
      <c r="G473" s="248"/>
      <c r="H473" s="251"/>
      <c r="I473" s="247"/>
      <c r="J473" s="247"/>
      <c r="K473" s="247"/>
      <c r="L473" s="247"/>
      <c r="M473" s="247"/>
      <c r="N473" s="247"/>
      <c r="O473" s="247"/>
      <c r="P473" s="247"/>
      <c r="Q473" s="247"/>
      <c r="R473" s="247"/>
      <c r="S473" s="247"/>
      <c r="T473" s="247"/>
      <c r="U473" s="247"/>
      <c r="V473" s="247"/>
      <c r="W473" s="247"/>
      <c r="X473" s="247"/>
      <c r="Y473" s="247"/>
      <c r="Z473" s="247"/>
      <c r="AA473" s="247"/>
      <c r="AB473" s="247"/>
      <c r="AC473" s="247"/>
    </row>
    <row r="474">
      <c r="A474" s="247"/>
      <c r="B474" s="247"/>
      <c r="C474" s="247"/>
      <c r="D474" s="249"/>
      <c r="E474" s="250"/>
      <c r="F474" s="248"/>
      <c r="G474" s="248"/>
      <c r="H474" s="251"/>
      <c r="I474" s="247"/>
      <c r="J474" s="247"/>
      <c r="K474" s="247"/>
      <c r="L474" s="247"/>
      <c r="M474" s="247"/>
      <c r="N474" s="247"/>
      <c r="O474" s="247"/>
      <c r="P474" s="247"/>
      <c r="Q474" s="247"/>
      <c r="R474" s="247"/>
      <c r="S474" s="247"/>
      <c r="T474" s="247"/>
      <c r="U474" s="247"/>
      <c r="V474" s="247"/>
      <c r="W474" s="247"/>
      <c r="X474" s="247"/>
      <c r="Y474" s="247"/>
      <c r="Z474" s="247"/>
      <c r="AA474" s="247"/>
      <c r="AB474" s="247"/>
      <c r="AC474" s="247"/>
    </row>
    <row r="475">
      <c r="A475" s="247"/>
      <c r="B475" s="247"/>
      <c r="C475" s="247"/>
      <c r="D475" s="249"/>
      <c r="E475" s="250"/>
      <c r="F475" s="248"/>
      <c r="G475" s="248"/>
      <c r="H475" s="251"/>
      <c r="I475" s="247"/>
      <c r="J475" s="247"/>
      <c r="K475" s="247"/>
      <c r="L475" s="247"/>
      <c r="M475" s="247"/>
      <c r="N475" s="247"/>
      <c r="O475" s="247"/>
      <c r="P475" s="247"/>
      <c r="Q475" s="247"/>
      <c r="R475" s="247"/>
      <c r="S475" s="247"/>
      <c r="T475" s="247"/>
      <c r="U475" s="247"/>
      <c r="V475" s="247"/>
      <c r="W475" s="247"/>
      <c r="X475" s="247"/>
      <c r="Y475" s="247"/>
      <c r="Z475" s="247"/>
      <c r="AA475" s="247"/>
      <c r="AB475" s="247"/>
      <c r="AC475" s="247"/>
    </row>
    <row r="476">
      <c r="A476" s="247"/>
      <c r="B476" s="247"/>
      <c r="C476" s="247"/>
      <c r="D476" s="249"/>
      <c r="E476" s="250"/>
      <c r="F476" s="248"/>
      <c r="G476" s="248"/>
      <c r="H476" s="251"/>
      <c r="I476" s="247"/>
      <c r="J476" s="247"/>
      <c r="K476" s="247"/>
      <c r="L476" s="247"/>
      <c r="M476" s="247"/>
      <c r="N476" s="247"/>
      <c r="O476" s="247"/>
      <c r="P476" s="247"/>
      <c r="Q476" s="247"/>
      <c r="R476" s="247"/>
      <c r="S476" s="247"/>
      <c r="T476" s="247"/>
      <c r="U476" s="247"/>
      <c r="V476" s="247"/>
      <c r="W476" s="247"/>
      <c r="X476" s="247"/>
      <c r="Y476" s="247"/>
      <c r="Z476" s="247"/>
      <c r="AA476" s="247"/>
      <c r="AB476" s="247"/>
      <c r="AC476" s="247"/>
    </row>
    <row r="477">
      <c r="A477" s="247"/>
      <c r="B477" s="247"/>
      <c r="C477" s="247"/>
      <c r="D477" s="249"/>
      <c r="E477" s="250"/>
      <c r="F477" s="248"/>
      <c r="G477" s="248"/>
      <c r="H477" s="251"/>
      <c r="I477" s="247"/>
      <c r="J477" s="247"/>
      <c r="K477" s="247"/>
      <c r="L477" s="247"/>
      <c r="M477" s="247"/>
      <c r="N477" s="247"/>
      <c r="O477" s="247"/>
      <c r="P477" s="247"/>
      <c r="Q477" s="247"/>
      <c r="R477" s="247"/>
      <c r="S477" s="247"/>
      <c r="T477" s="247"/>
      <c r="U477" s="247"/>
      <c r="V477" s="247"/>
      <c r="W477" s="247"/>
      <c r="X477" s="247"/>
      <c r="Y477" s="247"/>
      <c r="Z477" s="247"/>
      <c r="AA477" s="247"/>
      <c r="AB477" s="247"/>
      <c r="AC477" s="247"/>
    </row>
    <row r="478">
      <c r="A478" s="247"/>
      <c r="B478" s="247"/>
      <c r="C478" s="247"/>
      <c r="D478" s="249"/>
      <c r="E478" s="250"/>
      <c r="F478" s="248"/>
      <c r="G478" s="248"/>
      <c r="H478" s="251"/>
      <c r="I478" s="247"/>
      <c r="J478" s="247"/>
      <c r="K478" s="247"/>
      <c r="L478" s="247"/>
      <c r="M478" s="247"/>
      <c r="N478" s="247"/>
      <c r="O478" s="247"/>
      <c r="P478" s="247"/>
      <c r="Q478" s="247"/>
      <c r="R478" s="247"/>
      <c r="S478" s="247"/>
      <c r="T478" s="247"/>
      <c r="U478" s="247"/>
      <c r="V478" s="247"/>
      <c r="W478" s="247"/>
      <c r="X478" s="247"/>
      <c r="Y478" s="247"/>
      <c r="Z478" s="247"/>
      <c r="AA478" s="247"/>
      <c r="AB478" s="247"/>
      <c r="AC478" s="247"/>
    </row>
    <row r="479">
      <c r="A479" s="247"/>
      <c r="B479" s="247"/>
      <c r="C479" s="247"/>
      <c r="D479" s="249"/>
      <c r="E479" s="250"/>
      <c r="F479" s="248"/>
      <c r="G479" s="248"/>
      <c r="H479" s="251"/>
      <c r="I479" s="247"/>
      <c r="J479" s="247"/>
      <c r="K479" s="247"/>
      <c r="L479" s="247"/>
      <c r="M479" s="247"/>
      <c r="N479" s="247"/>
      <c r="O479" s="247"/>
      <c r="P479" s="247"/>
      <c r="Q479" s="247"/>
      <c r="R479" s="247"/>
      <c r="S479" s="247"/>
      <c r="T479" s="247"/>
      <c r="U479" s="247"/>
      <c r="V479" s="247"/>
      <c r="W479" s="247"/>
      <c r="X479" s="247"/>
      <c r="Y479" s="247"/>
      <c r="Z479" s="247"/>
      <c r="AA479" s="247"/>
      <c r="AB479" s="247"/>
      <c r="AC479" s="247"/>
    </row>
    <row r="480">
      <c r="A480" s="247"/>
      <c r="B480" s="247"/>
      <c r="C480" s="247"/>
      <c r="D480" s="249"/>
      <c r="E480" s="250"/>
      <c r="F480" s="248"/>
      <c r="G480" s="248"/>
      <c r="H480" s="251"/>
      <c r="I480" s="247"/>
      <c r="J480" s="247"/>
      <c r="K480" s="247"/>
      <c r="L480" s="247"/>
      <c r="M480" s="247"/>
      <c r="N480" s="247"/>
      <c r="O480" s="247"/>
      <c r="P480" s="247"/>
      <c r="Q480" s="247"/>
      <c r="R480" s="247"/>
      <c r="S480" s="247"/>
      <c r="T480" s="247"/>
      <c r="U480" s="247"/>
      <c r="V480" s="247"/>
      <c r="W480" s="247"/>
      <c r="X480" s="247"/>
      <c r="Y480" s="247"/>
      <c r="Z480" s="247"/>
      <c r="AA480" s="247"/>
      <c r="AB480" s="247"/>
      <c r="AC480" s="247"/>
    </row>
    <row r="481">
      <c r="A481" s="247"/>
      <c r="B481" s="247"/>
      <c r="C481" s="247"/>
      <c r="D481" s="249"/>
      <c r="E481" s="250"/>
      <c r="F481" s="248"/>
      <c r="G481" s="248"/>
      <c r="H481" s="251"/>
      <c r="I481" s="247"/>
      <c r="J481" s="247"/>
      <c r="K481" s="247"/>
      <c r="L481" s="247"/>
      <c r="M481" s="247"/>
      <c r="N481" s="247"/>
      <c r="O481" s="247"/>
      <c r="P481" s="247"/>
      <c r="Q481" s="247"/>
      <c r="R481" s="247"/>
      <c r="S481" s="247"/>
      <c r="T481" s="247"/>
      <c r="U481" s="247"/>
      <c r="V481" s="247"/>
      <c r="W481" s="247"/>
      <c r="X481" s="247"/>
      <c r="Y481" s="247"/>
      <c r="Z481" s="247"/>
      <c r="AA481" s="247"/>
      <c r="AB481" s="247"/>
      <c r="AC481" s="247"/>
    </row>
    <row r="482">
      <c r="A482" s="247"/>
      <c r="B482" s="247"/>
      <c r="C482" s="247"/>
      <c r="D482" s="249"/>
      <c r="E482" s="250"/>
      <c r="F482" s="248"/>
      <c r="G482" s="248"/>
      <c r="H482" s="251"/>
      <c r="I482" s="247"/>
      <c r="J482" s="247"/>
      <c r="K482" s="247"/>
      <c r="L482" s="247"/>
      <c r="M482" s="247"/>
      <c r="N482" s="247"/>
      <c r="O482" s="247"/>
      <c r="P482" s="247"/>
      <c r="Q482" s="247"/>
      <c r="R482" s="247"/>
      <c r="S482" s="247"/>
      <c r="T482" s="247"/>
      <c r="U482" s="247"/>
      <c r="V482" s="247"/>
      <c r="W482" s="247"/>
      <c r="X482" s="247"/>
      <c r="Y482" s="247"/>
      <c r="Z482" s="247"/>
      <c r="AA482" s="247"/>
      <c r="AB482" s="247"/>
      <c r="AC482" s="247"/>
    </row>
    <row r="483">
      <c r="A483" s="247"/>
      <c r="B483" s="247"/>
      <c r="C483" s="247"/>
      <c r="D483" s="249"/>
      <c r="E483" s="250"/>
      <c r="F483" s="248"/>
      <c r="G483" s="248"/>
      <c r="H483" s="251"/>
      <c r="I483" s="247"/>
      <c r="J483" s="247"/>
      <c r="K483" s="247"/>
      <c r="L483" s="247"/>
      <c r="M483" s="247"/>
      <c r="N483" s="247"/>
      <c r="O483" s="247"/>
      <c r="P483" s="247"/>
      <c r="Q483" s="247"/>
      <c r="R483" s="247"/>
      <c r="S483" s="247"/>
      <c r="T483" s="247"/>
      <c r="U483" s="247"/>
      <c r="V483" s="247"/>
      <c r="W483" s="247"/>
      <c r="X483" s="247"/>
      <c r="Y483" s="247"/>
      <c r="Z483" s="247"/>
      <c r="AA483" s="247"/>
      <c r="AB483" s="247"/>
      <c r="AC483" s="247"/>
    </row>
    <row r="484">
      <c r="A484" s="247"/>
      <c r="B484" s="247"/>
      <c r="C484" s="247"/>
      <c r="D484" s="249"/>
      <c r="E484" s="250"/>
      <c r="F484" s="248"/>
      <c r="G484" s="248"/>
      <c r="H484" s="251"/>
      <c r="I484" s="247"/>
      <c r="J484" s="247"/>
      <c r="K484" s="247"/>
      <c r="L484" s="247"/>
      <c r="M484" s="247"/>
      <c r="N484" s="247"/>
      <c r="O484" s="247"/>
      <c r="P484" s="247"/>
      <c r="Q484" s="247"/>
      <c r="R484" s="247"/>
      <c r="S484" s="247"/>
      <c r="T484" s="247"/>
      <c r="U484" s="247"/>
      <c r="V484" s="247"/>
      <c r="W484" s="247"/>
      <c r="X484" s="247"/>
      <c r="Y484" s="247"/>
      <c r="Z484" s="247"/>
      <c r="AA484" s="247"/>
      <c r="AB484" s="247"/>
      <c r="AC484" s="247"/>
    </row>
    <row r="485">
      <c r="A485" s="247"/>
      <c r="B485" s="247"/>
      <c r="C485" s="247"/>
      <c r="D485" s="249"/>
      <c r="E485" s="250"/>
      <c r="F485" s="248"/>
      <c r="G485" s="248"/>
      <c r="H485" s="251"/>
      <c r="I485" s="247"/>
      <c r="J485" s="247"/>
      <c r="K485" s="247"/>
      <c r="L485" s="247"/>
      <c r="M485" s="247"/>
      <c r="N485" s="247"/>
      <c r="O485" s="247"/>
      <c r="P485" s="247"/>
      <c r="Q485" s="247"/>
      <c r="R485" s="247"/>
      <c r="S485" s="247"/>
      <c r="T485" s="247"/>
      <c r="U485" s="247"/>
      <c r="V485" s="247"/>
      <c r="W485" s="247"/>
      <c r="X485" s="247"/>
      <c r="Y485" s="247"/>
      <c r="Z485" s="247"/>
      <c r="AA485" s="247"/>
      <c r="AB485" s="247"/>
      <c r="AC485" s="247"/>
    </row>
    <row r="486">
      <c r="A486" s="247"/>
      <c r="B486" s="247"/>
      <c r="C486" s="247"/>
      <c r="D486" s="249"/>
      <c r="E486" s="250"/>
      <c r="F486" s="248"/>
      <c r="G486" s="248"/>
      <c r="H486" s="251"/>
      <c r="I486" s="247"/>
      <c r="J486" s="247"/>
      <c r="K486" s="247"/>
      <c r="L486" s="247"/>
      <c r="M486" s="247"/>
      <c r="N486" s="247"/>
      <c r="O486" s="247"/>
      <c r="P486" s="247"/>
      <c r="Q486" s="247"/>
      <c r="R486" s="247"/>
      <c r="S486" s="247"/>
      <c r="T486" s="247"/>
      <c r="U486" s="247"/>
      <c r="V486" s="247"/>
      <c r="W486" s="247"/>
      <c r="X486" s="247"/>
      <c r="Y486" s="247"/>
      <c r="Z486" s="247"/>
      <c r="AA486" s="247"/>
      <c r="AB486" s="247"/>
      <c r="AC486" s="247"/>
    </row>
    <row r="487">
      <c r="A487" s="247"/>
      <c r="B487" s="247"/>
      <c r="C487" s="247"/>
      <c r="D487" s="249"/>
      <c r="E487" s="250"/>
      <c r="F487" s="248"/>
      <c r="G487" s="248"/>
      <c r="H487" s="251"/>
      <c r="I487" s="247"/>
      <c r="J487" s="247"/>
      <c r="K487" s="247"/>
      <c r="L487" s="247"/>
      <c r="M487" s="247"/>
      <c r="N487" s="247"/>
      <c r="O487" s="247"/>
      <c r="P487" s="247"/>
      <c r="Q487" s="247"/>
      <c r="R487" s="247"/>
      <c r="S487" s="247"/>
      <c r="T487" s="247"/>
      <c r="U487" s="247"/>
      <c r="V487" s="247"/>
      <c r="W487" s="247"/>
      <c r="X487" s="247"/>
      <c r="Y487" s="247"/>
      <c r="Z487" s="247"/>
      <c r="AA487" s="247"/>
      <c r="AB487" s="247"/>
      <c r="AC487" s="247"/>
    </row>
    <row r="488">
      <c r="A488" s="247"/>
      <c r="B488" s="247"/>
      <c r="C488" s="247"/>
      <c r="D488" s="249"/>
      <c r="E488" s="250"/>
      <c r="F488" s="248"/>
      <c r="G488" s="248"/>
      <c r="H488" s="251"/>
      <c r="I488" s="247"/>
      <c r="J488" s="247"/>
      <c r="K488" s="247"/>
      <c r="L488" s="247"/>
      <c r="M488" s="247"/>
      <c r="N488" s="247"/>
      <c r="O488" s="247"/>
      <c r="P488" s="247"/>
      <c r="Q488" s="247"/>
      <c r="R488" s="247"/>
      <c r="S488" s="247"/>
      <c r="T488" s="247"/>
      <c r="U488" s="247"/>
      <c r="V488" s="247"/>
      <c r="W488" s="247"/>
      <c r="X488" s="247"/>
      <c r="Y488" s="247"/>
      <c r="Z488" s="247"/>
      <c r="AA488" s="247"/>
      <c r="AB488" s="247"/>
      <c r="AC488" s="247"/>
    </row>
    <row r="489">
      <c r="A489" s="247"/>
      <c r="B489" s="247"/>
      <c r="C489" s="247"/>
      <c r="D489" s="249"/>
      <c r="E489" s="250"/>
      <c r="F489" s="248"/>
      <c r="G489" s="248"/>
      <c r="H489" s="251"/>
      <c r="I489" s="247"/>
      <c r="J489" s="247"/>
      <c r="K489" s="247"/>
      <c r="L489" s="247"/>
      <c r="M489" s="247"/>
      <c r="N489" s="247"/>
      <c r="O489" s="247"/>
      <c r="P489" s="247"/>
      <c r="Q489" s="247"/>
      <c r="R489" s="247"/>
      <c r="S489" s="247"/>
      <c r="T489" s="247"/>
      <c r="U489" s="247"/>
      <c r="V489" s="247"/>
      <c r="W489" s="247"/>
      <c r="X489" s="247"/>
      <c r="Y489" s="247"/>
      <c r="Z489" s="247"/>
      <c r="AA489" s="247"/>
      <c r="AB489" s="247"/>
      <c r="AC489" s="247"/>
    </row>
    <row r="490">
      <c r="A490" s="247"/>
      <c r="B490" s="247"/>
      <c r="C490" s="247"/>
      <c r="D490" s="249"/>
      <c r="E490" s="250"/>
      <c r="F490" s="248"/>
      <c r="G490" s="248"/>
      <c r="H490" s="251"/>
      <c r="I490" s="247"/>
      <c r="J490" s="247"/>
      <c r="K490" s="247"/>
      <c r="L490" s="247"/>
      <c r="M490" s="247"/>
      <c r="N490" s="247"/>
      <c r="O490" s="247"/>
      <c r="P490" s="247"/>
      <c r="Q490" s="247"/>
      <c r="R490" s="247"/>
      <c r="S490" s="247"/>
      <c r="T490" s="247"/>
      <c r="U490" s="247"/>
      <c r="V490" s="247"/>
      <c r="W490" s="247"/>
      <c r="X490" s="247"/>
      <c r="Y490" s="247"/>
      <c r="Z490" s="247"/>
      <c r="AA490" s="247"/>
      <c r="AB490" s="247"/>
      <c r="AC490" s="247"/>
    </row>
    <row r="491">
      <c r="A491" s="247"/>
      <c r="B491" s="247"/>
      <c r="C491" s="247"/>
      <c r="D491" s="249"/>
      <c r="E491" s="250"/>
      <c r="F491" s="248"/>
      <c r="G491" s="248"/>
      <c r="H491" s="251"/>
      <c r="I491" s="247"/>
      <c r="J491" s="247"/>
      <c r="K491" s="247"/>
      <c r="L491" s="247"/>
      <c r="M491" s="247"/>
      <c r="N491" s="247"/>
      <c r="O491" s="247"/>
      <c r="P491" s="247"/>
      <c r="Q491" s="247"/>
      <c r="R491" s="247"/>
      <c r="S491" s="247"/>
      <c r="T491" s="247"/>
      <c r="U491" s="247"/>
      <c r="V491" s="247"/>
      <c r="W491" s="247"/>
      <c r="X491" s="247"/>
      <c r="Y491" s="247"/>
      <c r="Z491" s="247"/>
      <c r="AA491" s="247"/>
      <c r="AB491" s="247"/>
      <c r="AC491" s="247"/>
    </row>
    <row r="492">
      <c r="A492" s="247"/>
      <c r="B492" s="247"/>
      <c r="C492" s="247"/>
      <c r="D492" s="249"/>
      <c r="E492" s="250"/>
      <c r="F492" s="248"/>
      <c r="G492" s="248"/>
      <c r="H492" s="251"/>
      <c r="I492" s="247"/>
      <c r="J492" s="247"/>
      <c r="K492" s="247"/>
      <c r="L492" s="247"/>
      <c r="M492" s="247"/>
      <c r="N492" s="247"/>
      <c r="O492" s="247"/>
      <c r="P492" s="247"/>
      <c r="Q492" s="247"/>
      <c r="R492" s="247"/>
      <c r="S492" s="247"/>
      <c r="T492" s="247"/>
      <c r="U492" s="247"/>
      <c r="V492" s="247"/>
      <c r="W492" s="247"/>
      <c r="X492" s="247"/>
      <c r="Y492" s="247"/>
      <c r="Z492" s="247"/>
      <c r="AA492" s="247"/>
      <c r="AB492" s="247"/>
      <c r="AC492" s="247"/>
    </row>
    <row r="493">
      <c r="A493" s="247"/>
      <c r="B493" s="247"/>
      <c r="C493" s="247"/>
      <c r="D493" s="249"/>
      <c r="E493" s="250"/>
      <c r="F493" s="248"/>
      <c r="G493" s="248"/>
      <c r="H493" s="251"/>
      <c r="I493" s="247"/>
      <c r="J493" s="247"/>
      <c r="K493" s="247"/>
      <c r="L493" s="247"/>
      <c r="M493" s="247"/>
      <c r="N493" s="247"/>
      <c r="O493" s="247"/>
      <c r="P493" s="247"/>
      <c r="Q493" s="247"/>
      <c r="R493" s="247"/>
      <c r="S493" s="247"/>
      <c r="T493" s="247"/>
      <c r="U493" s="247"/>
      <c r="V493" s="247"/>
      <c r="W493" s="247"/>
      <c r="X493" s="247"/>
      <c r="Y493" s="247"/>
      <c r="Z493" s="247"/>
      <c r="AA493" s="247"/>
      <c r="AB493" s="247"/>
      <c r="AC493" s="247"/>
    </row>
    <row r="494">
      <c r="A494" s="247"/>
      <c r="B494" s="247"/>
      <c r="C494" s="247"/>
      <c r="D494" s="249"/>
      <c r="E494" s="250"/>
      <c r="F494" s="248"/>
      <c r="G494" s="248"/>
      <c r="H494" s="251"/>
      <c r="I494" s="247"/>
      <c r="J494" s="247"/>
      <c r="K494" s="247"/>
      <c r="L494" s="247"/>
      <c r="M494" s="247"/>
      <c r="N494" s="247"/>
      <c r="O494" s="247"/>
      <c r="P494" s="247"/>
      <c r="Q494" s="247"/>
      <c r="R494" s="247"/>
      <c r="S494" s="247"/>
      <c r="T494" s="247"/>
      <c r="U494" s="247"/>
      <c r="V494" s="247"/>
      <c r="W494" s="247"/>
      <c r="X494" s="247"/>
      <c r="Y494" s="247"/>
      <c r="Z494" s="247"/>
      <c r="AA494" s="247"/>
      <c r="AB494" s="247"/>
      <c r="AC494" s="247"/>
    </row>
    <row r="495">
      <c r="A495" s="247"/>
      <c r="B495" s="247"/>
      <c r="C495" s="247"/>
      <c r="D495" s="249"/>
      <c r="E495" s="250"/>
      <c r="F495" s="248"/>
      <c r="G495" s="248"/>
      <c r="H495" s="251"/>
      <c r="I495" s="247"/>
      <c r="J495" s="247"/>
      <c r="K495" s="247"/>
      <c r="L495" s="247"/>
      <c r="M495" s="247"/>
      <c r="N495" s="247"/>
      <c r="O495" s="247"/>
      <c r="P495" s="247"/>
      <c r="Q495" s="247"/>
      <c r="R495" s="247"/>
      <c r="S495" s="247"/>
      <c r="T495" s="247"/>
      <c r="U495" s="247"/>
      <c r="V495" s="247"/>
      <c r="W495" s="247"/>
      <c r="X495" s="247"/>
      <c r="Y495" s="247"/>
      <c r="Z495" s="247"/>
      <c r="AA495" s="247"/>
      <c r="AB495" s="247"/>
      <c r="AC495" s="247"/>
    </row>
    <row r="496">
      <c r="A496" s="247"/>
      <c r="B496" s="247"/>
      <c r="C496" s="247"/>
      <c r="D496" s="249"/>
      <c r="E496" s="250"/>
      <c r="F496" s="248"/>
      <c r="G496" s="248"/>
      <c r="H496" s="251"/>
      <c r="I496" s="247"/>
      <c r="J496" s="247"/>
      <c r="K496" s="247"/>
      <c r="L496" s="247"/>
      <c r="M496" s="247"/>
      <c r="N496" s="247"/>
      <c r="O496" s="247"/>
      <c r="P496" s="247"/>
      <c r="Q496" s="247"/>
      <c r="R496" s="247"/>
      <c r="S496" s="247"/>
      <c r="T496" s="247"/>
      <c r="U496" s="247"/>
      <c r="V496" s="247"/>
      <c r="W496" s="247"/>
      <c r="X496" s="247"/>
      <c r="Y496" s="247"/>
      <c r="Z496" s="247"/>
      <c r="AA496" s="247"/>
      <c r="AB496" s="247"/>
      <c r="AC496" s="247"/>
    </row>
    <row r="497">
      <c r="A497" s="247"/>
      <c r="B497" s="247"/>
      <c r="C497" s="247"/>
      <c r="D497" s="249"/>
      <c r="E497" s="250"/>
      <c r="F497" s="248"/>
      <c r="G497" s="248"/>
      <c r="H497" s="251"/>
      <c r="I497" s="247"/>
      <c r="J497" s="247"/>
      <c r="K497" s="247"/>
      <c r="L497" s="247"/>
      <c r="M497" s="247"/>
      <c r="N497" s="247"/>
      <c r="O497" s="247"/>
      <c r="P497" s="247"/>
      <c r="Q497" s="247"/>
      <c r="R497" s="247"/>
      <c r="S497" s="247"/>
      <c r="T497" s="247"/>
      <c r="U497" s="247"/>
      <c r="V497" s="247"/>
      <c r="W497" s="247"/>
      <c r="X497" s="247"/>
      <c r="Y497" s="247"/>
      <c r="Z497" s="247"/>
      <c r="AA497" s="247"/>
      <c r="AB497" s="247"/>
      <c r="AC497" s="247"/>
    </row>
    <row r="498">
      <c r="A498" s="247"/>
      <c r="B498" s="247"/>
      <c r="C498" s="247"/>
      <c r="D498" s="249"/>
      <c r="E498" s="250"/>
      <c r="F498" s="248"/>
      <c r="G498" s="248"/>
      <c r="H498" s="251"/>
      <c r="I498" s="247"/>
      <c r="J498" s="247"/>
      <c r="K498" s="247"/>
      <c r="L498" s="247"/>
      <c r="M498" s="247"/>
      <c r="N498" s="247"/>
      <c r="O498" s="247"/>
      <c r="P498" s="247"/>
      <c r="Q498" s="247"/>
      <c r="R498" s="247"/>
      <c r="S498" s="247"/>
      <c r="T498" s="247"/>
      <c r="U498" s="247"/>
      <c r="V498" s="247"/>
      <c r="W498" s="247"/>
      <c r="X498" s="247"/>
      <c r="Y498" s="247"/>
      <c r="Z498" s="247"/>
      <c r="AA498" s="247"/>
      <c r="AB498" s="247"/>
      <c r="AC498" s="247"/>
    </row>
    <row r="499">
      <c r="A499" s="247"/>
      <c r="B499" s="247"/>
      <c r="C499" s="247"/>
      <c r="D499" s="249"/>
      <c r="E499" s="250"/>
      <c r="F499" s="248"/>
      <c r="G499" s="248"/>
      <c r="H499" s="251"/>
      <c r="I499" s="247"/>
      <c r="J499" s="247"/>
      <c r="K499" s="247"/>
      <c r="L499" s="247"/>
      <c r="M499" s="247"/>
      <c r="N499" s="247"/>
      <c r="O499" s="247"/>
      <c r="P499" s="247"/>
      <c r="Q499" s="247"/>
      <c r="R499" s="247"/>
      <c r="S499" s="247"/>
      <c r="T499" s="247"/>
      <c r="U499" s="247"/>
      <c r="V499" s="247"/>
      <c r="W499" s="247"/>
      <c r="X499" s="247"/>
      <c r="Y499" s="247"/>
      <c r="Z499" s="247"/>
      <c r="AA499" s="247"/>
      <c r="AB499" s="247"/>
      <c r="AC499" s="247"/>
    </row>
    <row r="500">
      <c r="A500" s="247"/>
      <c r="B500" s="247"/>
      <c r="C500" s="247"/>
      <c r="D500" s="249"/>
      <c r="E500" s="250"/>
      <c r="F500" s="248"/>
      <c r="G500" s="248"/>
      <c r="H500" s="251"/>
      <c r="I500" s="247"/>
      <c r="J500" s="247"/>
      <c r="K500" s="247"/>
      <c r="L500" s="247"/>
      <c r="M500" s="247"/>
      <c r="N500" s="247"/>
      <c r="O500" s="247"/>
      <c r="P500" s="247"/>
      <c r="Q500" s="247"/>
      <c r="R500" s="247"/>
      <c r="S500" s="247"/>
      <c r="T500" s="247"/>
      <c r="U500" s="247"/>
      <c r="V500" s="247"/>
      <c r="W500" s="247"/>
      <c r="X500" s="247"/>
      <c r="Y500" s="247"/>
      <c r="Z500" s="247"/>
      <c r="AA500" s="247"/>
      <c r="AB500" s="247"/>
      <c r="AC500" s="247"/>
    </row>
    <row r="501">
      <c r="A501" s="247"/>
      <c r="B501" s="247"/>
      <c r="C501" s="247"/>
      <c r="D501" s="249"/>
      <c r="E501" s="250"/>
      <c r="F501" s="248"/>
      <c r="G501" s="248"/>
      <c r="H501" s="251"/>
      <c r="I501" s="247"/>
      <c r="J501" s="247"/>
      <c r="K501" s="247"/>
      <c r="L501" s="247"/>
      <c r="M501" s="247"/>
      <c r="N501" s="247"/>
      <c r="O501" s="247"/>
      <c r="P501" s="247"/>
      <c r="Q501" s="247"/>
      <c r="R501" s="247"/>
      <c r="S501" s="247"/>
      <c r="T501" s="247"/>
      <c r="U501" s="247"/>
      <c r="V501" s="247"/>
      <c r="W501" s="247"/>
      <c r="X501" s="247"/>
      <c r="Y501" s="247"/>
      <c r="Z501" s="247"/>
      <c r="AA501" s="247"/>
      <c r="AB501" s="247"/>
      <c r="AC501" s="247"/>
    </row>
    <row r="502">
      <c r="A502" s="247"/>
      <c r="B502" s="247"/>
      <c r="C502" s="247"/>
      <c r="D502" s="249"/>
      <c r="E502" s="250"/>
      <c r="F502" s="248"/>
      <c r="G502" s="248"/>
      <c r="H502" s="251"/>
      <c r="I502" s="247"/>
      <c r="J502" s="247"/>
      <c r="K502" s="247"/>
      <c r="L502" s="247"/>
      <c r="M502" s="247"/>
      <c r="N502" s="247"/>
      <c r="O502" s="247"/>
      <c r="P502" s="247"/>
      <c r="Q502" s="247"/>
      <c r="R502" s="247"/>
      <c r="S502" s="247"/>
      <c r="T502" s="247"/>
      <c r="U502" s="247"/>
      <c r="V502" s="247"/>
      <c r="W502" s="247"/>
      <c r="X502" s="247"/>
      <c r="Y502" s="247"/>
      <c r="Z502" s="247"/>
      <c r="AA502" s="247"/>
      <c r="AB502" s="247"/>
      <c r="AC502" s="247"/>
    </row>
    <row r="503">
      <c r="A503" s="247"/>
      <c r="B503" s="247"/>
      <c r="C503" s="247"/>
      <c r="D503" s="249"/>
      <c r="E503" s="250"/>
      <c r="F503" s="248"/>
      <c r="G503" s="248"/>
      <c r="H503" s="251"/>
      <c r="I503" s="247"/>
      <c r="J503" s="247"/>
      <c r="K503" s="247"/>
      <c r="L503" s="247"/>
      <c r="M503" s="247"/>
      <c r="N503" s="247"/>
      <c r="O503" s="247"/>
      <c r="P503" s="247"/>
      <c r="Q503" s="247"/>
      <c r="R503" s="247"/>
      <c r="S503" s="247"/>
      <c r="T503" s="247"/>
      <c r="U503" s="247"/>
      <c r="V503" s="247"/>
      <c r="W503" s="247"/>
      <c r="X503" s="247"/>
      <c r="Y503" s="247"/>
      <c r="Z503" s="247"/>
      <c r="AA503" s="247"/>
      <c r="AB503" s="247"/>
      <c r="AC503" s="247"/>
    </row>
    <row r="504">
      <c r="A504" s="247"/>
      <c r="B504" s="247"/>
      <c r="C504" s="247"/>
      <c r="D504" s="249"/>
      <c r="E504" s="250"/>
      <c r="F504" s="248"/>
      <c r="G504" s="248"/>
      <c r="H504" s="251"/>
      <c r="I504" s="247"/>
      <c r="J504" s="247"/>
      <c r="K504" s="247"/>
      <c r="L504" s="247"/>
      <c r="M504" s="247"/>
      <c r="N504" s="247"/>
      <c r="O504" s="247"/>
      <c r="P504" s="247"/>
      <c r="Q504" s="247"/>
      <c r="R504" s="247"/>
      <c r="S504" s="247"/>
      <c r="T504" s="247"/>
      <c r="U504" s="247"/>
      <c r="V504" s="247"/>
      <c r="W504" s="247"/>
      <c r="X504" s="247"/>
      <c r="Y504" s="247"/>
      <c r="Z504" s="247"/>
      <c r="AA504" s="247"/>
      <c r="AB504" s="247"/>
      <c r="AC504" s="247"/>
    </row>
    <row r="505">
      <c r="A505" s="247"/>
      <c r="B505" s="247"/>
      <c r="C505" s="247"/>
      <c r="D505" s="249"/>
      <c r="E505" s="250"/>
      <c r="F505" s="248"/>
      <c r="G505" s="248"/>
      <c r="H505" s="251"/>
      <c r="I505" s="247"/>
      <c r="J505" s="247"/>
      <c r="K505" s="247"/>
      <c r="L505" s="247"/>
      <c r="M505" s="247"/>
      <c r="N505" s="247"/>
      <c r="O505" s="247"/>
      <c r="P505" s="247"/>
      <c r="Q505" s="247"/>
      <c r="R505" s="247"/>
      <c r="S505" s="247"/>
      <c r="T505" s="247"/>
      <c r="U505" s="247"/>
      <c r="V505" s="247"/>
      <c r="W505" s="247"/>
      <c r="X505" s="247"/>
      <c r="Y505" s="247"/>
      <c r="Z505" s="247"/>
      <c r="AA505" s="247"/>
      <c r="AB505" s="247"/>
      <c r="AC505" s="247"/>
    </row>
    <row r="506">
      <c r="A506" s="247"/>
      <c r="B506" s="247"/>
      <c r="C506" s="247"/>
      <c r="D506" s="249"/>
      <c r="E506" s="250"/>
      <c r="F506" s="248"/>
      <c r="G506" s="248"/>
      <c r="H506" s="251"/>
      <c r="I506" s="247"/>
      <c r="J506" s="247"/>
      <c r="K506" s="247"/>
      <c r="L506" s="247"/>
      <c r="M506" s="247"/>
      <c r="N506" s="247"/>
      <c r="O506" s="247"/>
      <c r="P506" s="247"/>
      <c r="Q506" s="247"/>
      <c r="R506" s="247"/>
      <c r="S506" s="247"/>
      <c r="T506" s="247"/>
      <c r="U506" s="247"/>
      <c r="V506" s="247"/>
      <c r="W506" s="247"/>
      <c r="X506" s="247"/>
      <c r="Y506" s="247"/>
      <c r="Z506" s="247"/>
      <c r="AA506" s="247"/>
      <c r="AB506" s="247"/>
      <c r="AC506" s="247"/>
    </row>
    <row r="507">
      <c r="A507" s="247"/>
      <c r="B507" s="247"/>
      <c r="C507" s="247"/>
      <c r="D507" s="249"/>
      <c r="E507" s="250"/>
      <c r="F507" s="248"/>
      <c r="G507" s="248"/>
      <c r="H507" s="251"/>
      <c r="I507" s="247"/>
      <c r="J507" s="247"/>
      <c r="K507" s="247"/>
      <c r="L507" s="247"/>
      <c r="M507" s="247"/>
      <c r="N507" s="247"/>
      <c r="O507" s="247"/>
      <c r="P507" s="247"/>
      <c r="Q507" s="247"/>
      <c r="R507" s="247"/>
      <c r="S507" s="247"/>
      <c r="T507" s="247"/>
      <c r="U507" s="247"/>
      <c r="V507" s="247"/>
      <c r="W507" s="247"/>
      <c r="X507" s="247"/>
      <c r="Y507" s="247"/>
      <c r="Z507" s="247"/>
      <c r="AA507" s="247"/>
      <c r="AB507" s="247"/>
      <c r="AC507" s="247"/>
    </row>
    <row r="508">
      <c r="A508" s="247"/>
      <c r="B508" s="247"/>
      <c r="C508" s="247"/>
      <c r="D508" s="249"/>
      <c r="E508" s="250"/>
      <c r="F508" s="248"/>
      <c r="G508" s="248"/>
      <c r="H508" s="251"/>
      <c r="I508" s="247"/>
      <c r="J508" s="247"/>
      <c r="K508" s="247"/>
      <c r="L508" s="247"/>
      <c r="M508" s="247"/>
      <c r="N508" s="247"/>
      <c r="O508" s="247"/>
      <c r="P508" s="247"/>
      <c r="Q508" s="247"/>
      <c r="R508" s="247"/>
      <c r="S508" s="247"/>
      <c r="T508" s="247"/>
      <c r="U508" s="247"/>
      <c r="V508" s="247"/>
      <c r="W508" s="247"/>
      <c r="X508" s="247"/>
      <c r="Y508" s="247"/>
      <c r="Z508" s="247"/>
      <c r="AA508" s="247"/>
      <c r="AB508" s="247"/>
      <c r="AC508" s="247"/>
    </row>
    <row r="509">
      <c r="A509" s="247"/>
      <c r="B509" s="247"/>
      <c r="C509" s="247"/>
      <c r="D509" s="249"/>
      <c r="E509" s="250"/>
      <c r="F509" s="248"/>
      <c r="G509" s="248"/>
      <c r="H509" s="251"/>
      <c r="I509" s="247"/>
      <c r="J509" s="247"/>
      <c r="K509" s="247"/>
      <c r="L509" s="247"/>
      <c r="M509" s="247"/>
      <c r="N509" s="247"/>
      <c r="O509" s="247"/>
      <c r="P509" s="247"/>
      <c r="Q509" s="247"/>
      <c r="R509" s="247"/>
      <c r="S509" s="247"/>
      <c r="T509" s="247"/>
      <c r="U509" s="247"/>
      <c r="V509" s="247"/>
      <c r="W509" s="247"/>
      <c r="X509" s="247"/>
      <c r="Y509" s="247"/>
      <c r="Z509" s="247"/>
      <c r="AA509" s="247"/>
      <c r="AB509" s="247"/>
      <c r="AC509" s="247"/>
    </row>
    <row r="510">
      <c r="A510" s="247"/>
      <c r="B510" s="247"/>
      <c r="C510" s="247"/>
      <c r="D510" s="249"/>
      <c r="E510" s="250"/>
      <c r="F510" s="248"/>
      <c r="G510" s="248"/>
      <c r="H510" s="251"/>
      <c r="I510" s="247"/>
      <c r="J510" s="247"/>
      <c r="K510" s="247"/>
      <c r="L510" s="247"/>
      <c r="M510" s="247"/>
      <c r="N510" s="247"/>
      <c r="O510" s="247"/>
      <c r="P510" s="247"/>
      <c r="Q510" s="247"/>
      <c r="R510" s="247"/>
      <c r="S510" s="247"/>
      <c r="T510" s="247"/>
      <c r="U510" s="247"/>
      <c r="V510" s="247"/>
      <c r="W510" s="247"/>
      <c r="X510" s="247"/>
      <c r="Y510" s="247"/>
      <c r="Z510" s="247"/>
      <c r="AA510" s="247"/>
      <c r="AB510" s="247"/>
      <c r="AC510" s="247"/>
    </row>
    <row r="511">
      <c r="A511" s="247"/>
      <c r="B511" s="247"/>
      <c r="C511" s="247"/>
      <c r="D511" s="249"/>
      <c r="E511" s="250"/>
      <c r="F511" s="248"/>
      <c r="G511" s="248"/>
      <c r="H511" s="251"/>
      <c r="I511" s="247"/>
      <c r="J511" s="247"/>
      <c r="K511" s="247"/>
      <c r="L511" s="247"/>
      <c r="M511" s="247"/>
      <c r="N511" s="247"/>
      <c r="O511" s="247"/>
      <c r="P511" s="247"/>
      <c r="Q511" s="247"/>
      <c r="R511" s="247"/>
      <c r="S511" s="247"/>
      <c r="T511" s="247"/>
      <c r="U511" s="247"/>
      <c r="V511" s="247"/>
      <c r="W511" s="247"/>
      <c r="X511" s="247"/>
      <c r="Y511" s="247"/>
      <c r="Z511" s="247"/>
      <c r="AA511" s="247"/>
      <c r="AB511" s="247"/>
      <c r="AC511" s="247"/>
    </row>
    <row r="512">
      <c r="A512" s="247"/>
      <c r="B512" s="247"/>
      <c r="C512" s="247"/>
      <c r="D512" s="249"/>
      <c r="E512" s="250"/>
      <c r="F512" s="248"/>
      <c r="G512" s="248"/>
      <c r="H512" s="251"/>
      <c r="I512" s="247"/>
      <c r="J512" s="247"/>
      <c r="K512" s="247"/>
      <c r="L512" s="247"/>
      <c r="M512" s="247"/>
      <c r="N512" s="247"/>
      <c r="O512" s="247"/>
      <c r="P512" s="247"/>
      <c r="Q512" s="247"/>
      <c r="R512" s="247"/>
      <c r="S512" s="247"/>
      <c r="T512" s="247"/>
      <c r="U512" s="247"/>
      <c r="V512" s="247"/>
      <c r="W512" s="247"/>
      <c r="X512" s="247"/>
      <c r="Y512" s="247"/>
      <c r="Z512" s="247"/>
      <c r="AA512" s="247"/>
      <c r="AB512" s="247"/>
      <c r="AC512" s="247"/>
    </row>
    <row r="513">
      <c r="A513" s="247"/>
      <c r="B513" s="247"/>
      <c r="C513" s="247"/>
      <c r="D513" s="249"/>
      <c r="E513" s="250"/>
      <c r="F513" s="248"/>
      <c r="G513" s="248"/>
      <c r="H513" s="251"/>
      <c r="I513" s="247"/>
      <c r="J513" s="247"/>
      <c r="K513" s="247"/>
      <c r="L513" s="247"/>
      <c r="M513" s="247"/>
      <c r="N513" s="247"/>
      <c r="O513" s="247"/>
      <c r="P513" s="247"/>
      <c r="Q513" s="247"/>
      <c r="R513" s="247"/>
      <c r="S513" s="247"/>
      <c r="T513" s="247"/>
      <c r="U513" s="247"/>
      <c r="V513" s="247"/>
      <c r="W513" s="247"/>
      <c r="X513" s="247"/>
      <c r="Y513" s="247"/>
      <c r="Z513" s="247"/>
      <c r="AA513" s="247"/>
      <c r="AB513" s="247"/>
      <c r="AC513" s="247"/>
    </row>
    <row r="514">
      <c r="A514" s="247"/>
      <c r="B514" s="247"/>
      <c r="C514" s="247"/>
      <c r="D514" s="249"/>
      <c r="E514" s="250"/>
      <c r="F514" s="248"/>
      <c r="G514" s="248"/>
      <c r="H514" s="251"/>
      <c r="I514" s="247"/>
      <c r="J514" s="247"/>
      <c r="K514" s="247"/>
      <c r="L514" s="247"/>
      <c r="M514" s="247"/>
      <c r="N514" s="247"/>
      <c r="O514" s="247"/>
      <c r="P514" s="247"/>
      <c r="Q514" s="247"/>
      <c r="R514" s="247"/>
      <c r="S514" s="247"/>
      <c r="T514" s="247"/>
      <c r="U514" s="247"/>
      <c r="V514" s="247"/>
      <c r="W514" s="247"/>
      <c r="X514" s="247"/>
      <c r="Y514" s="247"/>
      <c r="Z514" s="247"/>
      <c r="AA514" s="247"/>
      <c r="AB514" s="247"/>
      <c r="AC514" s="247"/>
    </row>
    <row r="515">
      <c r="A515" s="247"/>
      <c r="B515" s="247"/>
      <c r="C515" s="247"/>
      <c r="D515" s="249"/>
      <c r="E515" s="250"/>
      <c r="F515" s="248"/>
      <c r="G515" s="248"/>
      <c r="H515" s="251"/>
      <c r="I515" s="247"/>
      <c r="J515" s="247"/>
      <c r="K515" s="247"/>
      <c r="L515" s="247"/>
      <c r="M515" s="247"/>
      <c r="N515" s="247"/>
      <c r="O515" s="247"/>
      <c r="P515" s="247"/>
      <c r="Q515" s="247"/>
      <c r="R515" s="247"/>
      <c r="S515" s="247"/>
      <c r="T515" s="247"/>
      <c r="U515" s="247"/>
      <c r="V515" s="247"/>
      <c r="W515" s="247"/>
      <c r="X515" s="247"/>
      <c r="Y515" s="247"/>
      <c r="Z515" s="247"/>
      <c r="AA515" s="247"/>
      <c r="AB515" s="247"/>
      <c r="AC515" s="247"/>
    </row>
    <row r="516">
      <c r="A516" s="247"/>
      <c r="B516" s="247"/>
      <c r="C516" s="247"/>
      <c r="D516" s="249"/>
      <c r="E516" s="250"/>
      <c r="F516" s="248"/>
      <c r="G516" s="248"/>
      <c r="H516" s="251"/>
      <c r="I516" s="247"/>
      <c r="J516" s="247"/>
      <c r="K516" s="247"/>
      <c r="L516" s="247"/>
      <c r="M516" s="247"/>
      <c r="N516" s="247"/>
      <c r="O516" s="247"/>
      <c r="P516" s="247"/>
      <c r="Q516" s="247"/>
      <c r="R516" s="247"/>
      <c r="S516" s="247"/>
      <c r="T516" s="247"/>
      <c r="U516" s="247"/>
      <c r="V516" s="247"/>
      <c r="W516" s="247"/>
      <c r="X516" s="247"/>
      <c r="Y516" s="247"/>
      <c r="Z516" s="247"/>
      <c r="AA516" s="247"/>
      <c r="AB516" s="247"/>
      <c r="AC516" s="247"/>
    </row>
    <row r="517">
      <c r="A517" s="247"/>
      <c r="B517" s="247"/>
      <c r="C517" s="247"/>
      <c r="D517" s="249"/>
      <c r="E517" s="250"/>
      <c r="F517" s="248"/>
      <c r="G517" s="248"/>
      <c r="H517" s="251"/>
      <c r="I517" s="247"/>
      <c r="J517" s="247"/>
      <c r="K517" s="247"/>
      <c r="L517" s="247"/>
      <c r="M517" s="247"/>
      <c r="N517" s="247"/>
      <c r="O517" s="247"/>
      <c r="P517" s="247"/>
      <c r="Q517" s="247"/>
      <c r="R517" s="247"/>
      <c r="S517" s="247"/>
      <c r="T517" s="247"/>
      <c r="U517" s="247"/>
      <c r="V517" s="247"/>
      <c r="W517" s="247"/>
      <c r="X517" s="247"/>
      <c r="Y517" s="247"/>
      <c r="Z517" s="247"/>
      <c r="AA517" s="247"/>
      <c r="AB517" s="247"/>
      <c r="AC517" s="247"/>
    </row>
    <row r="518">
      <c r="A518" s="247"/>
      <c r="B518" s="247"/>
      <c r="C518" s="247"/>
      <c r="D518" s="249"/>
      <c r="E518" s="250"/>
      <c r="F518" s="248"/>
      <c r="G518" s="248"/>
      <c r="H518" s="251"/>
      <c r="I518" s="247"/>
      <c r="J518" s="247"/>
      <c r="K518" s="247"/>
      <c r="L518" s="247"/>
      <c r="M518" s="247"/>
      <c r="N518" s="247"/>
      <c r="O518" s="247"/>
      <c r="P518" s="247"/>
      <c r="Q518" s="247"/>
      <c r="R518" s="247"/>
      <c r="S518" s="247"/>
      <c r="T518" s="247"/>
      <c r="U518" s="247"/>
      <c r="V518" s="247"/>
      <c r="W518" s="247"/>
      <c r="X518" s="247"/>
      <c r="Y518" s="247"/>
      <c r="Z518" s="247"/>
      <c r="AA518" s="247"/>
      <c r="AB518" s="247"/>
      <c r="AC518" s="247"/>
    </row>
    <row r="519">
      <c r="A519" s="247"/>
      <c r="B519" s="247"/>
      <c r="C519" s="247"/>
      <c r="D519" s="249"/>
      <c r="E519" s="250"/>
      <c r="F519" s="248"/>
      <c r="G519" s="248"/>
      <c r="H519" s="251"/>
      <c r="I519" s="247"/>
      <c r="J519" s="247"/>
      <c r="K519" s="247"/>
      <c r="L519" s="247"/>
      <c r="M519" s="247"/>
      <c r="N519" s="247"/>
      <c r="O519" s="247"/>
      <c r="P519" s="247"/>
      <c r="Q519" s="247"/>
      <c r="R519" s="247"/>
      <c r="S519" s="247"/>
      <c r="T519" s="247"/>
      <c r="U519" s="247"/>
      <c r="V519" s="247"/>
      <c r="W519" s="247"/>
      <c r="X519" s="247"/>
      <c r="Y519" s="247"/>
      <c r="Z519" s="247"/>
      <c r="AA519" s="247"/>
      <c r="AB519" s="247"/>
      <c r="AC519" s="247"/>
    </row>
    <row r="520">
      <c r="A520" s="247"/>
      <c r="B520" s="247"/>
      <c r="C520" s="247"/>
      <c r="D520" s="249"/>
      <c r="E520" s="250"/>
      <c r="F520" s="248"/>
      <c r="G520" s="248"/>
      <c r="H520" s="251"/>
      <c r="I520" s="247"/>
      <c r="J520" s="247"/>
      <c r="K520" s="247"/>
      <c r="L520" s="247"/>
      <c r="M520" s="247"/>
      <c r="N520" s="247"/>
      <c r="O520" s="247"/>
      <c r="P520" s="247"/>
      <c r="Q520" s="247"/>
      <c r="R520" s="247"/>
      <c r="S520" s="247"/>
      <c r="T520" s="247"/>
      <c r="U520" s="247"/>
      <c r="V520" s="247"/>
      <c r="W520" s="247"/>
      <c r="X520" s="247"/>
      <c r="Y520" s="247"/>
      <c r="Z520" s="247"/>
      <c r="AA520" s="247"/>
      <c r="AB520" s="247"/>
      <c r="AC520" s="247"/>
    </row>
    <row r="521">
      <c r="A521" s="247"/>
      <c r="B521" s="247"/>
      <c r="C521" s="247"/>
      <c r="D521" s="249"/>
      <c r="E521" s="250"/>
      <c r="F521" s="248"/>
      <c r="G521" s="248"/>
      <c r="H521" s="251"/>
      <c r="I521" s="247"/>
      <c r="J521" s="247"/>
      <c r="K521" s="247"/>
      <c r="L521" s="247"/>
      <c r="M521" s="247"/>
      <c r="N521" s="247"/>
      <c r="O521" s="247"/>
      <c r="P521" s="247"/>
      <c r="Q521" s="247"/>
      <c r="R521" s="247"/>
      <c r="S521" s="247"/>
      <c r="T521" s="247"/>
      <c r="U521" s="247"/>
      <c r="V521" s="247"/>
      <c r="W521" s="247"/>
      <c r="X521" s="247"/>
      <c r="Y521" s="247"/>
      <c r="Z521" s="247"/>
      <c r="AA521" s="247"/>
      <c r="AB521" s="247"/>
      <c r="AC521" s="247"/>
    </row>
    <row r="522">
      <c r="A522" s="247"/>
      <c r="B522" s="247"/>
      <c r="C522" s="247"/>
      <c r="D522" s="249"/>
      <c r="E522" s="250"/>
      <c r="F522" s="248"/>
      <c r="G522" s="248"/>
      <c r="H522" s="251"/>
      <c r="I522" s="247"/>
      <c r="J522" s="247"/>
      <c r="K522" s="247"/>
      <c r="L522" s="247"/>
      <c r="M522" s="247"/>
      <c r="N522" s="247"/>
      <c r="O522" s="247"/>
      <c r="P522" s="247"/>
      <c r="Q522" s="247"/>
      <c r="R522" s="247"/>
      <c r="S522" s="247"/>
      <c r="T522" s="247"/>
      <c r="U522" s="247"/>
      <c r="V522" s="247"/>
      <c r="W522" s="247"/>
      <c r="X522" s="247"/>
      <c r="Y522" s="247"/>
      <c r="Z522" s="247"/>
      <c r="AA522" s="247"/>
      <c r="AB522" s="247"/>
      <c r="AC522" s="247"/>
    </row>
    <row r="523">
      <c r="A523" s="247"/>
      <c r="B523" s="247"/>
      <c r="C523" s="247"/>
      <c r="D523" s="249"/>
      <c r="E523" s="250"/>
      <c r="F523" s="248"/>
      <c r="G523" s="248"/>
      <c r="H523" s="251"/>
      <c r="I523" s="247"/>
      <c r="J523" s="247"/>
      <c r="K523" s="247"/>
      <c r="L523" s="247"/>
      <c r="M523" s="247"/>
      <c r="N523" s="247"/>
      <c r="O523" s="247"/>
      <c r="P523" s="247"/>
      <c r="Q523" s="247"/>
      <c r="R523" s="247"/>
      <c r="S523" s="247"/>
      <c r="T523" s="247"/>
      <c r="U523" s="247"/>
      <c r="V523" s="247"/>
      <c r="W523" s="247"/>
      <c r="X523" s="247"/>
      <c r="Y523" s="247"/>
      <c r="Z523" s="247"/>
      <c r="AA523" s="247"/>
      <c r="AB523" s="247"/>
      <c r="AC523" s="247"/>
    </row>
    <row r="524">
      <c r="A524" s="247"/>
      <c r="B524" s="247"/>
      <c r="C524" s="247"/>
      <c r="D524" s="249"/>
      <c r="E524" s="250"/>
      <c r="F524" s="248"/>
      <c r="G524" s="248"/>
      <c r="H524" s="251"/>
      <c r="I524" s="247"/>
      <c r="J524" s="247"/>
      <c r="K524" s="247"/>
      <c r="L524" s="247"/>
      <c r="M524" s="247"/>
      <c r="N524" s="247"/>
      <c r="O524" s="247"/>
      <c r="P524" s="247"/>
      <c r="Q524" s="247"/>
      <c r="R524" s="247"/>
      <c r="S524" s="247"/>
      <c r="T524" s="247"/>
      <c r="U524" s="247"/>
      <c r="V524" s="247"/>
      <c r="W524" s="247"/>
      <c r="X524" s="247"/>
      <c r="Y524" s="247"/>
      <c r="Z524" s="247"/>
      <c r="AA524" s="247"/>
      <c r="AB524" s="247"/>
      <c r="AC524" s="247"/>
    </row>
    <row r="525">
      <c r="A525" s="247"/>
      <c r="B525" s="247"/>
      <c r="C525" s="247"/>
      <c r="D525" s="249"/>
      <c r="E525" s="250"/>
      <c r="F525" s="248"/>
      <c r="G525" s="248"/>
      <c r="H525" s="251"/>
      <c r="I525" s="247"/>
      <c r="J525" s="247"/>
      <c r="K525" s="247"/>
      <c r="L525" s="247"/>
      <c r="M525" s="247"/>
      <c r="N525" s="247"/>
      <c r="O525" s="247"/>
      <c r="P525" s="247"/>
      <c r="Q525" s="247"/>
      <c r="R525" s="247"/>
      <c r="S525" s="247"/>
      <c r="T525" s="247"/>
      <c r="U525" s="247"/>
      <c r="V525" s="247"/>
      <c r="W525" s="247"/>
      <c r="X525" s="247"/>
      <c r="Y525" s="247"/>
      <c r="Z525" s="247"/>
      <c r="AA525" s="247"/>
      <c r="AB525" s="247"/>
      <c r="AC525" s="247"/>
    </row>
    <row r="526">
      <c r="A526" s="247"/>
      <c r="B526" s="247"/>
      <c r="C526" s="247"/>
      <c r="D526" s="249"/>
      <c r="E526" s="250"/>
      <c r="F526" s="248"/>
      <c r="G526" s="248"/>
      <c r="H526" s="251"/>
      <c r="I526" s="247"/>
      <c r="J526" s="247"/>
      <c r="K526" s="247"/>
      <c r="L526" s="247"/>
      <c r="M526" s="247"/>
      <c r="N526" s="247"/>
      <c r="O526" s="247"/>
      <c r="P526" s="247"/>
      <c r="Q526" s="247"/>
      <c r="R526" s="247"/>
      <c r="S526" s="247"/>
      <c r="T526" s="247"/>
      <c r="U526" s="247"/>
      <c r="V526" s="247"/>
      <c r="W526" s="247"/>
      <c r="X526" s="247"/>
      <c r="Y526" s="247"/>
      <c r="Z526" s="247"/>
      <c r="AA526" s="247"/>
      <c r="AB526" s="247"/>
      <c r="AC526" s="247"/>
    </row>
    <row r="527">
      <c r="A527" s="247"/>
      <c r="B527" s="247"/>
      <c r="C527" s="247"/>
      <c r="D527" s="249"/>
      <c r="E527" s="250"/>
      <c r="F527" s="248"/>
      <c r="G527" s="248"/>
      <c r="H527" s="251"/>
      <c r="I527" s="247"/>
      <c r="J527" s="247"/>
      <c r="K527" s="247"/>
      <c r="L527" s="247"/>
      <c r="M527" s="247"/>
      <c r="N527" s="247"/>
      <c r="O527" s="247"/>
      <c r="P527" s="247"/>
      <c r="Q527" s="247"/>
      <c r="R527" s="247"/>
      <c r="S527" s="247"/>
      <c r="T527" s="247"/>
      <c r="U527" s="247"/>
      <c r="V527" s="247"/>
      <c r="W527" s="247"/>
      <c r="X527" s="247"/>
      <c r="Y527" s="247"/>
      <c r="Z527" s="247"/>
      <c r="AA527" s="247"/>
      <c r="AB527" s="247"/>
      <c r="AC527" s="247"/>
    </row>
    <row r="528">
      <c r="A528" s="247"/>
      <c r="B528" s="247"/>
      <c r="C528" s="247"/>
      <c r="D528" s="249"/>
      <c r="E528" s="250"/>
      <c r="F528" s="248"/>
      <c r="G528" s="248"/>
      <c r="H528" s="251"/>
      <c r="I528" s="247"/>
      <c r="J528" s="247"/>
      <c r="K528" s="247"/>
      <c r="L528" s="247"/>
      <c r="M528" s="247"/>
      <c r="N528" s="247"/>
      <c r="O528" s="247"/>
      <c r="P528" s="247"/>
      <c r="Q528" s="247"/>
      <c r="R528" s="247"/>
      <c r="S528" s="247"/>
      <c r="T528" s="247"/>
      <c r="U528" s="247"/>
      <c r="V528" s="247"/>
      <c r="W528" s="247"/>
      <c r="X528" s="247"/>
      <c r="Y528" s="247"/>
      <c r="Z528" s="247"/>
      <c r="AA528" s="247"/>
      <c r="AB528" s="247"/>
      <c r="AC528" s="247"/>
    </row>
    <row r="529">
      <c r="A529" s="247"/>
      <c r="B529" s="247"/>
      <c r="C529" s="247"/>
      <c r="D529" s="249"/>
      <c r="E529" s="250"/>
      <c r="F529" s="248"/>
      <c r="G529" s="248"/>
      <c r="H529" s="251"/>
      <c r="I529" s="247"/>
      <c r="J529" s="247"/>
      <c r="K529" s="247"/>
      <c r="L529" s="247"/>
      <c r="M529" s="247"/>
      <c r="N529" s="247"/>
      <c r="O529" s="247"/>
      <c r="P529" s="247"/>
      <c r="Q529" s="247"/>
      <c r="R529" s="247"/>
      <c r="S529" s="247"/>
      <c r="T529" s="247"/>
      <c r="U529" s="247"/>
      <c r="V529" s="247"/>
      <c r="W529" s="247"/>
      <c r="X529" s="247"/>
      <c r="Y529" s="247"/>
      <c r="Z529" s="247"/>
      <c r="AA529" s="247"/>
      <c r="AB529" s="247"/>
      <c r="AC529" s="247"/>
    </row>
    <row r="530">
      <c r="A530" s="247"/>
      <c r="B530" s="247"/>
      <c r="C530" s="247"/>
      <c r="D530" s="249"/>
      <c r="E530" s="250"/>
      <c r="F530" s="248"/>
      <c r="G530" s="248"/>
      <c r="H530" s="251"/>
      <c r="I530" s="247"/>
      <c r="J530" s="247"/>
      <c r="K530" s="247"/>
      <c r="L530" s="247"/>
      <c r="M530" s="247"/>
      <c r="N530" s="247"/>
      <c r="O530" s="247"/>
      <c r="P530" s="247"/>
      <c r="Q530" s="247"/>
      <c r="R530" s="247"/>
      <c r="S530" s="247"/>
      <c r="T530" s="247"/>
      <c r="U530" s="247"/>
      <c r="V530" s="247"/>
      <c r="W530" s="247"/>
      <c r="X530" s="247"/>
      <c r="Y530" s="247"/>
      <c r="Z530" s="247"/>
      <c r="AA530" s="247"/>
      <c r="AB530" s="247"/>
      <c r="AC530" s="247"/>
    </row>
    <row r="531">
      <c r="A531" s="247"/>
      <c r="B531" s="247"/>
      <c r="C531" s="247"/>
      <c r="D531" s="249"/>
      <c r="E531" s="250"/>
      <c r="F531" s="248"/>
      <c r="G531" s="248"/>
      <c r="H531" s="251"/>
      <c r="I531" s="247"/>
      <c r="J531" s="247"/>
      <c r="K531" s="247"/>
      <c r="L531" s="247"/>
      <c r="M531" s="247"/>
      <c r="N531" s="247"/>
      <c r="O531" s="247"/>
      <c r="P531" s="247"/>
      <c r="Q531" s="247"/>
      <c r="R531" s="247"/>
      <c r="S531" s="247"/>
      <c r="T531" s="247"/>
      <c r="U531" s="247"/>
      <c r="V531" s="247"/>
      <c r="W531" s="247"/>
      <c r="X531" s="247"/>
      <c r="Y531" s="247"/>
      <c r="Z531" s="247"/>
      <c r="AA531" s="247"/>
      <c r="AB531" s="247"/>
      <c r="AC531" s="247"/>
    </row>
    <row r="532">
      <c r="A532" s="247"/>
      <c r="B532" s="247"/>
      <c r="C532" s="247"/>
      <c r="D532" s="249"/>
      <c r="E532" s="250"/>
      <c r="F532" s="248"/>
      <c r="G532" s="248"/>
      <c r="H532" s="251"/>
      <c r="I532" s="247"/>
      <c r="J532" s="247"/>
      <c r="K532" s="247"/>
      <c r="L532" s="247"/>
      <c r="M532" s="247"/>
      <c r="N532" s="247"/>
      <c r="O532" s="247"/>
      <c r="P532" s="247"/>
      <c r="Q532" s="247"/>
      <c r="R532" s="247"/>
      <c r="S532" s="247"/>
      <c r="T532" s="247"/>
      <c r="U532" s="247"/>
      <c r="V532" s="247"/>
      <c r="W532" s="247"/>
      <c r="X532" s="247"/>
      <c r="Y532" s="247"/>
      <c r="Z532" s="247"/>
      <c r="AA532" s="247"/>
      <c r="AB532" s="247"/>
      <c r="AC532" s="247"/>
    </row>
    <row r="533">
      <c r="A533" s="247"/>
      <c r="B533" s="247"/>
      <c r="C533" s="247"/>
      <c r="D533" s="249"/>
      <c r="E533" s="250"/>
      <c r="F533" s="248"/>
      <c r="G533" s="248"/>
      <c r="H533" s="251"/>
      <c r="I533" s="247"/>
      <c r="J533" s="247"/>
      <c r="K533" s="247"/>
      <c r="L533" s="247"/>
      <c r="M533" s="247"/>
      <c r="N533" s="247"/>
      <c r="O533" s="247"/>
      <c r="P533" s="247"/>
      <c r="Q533" s="247"/>
      <c r="R533" s="247"/>
      <c r="S533" s="247"/>
      <c r="T533" s="247"/>
      <c r="U533" s="247"/>
      <c r="V533" s="247"/>
      <c r="W533" s="247"/>
      <c r="X533" s="247"/>
      <c r="Y533" s="247"/>
      <c r="Z533" s="247"/>
      <c r="AA533" s="247"/>
      <c r="AB533" s="247"/>
      <c r="AC533" s="247"/>
    </row>
    <row r="534">
      <c r="A534" s="247"/>
      <c r="B534" s="247"/>
      <c r="C534" s="247"/>
      <c r="D534" s="249"/>
      <c r="E534" s="250"/>
      <c r="F534" s="248"/>
      <c r="G534" s="248"/>
      <c r="H534" s="251"/>
      <c r="I534" s="247"/>
      <c r="J534" s="247"/>
      <c r="K534" s="247"/>
      <c r="L534" s="247"/>
      <c r="M534" s="247"/>
      <c r="N534" s="247"/>
      <c r="O534" s="247"/>
      <c r="P534" s="247"/>
      <c r="Q534" s="247"/>
      <c r="R534" s="247"/>
      <c r="S534" s="247"/>
      <c r="T534" s="247"/>
      <c r="U534" s="247"/>
      <c r="V534" s="247"/>
      <c r="W534" s="247"/>
      <c r="X534" s="247"/>
      <c r="Y534" s="247"/>
      <c r="Z534" s="247"/>
      <c r="AA534" s="247"/>
      <c r="AB534" s="247"/>
      <c r="AC534" s="247"/>
    </row>
    <row r="535">
      <c r="A535" s="247"/>
      <c r="B535" s="247"/>
      <c r="C535" s="247"/>
      <c r="D535" s="249"/>
      <c r="E535" s="250"/>
      <c r="F535" s="248"/>
      <c r="G535" s="248"/>
      <c r="H535" s="251"/>
      <c r="I535" s="247"/>
      <c r="J535" s="247"/>
      <c r="K535" s="247"/>
      <c r="L535" s="247"/>
      <c r="M535" s="247"/>
      <c r="N535" s="247"/>
      <c r="O535" s="247"/>
      <c r="P535" s="247"/>
      <c r="Q535" s="247"/>
      <c r="R535" s="247"/>
      <c r="S535" s="247"/>
      <c r="T535" s="247"/>
      <c r="U535" s="247"/>
      <c r="V535" s="247"/>
      <c r="W535" s="247"/>
      <c r="X535" s="247"/>
      <c r="Y535" s="247"/>
      <c r="Z535" s="247"/>
      <c r="AA535" s="247"/>
      <c r="AB535" s="247"/>
      <c r="AC535" s="247"/>
    </row>
    <row r="536">
      <c r="A536" s="247"/>
      <c r="B536" s="247"/>
      <c r="C536" s="247"/>
      <c r="D536" s="249"/>
      <c r="E536" s="250"/>
      <c r="F536" s="248"/>
      <c r="G536" s="248"/>
      <c r="H536" s="251"/>
      <c r="I536" s="247"/>
      <c r="J536" s="247"/>
      <c r="K536" s="247"/>
      <c r="L536" s="247"/>
      <c r="M536" s="247"/>
      <c r="N536" s="247"/>
      <c r="O536" s="247"/>
      <c r="P536" s="247"/>
      <c r="Q536" s="247"/>
      <c r="R536" s="247"/>
      <c r="S536" s="247"/>
      <c r="T536" s="247"/>
      <c r="U536" s="247"/>
      <c r="V536" s="247"/>
      <c r="W536" s="247"/>
      <c r="X536" s="247"/>
      <c r="Y536" s="247"/>
      <c r="Z536" s="247"/>
      <c r="AA536" s="247"/>
      <c r="AB536" s="247"/>
      <c r="AC536" s="247"/>
    </row>
    <row r="537">
      <c r="A537" s="247"/>
      <c r="B537" s="247"/>
      <c r="C537" s="247"/>
      <c r="D537" s="249"/>
      <c r="E537" s="250"/>
      <c r="F537" s="248"/>
      <c r="G537" s="248"/>
      <c r="H537" s="251"/>
      <c r="I537" s="247"/>
      <c r="J537" s="247"/>
      <c r="K537" s="247"/>
      <c r="L537" s="247"/>
      <c r="M537" s="247"/>
      <c r="N537" s="247"/>
      <c r="O537" s="247"/>
      <c r="P537" s="247"/>
      <c r="Q537" s="247"/>
      <c r="R537" s="247"/>
      <c r="S537" s="247"/>
      <c r="T537" s="247"/>
      <c r="U537" s="247"/>
      <c r="V537" s="247"/>
      <c r="W537" s="247"/>
      <c r="X537" s="247"/>
      <c r="Y537" s="247"/>
      <c r="Z537" s="247"/>
      <c r="AA537" s="247"/>
      <c r="AB537" s="247"/>
      <c r="AC537" s="247"/>
    </row>
    <row r="538">
      <c r="A538" s="247"/>
      <c r="B538" s="247"/>
      <c r="C538" s="247"/>
      <c r="D538" s="249"/>
      <c r="E538" s="250"/>
      <c r="F538" s="248"/>
      <c r="G538" s="248"/>
      <c r="H538" s="251"/>
      <c r="I538" s="247"/>
      <c r="J538" s="247"/>
      <c r="K538" s="247"/>
      <c r="L538" s="247"/>
      <c r="M538" s="247"/>
      <c r="N538" s="247"/>
      <c r="O538" s="247"/>
      <c r="P538" s="247"/>
      <c r="Q538" s="247"/>
      <c r="R538" s="247"/>
      <c r="S538" s="247"/>
      <c r="T538" s="247"/>
      <c r="U538" s="247"/>
      <c r="V538" s="247"/>
      <c r="W538" s="247"/>
      <c r="X538" s="247"/>
      <c r="Y538" s="247"/>
      <c r="Z538" s="247"/>
      <c r="AA538" s="247"/>
      <c r="AB538" s="247"/>
      <c r="AC538" s="247"/>
    </row>
    <row r="539">
      <c r="A539" s="247"/>
      <c r="B539" s="247"/>
      <c r="C539" s="247"/>
      <c r="D539" s="249"/>
      <c r="E539" s="250"/>
      <c r="F539" s="248"/>
      <c r="G539" s="248"/>
      <c r="H539" s="251"/>
      <c r="I539" s="247"/>
      <c r="J539" s="247"/>
      <c r="K539" s="247"/>
      <c r="L539" s="247"/>
      <c r="M539" s="247"/>
      <c r="N539" s="247"/>
      <c r="O539" s="247"/>
      <c r="P539" s="247"/>
      <c r="Q539" s="247"/>
      <c r="R539" s="247"/>
      <c r="S539" s="247"/>
      <c r="T539" s="247"/>
      <c r="U539" s="247"/>
      <c r="V539" s="247"/>
      <c r="W539" s="247"/>
      <c r="X539" s="247"/>
      <c r="Y539" s="247"/>
      <c r="Z539" s="247"/>
      <c r="AA539" s="247"/>
      <c r="AB539" s="247"/>
      <c r="AC539" s="247"/>
    </row>
    <row r="540">
      <c r="A540" s="247"/>
      <c r="B540" s="247"/>
      <c r="C540" s="247"/>
      <c r="D540" s="249"/>
      <c r="E540" s="250"/>
      <c r="F540" s="248"/>
      <c r="G540" s="248"/>
      <c r="H540" s="251"/>
      <c r="I540" s="247"/>
      <c r="J540" s="247"/>
      <c r="K540" s="247"/>
      <c r="L540" s="247"/>
      <c r="M540" s="247"/>
      <c r="N540" s="247"/>
      <c r="O540" s="247"/>
      <c r="P540" s="247"/>
      <c r="Q540" s="247"/>
      <c r="R540" s="247"/>
      <c r="S540" s="247"/>
      <c r="T540" s="247"/>
      <c r="U540" s="247"/>
      <c r="V540" s="247"/>
      <c r="W540" s="247"/>
      <c r="X540" s="247"/>
      <c r="Y540" s="247"/>
      <c r="Z540" s="247"/>
      <c r="AA540" s="247"/>
      <c r="AB540" s="247"/>
      <c r="AC540" s="247"/>
    </row>
    <row r="541">
      <c r="A541" s="247"/>
      <c r="B541" s="247"/>
      <c r="C541" s="247"/>
      <c r="D541" s="249"/>
      <c r="E541" s="250"/>
      <c r="F541" s="248"/>
      <c r="G541" s="248"/>
      <c r="H541" s="251"/>
      <c r="I541" s="247"/>
      <c r="J541" s="247"/>
      <c r="K541" s="247"/>
      <c r="L541" s="247"/>
      <c r="M541" s="247"/>
      <c r="N541" s="247"/>
      <c r="O541" s="247"/>
      <c r="P541" s="247"/>
      <c r="Q541" s="247"/>
      <c r="R541" s="247"/>
      <c r="S541" s="247"/>
      <c r="T541" s="247"/>
      <c r="U541" s="247"/>
      <c r="V541" s="247"/>
      <c r="W541" s="247"/>
      <c r="X541" s="247"/>
      <c r="Y541" s="247"/>
      <c r="Z541" s="247"/>
      <c r="AA541" s="247"/>
      <c r="AB541" s="247"/>
      <c r="AC541" s="247"/>
    </row>
    <row r="542">
      <c r="A542" s="247"/>
      <c r="B542" s="247"/>
      <c r="C542" s="247"/>
      <c r="D542" s="249"/>
      <c r="E542" s="250"/>
      <c r="F542" s="248"/>
      <c r="G542" s="248"/>
      <c r="H542" s="251"/>
      <c r="I542" s="247"/>
      <c r="J542" s="247"/>
      <c r="K542" s="247"/>
      <c r="L542" s="247"/>
      <c r="M542" s="247"/>
      <c r="N542" s="247"/>
      <c r="O542" s="247"/>
      <c r="P542" s="247"/>
      <c r="Q542" s="247"/>
      <c r="R542" s="247"/>
      <c r="S542" s="247"/>
      <c r="T542" s="247"/>
      <c r="U542" s="247"/>
      <c r="V542" s="247"/>
      <c r="W542" s="247"/>
      <c r="X542" s="247"/>
      <c r="Y542" s="247"/>
      <c r="Z542" s="247"/>
      <c r="AA542" s="247"/>
      <c r="AB542" s="247"/>
      <c r="AC542" s="247"/>
    </row>
    <row r="543">
      <c r="A543" s="247"/>
      <c r="B543" s="247"/>
      <c r="C543" s="247"/>
      <c r="D543" s="249"/>
      <c r="E543" s="250"/>
      <c r="F543" s="248"/>
      <c r="G543" s="248"/>
      <c r="H543" s="251"/>
      <c r="I543" s="247"/>
      <c r="J543" s="247"/>
      <c r="K543" s="247"/>
      <c r="L543" s="247"/>
      <c r="M543" s="247"/>
      <c r="N543" s="247"/>
      <c r="O543" s="247"/>
      <c r="P543" s="247"/>
      <c r="Q543" s="247"/>
      <c r="R543" s="247"/>
      <c r="S543" s="247"/>
      <c r="T543" s="247"/>
      <c r="U543" s="247"/>
      <c r="V543" s="247"/>
      <c r="W543" s="247"/>
      <c r="X543" s="247"/>
      <c r="Y543" s="247"/>
      <c r="Z543" s="247"/>
      <c r="AA543" s="247"/>
      <c r="AB543" s="247"/>
      <c r="AC543" s="247"/>
    </row>
    <row r="544">
      <c r="A544" s="247"/>
      <c r="B544" s="247"/>
      <c r="C544" s="247"/>
      <c r="D544" s="249"/>
      <c r="E544" s="250"/>
      <c r="F544" s="248"/>
      <c r="G544" s="248"/>
      <c r="H544" s="251"/>
      <c r="I544" s="247"/>
      <c r="J544" s="247"/>
      <c r="K544" s="247"/>
      <c r="L544" s="247"/>
      <c r="M544" s="247"/>
      <c r="N544" s="247"/>
      <c r="O544" s="247"/>
      <c r="P544" s="247"/>
      <c r="Q544" s="247"/>
      <c r="R544" s="247"/>
      <c r="S544" s="247"/>
      <c r="T544" s="247"/>
      <c r="U544" s="247"/>
      <c r="V544" s="247"/>
      <c r="W544" s="247"/>
      <c r="X544" s="247"/>
      <c r="Y544" s="247"/>
      <c r="Z544" s="247"/>
      <c r="AA544" s="247"/>
      <c r="AB544" s="247"/>
      <c r="AC544" s="247"/>
    </row>
    <row r="545">
      <c r="A545" s="247"/>
      <c r="B545" s="247"/>
      <c r="C545" s="247"/>
      <c r="D545" s="249"/>
      <c r="E545" s="250"/>
      <c r="F545" s="248"/>
      <c r="G545" s="248"/>
      <c r="H545" s="251"/>
      <c r="I545" s="247"/>
      <c r="J545" s="247"/>
      <c r="K545" s="247"/>
      <c r="L545" s="247"/>
      <c r="M545" s="247"/>
      <c r="N545" s="247"/>
      <c r="O545" s="247"/>
      <c r="P545" s="247"/>
      <c r="Q545" s="247"/>
      <c r="R545" s="247"/>
      <c r="S545" s="247"/>
      <c r="T545" s="247"/>
      <c r="U545" s="247"/>
      <c r="V545" s="247"/>
      <c r="W545" s="247"/>
      <c r="X545" s="247"/>
      <c r="Y545" s="247"/>
      <c r="Z545" s="247"/>
      <c r="AA545" s="247"/>
      <c r="AB545" s="247"/>
      <c r="AC545" s="247"/>
    </row>
    <row r="546">
      <c r="A546" s="247"/>
      <c r="B546" s="247"/>
      <c r="C546" s="247"/>
      <c r="D546" s="249"/>
      <c r="E546" s="250"/>
      <c r="F546" s="248"/>
      <c r="G546" s="248"/>
      <c r="H546" s="251"/>
      <c r="I546" s="247"/>
      <c r="J546" s="247"/>
      <c r="K546" s="247"/>
      <c r="L546" s="247"/>
      <c r="M546" s="247"/>
      <c r="N546" s="247"/>
      <c r="O546" s="247"/>
      <c r="P546" s="247"/>
      <c r="Q546" s="247"/>
      <c r="R546" s="247"/>
      <c r="S546" s="247"/>
      <c r="T546" s="247"/>
      <c r="U546" s="247"/>
      <c r="V546" s="247"/>
      <c r="W546" s="247"/>
      <c r="X546" s="247"/>
      <c r="Y546" s="247"/>
      <c r="Z546" s="247"/>
      <c r="AA546" s="247"/>
      <c r="AB546" s="247"/>
      <c r="AC546" s="247"/>
    </row>
    <row r="547">
      <c r="A547" s="247"/>
      <c r="B547" s="247"/>
      <c r="C547" s="247"/>
      <c r="D547" s="249"/>
      <c r="E547" s="250"/>
      <c r="F547" s="248"/>
      <c r="G547" s="248"/>
      <c r="H547" s="251"/>
      <c r="I547" s="247"/>
      <c r="J547" s="247"/>
      <c r="K547" s="247"/>
      <c r="L547" s="247"/>
      <c r="M547" s="247"/>
      <c r="N547" s="247"/>
      <c r="O547" s="247"/>
      <c r="P547" s="247"/>
      <c r="Q547" s="247"/>
      <c r="R547" s="247"/>
      <c r="S547" s="247"/>
      <c r="T547" s="247"/>
      <c r="U547" s="247"/>
      <c r="V547" s="247"/>
      <c r="W547" s="247"/>
      <c r="X547" s="247"/>
      <c r="Y547" s="247"/>
      <c r="Z547" s="247"/>
      <c r="AA547" s="247"/>
      <c r="AB547" s="247"/>
      <c r="AC547" s="247"/>
    </row>
    <row r="548">
      <c r="A548" s="247"/>
      <c r="B548" s="247"/>
      <c r="C548" s="247"/>
      <c r="D548" s="249"/>
      <c r="E548" s="250"/>
      <c r="F548" s="248"/>
      <c r="G548" s="248"/>
      <c r="H548" s="251"/>
      <c r="I548" s="247"/>
      <c r="J548" s="247"/>
      <c r="K548" s="247"/>
      <c r="L548" s="247"/>
      <c r="M548" s="247"/>
      <c r="N548" s="247"/>
      <c r="O548" s="247"/>
      <c r="P548" s="247"/>
      <c r="Q548" s="247"/>
      <c r="R548" s="247"/>
      <c r="S548" s="247"/>
      <c r="T548" s="247"/>
      <c r="U548" s="247"/>
      <c r="V548" s="247"/>
      <c r="W548" s="247"/>
      <c r="X548" s="247"/>
      <c r="Y548" s="247"/>
      <c r="Z548" s="247"/>
      <c r="AA548" s="247"/>
      <c r="AB548" s="247"/>
      <c r="AC548" s="247"/>
    </row>
    <row r="549">
      <c r="A549" s="247"/>
      <c r="B549" s="247"/>
      <c r="C549" s="247"/>
      <c r="D549" s="249"/>
      <c r="E549" s="250"/>
      <c r="F549" s="248"/>
      <c r="G549" s="248"/>
      <c r="H549" s="251"/>
      <c r="I549" s="247"/>
      <c r="J549" s="247"/>
      <c r="K549" s="247"/>
      <c r="L549" s="247"/>
      <c r="M549" s="247"/>
      <c r="N549" s="247"/>
      <c r="O549" s="247"/>
      <c r="P549" s="247"/>
      <c r="Q549" s="247"/>
      <c r="R549" s="247"/>
      <c r="S549" s="247"/>
      <c r="T549" s="247"/>
      <c r="U549" s="247"/>
      <c r="V549" s="247"/>
      <c r="W549" s="247"/>
      <c r="X549" s="247"/>
      <c r="Y549" s="247"/>
      <c r="Z549" s="247"/>
      <c r="AA549" s="247"/>
      <c r="AB549" s="247"/>
      <c r="AC549" s="247"/>
    </row>
    <row r="550">
      <c r="A550" s="247"/>
      <c r="B550" s="247"/>
      <c r="C550" s="247"/>
      <c r="D550" s="249"/>
      <c r="E550" s="250"/>
      <c r="F550" s="248"/>
      <c r="G550" s="248"/>
      <c r="H550" s="251"/>
      <c r="I550" s="247"/>
      <c r="J550" s="247"/>
      <c r="K550" s="247"/>
      <c r="L550" s="247"/>
      <c r="M550" s="247"/>
      <c r="N550" s="247"/>
      <c r="O550" s="247"/>
      <c r="P550" s="247"/>
      <c r="Q550" s="247"/>
      <c r="R550" s="247"/>
      <c r="S550" s="247"/>
      <c r="T550" s="247"/>
      <c r="U550" s="247"/>
      <c r="V550" s="247"/>
      <c r="W550" s="247"/>
      <c r="X550" s="247"/>
      <c r="Y550" s="247"/>
      <c r="Z550" s="247"/>
      <c r="AA550" s="247"/>
      <c r="AB550" s="247"/>
      <c r="AC550" s="247"/>
    </row>
    <row r="551">
      <c r="A551" s="247"/>
      <c r="B551" s="247"/>
      <c r="C551" s="247"/>
      <c r="D551" s="249"/>
      <c r="E551" s="250"/>
      <c r="F551" s="248"/>
      <c r="G551" s="248"/>
      <c r="H551" s="251"/>
      <c r="I551" s="247"/>
      <c r="J551" s="247"/>
      <c r="K551" s="247"/>
      <c r="L551" s="247"/>
      <c r="M551" s="247"/>
      <c r="N551" s="247"/>
      <c r="O551" s="247"/>
      <c r="P551" s="247"/>
      <c r="Q551" s="247"/>
      <c r="R551" s="247"/>
      <c r="S551" s="247"/>
      <c r="T551" s="247"/>
      <c r="U551" s="247"/>
      <c r="V551" s="247"/>
      <c r="W551" s="247"/>
      <c r="X551" s="247"/>
      <c r="Y551" s="247"/>
      <c r="Z551" s="247"/>
      <c r="AA551" s="247"/>
      <c r="AB551" s="247"/>
      <c r="AC551" s="247"/>
    </row>
    <row r="552">
      <c r="A552" s="247"/>
      <c r="B552" s="247"/>
      <c r="C552" s="247"/>
      <c r="D552" s="249"/>
      <c r="E552" s="250"/>
      <c r="F552" s="248"/>
      <c r="G552" s="248"/>
      <c r="H552" s="251"/>
      <c r="I552" s="247"/>
      <c r="J552" s="247"/>
      <c r="K552" s="247"/>
      <c r="L552" s="247"/>
      <c r="M552" s="247"/>
      <c r="N552" s="247"/>
      <c r="O552" s="247"/>
      <c r="P552" s="247"/>
      <c r="Q552" s="247"/>
      <c r="R552" s="247"/>
      <c r="S552" s="247"/>
      <c r="T552" s="247"/>
      <c r="U552" s="247"/>
      <c r="V552" s="247"/>
      <c r="W552" s="247"/>
      <c r="X552" s="247"/>
      <c r="Y552" s="247"/>
      <c r="Z552" s="247"/>
      <c r="AA552" s="247"/>
      <c r="AB552" s="247"/>
      <c r="AC552" s="247"/>
    </row>
    <row r="553">
      <c r="A553" s="247"/>
      <c r="B553" s="247"/>
      <c r="C553" s="247"/>
      <c r="D553" s="249"/>
      <c r="E553" s="250"/>
      <c r="F553" s="248"/>
      <c r="G553" s="248"/>
      <c r="H553" s="251"/>
      <c r="I553" s="247"/>
      <c r="J553" s="247"/>
      <c r="K553" s="247"/>
      <c r="L553" s="247"/>
      <c r="M553" s="247"/>
      <c r="N553" s="247"/>
      <c r="O553" s="247"/>
      <c r="P553" s="247"/>
      <c r="Q553" s="247"/>
      <c r="R553" s="247"/>
      <c r="S553" s="247"/>
      <c r="T553" s="247"/>
      <c r="U553" s="247"/>
      <c r="V553" s="247"/>
      <c r="W553" s="247"/>
      <c r="X553" s="247"/>
      <c r="Y553" s="247"/>
      <c r="Z553" s="247"/>
      <c r="AA553" s="247"/>
      <c r="AB553" s="247"/>
      <c r="AC553" s="247"/>
    </row>
    <row r="554">
      <c r="A554" s="247"/>
      <c r="B554" s="247"/>
      <c r="C554" s="247"/>
      <c r="D554" s="249"/>
      <c r="E554" s="250"/>
      <c r="F554" s="248"/>
      <c r="G554" s="248"/>
      <c r="H554" s="251"/>
      <c r="I554" s="247"/>
      <c r="J554" s="247"/>
      <c r="K554" s="247"/>
      <c r="L554" s="247"/>
      <c r="M554" s="247"/>
      <c r="N554" s="247"/>
      <c r="O554" s="247"/>
      <c r="P554" s="247"/>
      <c r="Q554" s="247"/>
      <c r="R554" s="247"/>
      <c r="S554" s="247"/>
      <c r="T554" s="247"/>
      <c r="U554" s="247"/>
      <c r="V554" s="247"/>
      <c r="W554" s="247"/>
      <c r="X554" s="247"/>
      <c r="Y554" s="247"/>
      <c r="Z554" s="247"/>
      <c r="AA554" s="247"/>
      <c r="AB554" s="247"/>
      <c r="AC554" s="247"/>
    </row>
    <row r="555">
      <c r="A555" s="247"/>
      <c r="B555" s="247"/>
      <c r="C555" s="247"/>
      <c r="D555" s="249"/>
      <c r="E555" s="250"/>
      <c r="F555" s="248"/>
      <c r="G555" s="248"/>
      <c r="H555" s="251"/>
      <c r="I555" s="247"/>
      <c r="J555" s="247"/>
      <c r="K555" s="247"/>
      <c r="L555" s="247"/>
      <c r="M555" s="247"/>
      <c r="N555" s="247"/>
      <c r="O555" s="247"/>
      <c r="P555" s="247"/>
      <c r="Q555" s="247"/>
      <c r="R555" s="247"/>
      <c r="S555" s="247"/>
      <c r="T555" s="247"/>
      <c r="U555" s="247"/>
      <c r="V555" s="247"/>
      <c r="W555" s="247"/>
      <c r="X555" s="247"/>
      <c r="Y555" s="247"/>
      <c r="Z555" s="247"/>
      <c r="AA555" s="247"/>
      <c r="AB555" s="247"/>
      <c r="AC555" s="247"/>
    </row>
    <row r="556">
      <c r="A556" s="247"/>
      <c r="B556" s="247"/>
      <c r="C556" s="247"/>
      <c r="D556" s="249"/>
      <c r="E556" s="250"/>
      <c r="F556" s="248"/>
      <c r="G556" s="248"/>
      <c r="H556" s="251"/>
      <c r="I556" s="247"/>
      <c r="J556" s="247"/>
      <c r="K556" s="247"/>
      <c r="L556" s="247"/>
      <c r="M556" s="247"/>
      <c r="N556" s="247"/>
      <c r="O556" s="247"/>
      <c r="P556" s="247"/>
      <c r="Q556" s="247"/>
      <c r="R556" s="247"/>
      <c r="S556" s="247"/>
      <c r="T556" s="247"/>
      <c r="U556" s="247"/>
      <c r="V556" s="247"/>
      <c r="W556" s="247"/>
      <c r="X556" s="247"/>
      <c r="Y556" s="247"/>
      <c r="Z556" s="247"/>
      <c r="AA556" s="247"/>
      <c r="AB556" s="247"/>
      <c r="AC556" s="247"/>
    </row>
    <row r="557">
      <c r="A557" s="247"/>
      <c r="B557" s="247"/>
      <c r="C557" s="247"/>
      <c r="D557" s="249"/>
      <c r="E557" s="250"/>
      <c r="F557" s="248"/>
      <c r="G557" s="248"/>
      <c r="H557" s="251"/>
      <c r="I557" s="247"/>
      <c r="J557" s="247"/>
      <c r="K557" s="247"/>
      <c r="L557" s="247"/>
      <c r="M557" s="247"/>
      <c r="N557" s="247"/>
      <c r="O557" s="247"/>
      <c r="P557" s="247"/>
      <c r="Q557" s="247"/>
      <c r="R557" s="247"/>
      <c r="S557" s="247"/>
      <c r="T557" s="247"/>
      <c r="U557" s="247"/>
      <c r="V557" s="247"/>
      <c r="W557" s="247"/>
      <c r="X557" s="247"/>
      <c r="Y557" s="247"/>
      <c r="Z557" s="247"/>
      <c r="AA557" s="247"/>
      <c r="AB557" s="247"/>
      <c r="AC557" s="247"/>
    </row>
    <row r="558">
      <c r="A558" s="247"/>
      <c r="B558" s="247"/>
      <c r="C558" s="247"/>
      <c r="D558" s="249"/>
      <c r="E558" s="250"/>
      <c r="F558" s="248"/>
      <c r="G558" s="248"/>
      <c r="H558" s="251"/>
      <c r="I558" s="247"/>
      <c r="J558" s="247"/>
      <c r="K558" s="247"/>
      <c r="L558" s="247"/>
      <c r="M558" s="247"/>
      <c r="N558" s="247"/>
      <c r="O558" s="247"/>
      <c r="P558" s="247"/>
      <c r="Q558" s="247"/>
      <c r="R558" s="247"/>
      <c r="S558" s="247"/>
      <c r="T558" s="247"/>
      <c r="U558" s="247"/>
      <c r="V558" s="247"/>
      <c r="W558" s="247"/>
      <c r="X558" s="247"/>
      <c r="Y558" s="247"/>
      <c r="Z558" s="247"/>
      <c r="AA558" s="247"/>
      <c r="AB558" s="247"/>
      <c r="AC558" s="247"/>
    </row>
    <row r="559">
      <c r="A559" s="247"/>
      <c r="B559" s="247"/>
      <c r="C559" s="247"/>
      <c r="D559" s="249"/>
      <c r="E559" s="250"/>
      <c r="F559" s="248"/>
      <c r="G559" s="248"/>
      <c r="H559" s="251"/>
      <c r="I559" s="247"/>
      <c r="J559" s="247"/>
      <c r="K559" s="247"/>
      <c r="L559" s="247"/>
      <c r="M559" s="247"/>
      <c r="N559" s="247"/>
      <c r="O559" s="247"/>
      <c r="P559" s="247"/>
      <c r="Q559" s="247"/>
      <c r="R559" s="247"/>
      <c r="S559" s="247"/>
      <c r="T559" s="247"/>
      <c r="U559" s="247"/>
      <c r="V559" s="247"/>
      <c r="W559" s="247"/>
      <c r="X559" s="247"/>
      <c r="Y559" s="247"/>
      <c r="Z559" s="247"/>
      <c r="AA559" s="247"/>
      <c r="AB559" s="247"/>
      <c r="AC559" s="247"/>
    </row>
    <row r="560">
      <c r="A560" s="247"/>
      <c r="B560" s="247"/>
      <c r="C560" s="247"/>
      <c r="D560" s="249"/>
      <c r="E560" s="250"/>
      <c r="F560" s="248"/>
      <c r="G560" s="248"/>
      <c r="H560" s="251"/>
      <c r="I560" s="247"/>
      <c r="J560" s="247"/>
      <c r="K560" s="247"/>
      <c r="L560" s="247"/>
      <c r="M560" s="247"/>
      <c r="N560" s="247"/>
      <c r="O560" s="247"/>
      <c r="P560" s="247"/>
      <c r="Q560" s="247"/>
      <c r="R560" s="247"/>
      <c r="S560" s="247"/>
      <c r="T560" s="247"/>
      <c r="U560" s="247"/>
      <c r="V560" s="247"/>
      <c r="W560" s="247"/>
      <c r="X560" s="247"/>
      <c r="Y560" s="247"/>
      <c r="Z560" s="247"/>
      <c r="AA560" s="247"/>
      <c r="AB560" s="247"/>
      <c r="AC560" s="247"/>
    </row>
    <row r="561">
      <c r="A561" s="247"/>
      <c r="B561" s="247"/>
      <c r="C561" s="247"/>
      <c r="D561" s="249"/>
      <c r="E561" s="250"/>
      <c r="F561" s="248"/>
      <c r="G561" s="248"/>
      <c r="H561" s="251"/>
      <c r="I561" s="247"/>
      <c r="J561" s="247"/>
      <c r="K561" s="247"/>
      <c r="L561" s="247"/>
      <c r="M561" s="247"/>
      <c r="N561" s="247"/>
      <c r="O561" s="247"/>
      <c r="P561" s="247"/>
      <c r="Q561" s="247"/>
      <c r="R561" s="247"/>
      <c r="S561" s="247"/>
      <c r="T561" s="247"/>
      <c r="U561" s="247"/>
      <c r="V561" s="247"/>
      <c r="W561" s="247"/>
      <c r="X561" s="247"/>
      <c r="Y561" s="247"/>
      <c r="Z561" s="247"/>
      <c r="AA561" s="247"/>
      <c r="AB561" s="247"/>
      <c r="AC561" s="247"/>
    </row>
    <row r="562">
      <c r="A562" s="247"/>
      <c r="B562" s="247"/>
      <c r="C562" s="247"/>
      <c r="D562" s="249"/>
      <c r="E562" s="250"/>
      <c r="F562" s="248"/>
      <c r="G562" s="248"/>
      <c r="H562" s="251"/>
      <c r="I562" s="247"/>
      <c r="J562" s="247"/>
      <c r="K562" s="247"/>
      <c r="L562" s="247"/>
      <c r="M562" s="247"/>
      <c r="N562" s="247"/>
      <c r="O562" s="247"/>
      <c r="P562" s="247"/>
      <c r="Q562" s="247"/>
      <c r="R562" s="247"/>
      <c r="S562" s="247"/>
      <c r="T562" s="247"/>
      <c r="U562" s="247"/>
      <c r="V562" s="247"/>
      <c r="W562" s="247"/>
      <c r="X562" s="247"/>
      <c r="Y562" s="247"/>
      <c r="Z562" s="247"/>
      <c r="AA562" s="247"/>
      <c r="AB562" s="247"/>
      <c r="AC562" s="247"/>
    </row>
    <row r="563">
      <c r="A563" s="247"/>
      <c r="B563" s="247"/>
      <c r="C563" s="247"/>
      <c r="D563" s="249"/>
      <c r="E563" s="250"/>
      <c r="F563" s="248"/>
      <c r="G563" s="248"/>
      <c r="H563" s="251"/>
      <c r="I563" s="247"/>
      <c r="J563" s="247"/>
      <c r="K563" s="247"/>
      <c r="L563" s="247"/>
      <c r="M563" s="247"/>
      <c r="N563" s="247"/>
      <c r="O563" s="247"/>
      <c r="P563" s="247"/>
      <c r="Q563" s="247"/>
      <c r="R563" s="247"/>
      <c r="S563" s="247"/>
      <c r="T563" s="247"/>
      <c r="U563" s="247"/>
      <c r="V563" s="247"/>
      <c r="W563" s="247"/>
      <c r="X563" s="247"/>
      <c r="Y563" s="247"/>
      <c r="Z563" s="247"/>
      <c r="AA563" s="247"/>
      <c r="AB563" s="247"/>
      <c r="AC563" s="247"/>
    </row>
    <row r="564">
      <c r="A564" s="247"/>
      <c r="B564" s="247"/>
      <c r="C564" s="247"/>
      <c r="D564" s="249"/>
      <c r="E564" s="250"/>
      <c r="F564" s="248"/>
      <c r="G564" s="248"/>
      <c r="H564" s="251"/>
      <c r="I564" s="247"/>
      <c r="J564" s="247"/>
      <c r="K564" s="247"/>
      <c r="L564" s="247"/>
      <c r="M564" s="247"/>
      <c r="N564" s="247"/>
      <c r="O564" s="247"/>
      <c r="P564" s="247"/>
      <c r="Q564" s="247"/>
      <c r="R564" s="247"/>
      <c r="S564" s="247"/>
      <c r="T564" s="247"/>
      <c r="U564" s="247"/>
      <c r="V564" s="247"/>
      <c r="W564" s="247"/>
      <c r="X564" s="247"/>
      <c r="Y564" s="247"/>
      <c r="Z564" s="247"/>
      <c r="AA564" s="247"/>
      <c r="AB564" s="247"/>
      <c r="AC564" s="247"/>
    </row>
    <row r="565">
      <c r="A565" s="247"/>
      <c r="B565" s="247"/>
      <c r="C565" s="247"/>
      <c r="D565" s="249"/>
      <c r="E565" s="250"/>
      <c r="F565" s="248"/>
      <c r="G565" s="248"/>
      <c r="H565" s="251"/>
      <c r="I565" s="247"/>
      <c r="J565" s="247"/>
      <c r="K565" s="247"/>
      <c r="L565" s="247"/>
      <c r="M565" s="247"/>
      <c r="N565" s="247"/>
      <c r="O565" s="247"/>
      <c r="P565" s="247"/>
      <c r="Q565" s="247"/>
      <c r="R565" s="247"/>
      <c r="S565" s="247"/>
      <c r="T565" s="247"/>
      <c r="U565" s="247"/>
      <c r="V565" s="247"/>
      <c r="W565" s="247"/>
      <c r="X565" s="247"/>
      <c r="Y565" s="247"/>
      <c r="Z565" s="247"/>
      <c r="AA565" s="247"/>
      <c r="AB565" s="247"/>
      <c r="AC565" s="247"/>
    </row>
    <row r="566">
      <c r="A566" s="247"/>
      <c r="B566" s="247"/>
      <c r="C566" s="247"/>
      <c r="D566" s="249"/>
      <c r="E566" s="250"/>
      <c r="F566" s="248"/>
      <c r="G566" s="248"/>
      <c r="H566" s="251"/>
      <c r="I566" s="247"/>
      <c r="J566" s="247"/>
      <c r="K566" s="247"/>
      <c r="L566" s="247"/>
      <c r="M566" s="247"/>
      <c r="N566" s="247"/>
      <c r="O566" s="247"/>
      <c r="P566" s="247"/>
      <c r="Q566" s="247"/>
      <c r="R566" s="247"/>
      <c r="S566" s="247"/>
      <c r="T566" s="247"/>
      <c r="U566" s="247"/>
      <c r="V566" s="247"/>
      <c r="W566" s="247"/>
      <c r="X566" s="247"/>
      <c r="Y566" s="247"/>
      <c r="Z566" s="247"/>
      <c r="AA566" s="247"/>
      <c r="AB566" s="247"/>
      <c r="AC566" s="247"/>
    </row>
    <row r="567">
      <c r="A567" s="247"/>
      <c r="B567" s="247"/>
      <c r="C567" s="247"/>
      <c r="D567" s="249"/>
      <c r="E567" s="250"/>
      <c r="F567" s="248"/>
      <c r="G567" s="248"/>
      <c r="H567" s="251"/>
      <c r="I567" s="247"/>
      <c r="J567" s="247"/>
      <c r="K567" s="247"/>
      <c r="L567" s="247"/>
      <c r="M567" s="247"/>
      <c r="N567" s="247"/>
      <c r="O567" s="247"/>
      <c r="P567" s="247"/>
      <c r="Q567" s="247"/>
      <c r="R567" s="247"/>
      <c r="S567" s="247"/>
      <c r="T567" s="247"/>
      <c r="U567" s="247"/>
      <c r="V567" s="247"/>
      <c r="W567" s="247"/>
      <c r="X567" s="247"/>
      <c r="Y567" s="247"/>
      <c r="Z567" s="247"/>
      <c r="AA567" s="247"/>
      <c r="AB567" s="247"/>
      <c r="AC567" s="247"/>
    </row>
    <row r="568">
      <c r="A568" s="247"/>
      <c r="B568" s="247"/>
      <c r="C568" s="247"/>
      <c r="D568" s="249"/>
      <c r="E568" s="250"/>
      <c r="F568" s="248"/>
      <c r="G568" s="248"/>
      <c r="H568" s="251"/>
      <c r="I568" s="247"/>
      <c r="J568" s="247"/>
      <c r="K568" s="247"/>
      <c r="L568" s="247"/>
      <c r="M568" s="247"/>
      <c r="N568" s="247"/>
      <c r="O568" s="247"/>
      <c r="P568" s="247"/>
      <c r="Q568" s="247"/>
      <c r="R568" s="247"/>
      <c r="S568" s="247"/>
      <c r="T568" s="247"/>
      <c r="U568" s="247"/>
      <c r="V568" s="247"/>
      <c r="W568" s="247"/>
      <c r="X568" s="247"/>
      <c r="Y568" s="247"/>
      <c r="Z568" s="247"/>
      <c r="AA568" s="247"/>
      <c r="AB568" s="247"/>
      <c r="AC568" s="247"/>
    </row>
    <row r="569">
      <c r="A569" s="247"/>
      <c r="B569" s="247"/>
      <c r="C569" s="247"/>
      <c r="D569" s="249"/>
      <c r="E569" s="250"/>
      <c r="F569" s="248"/>
      <c r="G569" s="248"/>
      <c r="H569" s="251"/>
      <c r="I569" s="247"/>
      <c r="J569" s="247"/>
      <c r="K569" s="247"/>
      <c r="L569" s="247"/>
      <c r="M569" s="247"/>
      <c r="N569" s="247"/>
      <c r="O569" s="247"/>
      <c r="P569" s="247"/>
      <c r="Q569" s="247"/>
      <c r="R569" s="247"/>
      <c r="S569" s="247"/>
      <c r="T569" s="247"/>
      <c r="U569" s="247"/>
      <c r="V569" s="247"/>
      <c r="W569" s="247"/>
      <c r="X569" s="247"/>
      <c r="Y569" s="247"/>
      <c r="Z569" s="247"/>
      <c r="AA569" s="247"/>
      <c r="AB569" s="247"/>
      <c r="AC569" s="247"/>
    </row>
    <row r="570">
      <c r="A570" s="247"/>
      <c r="B570" s="247"/>
      <c r="C570" s="247"/>
      <c r="D570" s="249"/>
      <c r="E570" s="250"/>
      <c r="F570" s="248"/>
      <c r="G570" s="248"/>
      <c r="H570" s="251"/>
      <c r="I570" s="247"/>
      <c r="J570" s="247"/>
      <c r="K570" s="247"/>
      <c r="L570" s="247"/>
      <c r="M570" s="247"/>
      <c r="N570" s="247"/>
      <c r="O570" s="247"/>
      <c r="P570" s="247"/>
      <c r="Q570" s="247"/>
      <c r="R570" s="247"/>
      <c r="S570" s="247"/>
      <c r="T570" s="247"/>
      <c r="U570" s="247"/>
      <c r="V570" s="247"/>
      <c r="W570" s="247"/>
      <c r="X570" s="247"/>
      <c r="Y570" s="247"/>
      <c r="Z570" s="247"/>
      <c r="AA570" s="247"/>
      <c r="AB570" s="247"/>
      <c r="AC570" s="247"/>
    </row>
    <row r="571">
      <c r="A571" s="247"/>
      <c r="B571" s="247"/>
      <c r="C571" s="247"/>
      <c r="D571" s="249"/>
      <c r="E571" s="250"/>
      <c r="F571" s="248"/>
      <c r="G571" s="248"/>
      <c r="H571" s="251"/>
      <c r="I571" s="247"/>
      <c r="J571" s="247"/>
      <c r="K571" s="247"/>
      <c r="L571" s="247"/>
      <c r="M571" s="247"/>
      <c r="N571" s="247"/>
      <c r="O571" s="247"/>
      <c r="P571" s="247"/>
      <c r="Q571" s="247"/>
      <c r="R571" s="247"/>
      <c r="S571" s="247"/>
      <c r="T571" s="247"/>
      <c r="U571" s="247"/>
      <c r="V571" s="247"/>
      <c r="W571" s="247"/>
      <c r="X571" s="247"/>
      <c r="Y571" s="247"/>
      <c r="Z571" s="247"/>
      <c r="AA571" s="247"/>
      <c r="AB571" s="247"/>
      <c r="AC571" s="247"/>
    </row>
    <row r="572">
      <c r="A572" s="247"/>
      <c r="B572" s="247"/>
      <c r="C572" s="247"/>
      <c r="D572" s="249"/>
      <c r="E572" s="250"/>
      <c r="F572" s="248"/>
      <c r="G572" s="248"/>
      <c r="H572" s="251"/>
      <c r="I572" s="247"/>
      <c r="J572" s="247"/>
      <c r="K572" s="247"/>
      <c r="L572" s="247"/>
      <c r="M572" s="247"/>
      <c r="N572" s="247"/>
      <c r="O572" s="247"/>
      <c r="P572" s="247"/>
      <c r="Q572" s="247"/>
      <c r="R572" s="247"/>
      <c r="S572" s="247"/>
      <c r="T572" s="247"/>
      <c r="U572" s="247"/>
      <c r="V572" s="247"/>
      <c r="W572" s="247"/>
      <c r="X572" s="247"/>
      <c r="Y572" s="247"/>
      <c r="Z572" s="247"/>
      <c r="AA572" s="247"/>
      <c r="AB572" s="247"/>
      <c r="AC572" s="247"/>
    </row>
    <row r="573">
      <c r="A573" s="247"/>
      <c r="B573" s="247"/>
      <c r="C573" s="247"/>
      <c r="D573" s="249"/>
      <c r="E573" s="250"/>
      <c r="F573" s="248"/>
      <c r="G573" s="248"/>
      <c r="H573" s="251"/>
      <c r="I573" s="247"/>
      <c r="J573" s="247"/>
      <c r="K573" s="247"/>
      <c r="L573" s="247"/>
      <c r="M573" s="247"/>
      <c r="N573" s="247"/>
      <c r="O573" s="247"/>
      <c r="P573" s="247"/>
      <c r="Q573" s="247"/>
      <c r="R573" s="247"/>
      <c r="S573" s="247"/>
      <c r="T573" s="247"/>
      <c r="U573" s="247"/>
      <c r="V573" s="247"/>
      <c r="W573" s="247"/>
      <c r="X573" s="247"/>
      <c r="Y573" s="247"/>
      <c r="Z573" s="247"/>
      <c r="AA573" s="247"/>
      <c r="AB573" s="247"/>
      <c r="AC573" s="247"/>
    </row>
    <row r="574">
      <c r="A574" s="247"/>
      <c r="B574" s="247"/>
      <c r="C574" s="247"/>
      <c r="D574" s="249"/>
      <c r="E574" s="250"/>
      <c r="F574" s="248"/>
      <c r="G574" s="248"/>
      <c r="H574" s="251"/>
      <c r="I574" s="247"/>
      <c r="J574" s="247"/>
      <c r="K574" s="247"/>
      <c r="L574" s="247"/>
      <c r="M574" s="247"/>
      <c r="N574" s="247"/>
      <c r="O574" s="247"/>
      <c r="P574" s="247"/>
      <c r="Q574" s="247"/>
      <c r="R574" s="247"/>
      <c r="S574" s="247"/>
      <c r="T574" s="247"/>
      <c r="U574" s="247"/>
      <c r="V574" s="247"/>
      <c r="W574" s="247"/>
      <c r="X574" s="247"/>
      <c r="Y574" s="247"/>
      <c r="Z574" s="247"/>
      <c r="AA574" s="247"/>
      <c r="AB574" s="247"/>
      <c r="AC574" s="247"/>
    </row>
    <row r="575">
      <c r="A575" s="247"/>
      <c r="B575" s="247"/>
      <c r="C575" s="247"/>
      <c r="D575" s="249"/>
      <c r="E575" s="250"/>
      <c r="F575" s="248"/>
      <c r="G575" s="248"/>
      <c r="H575" s="251"/>
      <c r="I575" s="247"/>
      <c r="J575" s="247"/>
      <c r="K575" s="247"/>
      <c r="L575" s="247"/>
      <c r="M575" s="247"/>
      <c r="N575" s="247"/>
      <c r="O575" s="247"/>
      <c r="P575" s="247"/>
      <c r="Q575" s="247"/>
      <c r="R575" s="247"/>
      <c r="S575" s="247"/>
      <c r="T575" s="247"/>
      <c r="U575" s="247"/>
      <c r="V575" s="247"/>
      <c r="W575" s="247"/>
      <c r="X575" s="247"/>
      <c r="Y575" s="247"/>
      <c r="Z575" s="247"/>
      <c r="AA575" s="247"/>
      <c r="AB575" s="247"/>
      <c r="AC575" s="247"/>
    </row>
    <row r="576">
      <c r="A576" s="247"/>
      <c r="B576" s="247"/>
      <c r="C576" s="247"/>
      <c r="D576" s="249"/>
      <c r="E576" s="250"/>
      <c r="F576" s="248"/>
      <c r="G576" s="248"/>
      <c r="H576" s="251"/>
      <c r="I576" s="247"/>
      <c r="J576" s="247"/>
      <c r="K576" s="247"/>
      <c r="L576" s="247"/>
      <c r="M576" s="247"/>
      <c r="N576" s="247"/>
      <c r="O576" s="247"/>
      <c r="P576" s="247"/>
      <c r="Q576" s="247"/>
      <c r="R576" s="247"/>
      <c r="S576" s="247"/>
      <c r="T576" s="247"/>
      <c r="U576" s="247"/>
      <c r="V576" s="247"/>
      <c r="W576" s="247"/>
      <c r="X576" s="247"/>
      <c r="Y576" s="247"/>
      <c r="Z576" s="247"/>
      <c r="AA576" s="247"/>
      <c r="AB576" s="247"/>
      <c r="AC576" s="247"/>
    </row>
    <row r="577">
      <c r="A577" s="247"/>
      <c r="B577" s="247"/>
      <c r="C577" s="247"/>
      <c r="D577" s="249"/>
      <c r="E577" s="250"/>
      <c r="F577" s="248"/>
      <c r="G577" s="248"/>
      <c r="H577" s="251"/>
      <c r="I577" s="247"/>
      <c r="J577" s="247"/>
      <c r="K577" s="247"/>
      <c r="L577" s="247"/>
      <c r="M577" s="247"/>
      <c r="N577" s="247"/>
      <c r="O577" s="247"/>
      <c r="P577" s="247"/>
      <c r="Q577" s="247"/>
      <c r="R577" s="247"/>
      <c r="S577" s="247"/>
      <c r="T577" s="247"/>
      <c r="U577" s="247"/>
      <c r="V577" s="247"/>
      <c r="W577" s="247"/>
      <c r="X577" s="247"/>
      <c r="Y577" s="247"/>
      <c r="Z577" s="247"/>
      <c r="AA577" s="247"/>
      <c r="AB577" s="247"/>
      <c r="AC577" s="247"/>
    </row>
    <row r="578">
      <c r="A578" s="247"/>
      <c r="B578" s="247"/>
      <c r="C578" s="247"/>
      <c r="D578" s="249"/>
      <c r="E578" s="250"/>
      <c r="F578" s="248"/>
      <c r="G578" s="248"/>
      <c r="H578" s="251"/>
      <c r="I578" s="247"/>
      <c r="J578" s="247"/>
      <c r="K578" s="247"/>
      <c r="L578" s="247"/>
      <c r="M578" s="247"/>
      <c r="N578" s="247"/>
      <c r="O578" s="247"/>
      <c r="P578" s="247"/>
      <c r="Q578" s="247"/>
      <c r="R578" s="247"/>
      <c r="S578" s="247"/>
      <c r="T578" s="247"/>
      <c r="U578" s="247"/>
      <c r="V578" s="247"/>
      <c r="W578" s="247"/>
      <c r="X578" s="247"/>
      <c r="Y578" s="247"/>
      <c r="Z578" s="247"/>
      <c r="AA578" s="247"/>
      <c r="AB578" s="247"/>
      <c r="AC578" s="247"/>
    </row>
    <row r="579">
      <c r="A579" s="247"/>
      <c r="B579" s="247"/>
      <c r="C579" s="247"/>
      <c r="D579" s="249"/>
      <c r="E579" s="250"/>
      <c r="F579" s="248"/>
      <c r="G579" s="248"/>
      <c r="H579" s="251"/>
      <c r="I579" s="247"/>
      <c r="J579" s="247"/>
      <c r="K579" s="247"/>
      <c r="L579" s="247"/>
      <c r="M579" s="247"/>
      <c r="N579" s="247"/>
      <c r="O579" s="247"/>
      <c r="P579" s="247"/>
      <c r="Q579" s="247"/>
      <c r="R579" s="247"/>
      <c r="S579" s="247"/>
      <c r="T579" s="247"/>
      <c r="U579" s="247"/>
      <c r="V579" s="247"/>
      <c r="W579" s="247"/>
      <c r="X579" s="247"/>
      <c r="Y579" s="247"/>
      <c r="Z579" s="247"/>
      <c r="AA579" s="247"/>
      <c r="AB579" s="247"/>
      <c r="AC579" s="247"/>
    </row>
    <row r="580">
      <c r="A580" s="247"/>
      <c r="B580" s="247"/>
      <c r="C580" s="247"/>
      <c r="D580" s="249"/>
      <c r="E580" s="250"/>
      <c r="F580" s="248"/>
      <c r="G580" s="248"/>
      <c r="H580" s="251"/>
      <c r="I580" s="247"/>
      <c r="J580" s="247"/>
      <c r="K580" s="247"/>
      <c r="L580" s="247"/>
      <c r="M580" s="247"/>
      <c r="N580" s="247"/>
      <c r="O580" s="247"/>
      <c r="P580" s="247"/>
      <c r="Q580" s="247"/>
      <c r="R580" s="247"/>
      <c r="S580" s="247"/>
      <c r="T580" s="247"/>
      <c r="U580" s="247"/>
      <c r="V580" s="247"/>
      <c r="W580" s="247"/>
      <c r="X580" s="247"/>
      <c r="Y580" s="247"/>
      <c r="Z580" s="247"/>
      <c r="AA580" s="247"/>
      <c r="AB580" s="247"/>
      <c r="AC580" s="247"/>
    </row>
    <row r="581">
      <c r="A581" s="247"/>
      <c r="B581" s="247"/>
      <c r="C581" s="247"/>
      <c r="D581" s="249"/>
      <c r="E581" s="250"/>
      <c r="F581" s="248"/>
      <c r="G581" s="248"/>
      <c r="H581" s="251"/>
      <c r="I581" s="247"/>
      <c r="J581" s="247"/>
      <c r="K581" s="247"/>
      <c r="L581" s="247"/>
      <c r="M581" s="247"/>
      <c r="N581" s="247"/>
      <c r="O581" s="247"/>
      <c r="P581" s="247"/>
      <c r="Q581" s="247"/>
      <c r="R581" s="247"/>
      <c r="S581" s="247"/>
      <c r="T581" s="247"/>
      <c r="U581" s="247"/>
      <c r="V581" s="247"/>
      <c r="W581" s="247"/>
      <c r="X581" s="247"/>
      <c r="Y581" s="247"/>
      <c r="Z581" s="247"/>
      <c r="AA581" s="247"/>
      <c r="AB581" s="247"/>
      <c r="AC581" s="247"/>
    </row>
    <row r="582">
      <c r="A582" s="247"/>
      <c r="B582" s="247"/>
      <c r="C582" s="247"/>
      <c r="D582" s="249"/>
      <c r="E582" s="250"/>
      <c r="F582" s="248"/>
      <c r="G582" s="248"/>
      <c r="H582" s="251"/>
      <c r="I582" s="247"/>
      <c r="J582" s="247"/>
      <c r="K582" s="247"/>
      <c r="L582" s="247"/>
      <c r="M582" s="247"/>
      <c r="N582" s="247"/>
      <c r="O582" s="247"/>
      <c r="P582" s="247"/>
      <c r="Q582" s="247"/>
      <c r="R582" s="247"/>
      <c r="S582" s="247"/>
      <c r="T582" s="247"/>
      <c r="U582" s="247"/>
      <c r="V582" s="247"/>
      <c r="W582" s="247"/>
      <c r="X582" s="247"/>
      <c r="Y582" s="247"/>
      <c r="Z582" s="247"/>
      <c r="AA582" s="247"/>
      <c r="AB582" s="247"/>
      <c r="AC582" s="247"/>
    </row>
    <row r="583">
      <c r="A583" s="247"/>
      <c r="B583" s="247"/>
      <c r="C583" s="247"/>
      <c r="D583" s="249"/>
      <c r="E583" s="250"/>
      <c r="F583" s="248"/>
      <c r="G583" s="248"/>
      <c r="H583" s="251"/>
      <c r="I583" s="247"/>
      <c r="J583" s="247"/>
      <c r="K583" s="247"/>
      <c r="L583" s="247"/>
      <c r="M583" s="247"/>
      <c r="N583" s="247"/>
      <c r="O583" s="247"/>
      <c r="P583" s="247"/>
      <c r="Q583" s="247"/>
      <c r="R583" s="247"/>
      <c r="S583" s="247"/>
      <c r="T583" s="247"/>
      <c r="U583" s="247"/>
      <c r="V583" s="247"/>
      <c r="W583" s="247"/>
      <c r="X583" s="247"/>
      <c r="Y583" s="247"/>
      <c r="Z583" s="247"/>
      <c r="AA583" s="247"/>
      <c r="AB583" s="247"/>
      <c r="AC583" s="247"/>
    </row>
    <row r="584">
      <c r="A584" s="247"/>
      <c r="B584" s="247"/>
      <c r="C584" s="247"/>
      <c r="D584" s="249"/>
      <c r="E584" s="250"/>
      <c r="F584" s="248"/>
      <c r="G584" s="248"/>
      <c r="H584" s="251"/>
      <c r="I584" s="247"/>
      <c r="J584" s="247"/>
      <c r="K584" s="247"/>
      <c r="L584" s="247"/>
      <c r="M584" s="247"/>
      <c r="N584" s="247"/>
      <c r="O584" s="247"/>
      <c r="P584" s="247"/>
      <c r="Q584" s="247"/>
      <c r="R584" s="247"/>
      <c r="S584" s="247"/>
      <c r="T584" s="247"/>
      <c r="U584" s="247"/>
      <c r="V584" s="247"/>
      <c r="W584" s="247"/>
      <c r="X584" s="247"/>
      <c r="Y584" s="247"/>
      <c r="Z584" s="247"/>
      <c r="AA584" s="247"/>
      <c r="AB584" s="247"/>
      <c r="AC584" s="247"/>
    </row>
    <row r="585">
      <c r="A585" s="247"/>
      <c r="B585" s="247"/>
      <c r="C585" s="247"/>
      <c r="D585" s="249"/>
      <c r="E585" s="250"/>
      <c r="F585" s="248"/>
      <c r="G585" s="248"/>
      <c r="H585" s="251"/>
      <c r="I585" s="247"/>
      <c r="J585" s="247"/>
      <c r="K585" s="247"/>
      <c r="L585" s="247"/>
      <c r="M585" s="247"/>
      <c r="N585" s="247"/>
      <c r="O585" s="247"/>
      <c r="P585" s="247"/>
      <c r="Q585" s="247"/>
      <c r="R585" s="247"/>
      <c r="S585" s="247"/>
      <c r="T585" s="247"/>
      <c r="U585" s="247"/>
      <c r="V585" s="247"/>
      <c r="W585" s="247"/>
      <c r="X585" s="247"/>
      <c r="Y585" s="247"/>
      <c r="Z585" s="247"/>
      <c r="AA585" s="247"/>
      <c r="AB585" s="247"/>
      <c r="AC585" s="247"/>
    </row>
    <row r="586">
      <c r="A586" s="247"/>
      <c r="B586" s="247"/>
      <c r="C586" s="247"/>
      <c r="D586" s="249"/>
      <c r="E586" s="250"/>
      <c r="F586" s="248"/>
      <c r="G586" s="248"/>
      <c r="H586" s="251"/>
      <c r="I586" s="247"/>
      <c r="J586" s="247"/>
      <c r="K586" s="247"/>
      <c r="L586" s="247"/>
      <c r="M586" s="247"/>
      <c r="N586" s="247"/>
      <c r="O586" s="247"/>
      <c r="P586" s="247"/>
      <c r="Q586" s="247"/>
      <c r="R586" s="247"/>
      <c r="S586" s="247"/>
      <c r="T586" s="247"/>
      <c r="U586" s="247"/>
      <c r="V586" s="247"/>
      <c r="W586" s="247"/>
      <c r="X586" s="247"/>
      <c r="Y586" s="247"/>
      <c r="Z586" s="247"/>
      <c r="AA586" s="247"/>
      <c r="AB586" s="247"/>
      <c r="AC586" s="247"/>
    </row>
    <row r="587">
      <c r="A587" s="247"/>
      <c r="B587" s="247"/>
      <c r="C587" s="247"/>
      <c r="D587" s="249"/>
      <c r="E587" s="250"/>
      <c r="F587" s="248"/>
      <c r="G587" s="248"/>
      <c r="H587" s="251"/>
      <c r="I587" s="247"/>
      <c r="J587" s="247"/>
      <c r="K587" s="247"/>
      <c r="L587" s="247"/>
      <c r="M587" s="247"/>
      <c r="N587" s="247"/>
      <c r="O587" s="247"/>
      <c r="P587" s="247"/>
      <c r="Q587" s="247"/>
      <c r="R587" s="247"/>
      <c r="S587" s="247"/>
      <c r="T587" s="247"/>
      <c r="U587" s="247"/>
      <c r="V587" s="247"/>
      <c r="W587" s="247"/>
      <c r="X587" s="247"/>
      <c r="Y587" s="247"/>
      <c r="Z587" s="247"/>
      <c r="AA587" s="247"/>
      <c r="AB587" s="247"/>
      <c r="AC587" s="247"/>
    </row>
    <row r="588">
      <c r="A588" s="247"/>
      <c r="B588" s="247"/>
      <c r="C588" s="247"/>
      <c r="D588" s="249"/>
      <c r="E588" s="250"/>
      <c r="F588" s="248"/>
      <c r="G588" s="248"/>
      <c r="H588" s="251"/>
      <c r="I588" s="247"/>
      <c r="J588" s="247"/>
      <c r="K588" s="247"/>
      <c r="L588" s="247"/>
      <c r="M588" s="247"/>
      <c r="N588" s="247"/>
      <c r="O588" s="247"/>
      <c r="P588" s="247"/>
      <c r="Q588" s="247"/>
      <c r="R588" s="247"/>
      <c r="S588" s="247"/>
      <c r="T588" s="247"/>
      <c r="U588" s="247"/>
      <c r="V588" s="247"/>
      <c r="W588" s="247"/>
      <c r="X588" s="247"/>
      <c r="Y588" s="247"/>
      <c r="Z588" s="247"/>
      <c r="AA588" s="247"/>
      <c r="AB588" s="247"/>
      <c r="AC588" s="247"/>
    </row>
    <row r="589">
      <c r="A589" s="247"/>
      <c r="B589" s="247"/>
      <c r="C589" s="247"/>
      <c r="D589" s="249"/>
      <c r="E589" s="250"/>
      <c r="F589" s="248"/>
      <c r="G589" s="248"/>
      <c r="H589" s="251"/>
      <c r="I589" s="247"/>
      <c r="J589" s="247"/>
      <c r="K589" s="247"/>
      <c r="L589" s="247"/>
      <c r="M589" s="247"/>
      <c r="N589" s="247"/>
      <c r="O589" s="247"/>
      <c r="P589" s="247"/>
      <c r="Q589" s="247"/>
      <c r="R589" s="247"/>
      <c r="S589" s="247"/>
      <c r="T589" s="247"/>
      <c r="U589" s="247"/>
      <c r="V589" s="247"/>
      <c r="W589" s="247"/>
      <c r="X589" s="247"/>
      <c r="Y589" s="247"/>
      <c r="Z589" s="247"/>
      <c r="AA589" s="247"/>
      <c r="AB589" s="247"/>
      <c r="AC589" s="247"/>
    </row>
    <row r="590">
      <c r="A590" s="247"/>
      <c r="B590" s="247"/>
      <c r="C590" s="247"/>
      <c r="D590" s="249"/>
      <c r="E590" s="250"/>
      <c r="F590" s="248"/>
      <c r="G590" s="248"/>
      <c r="H590" s="251"/>
      <c r="I590" s="247"/>
      <c r="J590" s="247"/>
      <c r="K590" s="247"/>
      <c r="L590" s="247"/>
      <c r="M590" s="247"/>
      <c r="N590" s="247"/>
      <c r="O590" s="247"/>
      <c r="P590" s="247"/>
      <c r="Q590" s="247"/>
      <c r="R590" s="247"/>
      <c r="S590" s="247"/>
      <c r="T590" s="247"/>
      <c r="U590" s="247"/>
      <c r="V590" s="247"/>
      <c r="W590" s="247"/>
      <c r="X590" s="247"/>
      <c r="Y590" s="247"/>
      <c r="Z590" s="247"/>
      <c r="AA590" s="247"/>
      <c r="AB590" s="247"/>
      <c r="AC590" s="247"/>
    </row>
    <row r="591">
      <c r="A591" s="247"/>
      <c r="B591" s="247"/>
      <c r="C591" s="247"/>
      <c r="D591" s="249"/>
      <c r="E591" s="250"/>
      <c r="F591" s="248"/>
      <c r="G591" s="248"/>
      <c r="H591" s="251"/>
      <c r="I591" s="247"/>
      <c r="J591" s="247"/>
      <c r="K591" s="247"/>
      <c r="L591" s="247"/>
      <c r="M591" s="247"/>
      <c r="N591" s="247"/>
      <c r="O591" s="247"/>
      <c r="P591" s="247"/>
      <c r="Q591" s="247"/>
      <c r="R591" s="247"/>
      <c r="S591" s="247"/>
      <c r="T591" s="247"/>
      <c r="U591" s="247"/>
      <c r="V591" s="247"/>
      <c r="W591" s="247"/>
      <c r="X591" s="247"/>
      <c r="Y591" s="247"/>
      <c r="Z591" s="247"/>
      <c r="AA591" s="247"/>
      <c r="AB591" s="247"/>
      <c r="AC591" s="247"/>
    </row>
    <row r="592">
      <c r="A592" s="247"/>
      <c r="B592" s="247"/>
      <c r="C592" s="247"/>
      <c r="D592" s="249"/>
      <c r="E592" s="250"/>
      <c r="F592" s="248"/>
      <c r="G592" s="248"/>
      <c r="H592" s="251"/>
      <c r="I592" s="247"/>
      <c r="J592" s="247"/>
      <c r="K592" s="247"/>
      <c r="L592" s="247"/>
      <c r="M592" s="247"/>
      <c r="N592" s="247"/>
      <c r="O592" s="247"/>
      <c r="P592" s="247"/>
      <c r="Q592" s="247"/>
      <c r="R592" s="247"/>
      <c r="S592" s="247"/>
      <c r="T592" s="247"/>
      <c r="U592" s="247"/>
      <c r="V592" s="247"/>
      <c r="W592" s="247"/>
      <c r="X592" s="247"/>
      <c r="Y592" s="247"/>
      <c r="Z592" s="247"/>
      <c r="AA592" s="247"/>
      <c r="AB592" s="247"/>
      <c r="AC592" s="247"/>
    </row>
    <row r="593">
      <c r="A593" s="247"/>
      <c r="B593" s="247"/>
      <c r="C593" s="247"/>
      <c r="D593" s="249"/>
      <c r="E593" s="250"/>
      <c r="F593" s="248"/>
      <c r="G593" s="248"/>
      <c r="H593" s="251"/>
      <c r="I593" s="247"/>
      <c r="J593" s="247"/>
      <c r="K593" s="247"/>
      <c r="L593" s="247"/>
      <c r="M593" s="247"/>
      <c r="N593" s="247"/>
      <c r="O593" s="247"/>
      <c r="P593" s="247"/>
      <c r="Q593" s="247"/>
      <c r="R593" s="247"/>
      <c r="S593" s="247"/>
      <c r="T593" s="247"/>
      <c r="U593" s="247"/>
      <c r="V593" s="247"/>
      <c r="W593" s="247"/>
      <c r="X593" s="247"/>
      <c r="Y593" s="247"/>
      <c r="Z593" s="247"/>
      <c r="AA593" s="247"/>
      <c r="AB593" s="247"/>
      <c r="AC593" s="247"/>
    </row>
    <row r="594">
      <c r="A594" s="247"/>
      <c r="B594" s="247"/>
      <c r="C594" s="247"/>
      <c r="D594" s="249"/>
      <c r="E594" s="250"/>
      <c r="F594" s="248"/>
      <c r="G594" s="248"/>
      <c r="H594" s="251"/>
      <c r="I594" s="247"/>
      <c r="J594" s="247"/>
      <c r="K594" s="247"/>
      <c r="L594" s="247"/>
      <c r="M594" s="247"/>
      <c r="N594" s="247"/>
      <c r="O594" s="247"/>
      <c r="P594" s="247"/>
      <c r="Q594" s="247"/>
      <c r="R594" s="247"/>
      <c r="S594" s="247"/>
      <c r="T594" s="247"/>
      <c r="U594" s="247"/>
      <c r="V594" s="247"/>
      <c r="W594" s="247"/>
      <c r="X594" s="247"/>
      <c r="Y594" s="247"/>
      <c r="Z594" s="247"/>
      <c r="AA594" s="247"/>
      <c r="AB594" s="247"/>
      <c r="AC594" s="247"/>
    </row>
    <row r="595">
      <c r="A595" s="247"/>
      <c r="B595" s="247"/>
      <c r="C595" s="247"/>
      <c r="D595" s="249"/>
      <c r="E595" s="250"/>
      <c r="F595" s="248"/>
      <c r="G595" s="248"/>
      <c r="H595" s="251"/>
      <c r="I595" s="247"/>
      <c r="J595" s="247"/>
      <c r="K595" s="247"/>
      <c r="L595" s="247"/>
      <c r="M595" s="247"/>
      <c r="N595" s="247"/>
      <c r="O595" s="247"/>
      <c r="P595" s="247"/>
      <c r="Q595" s="247"/>
      <c r="R595" s="247"/>
      <c r="S595" s="247"/>
      <c r="T595" s="247"/>
      <c r="U595" s="247"/>
      <c r="V595" s="247"/>
      <c r="W595" s="247"/>
      <c r="X595" s="247"/>
      <c r="Y595" s="247"/>
      <c r="Z595" s="247"/>
      <c r="AA595" s="247"/>
      <c r="AB595" s="247"/>
      <c r="AC595" s="247"/>
    </row>
    <row r="596">
      <c r="A596" s="247"/>
      <c r="B596" s="247"/>
      <c r="C596" s="247"/>
      <c r="D596" s="249"/>
      <c r="E596" s="250"/>
      <c r="F596" s="248"/>
      <c r="G596" s="248"/>
      <c r="H596" s="251"/>
      <c r="I596" s="247"/>
      <c r="J596" s="247"/>
      <c r="K596" s="247"/>
      <c r="L596" s="247"/>
      <c r="M596" s="247"/>
      <c r="N596" s="247"/>
      <c r="O596" s="247"/>
      <c r="P596" s="247"/>
      <c r="Q596" s="247"/>
      <c r="R596" s="247"/>
      <c r="S596" s="247"/>
      <c r="T596" s="247"/>
      <c r="U596" s="247"/>
      <c r="V596" s="247"/>
      <c r="W596" s="247"/>
      <c r="X596" s="247"/>
      <c r="Y596" s="247"/>
      <c r="Z596" s="247"/>
      <c r="AA596" s="247"/>
      <c r="AB596" s="247"/>
      <c r="AC596" s="247"/>
    </row>
    <row r="597">
      <c r="A597" s="247"/>
      <c r="B597" s="247"/>
      <c r="C597" s="247"/>
      <c r="D597" s="249"/>
      <c r="E597" s="250"/>
      <c r="F597" s="248"/>
      <c r="G597" s="248"/>
      <c r="H597" s="251"/>
      <c r="I597" s="247"/>
      <c r="J597" s="247"/>
      <c r="K597" s="247"/>
      <c r="L597" s="247"/>
      <c r="M597" s="247"/>
      <c r="N597" s="247"/>
      <c r="O597" s="247"/>
      <c r="P597" s="247"/>
      <c r="Q597" s="247"/>
      <c r="R597" s="247"/>
      <c r="S597" s="247"/>
      <c r="T597" s="247"/>
      <c r="U597" s="247"/>
      <c r="V597" s="247"/>
      <c r="W597" s="247"/>
      <c r="X597" s="247"/>
      <c r="Y597" s="247"/>
      <c r="Z597" s="247"/>
      <c r="AA597" s="247"/>
      <c r="AB597" s="247"/>
      <c r="AC597" s="247"/>
    </row>
    <row r="598">
      <c r="A598" s="247"/>
      <c r="B598" s="247"/>
      <c r="C598" s="247"/>
      <c r="D598" s="249"/>
      <c r="E598" s="250"/>
      <c r="F598" s="248"/>
      <c r="G598" s="248"/>
      <c r="H598" s="251"/>
      <c r="I598" s="247"/>
      <c r="J598" s="247"/>
      <c r="K598" s="247"/>
      <c r="L598" s="247"/>
      <c r="M598" s="247"/>
      <c r="N598" s="247"/>
      <c r="O598" s="247"/>
      <c r="P598" s="247"/>
      <c r="Q598" s="247"/>
      <c r="R598" s="247"/>
      <c r="S598" s="247"/>
      <c r="T598" s="247"/>
      <c r="U598" s="247"/>
      <c r="V598" s="247"/>
      <c r="W598" s="247"/>
      <c r="X598" s="247"/>
      <c r="Y598" s="247"/>
      <c r="Z598" s="247"/>
      <c r="AA598" s="247"/>
      <c r="AB598" s="247"/>
      <c r="AC598" s="247"/>
    </row>
    <row r="599">
      <c r="A599" s="247"/>
      <c r="B599" s="247"/>
      <c r="C599" s="247"/>
      <c r="D599" s="249"/>
      <c r="E599" s="250"/>
      <c r="F599" s="248"/>
      <c r="G599" s="248"/>
      <c r="H599" s="251"/>
      <c r="I599" s="247"/>
      <c r="J599" s="247"/>
      <c r="K599" s="247"/>
      <c r="L599" s="247"/>
      <c r="M599" s="247"/>
      <c r="N599" s="247"/>
      <c r="O599" s="247"/>
      <c r="P599" s="247"/>
      <c r="Q599" s="247"/>
      <c r="R599" s="247"/>
      <c r="S599" s="247"/>
      <c r="T599" s="247"/>
      <c r="U599" s="247"/>
      <c r="V599" s="247"/>
      <c r="W599" s="247"/>
      <c r="X599" s="247"/>
      <c r="Y599" s="247"/>
      <c r="Z599" s="247"/>
      <c r="AA599" s="247"/>
      <c r="AB599" s="247"/>
      <c r="AC599" s="247"/>
    </row>
    <row r="600">
      <c r="A600" s="247"/>
      <c r="B600" s="247"/>
      <c r="C600" s="247"/>
      <c r="D600" s="249"/>
      <c r="E600" s="250"/>
      <c r="F600" s="248"/>
      <c r="G600" s="248"/>
      <c r="H600" s="251"/>
      <c r="I600" s="247"/>
      <c r="J600" s="247"/>
      <c r="K600" s="247"/>
      <c r="L600" s="247"/>
      <c r="M600" s="247"/>
      <c r="N600" s="247"/>
      <c r="O600" s="247"/>
      <c r="P600" s="247"/>
      <c r="Q600" s="247"/>
      <c r="R600" s="247"/>
      <c r="S600" s="247"/>
      <c r="T600" s="247"/>
      <c r="U600" s="247"/>
      <c r="V600" s="247"/>
      <c r="W600" s="247"/>
      <c r="X600" s="247"/>
      <c r="Y600" s="247"/>
      <c r="Z600" s="247"/>
      <c r="AA600" s="247"/>
      <c r="AB600" s="247"/>
      <c r="AC600" s="247"/>
    </row>
    <row r="601">
      <c r="A601" s="247"/>
      <c r="B601" s="247"/>
      <c r="C601" s="247"/>
      <c r="D601" s="249"/>
      <c r="E601" s="250"/>
      <c r="F601" s="248"/>
      <c r="G601" s="248"/>
      <c r="H601" s="251"/>
      <c r="I601" s="247"/>
      <c r="J601" s="247"/>
      <c r="K601" s="247"/>
      <c r="L601" s="247"/>
      <c r="M601" s="247"/>
      <c r="N601" s="247"/>
      <c r="O601" s="247"/>
      <c r="P601" s="247"/>
      <c r="Q601" s="247"/>
      <c r="R601" s="247"/>
      <c r="S601" s="247"/>
      <c r="T601" s="247"/>
      <c r="U601" s="247"/>
      <c r="V601" s="247"/>
      <c r="W601" s="247"/>
      <c r="X601" s="247"/>
      <c r="Y601" s="247"/>
      <c r="Z601" s="247"/>
      <c r="AA601" s="247"/>
      <c r="AB601" s="247"/>
      <c r="AC601" s="247"/>
    </row>
    <row r="602">
      <c r="A602" s="247"/>
      <c r="B602" s="247"/>
      <c r="C602" s="247"/>
      <c r="D602" s="249"/>
      <c r="E602" s="250"/>
      <c r="F602" s="248"/>
      <c r="G602" s="248"/>
      <c r="H602" s="251"/>
      <c r="I602" s="247"/>
      <c r="J602" s="247"/>
      <c r="K602" s="247"/>
      <c r="L602" s="247"/>
      <c r="M602" s="247"/>
      <c r="N602" s="247"/>
      <c r="O602" s="247"/>
      <c r="P602" s="247"/>
      <c r="Q602" s="247"/>
      <c r="R602" s="247"/>
      <c r="S602" s="247"/>
      <c r="T602" s="247"/>
      <c r="U602" s="247"/>
      <c r="V602" s="247"/>
      <c r="W602" s="247"/>
      <c r="X602" s="247"/>
      <c r="Y602" s="247"/>
      <c r="Z602" s="247"/>
      <c r="AA602" s="247"/>
      <c r="AB602" s="247"/>
      <c r="AC602" s="247"/>
    </row>
    <row r="603">
      <c r="A603" s="247"/>
      <c r="B603" s="247"/>
      <c r="C603" s="247"/>
      <c r="D603" s="249"/>
      <c r="E603" s="250"/>
      <c r="F603" s="248"/>
      <c r="G603" s="248"/>
      <c r="H603" s="251"/>
      <c r="I603" s="247"/>
      <c r="J603" s="247"/>
      <c r="K603" s="247"/>
      <c r="L603" s="247"/>
      <c r="M603" s="247"/>
      <c r="N603" s="247"/>
      <c r="O603" s="247"/>
      <c r="P603" s="247"/>
      <c r="Q603" s="247"/>
      <c r="R603" s="247"/>
      <c r="S603" s="247"/>
      <c r="T603" s="247"/>
      <c r="U603" s="247"/>
      <c r="V603" s="247"/>
      <c r="W603" s="247"/>
      <c r="X603" s="247"/>
      <c r="Y603" s="247"/>
      <c r="Z603" s="247"/>
      <c r="AA603" s="247"/>
      <c r="AB603" s="247"/>
      <c r="AC603" s="247"/>
    </row>
    <row r="604">
      <c r="A604" s="247"/>
      <c r="B604" s="247"/>
      <c r="C604" s="247"/>
      <c r="D604" s="249"/>
      <c r="E604" s="250"/>
      <c r="F604" s="248"/>
      <c r="G604" s="248"/>
      <c r="H604" s="251"/>
      <c r="I604" s="247"/>
      <c r="J604" s="247"/>
      <c r="K604" s="247"/>
      <c r="L604" s="247"/>
      <c r="M604" s="247"/>
      <c r="N604" s="247"/>
      <c r="O604" s="247"/>
      <c r="P604" s="247"/>
      <c r="Q604" s="247"/>
      <c r="R604" s="247"/>
      <c r="S604" s="247"/>
      <c r="T604" s="247"/>
      <c r="U604" s="247"/>
      <c r="V604" s="247"/>
      <c r="W604" s="247"/>
      <c r="X604" s="247"/>
      <c r="Y604" s="247"/>
      <c r="Z604" s="247"/>
      <c r="AA604" s="247"/>
      <c r="AB604" s="247"/>
      <c r="AC604" s="247"/>
    </row>
    <row r="605">
      <c r="A605" s="247"/>
      <c r="B605" s="247"/>
      <c r="C605" s="247"/>
      <c r="D605" s="249"/>
      <c r="E605" s="250"/>
      <c r="F605" s="248"/>
      <c r="G605" s="248"/>
      <c r="H605" s="251"/>
      <c r="I605" s="247"/>
      <c r="J605" s="247"/>
      <c r="K605" s="247"/>
      <c r="L605" s="247"/>
      <c r="M605" s="247"/>
      <c r="N605" s="247"/>
      <c r="O605" s="247"/>
      <c r="P605" s="247"/>
      <c r="Q605" s="247"/>
      <c r="R605" s="247"/>
      <c r="S605" s="247"/>
      <c r="T605" s="247"/>
      <c r="U605" s="247"/>
      <c r="V605" s="247"/>
      <c r="W605" s="247"/>
      <c r="X605" s="247"/>
      <c r="Y605" s="247"/>
      <c r="Z605" s="247"/>
      <c r="AA605" s="247"/>
      <c r="AB605" s="247"/>
      <c r="AC605" s="247"/>
    </row>
    <row r="606">
      <c r="A606" s="247"/>
      <c r="B606" s="247"/>
      <c r="C606" s="247"/>
      <c r="D606" s="249"/>
      <c r="E606" s="250"/>
      <c r="F606" s="248"/>
      <c r="G606" s="248"/>
      <c r="H606" s="251"/>
      <c r="I606" s="247"/>
      <c r="J606" s="247"/>
      <c r="K606" s="247"/>
      <c r="L606" s="247"/>
      <c r="M606" s="247"/>
      <c r="N606" s="247"/>
      <c r="O606" s="247"/>
      <c r="P606" s="247"/>
      <c r="Q606" s="247"/>
      <c r="R606" s="247"/>
      <c r="S606" s="247"/>
      <c r="T606" s="247"/>
      <c r="U606" s="247"/>
      <c r="V606" s="247"/>
      <c r="W606" s="247"/>
      <c r="X606" s="247"/>
      <c r="Y606" s="247"/>
      <c r="Z606" s="247"/>
      <c r="AA606" s="247"/>
      <c r="AB606" s="247"/>
      <c r="AC606" s="247"/>
    </row>
    <row r="607">
      <c r="A607" s="247"/>
      <c r="B607" s="247"/>
      <c r="C607" s="247"/>
      <c r="D607" s="249"/>
      <c r="E607" s="250"/>
      <c r="F607" s="248"/>
      <c r="G607" s="248"/>
      <c r="H607" s="251"/>
      <c r="I607" s="247"/>
      <c r="J607" s="247"/>
      <c r="K607" s="247"/>
      <c r="L607" s="247"/>
      <c r="M607" s="247"/>
      <c r="N607" s="247"/>
      <c r="O607" s="247"/>
      <c r="P607" s="247"/>
      <c r="Q607" s="247"/>
      <c r="R607" s="247"/>
      <c r="S607" s="247"/>
      <c r="T607" s="247"/>
      <c r="U607" s="247"/>
      <c r="V607" s="247"/>
      <c r="W607" s="247"/>
      <c r="X607" s="247"/>
      <c r="Y607" s="247"/>
      <c r="Z607" s="247"/>
      <c r="AA607" s="247"/>
      <c r="AB607" s="247"/>
      <c r="AC607" s="247"/>
    </row>
    <row r="608">
      <c r="A608" s="247"/>
      <c r="B608" s="247"/>
      <c r="C608" s="247"/>
      <c r="D608" s="249"/>
      <c r="E608" s="250"/>
      <c r="F608" s="248"/>
      <c r="G608" s="248"/>
      <c r="H608" s="251"/>
      <c r="I608" s="247"/>
      <c r="J608" s="247"/>
      <c r="K608" s="247"/>
      <c r="L608" s="247"/>
      <c r="M608" s="247"/>
      <c r="N608" s="247"/>
      <c r="O608" s="247"/>
      <c r="P608" s="247"/>
      <c r="Q608" s="247"/>
      <c r="R608" s="247"/>
      <c r="S608" s="247"/>
      <c r="T608" s="247"/>
      <c r="U608" s="247"/>
      <c r="V608" s="247"/>
      <c r="W608" s="247"/>
      <c r="X608" s="247"/>
      <c r="Y608" s="247"/>
      <c r="Z608" s="247"/>
      <c r="AA608" s="247"/>
      <c r="AB608" s="247"/>
      <c r="AC608" s="247"/>
    </row>
    <row r="609">
      <c r="A609" s="247"/>
      <c r="B609" s="247"/>
      <c r="C609" s="247"/>
      <c r="D609" s="249"/>
      <c r="E609" s="250"/>
      <c r="F609" s="248"/>
      <c r="G609" s="248"/>
      <c r="H609" s="251"/>
      <c r="I609" s="247"/>
      <c r="J609" s="247"/>
      <c r="K609" s="247"/>
      <c r="L609" s="247"/>
      <c r="M609" s="247"/>
      <c r="N609" s="247"/>
      <c r="O609" s="247"/>
      <c r="P609" s="247"/>
      <c r="Q609" s="247"/>
      <c r="R609" s="247"/>
      <c r="S609" s="247"/>
      <c r="T609" s="247"/>
      <c r="U609" s="247"/>
      <c r="V609" s="247"/>
      <c r="W609" s="247"/>
      <c r="X609" s="247"/>
      <c r="Y609" s="247"/>
      <c r="Z609" s="247"/>
      <c r="AA609" s="247"/>
      <c r="AB609" s="247"/>
      <c r="AC609" s="247"/>
    </row>
    <row r="610">
      <c r="A610" s="247"/>
      <c r="B610" s="247"/>
      <c r="C610" s="247"/>
      <c r="D610" s="249"/>
      <c r="E610" s="250"/>
      <c r="F610" s="248"/>
      <c r="G610" s="248"/>
      <c r="H610" s="251"/>
      <c r="I610" s="247"/>
      <c r="J610" s="247"/>
      <c r="K610" s="247"/>
      <c r="L610" s="247"/>
      <c r="M610" s="247"/>
      <c r="N610" s="247"/>
      <c r="O610" s="247"/>
      <c r="P610" s="247"/>
      <c r="Q610" s="247"/>
      <c r="R610" s="247"/>
      <c r="S610" s="247"/>
      <c r="T610" s="247"/>
      <c r="U610" s="247"/>
      <c r="V610" s="247"/>
      <c r="W610" s="247"/>
      <c r="X610" s="247"/>
      <c r="Y610" s="247"/>
      <c r="Z610" s="247"/>
      <c r="AA610" s="247"/>
      <c r="AB610" s="247"/>
      <c r="AC610" s="247"/>
    </row>
    <row r="611">
      <c r="A611" s="247"/>
      <c r="B611" s="247"/>
      <c r="C611" s="247"/>
      <c r="D611" s="249"/>
      <c r="E611" s="250"/>
      <c r="F611" s="248"/>
      <c r="G611" s="248"/>
      <c r="H611" s="251"/>
      <c r="I611" s="247"/>
      <c r="J611" s="247"/>
      <c r="K611" s="247"/>
      <c r="L611" s="247"/>
      <c r="M611" s="247"/>
      <c r="N611" s="247"/>
      <c r="O611" s="247"/>
      <c r="P611" s="247"/>
      <c r="Q611" s="247"/>
      <c r="R611" s="247"/>
      <c r="S611" s="247"/>
      <c r="T611" s="247"/>
      <c r="U611" s="247"/>
      <c r="V611" s="247"/>
      <c r="W611" s="247"/>
      <c r="X611" s="247"/>
      <c r="Y611" s="247"/>
      <c r="Z611" s="247"/>
      <c r="AA611" s="247"/>
      <c r="AB611" s="247"/>
      <c r="AC611" s="247"/>
    </row>
    <row r="612">
      <c r="A612" s="247"/>
      <c r="B612" s="247"/>
      <c r="C612" s="247"/>
      <c r="D612" s="249"/>
      <c r="E612" s="250"/>
      <c r="F612" s="248"/>
      <c r="G612" s="248"/>
      <c r="H612" s="251"/>
      <c r="I612" s="247"/>
      <c r="J612" s="247"/>
      <c r="K612" s="247"/>
      <c r="L612" s="247"/>
      <c r="M612" s="247"/>
      <c r="N612" s="247"/>
      <c r="O612" s="247"/>
      <c r="P612" s="247"/>
      <c r="Q612" s="247"/>
      <c r="R612" s="247"/>
      <c r="S612" s="247"/>
      <c r="T612" s="247"/>
      <c r="U612" s="247"/>
      <c r="V612" s="247"/>
      <c r="W612" s="247"/>
      <c r="X612" s="247"/>
      <c r="Y612" s="247"/>
      <c r="Z612" s="247"/>
      <c r="AA612" s="247"/>
      <c r="AB612" s="247"/>
      <c r="AC612" s="247"/>
    </row>
    <row r="613">
      <c r="A613" s="247"/>
      <c r="B613" s="247"/>
      <c r="C613" s="247"/>
      <c r="D613" s="249"/>
      <c r="E613" s="250"/>
      <c r="F613" s="248"/>
      <c r="G613" s="248"/>
      <c r="H613" s="251"/>
      <c r="I613" s="247"/>
      <c r="J613" s="247"/>
      <c r="K613" s="247"/>
      <c r="L613" s="247"/>
      <c r="M613" s="247"/>
      <c r="N613" s="247"/>
      <c r="O613" s="247"/>
      <c r="P613" s="247"/>
      <c r="Q613" s="247"/>
      <c r="R613" s="247"/>
      <c r="S613" s="247"/>
      <c r="T613" s="247"/>
      <c r="U613" s="247"/>
      <c r="V613" s="247"/>
      <c r="W613" s="247"/>
      <c r="X613" s="247"/>
      <c r="Y613" s="247"/>
      <c r="Z613" s="247"/>
      <c r="AA613" s="247"/>
      <c r="AB613" s="247"/>
      <c r="AC613" s="247"/>
    </row>
    <row r="614">
      <c r="A614" s="247"/>
      <c r="B614" s="247"/>
      <c r="C614" s="247"/>
      <c r="D614" s="249"/>
      <c r="E614" s="250"/>
      <c r="F614" s="248"/>
      <c r="G614" s="248"/>
      <c r="H614" s="251"/>
      <c r="I614" s="247"/>
      <c r="J614" s="247"/>
      <c r="K614" s="247"/>
      <c r="L614" s="247"/>
      <c r="M614" s="247"/>
      <c r="N614" s="247"/>
      <c r="O614" s="247"/>
      <c r="P614" s="247"/>
      <c r="Q614" s="247"/>
      <c r="R614" s="247"/>
      <c r="S614" s="247"/>
      <c r="T614" s="247"/>
      <c r="U614" s="247"/>
      <c r="V614" s="247"/>
      <c r="W614" s="247"/>
      <c r="X614" s="247"/>
      <c r="Y614" s="247"/>
      <c r="Z614" s="247"/>
      <c r="AA614" s="247"/>
      <c r="AB614" s="247"/>
      <c r="AC614" s="247"/>
    </row>
    <row r="615">
      <c r="A615" s="247"/>
      <c r="B615" s="247"/>
      <c r="C615" s="247"/>
      <c r="D615" s="249"/>
      <c r="E615" s="250"/>
      <c r="F615" s="248"/>
      <c r="G615" s="248"/>
      <c r="H615" s="251"/>
      <c r="I615" s="247"/>
      <c r="J615" s="247"/>
      <c r="K615" s="247"/>
      <c r="L615" s="247"/>
      <c r="M615" s="247"/>
      <c r="N615" s="247"/>
      <c r="O615" s="247"/>
      <c r="P615" s="247"/>
      <c r="Q615" s="247"/>
      <c r="R615" s="247"/>
      <c r="S615" s="247"/>
      <c r="T615" s="247"/>
      <c r="U615" s="247"/>
      <c r="V615" s="247"/>
      <c r="W615" s="247"/>
      <c r="X615" s="247"/>
      <c r="Y615" s="247"/>
      <c r="Z615" s="247"/>
      <c r="AA615" s="247"/>
      <c r="AB615" s="247"/>
      <c r="AC615" s="247"/>
    </row>
    <row r="616">
      <c r="A616" s="247"/>
      <c r="B616" s="247"/>
      <c r="C616" s="247"/>
      <c r="D616" s="249"/>
      <c r="E616" s="250"/>
      <c r="F616" s="248"/>
      <c r="G616" s="248"/>
      <c r="H616" s="251"/>
      <c r="I616" s="247"/>
      <c r="J616" s="247"/>
      <c r="K616" s="247"/>
      <c r="L616" s="247"/>
      <c r="M616" s="247"/>
      <c r="N616" s="247"/>
      <c r="O616" s="247"/>
      <c r="P616" s="247"/>
      <c r="Q616" s="247"/>
      <c r="R616" s="247"/>
      <c r="S616" s="247"/>
      <c r="T616" s="247"/>
      <c r="U616" s="247"/>
      <c r="V616" s="247"/>
      <c r="W616" s="247"/>
      <c r="X616" s="247"/>
      <c r="Y616" s="247"/>
      <c r="Z616" s="247"/>
      <c r="AA616" s="247"/>
      <c r="AB616" s="247"/>
      <c r="AC616" s="247"/>
    </row>
    <row r="617">
      <c r="A617" s="247"/>
      <c r="B617" s="247"/>
      <c r="C617" s="247"/>
      <c r="D617" s="249"/>
      <c r="E617" s="250"/>
      <c r="F617" s="248"/>
      <c r="G617" s="248"/>
      <c r="H617" s="251"/>
      <c r="I617" s="247"/>
      <c r="J617" s="247"/>
      <c r="K617" s="247"/>
      <c r="L617" s="247"/>
      <c r="M617" s="247"/>
      <c r="N617" s="247"/>
      <c r="O617" s="247"/>
      <c r="P617" s="247"/>
      <c r="Q617" s="247"/>
      <c r="R617" s="247"/>
      <c r="S617" s="247"/>
      <c r="T617" s="247"/>
      <c r="U617" s="247"/>
      <c r="V617" s="247"/>
      <c r="W617" s="247"/>
      <c r="X617" s="247"/>
      <c r="Y617" s="247"/>
      <c r="Z617" s="247"/>
      <c r="AA617" s="247"/>
      <c r="AB617" s="247"/>
      <c r="AC617" s="247"/>
    </row>
    <row r="618">
      <c r="A618" s="247"/>
      <c r="B618" s="247"/>
      <c r="C618" s="247"/>
      <c r="D618" s="249"/>
      <c r="E618" s="250"/>
      <c r="F618" s="248"/>
      <c r="G618" s="248"/>
      <c r="H618" s="251"/>
      <c r="I618" s="247"/>
      <c r="J618" s="247"/>
      <c r="K618" s="247"/>
      <c r="L618" s="247"/>
      <c r="M618" s="247"/>
      <c r="N618" s="247"/>
      <c r="O618" s="247"/>
      <c r="P618" s="247"/>
      <c r="Q618" s="247"/>
      <c r="R618" s="247"/>
      <c r="S618" s="247"/>
      <c r="T618" s="247"/>
      <c r="U618" s="247"/>
      <c r="V618" s="247"/>
      <c r="W618" s="247"/>
      <c r="X618" s="247"/>
      <c r="Y618" s="247"/>
      <c r="Z618" s="247"/>
      <c r="AA618" s="247"/>
      <c r="AB618" s="247"/>
      <c r="AC618" s="247"/>
    </row>
    <row r="619">
      <c r="A619" s="247"/>
      <c r="B619" s="247"/>
      <c r="C619" s="247"/>
      <c r="D619" s="249"/>
      <c r="E619" s="250"/>
      <c r="F619" s="248"/>
      <c r="G619" s="248"/>
      <c r="H619" s="251"/>
      <c r="I619" s="247"/>
      <c r="J619" s="247"/>
      <c r="K619" s="247"/>
      <c r="L619" s="247"/>
      <c r="M619" s="247"/>
      <c r="N619" s="247"/>
      <c r="O619" s="247"/>
      <c r="P619" s="247"/>
      <c r="Q619" s="247"/>
      <c r="R619" s="247"/>
      <c r="S619" s="247"/>
      <c r="T619" s="247"/>
      <c r="U619" s="247"/>
      <c r="V619" s="247"/>
      <c r="W619" s="247"/>
      <c r="X619" s="247"/>
      <c r="Y619" s="247"/>
      <c r="Z619" s="247"/>
      <c r="AA619" s="247"/>
      <c r="AB619" s="247"/>
      <c r="AC619" s="247"/>
    </row>
    <row r="620">
      <c r="A620" s="247"/>
      <c r="B620" s="247"/>
      <c r="C620" s="247"/>
      <c r="D620" s="249"/>
      <c r="E620" s="250"/>
      <c r="F620" s="248"/>
      <c r="G620" s="248"/>
      <c r="H620" s="251"/>
      <c r="I620" s="247"/>
      <c r="J620" s="247"/>
      <c r="K620" s="247"/>
      <c r="L620" s="247"/>
      <c r="M620" s="247"/>
      <c r="N620" s="247"/>
      <c r="O620" s="247"/>
      <c r="P620" s="247"/>
      <c r="Q620" s="247"/>
      <c r="R620" s="247"/>
      <c r="S620" s="247"/>
      <c r="T620" s="247"/>
      <c r="U620" s="247"/>
      <c r="V620" s="247"/>
      <c r="W620" s="247"/>
      <c r="X620" s="247"/>
      <c r="Y620" s="247"/>
      <c r="Z620" s="247"/>
      <c r="AA620" s="247"/>
      <c r="AB620" s="247"/>
      <c r="AC620" s="247"/>
    </row>
    <row r="621">
      <c r="A621" s="247"/>
      <c r="B621" s="247"/>
      <c r="C621" s="247"/>
      <c r="D621" s="249"/>
      <c r="E621" s="250"/>
      <c r="F621" s="248"/>
      <c r="G621" s="248"/>
      <c r="H621" s="251"/>
      <c r="I621" s="247"/>
      <c r="J621" s="247"/>
      <c r="K621" s="247"/>
      <c r="L621" s="247"/>
      <c r="M621" s="247"/>
      <c r="N621" s="247"/>
      <c r="O621" s="247"/>
      <c r="P621" s="247"/>
      <c r="Q621" s="247"/>
      <c r="R621" s="247"/>
      <c r="S621" s="247"/>
      <c r="T621" s="247"/>
      <c r="U621" s="247"/>
      <c r="V621" s="247"/>
      <c r="W621" s="247"/>
      <c r="X621" s="247"/>
      <c r="Y621" s="247"/>
      <c r="Z621" s="247"/>
      <c r="AA621" s="247"/>
      <c r="AB621" s="247"/>
      <c r="AC621" s="247"/>
    </row>
    <row r="622">
      <c r="A622" s="247"/>
      <c r="B622" s="247"/>
      <c r="C622" s="247"/>
      <c r="D622" s="249"/>
      <c r="E622" s="250"/>
      <c r="F622" s="248"/>
      <c r="G622" s="248"/>
      <c r="H622" s="251"/>
      <c r="I622" s="247"/>
      <c r="J622" s="247"/>
      <c r="K622" s="247"/>
      <c r="L622" s="247"/>
      <c r="M622" s="247"/>
      <c r="N622" s="247"/>
      <c r="O622" s="247"/>
      <c r="P622" s="247"/>
      <c r="Q622" s="247"/>
      <c r="R622" s="247"/>
      <c r="S622" s="247"/>
      <c r="T622" s="247"/>
      <c r="U622" s="247"/>
      <c r="V622" s="247"/>
      <c r="W622" s="247"/>
      <c r="X622" s="247"/>
      <c r="Y622" s="247"/>
      <c r="Z622" s="247"/>
      <c r="AA622" s="247"/>
      <c r="AB622" s="247"/>
      <c r="AC622" s="247"/>
    </row>
    <row r="623">
      <c r="A623" s="247"/>
      <c r="B623" s="247"/>
      <c r="C623" s="247"/>
      <c r="D623" s="249"/>
      <c r="E623" s="250"/>
      <c r="F623" s="248"/>
      <c r="G623" s="248"/>
      <c r="H623" s="251"/>
      <c r="I623" s="247"/>
      <c r="J623" s="247"/>
      <c r="K623" s="247"/>
      <c r="L623" s="247"/>
      <c r="M623" s="247"/>
      <c r="N623" s="247"/>
      <c r="O623" s="247"/>
      <c r="P623" s="247"/>
      <c r="Q623" s="247"/>
      <c r="R623" s="247"/>
      <c r="S623" s="247"/>
      <c r="T623" s="247"/>
      <c r="U623" s="247"/>
      <c r="V623" s="247"/>
      <c r="W623" s="247"/>
      <c r="X623" s="247"/>
      <c r="Y623" s="247"/>
      <c r="Z623" s="247"/>
      <c r="AA623" s="247"/>
      <c r="AB623" s="247"/>
      <c r="AC623" s="247"/>
    </row>
    <row r="624">
      <c r="A624" s="247"/>
      <c r="B624" s="247"/>
      <c r="C624" s="247"/>
      <c r="D624" s="249"/>
      <c r="E624" s="250"/>
      <c r="F624" s="248"/>
      <c r="G624" s="248"/>
      <c r="H624" s="251"/>
      <c r="I624" s="247"/>
      <c r="J624" s="247"/>
      <c r="K624" s="247"/>
      <c r="L624" s="247"/>
      <c r="M624" s="247"/>
      <c r="N624" s="247"/>
      <c r="O624" s="247"/>
      <c r="P624" s="247"/>
      <c r="Q624" s="247"/>
      <c r="R624" s="247"/>
      <c r="S624" s="247"/>
      <c r="T624" s="247"/>
      <c r="U624" s="247"/>
      <c r="V624" s="247"/>
      <c r="W624" s="247"/>
      <c r="X624" s="247"/>
      <c r="Y624" s="247"/>
      <c r="Z624" s="247"/>
      <c r="AA624" s="247"/>
      <c r="AB624" s="247"/>
      <c r="AC624" s="247"/>
    </row>
    <row r="625">
      <c r="A625" s="247"/>
      <c r="B625" s="247"/>
      <c r="C625" s="247"/>
      <c r="D625" s="249"/>
      <c r="E625" s="250"/>
      <c r="F625" s="248"/>
      <c r="G625" s="248"/>
      <c r="H625" s="251"/>
      <c r="I625" s="247"/>
      <c r="J625" s="247"/>
      <c r="K625" s="247"/>
      <c r="L625" s="247"/>
      <c r="M625" s="247"/>
      <c r="N625" s="247"/>
      <c r="O625" s="247"/>
      <c r="P625" s="247"/>
      <c r="Q625" s="247"/>
      <c r="R625" s="247"/>
      <c r="S625" s="247"/>
      <c r="T625" s="247"/>
      <c r="U625" s="247"/>
      <c r="V625" s="247"/>
      <c r="W625" s="247"/>
      <c r="X625" s="247"/>
      <c r="Y625" s="247"/>
      <c r="Z625" s="247"/>
      <c r="AA625" s="247"/>
      <c r="AB625" s="247"/>
      <c r="AC625" s="247"/>
    </row>
    <row r="626">
      <c r="A626" s="247"/>
      <c r="B626" s="247"/>
      <c r="C626" s="247"/>
      <c r="D626" s="249"/>
      <c r="E626" s="250"/>
      <c r="F626" s="248"/>
      <c r="G626" s="248"/>
      <c r="H626" s="251"/>
      <c r="I626" s="247"/>
      <c r="J626" s="247"/>
      <c r="K626" s="247"/>
      <c r="L626" s="247"/>
      <c r="M626" s="247"/>
      <c r="N626" s="247"/>
      <c r="O626" s="247"/>
      <c r="P626" s="247"/>
      <c r="Q626" s="247"/>
      <c r="R626" s="247"/>
      <c r="S626" s="247"/>
      <c r="T626" s="247"/>
      <c r="U626" s="247"/>
      <c r="V626" s="247"/>
      <c r="W626" s="247"/>
      <c r="X626" s="247"/>
      <c r="Y626" s="247"/>
      <c r="Z626" s="247"/>
      <c r="AA626" s="247"/>
      <c r="AB626" s="247"/>
      <c r="AC626" s="247"/>
    </row>
    <row r="627">
      <c r="A627" s="247"/>
      <c r="B627" s="247"/>
      <c r="C627" s="247"/>
      <c r="D627" s="249"/>
      <c r="E627" s="250"/>
      <c r="F627" s="248"/>
      <c r="G627" s="248"/>
      <c r="H627" s="251"/>
      <c r="I627" s="247"/>
      <c r="J627" s="247"/>
      <c r="K627" s="247"/>
      <c r="L627" s="247"/>
      <c r="M627" s="247"/>
      <c r="N627" s="247"/>
      <c r="O627" s="247"/>
      <c r="P627" s="247"/>
      <c r="Q627" s="247"/>
      <c r="R627" s="247"/>
      <c r="S627" s="247"/>
      <c r="T627" s="247"/>
      <c r="U627" s="247"/>
      <c r="V627" s="247"/>
      <c r="W627" s="247"/>
      <c r="X627" s="247"/>
      <c r="Y627" s="247"/>
      <c r="Z627" s="247"/>
      <c r="AA627" s="247"/>
      <c r="AB627" s="247"/>
      <c r="AC627" s="247"/>
    </row>
    <row r="628">
      <c r="A628" s="247"/>
      <c r="B628" s="247"/>
      <c r="C628" s="247"/>
      <c r="D628" s="249"/>
      <c r="E628" s="250"/>
      <c r="F628" s="248"/>
      <c r="G628" s="248"/>
      <c r="H628" s="251"/>
      <c r="I628" s="247"/>
      <c r="J628" s="247"/>
      <c r="K628" s="247"/>
      <c r="L628" s="247"/>
      <c r="M628" s="247"/>
      <c r="N628" s="247"/>
      <c r="O628" s="247"/>
      <c r="P628" s="247"/>
      <c r="Q628" s="247"/>
      <c r="R628" s="247"/>
      <c r="S628" s="247"/>
      <c r="T628" s="247"/>
      <c r="U628" s="247"/>
      <c r="V628" s="247"/>
      <c r="W628" s="247"/>
      <c r="X628" s="247"/>
      <c r="Y628" s="247"/>
      <c r="Z628" s="247"/>
      <c r="AA628" s="247"/>
      <c r="AB628" s="247"/>
      <c r="AC628" s="247"/>
    </row>
    <row r="629">
      <c r="A629" s="247"/>
      <c r="B629" s="247"/>
      <c r="C629" s="247"/>
      <c r="D629" s="249"/>
      <c r="E629" s="250"/>
      <c r="F629" s="248"/>
      <c r="G629" s="248"/>
      <c r="H629" s="251"/>
      <c r="I629" s="247"/>
      <c r="J629" s="247"/>
      <c r="K629" s="247"/>
      <c r="L629" s="247"/>
      <c r="M629" s="247"/>
      <c r="N629" s="247"/>
      <c r="O629" s="247"/>
      <c r="P629" s="247"/>
      <c r="Q629" s="247"/>
      <c r="R629" s="247"/>
      <c r="S629" s="247"/>
      <c r="T629" s="247"/>
      <c r="U629" s="247"/>
      <c r="V629" s="247"/>
      <c r="W629" s="247"/>
      <c r="X629" s="247"/>
      <c r="Y629" s="247"/>
      <c r="Z629" s="247"/>
      <c r="AA629" s="247"/>
      <c r="AB629" s="247"/>
      <c r="AC629" s="247"/>
    </row>
    <row r="630">
      <c r="A630" s="247"/>
      <c r="B630" s="247"/>
      <c r="C630" s="247"/>
      <c r="D630" s="249"/>
      <c r="E630" s="250"/>
      <c r="F630" s="248"/>
      <c r="G630" s="248"/>
      <c r="H630" s="251"/>
      <c r="I630" s="247"/>
      <c r="J630" s="247"/>
      <c r="K630" s="247"/>
      <c r="L630" s="247"/>
      <c r="M630" s="247"/>
      <c r="N630" s="247"/>
      <c r="O630" s="247"/>
      <c r="P630" s="247"/>
      <c r="Q630" s="247"/>
      <c r="R630" s="247"/>
      <c r="S630" s="247"/>
      <c r="T630" s="247"/>
      <c r="U630" s="247"/>
      <c r="V630" s="247"/>
      <c r="W630" s="247"/>
      <c r="X630" s="247"/>
      <c r="Y630" s="247"/>
      <c r="Z630" s="247"/>
      <c r="AA630" s="247"/>
      <c r="AB630" s="247"/>
      <c r="AC630" s="247"/>
    </row>
    <row r="631">
      <c r="A631" s="247"/>
      <c r="B631" s="247"/>
      <c r="C631" s="247"/>
      <c r="D631" s="249"/>
      <c r="E631" s="250"/>
      <c r="F631" s="248"/>
      <c r="G631" s="248"/>
      <c r="H631" s="251"/>
      <c r="I631" s="247"/>
      <c r="J631" s="247"/>
      <c r="K631" s="247"/>
      <c r="L631" s="247"/>
      <c r="M631" s="247"/>
      <c r="N631" s="247"/>
      <c r="O631" s="247"/>
      <c r="P631" s="247"/>
      <c r="Q631" s="247"/>
      <c r="R631" s="247"/>
      <c r="S631" s="247"/>
      <c r="T631" s="247"/>
      <c r="U631" s="247"/>
      <c r="V631" s="247"/>
      <c r="W631" s="247"/>
      <c r="X631" s="247"/>
      <c r="Y631" s="247"/>
      <c r="Z631" s="247"/>
      <c r="AA631" s="247"/>
      <c r="AB631" s="247"/>
      <c r="AC631" s="247"/>
    </row>
    <row r="632">
      <c r="A632" s="247"/>
      <c r="B632" s="247"/>
      <c r="C632" s="247"/>
      <c r="D632" s="249"/>
      <c r="E632" s="250"/>
      <c r="F632" s="248"/>
      <c r="G632" s="248"/>
      <c r="H632" s="251"/>
      <c r="I632" s="247"/>
      <c r="J632" s="247"/>
      <c r="K632" s="247"/>
      <c r="L632" s="247"/>
      <c r="M632" s="247"/>
      <c r="N632" s="247"/>
      <c r="O632" s="247"/>
      <c r="P632" s="247"/>
      <c r="Q632" s="247"/>
      <c r="R632" s="247"/>
      <c r="S632" s="247"/>
      <c r="T632" s="247"/>
      <c r="U632" s="247"/>
      <c r="V632" s="247"/>
      <c r="W632" s="247"/>
      <c r="X632" s="247"/>
      <c r="Y632" s="247"/>
      <c r="Z632" s="247"/>
      <c r="AA632" s="247"/>
      <c r="AB632" s="247"/>
      <c r="AC632" s="247"/>
    </row>
    <row r="633">
      <c r="A633" s="247"/>
      <c r="B633" s="247"/>
      <c r="C633" s="247"/>
      <c r="D633" s="249"/>
      <c r="E633" s="250"/>
      <c r="F633" s="248"/>
      <c r="G633" s="248"/>
      <c r="H633" s="251"/>
      <c r="I633" s="247"/>
      <c r="J633" s="247"/>
      <c r="K633" s="247"/>
      <c r="L633" s="247"/>
      <c r="M633" s="247"/>
      <c r="N633" s="247"/>
      <c r="O633" s="247"/>
      <c r="P633" s="247"/>
      <c r="Q633" s="247"/>
      <c r="R633" s="247"/>
      <c r="S633" s="247"/>
      <c r="T633" s="247"/>
      <c r="U633" s="247"/>
      <c r="V633" s="247"/>
      <c r="W633" s="247"/>
      <c r="X633" s="247"/>
      <c r="Y633" s="247"/>
      <c r="Z633" s="247"/>
      <c r="AA633" s="247"/>
      <c r="AB633" s="247"/>
      <c r="AC633" s="247"/>
    </row>
    <row r="634">
      <c r="A634" s="247"/>
      <c r="B634" s="247"/>
      <c r="C634" s="247"/>
      <c r="D634" s="249"/>
      <c r="E634" s="250"/>
      <c r="F634" s="248"/>
      <c r="G634" s="248"/>
      <c r="H634" s="251"/>
      <c r="I634" s="247"/>
      <c r="J634" s="247"/>
      <c r="K634" s="247"/>
      <c r="L634" s="247"/>
      <c r="M634" s="247"/>
      <c r="N634" s="247"/>
      <c r="O634" s="247"/>
      <c r="P634" s="247"/>
      <c r="Q634" s="247"/>
      <c r="R634" s="247"/>
      <c r="S634" s="247"/>
      <c r="T634" s="247"/>
      <c r="U634" s="247"/>
      <c r="V634" s="247"/>
      <c r="W634" s="247"/>
      <c r="X634" s="247"/>
      <c r="Y634" s="247"/>
      <c r="Z634" s="247"/>
      <c r="AA634" s="247"/>
      <c r="AB634" s="247"/>
      <c r="AC634" s="247"/>
    </row>
    <row r="635">
      <c r="A635" s="247"/>
      <c r="B635" s="247"/>
      <c r="C635" s="247"/>
      <c r="D635" s="249"/>
      <c r="E635" s="250"/>
      <c r="F635" s="248"/>
      <c r="G635" s="248"/>
      <c r="H635" s="251"/>
      <c r="I635" s="247"/>
      <c r="J635" s="247"/>
      <c r="K635" s="247"/>
      <c r="L635" s="247"/>
      <c r="M635" s="247"/>
      <c r="N635" s="247"/>
      <c r="O635" s="247"/>
      <c r="P635" s="247"/>
      <c r="Q635" s="247"/>
      <c r="R635" s="247"/>
      <c r="S635" s="247"/>
      <c r="T635" s="247"/>
      <c r="U635" s="247"/>
      <c r="V635" s="247"/>
      <c r="W635" s="247"/>
      <c r="X635" s="247"/>
      <c r="Y635" s="247"/>
      <c r="Z635" s="247"/>
      <c r="AA635" s="247"/>
      <c r="AB635" s="247"/>
      <c r="AC635" s="247"/>
    </row>
    <row r="636">
      <c r="A636" s="247"/>
      <c r="B636" s="247"/>
      <c r="C636" s="247"/>
      <c r="D636" s="249"/>
      <c r="E636" s="250"/>
      <c r="F636" s="248"/>
      <c r="G636" s="248"/>
      <c r="H636" s="251"/>
      <c r="I636" s="247"/>
      <c r="J636" s="247"/>
      <c r="K636" s="247"/>
      <c r="L636" s="247"/>
      <c r="M636" s="247"/>
      <c r="N636" s="247"/>
      <c r="O636" s="247"/>
      <c r="P636" s="247"/>
      <c r="Q636" s="247"/>
      <c r="R636" s="247"/>
      <c r="S636" s="247"/>
      <c r="T636" s="247"/>
      <c r="U636" s="247"/>
      <c r="V636" s="247"/>
      <c r="W636" s="247"/>
      <c r="X636" s="247"/>
      <c r="Y636" s="247"/>
      <c r="Z636" s="247"/>
      <c r="AA636" s="247"/>
      <c r="AB636" s="247"/>
      <c r="AC636" s="247"/>
    </row>
    <row r="637">
      <c r="A637" s="247"/>
      <c r="B637" s="247"/>
      <c r="C637" s="247"/>
      <c r="D637" s="249"/>
      <c r="E637" s="250"/>
      <c r="F637" s="248"/>
      <c r="G637" s="248"/>
      <c r="H637" s="251"/>
      <c r="I637" s="247"/>
      <c r="J637" s="247"/>
      <c r="K637" s="247"/>
      <c r="L637" s="247"/>
      <c r="M637" s="247"/>
      <c r="N637" s="247"/>
      <c r="O637" s="247"/>
      <c r="P637" s="247"/>
      <c r="Q637" s="247"/>
      <c r="R637" s="247"/>
      <c r="S637" s="247"/>
      <c r="T637" s="247"/>
      <c r="U637" s="247"/>
      <c r="V637" s="247"/>
      <c r="W637" s="247"/>
      <c r="X637" s="247"/>
      <c r="Y637" s="247"/>
      <c r="Z637" s="247"/>
      <c r="AA637" s="247"/>
      <c r="AB637" s="247"/>
      <c r="AC637" s="247"/>
    </row>
    <row r="638">
      <c r="A638" s="247"/>
      <c r="B638" s="247"/>
      <c r="C638" s="247"/>
      <c r="D638" s="249"/>
      <c r="E638" s="250"/>
      <c r="F638" s="248"/>
      <c r="G638" s="248"/>
      <c r="H638" s="251"/>
      <c r="I638" s="247"/>
      <c r="J638" s="247"/>
      <c r="K638" s="247"/>
      <c r="L638" s="247"/>
      <c r="M638" s="247"/>
      <c r="N638" s="247"/>
      <c r="O638" s="247"/>
      <c r="P638" s="247"/>
      <c r="Q638" s="247"/>
      <c r="R638" s="247"/>
      <c r="S638" s="247"/>
      <c r="T638" s="247"/>
      <c r="U638" s="247"/>
      <c r="V638" s="247"/>
      <c r="W638" s="247"/>
      <c r="X638" s="247"/>
      <c r="Y638" s="247"/>
      <c r="Z638" s="247"/>
      <c r="AA638" s="247"/>
      <c r="AB638" s="247"/>
      <c r="AC638" s="247"/>
    </row>
    <row r="639">
      <c r="A639" s="247"/>
      <c r="B639" s="247"/>
      <c r="C639" s="247"/>
      <c r="D639" s="249"/>
      <c r="E639" s="250"/>
      <c r="F639" s="248"/>
      <c r="G639" s="248"/>
      <c r="H639" s="251"/>
      <c r="I639" s="247"/>
      <c r="J639" s="247"/>
      <c r="K639" s="247"/>
      <c r="L639" s="247"/>
      <c r="M639" s="247"/>
      <c r="N639" s="247"/>
      <c r="O639" s="247"/>
      <c r="P639" s="247"/>
      <c r="Q639" s="247"/>
      <c r="R639" s="247"/>
      <c r="S639" s="247"/>
      <c r="T639" s="247"/>
      <c r="U639" s="247"/>
      <c r="V639" s="247"/>
      <c r="W639" s="247"/>
      <c r="X639" s="247"/>
      <c r="Y639" s="247"/>
      <c r="Z639" s="247"/>
      <c r="AA639" s="247"/>
      <c r="AB639" s="247"/>
      <c r="AC639" s="247"/>
    </row>
    <row r="640">
      <c r="A640" s="247"/>
      <c r="B640" s="247"/>
      <c r="C640" s="247"/>
      <c r="D640" s="249"/>
      <c r="E640" s="250"/>
      <c r="F640" s="248"/>
      <c r="G640" s="248"/>
      <c r="H640" s="251"/>
      <c r="I640" s="247"/>
      <c r="J640" s="247"/>
      <c r="K640" s="247"/>
      <c r="L640" s="247"/>
      <c r="M640" s="247"/>
      <c r="N640" s="247"/>
      <c r="O640" s="247"/>
      <c r="P640" s="247"/>
      <c r="Q640" s="247"/>
      <c r="R640" s="247"/>
      <c r="S640" s="247"/>
      <c r="T640" s="247"/>
      <c r="U640" s="247"/>
      <c r="V640" s="247"/>
      <c r="W640" s="247"/>
      <c r="X640" s="247"/>
      <c r="Y640" s="247"/>
      <c r="Z640" s="247"/>
      <c r="AA640" s="247"/>
      <c r="AB640" s="247"/>
      <c r="AC640" s="247"/>
    </row>
    <row r="641">
      <c r="A641" s="247"/>
      <c r="B641" s="247"/>
      <c r="C641" s="247"/>
      <c r="D641" s="249"/>
      <c r="E641" s="250"/>
      <c r="F641" s="248"/>
      <c r="G641" s="248"/>
      <c r="H641" s="251"/>
      <c r="I641" s="247"/>
      <c r="J641" s="247"/>
      <c r="K641" s="247"/>
      <c r="L641" s="247"/>
      <c r="M641" s="247"/>
      <c r="N641" s="247"/>
      <c r="O641" s="247"/>
      <c r="P641" s="247"/>
      <c r="Q641" s="247"/>
      <c r="R641" s="247"/>
      <c r="S641" s="247"/>
      <c r="T641" s="247"/>
      <c r="U641" s="247"/>
      <c r="V641" s="247"/>
      <c r="W641" s="247"/>
      <c r="X641" s="247"/>
      <c r="Y641" s="247"/>
      <c r="Z641" s="247"/>
      <c r="AA641" s="247"/>
      <c r="AB641" s="247"/>
      <c r="AC641" s="247"/>
    </row>
    <row r="642">
      <c r="A642" s="247"/>
      <c r="B642" s="247"/>
      <c r="C642" s="247"/>
      <c r="D642" s="249"/>
      <c r="E642" s="250"/>
      <c r="F642" s="248"/>
      <c r="G642" s="248"/>
      <c r="H642" s="251"/>
      <c r="I642" s="247"/>
      <c r="J642" s="247"/>
      <c r="K642" s="247"/>
      <c r="L642" s="247"/>
      <c r="M642" s="247"/>
      <c r="N642" s="247"/>
      <c r="O642" s="247"/>
      <c r="P642" s="247"/>
      <c r="Q642" s="247"/>
      <c r="R642" s="247"/>
      <c r="S642" s="247"/>
      <c r="T642" s="247"/>
      <c r="U642" s="247"/>
      <c r="V642" s="247"/>
      <c r="W642" s="247"/>
      <c r="X642" s="247"/>
      <c r="Y642" s="247"/>
      <c r="Z642" s="247"/>
      <c r="AA642" s="247"/>
      <c r="AB642" s="247"/>
      <c r="AC642" s="247"/>
    </row>
    <row r="643">
      <c r="A643" s="247"/>
      <c r="B643" s="247"/>
      <c r="C643" s="247"/>
      <c r="D643" s="249"/>
      <c r="E643" s="250"/>
      <c r="F643" s="248"/>
      <c r="G643" s="248"/>
      <c r="H643" s="251"/>
      <c r="I643" s="247"/>
      <c r="J643" s="247"/>
      <c r="K643" s="247"/>
      <c r="L643" s="247"/>
      <c r="M643" s="247"/>
      <c r="N643" s="247"/>
      <c r="O643" s="247"/>
      <c r="P643" s="247"/>
      <c r="Q643" s="247"/>
      <c r="R643" s="247"/>
      <c r="S643" s="247"/>
      <c r="T643" s="247"/>
      <c r="U643" s="247"/>
      <c r="V643" s="247"/>
      <c r="W643" s="247"/>
      <c r="X643" s="247"/>
      <c r="Y643" s="247"/>
      <c r="Z643" s="247"/>
      <c r="AA643" s="247"/>
      <c r="AB643" s="247"/>
      <c r="AC643" s="247"/>
    </row>
    <row r="644">
      <c r="A644" s="247"/>
      <c r="B644" s="247"/>
      <c r="C644" s="247"/>
      <c r="D644" s="249"/>
      <c r="E644" s="250"/>
      <c r="F644" s="248"/>
      <c r="G644" s="248"/>
      <c r="H644" s="251"/>
      <c r="I644" s="247"/>
      <c r="J644" s="247"/>
      <c r="K644" s="247"/>
      <c r="L644" s="247"/>
      <c r="M644" s="247"/>
      <c r="N644" s="247"/>
      <c r="O644" s="247"/>
      <c r="P644" s="247"/>
      <c r="Q644" s="247"/>
      <c r="R644" s="247"/>
      <c r="S644" s="247"/>
      <c r="T644" s="247"/>
      <c r="U644" s="247"/>
      <c r="V644" s="247"/>
      <c r="W644" s="247"/>
      <c r="X644" s="247"/>
      <c r="Y644" s="247"/>
      <c r="Z644" s="247"/>
      <c r="AA644" s="247"/>
      <c r="AB644" s="247"/>
      <c r="AC644" s="247"/>
    </row>
    <row r="645">
      <c r="A645" s="247"/>
      <c r="B645" s="247"/>
      <c r="C645" s="247"/>
      <c r="D645" s="249"/>
      <c r="E645" s="250"/>
      <c r="F645" s="248"/>
      <c r="G645" s="248"/>
      <c r="H645" s="251"/>
      <c r="I645" s="247"/>
      <c r="J645" s="247"/>
      <c r="K645" s="247"/>
      <c r="L645" s="247"/>
      <c r="M645" s="247"/>
      <c r="N645" s="247"/>
      <c r="O645" s="247"/>
      <c r="P645" s="247"/>
      <c r="Q645" s="247"/>
      <c r="R645" s="247"/>
      <c r="S645" s="247"/>
      <c r="T645" s="247"/>
      <c r="U645" s="247"/>
      <c r="V645" s="247"/>
      <c r="W645" s="247"/>
      <c r="X645" s="247"/>
      <c r="Y645" s="247"/>
      <c r="Z645" s="247"/>
      <c r="AA645" s="247"/>
      <c r="AB645" s="247"/>
      <c r="AC645" s="247"/>
    </row>
    <row r="646">
      <c r="A646" s="247"/>
      <c r="B646" s="247"/>
      <c r="C646" s="247"/>
      <c r="D646" s="249"/>
      <c r="E646" s="250"/>
      <c r="F646" s="248"/>
      <c r="G646" s="248"/>
      <c r="H646" s="251"/>
      <c r="I646" s="247"/>
      <c r="J646" s="247"/>
      <c r="K646" s="247"/>
      <c r="L646" s="247"/>
      <c r="M646" s="247"/>
      <c r="N646" s="247"/>
      <c r="O646" s="247"/>
      <c r="P646" s="247"/>
      <c r="Q646" s="247"/>
      <c r="R646" s="247"/>
      <c r="S646" s="247"/>
      <c r="T646" s="247"/>
      <c r="U646" s="247"/>
      <c r="V646" s="247"/>
      <c r="W646" s="247"/>
      <c r="X646" s="247"/>
      <c r="Y646" s="247"/>
      <c r="Z646" s="247"/>
      <c r="AA646" s="247"/>
      <c r="AB646" s="247"/>
      <c r="AC646" s="247"/>
    </row>
    <row r="647">
      <c r="A647" s="247"/>
      <c r="B647" s="247"/>
      <c r="C647" s="247"/>
      <c r="D647" s="249"/>
      <c r="E647" s="250"/>
      <c r="F647" s="248"/>
      <c r="G647" s="248"/>
      <c r="H647" s="251"/>
      <c r="I647" s="247"/>
      <c r="J647" s="247"/>
      <c r="K647" s="247"/>
      <c r="L647" s="247"/>
      <c r="M647" s="247"/>
      <c r="N647" s="247"/>
      <c r="O647" s="247"/>
      <c r="P647" s="247"/>
      <c r="Q647" s="247"/>
      <c r="R647" s="247"/>
      <c r="S647" s="247"/>
      <c r="T647" s="247"/>
      <c r="U647" s="247"/>
      <c r="V647" s="247"/>
      <c r="W647" s="247"/>
      <c r="X647" s="247"/>
      <c r="Y647" s="247"/>
      <c r="Z647" s="247"/>
      <c r="AA647" s="247"/>
      <c r="AB647" s="247"/>
      <c r="AC647" s="247"/>
    </row>
    <row r="648">
      <c r="A648" s="247"/>
      <c r="B648" s="247"/>
      <c r="C648" s="247"/>
      <c r="D648" s="249"/>
      <c r="E648" s="250"/>
      <c r="F648" s="248"/>
      <c r="G648" s="248"/>
      <c r="H648" s="251"/>
      <c r="I648" s="247"/>
      <c r="J648" s="247"/>
      <c r="K648" s="247"/>
      <c r="L648" s="247"/>
      <c r="M648" s="247"/>
      <c r="N648" s="247"/>
      <c r="O648" s="247"/>
      <c r="P648" s="247"/>
      <c r="Q648" s="247"/>
      <c r="R648" s="247"/>
      <c r="S648" s="247"/>
      <c r="T648" s="247"/>
      <c r="U648" s="247"/>
      <c r="V648" s="247"/>
      <c r="W648" s="247"/>
      <c r="X648" s="247"/>
      <c r="Y648" s="247"/>
      <c r="Z648" s="247"/>
      <c r="AA648" s="247"/>
      <c r="AB648" s="247"/>
      <c r="AC648" s="247"/>
    </row>
    <row r="649">
      <c r="A649" s="247"/>
      <c r="B649" s="247"/>
      <c r="C649" s="247"/>
      <c r="D649" s="249"/>
      <c r="E649" s="250"/>
      <c r="F649" s="248"/>
      <c r="G649" s="248"/>
      <c r="H649" s="251"/>
      <c r="I649" s="247"/>
      <c r="J649" s="247"/>
      <c r="K649" s="247"/>
      <c r="L649" s="247"/>
      <c r="M649" s="247"/>
      <c r="N649" s="247"/>
      <c r="O649" s="247"/>
      <c r="P649" s="247"/>
      <c r="Q649" s="247"/>
      <c r="R649" s="247"/>
      <c r="S649" s="247"/>
      <c r="T649" s="247"/>
      <c r="U649" s="247"/>
      <c r="V649" s="247"/>
      <c r="W649" s="247"/>
      <c r="X649" s="247"/>
      <c r="Y649" s="247"/>
      <c r="Z649" s="247"/>
      <c r="AA649" s="247"/>
      <c r="AB649" s="247"/>
      <c r="AC649" s="247"/>
    </row>
    <row r="650">
      <c r="A650" s="247"/>
      <c r="B650" s="247"/>
      <c r="C650" s="247"/>
      <c r="D650" s="249"/>
      <c r="E650" s="250"/>
      <c r="F650" s="248"/>
      <c r="G650" s="248"/>
      <c r="H650" s="251"/>
      <c r="I650" s="247"/>
      <c r="J650" s="247"/>
      <c r="K650" s="247"/>
      <c r="L650" s="247"/>
      <c r="M650" s="247"/>
      <c r="N650" s="247"/>
      <c r="O650" s="247"/>
      <c r="P650" s="247"/>
      <c r="Q650" s="247"/>
      <c r="R650" s="247"/>
      <c r="S650" s="247"/>
      <c r="T650" s="247"/>
      <c r="U650" s="247"/>
      <c r="V650" s="247"/>
      <c r="W650" s="247"/>
      <c r="X650" s="247"/>
      <c r="Y650" s="247"/>
      <c r="Z650" s="247"/>
      <c r="AA650" s="247"/>
      <c r="AB650" s="247"/>
      <c r="AC650" s="247"/>
    </row>
    <row r="651">
      <c r="A651" s="247"/>
      <c r="B651" s="247"/>
      <c r="C651" s="247"/>
      <c r="D651" s="249"/>
      <c r="E651" s="250"/>
      <c r="F651" s="248"/>
      <c r="G651" s="248"/>
      <c r="H651" s="251"/>
      <c r="I651" s="247"/>
      <c r="J651" s="247"/>
      <c r="K651" s="247"/>
      <c r="L651" s="247"/>
      <c r="M651" s="247"/>
      <c r="N651" s="247"/>
      <c r="O651" s="247"/>
      <c r="P651" s="247"/>
      <c r="Q651" s="247"/>
      <c r="R651" s="247"/>
      <c r="S651" s="247"/>
      <c r="T651" s="247"/>
      <c r="U651" s="247"/>
      <c r="V651" s="247"/>
      <c r="W651" s="247"/>
      <c r="X651" s="247"/>
      <c r="Y651" s="247"/>
      <c r="Z651" s="247"/>
      <c r="AA651" s="247"/>
      <c r="AB651" s="247"/>
      <c r="AC651" s="247"/>
    </row>
    <row r="652">
      <c r="A652" s="247"/>
      <c r="B652" s="247"/>
      <c r="C652" s="247"/>
      <c r="D652" s="249"/>
      <c r="E652" s="250"/>
      <c r="F652" s="248"/>
      <c r="G652" s="248"/>
      <c r="H652" s="251"/>
      <c r="I652" s="247"/>
      <c r="J652" s="247"/>
      <c r="K652" s="247"/>
      <c r="L652" s="247"/>
      <c r="M652" s="247"/>
      <c r="N652" s="247"/>
      <c r="O652" s="247"/>
      <c r="P652" s="247"/>
      <c r="Q652" s="247"/>
      <c r="R652" s="247"/>
      <c r="S652" s="247"/>
      <c r="T652" s="247"/>
      <c r="U652" s="247"/>
      <c r="V652" s="247"/>
      <c r="W652" s="247"/>
      <c r="X652" s="247"/>
      <c r="Y652" s="247"/>
      <c r="Z652" s="247"/>
      <c r="AA652" s="247"/>
      <c r="AB652" s="247"/>
      <c r="AC652" s="247"/>
    </row>
    <row r="653">
      <c r="A653" s="247"/>
      <c r="B653" s="247"/>
      <c r="C653" s="247"/>
      <c r="D653" s="249"/>
      <c r="E653" s="250"/>
      <c r="F653" s="248"/>
      <c r="G653" s="248"/>
      <c r="H653" s="251"/>
      <c r="I653" s="247"/>
      <c r="J653" s="247"/>
      <c r="K653" s="247"/>
      <c r="L653" s="247"/>
      <c r="M653" s="247"/>
      <c r="N653" s="247"/>
      <c r="O653" s="247"/>
      <c r="P653" s="247"/>
      <c r="Q653" s="247"/>
      <c r="R653" s="247"/>
      <c r="S653" s="247"/>
      <c r="T653" s="247"/>
      <c r="U653" s="247"/>
      <c r="V653" s="247"/>
      <c r="W653" s="247"/>
      <c r="X653" s="247"/>
      <c r="Y653" s="247"/>
      <c r="Z653" s="247"/>
      <c r="AA653" s="247"/>
      <c r="AB653" s="247"/>
      <c r="AC653" s="247"/>
    </row>
    <row r="654">
      <c r="A654" s="247"/>
      <c r="B654" s="247"/>
      <c r="C654" s="247"/>
      <c r="D654" s="249"/>
      <c r="E654" s="250"/>
      <c r="F654" s="248"/>
      <c r="G654" s="248"/>
      <c r="H654" s="251"/>
      <c r="I654" s="247"/>
      <c r="J654" s="247"/>
      <c r="K654" s="247"/>
      <c r="L654" s="247"/>
      <c r="M654" s="247"/>
      <c r="N654" s="247"/>
      <c r="O654" s="247"/>
      <c r="P654" s="247"/>
      <c r="Q654" s="247"/>
      <c r="R654" s="247"/>
      <c r="S654" s="247"/>
      <c r="T654" s="247"/>
      <c r="U654" s="247"/>
      <c r="V654" s="247"/>
      <c r="W654" s="247"/>
      <c r="X654" s="247"/>
      <c r="Y654" s="247"/>
      <c r="Z654" s="247"/>
      <c r="AA654" s="247"/>
      <c r="AB654" s="247"/>
      <c r="AC654" s="247"/>
    </row>
    <row r="655">
      <c r="A655" s="247"/>
      <c r="B655" s="247"/>
      <c r="C655" s="247"/>
      <c r="D655" s="249"/>
      <c r="E655" s="250"/>
      <c r="F655" s="248"/>
      <c r="G655" s="248"/>
      <c r="H655" s="251"/>
      <c r="I655" s="247"/>
      <c r="J655" s="247"/>
      <c r="K655" s="247"/>
      <c r="L655" s="247"/>
      <c r="M655" s="247"/>
      <c r="N655" s="247"/>
      <c r="O655" s="247"/>
      <c r="P655" s="247"/>
      <c r="Q655" s="247"/>
      <c r="R655" s="247"/>
      <c r="S655" s="247"/>
      <c r="T655" s="247"/>
      <c r="U655" s="247"/>
      <c r="V655" s="247"/>
      <c r="W655" s="247"/>
      <c r="X655" s="247"/>
      <c r="Y655" s="247"/>
      <c r="Z655" s="247"/>
      <c r="AA655" s="247"/>
      <c r="AB655" s="247"/>
      <c r="AC655" s="247"/>
    </row>
    <row r="656">
      <c r="A656" s="247"/>
      <c r="B656" s="247"/>
      <c r="C656" s="247"/>
      <c r="D656" s="249"/>
      <c r="E656" s="250"/>
      <c r="F656" s="248"/>
      <c r="G656" s="248"/>
      <c r="H656" s="251"/>
      <c r="I656" s="247"/>
      <c r="J656" s="247"/>
      <c r="K656" s="247"/>
      <c r="L656" s="247"/>
      <c r="M656" s="247"/>
      <c r="N656" s="247"/>
      <c r="O656" s="247"/>
      <c r="P656" s="247"/>
      <c r="Q656" s="247"/>
      <c r="R656" s="247"/>
      <c r="S656" s="247"/>
      <c r="T656" s="247"/>
      <c r="U656" s="247"/>
      <c r="V656" s="247"/>
      <c r="W656" s="247"/>
      <c r="X656" s="247"/>
      <c r="Y656" s="247"/>
      <c r="Z656" s="247"/>
      <c r="AA656" s="247"/>
      <c r="AB656" s="247"/>
      <c r="AC656" s="247"/>
    </row>
    <row r="657">
      <c r="A657" s="247"/>
      <c r="B657" s="247"/>
      <c r="C657" s="247"/>
      <c r="D657" s="249"/>
      <c r="E657" s="250"/>
      <c r="F657" s="248"/>
      <c r="G657" s="248"/>
      <c r="H657" s="251"/>
      <c r="I657" s="247"/>
      <c r="J657" s="247"/>
      <c r="K657" s="247"/>
      <c r="L657" s="247"/>
      <c r="M657" s="247"/>
      <c r="N657" s="247"/>
      <c r="O657" s="247"/>
      <c r="P657" s="247"/>
      <c r="Q657" s="247"/>
      <c r="R657" s="247"/>
      <c r="S657" s="247"/>
      <c r="T657" s="247"/>
      <c r="U657" s="247"/>
      <c r="V657" s="247"/>
      <c r="W657" s="247"/>
      <c r="X657" s="247"/>
      <c r="Y657" s="247"/>
      <c r="Z657" s="247"/>
      <c r="AA657" s="247"/>
      <c r="AB657" s="247"/>
      <c r="AC657" s="247"/>
    </row>
    <row r="658">
      <c r="A658" s="247"/>
      <c r="B658" s="247"/>
      <c r="C658" s="247"/>
      <c r="D658" s="249"/>
      <c r="E658" s="250"/>
      <c r="F658" s="248"/>
      <c r="G658" s="248"/>
      <c r="H658" s="251"/>
      <c r="I658" s="247"/>
      <c r="J658" s="247"/>
      <c r="K658" s="247"/>
      <c r="L658" s="247"/>
      <c r="M658" s="247"/>
      <c r="N658" s="247"/>
      <c r="O658" s="247"/>
      <c r="P658" s="247"/>
      <c r="Q658" s="247"/>
      <c r="R658" s="247"/>
      <c r="S658" s="247"/>
      <c r="T658" s="247"/>
      <c r="U658" s="247"/>
      <c r="V658" s="247"/>
      <c r="W658" s="247"/>
      <c r="X658" s="247"/>
      <c r="Y658" s="247"/>
      <c r="Z658" s="247"/>
      <c r="AA658" s="247"/>
      <c r="AB658" s="247"/>
      <c r="AC658" s="247"/>
    </row>
    <row r="659">
      <c r="A659" s="247"/>
      <c r="B659" s="247"/>
      <c r="C659" s="247"/>
      <c r="D659" s="249"/>
      <c r="E659" s="250"/>
      <c r="F659" s="248"/>
      <c r="G659" s="248"/>
      <c r="H659" s="251"/>
      <c r="I659" s="247"/>
      <c r="J659" s="247"/>
      <c r="K659" s="247"/>
      <c r="L659" s="247"/>
      <c r="M659" s="247"/>
      <c r="N659" s="247"/>
      <c r="O659" s="247"/>
      <c r="P659" s="247"/>
      <c r="Q659" s="247"/>
      <c r="R659" s="247"/>
      <c r="S659" s="247"/>
      <c r="T659" s="247"/>
      <c r="U659" s="247"/>
      <c r="V659" s="247"/>
      <c r="W659" s="247"/>
      <c r="X659" s="247"/>
      <c r="Y659" s="247"/>
      <c r="Z659" s="247"/>
      <c r="AA659" s="247"/>
      <c r="AB659" s="247"/>
      <c r="AC659" s="247"/>
    </row>
    <row r="660">
      <c r="A660" s="247"/>
      <c r="B660" s="247"/>
      <c r="C660" s="247"/>
      <c r="D660" s="249"/>
      <c r="E660" s="250"/>
      <c r="F660" s="248"/>
      <c r="G660" s="248"/>
      <c r="H660" s="251"/>
      <c r="I660" s="247"/>
      <c r="J660" s="247"/>
      <c r="K660" s="247"/>
      <c r="L660" s="247"/>
      <c r="M660" s="247"/>
      <c r="N660" s="247"/>
      <c r="O660" s="247"/>
      <c r="P660" s="247"/>
      <c r="Q660" s="247"/>
      <c r="R660" s="247"/>
      <c r="S660" s="247"/>
      <c r="T660" s="247"/>
      <c r="U660" s="247"/>
      <c r="V660" s="247"/>
      <c r="W660" s="247"/>
      <c r="X660" s="247"/>
      <c r="Y660" s="247"/>
      <c r="Z660" s="247"/>
      <c r="AA660" s="247"/>
      <c r="AB660" s="247"/>
      <c r="AC660" s="247"/>
    </row>
    <row r="661">
      <c r="A661" s="247"/>
      <c r="B661" s="247"/>
      <c r="C661" s="247"/>
      <c r="D661" s="249"/>
      <c r="E661" s="250"/>
      <c r="F661" s="248"/>
      <c r="G661" s="248"/>
      <c r="H661" s="251"/>
      <c r="I661" s="247"/>
      <c r="J661" s="247"/>
      <c r="K661" s="247"/>
      <c r="L661" s="247"/>
      <c r="M661" s="247"/>
      <c r="N661" s="247"/>
      <c r="O661" s="247"/>
      <c r="P661" s="247"/>
      <c r="Q661" s="247"/>
      <c r="R661" s="247"/>
      <c r="S661" s="247"/>
      <c r="T661" s="247"/>
      <c r="U661" s="247"/>
      <c r="V661" s="247"/>
      <c r="W661" s="247"/>
      <c r="X661" s="247"/>
      <c r="Y661" s="247"/>
      <c r="Z661" s="247"/>
      <c r="AA661" s="247"/>
      <c r="AB661" s="247"/>
      <c r="AC661" s="247"/>
    </row>
    <row r="662">
      <c r="A662" s="247"/>
      <c r="B662" s="247"/>
      <c r="C662" s="247"/>
      <c r="D662" s="249"/>
      <c r="E662" s="250"/>
      <c r="F662" s="248"/>
      <c r="G662" s="248"/>
      <c r="H662" s="251"/>
      <c r="I662" s="247"/>
      <c r="J662" s="247"/>
      <c r="K662" s="247"/>
      <c r="L662" s="247"/>
      <c r="M662" s="247"/>
      <c r="N662" s="247"/>
      <c r="O662" s="247"/>
      <c r="P662" s="247"/>
      <c r="Q662" s="247"/>
      <c r="R662" s="247"/>
      <c r="S662" s="247"/>
      <c r="T662" s="247"/>
      <c r="U662" s="247"/>
      <c r="V662" s="247"/>
      <c r="W662" s="247"/>
      <c r="X662" s="247"/>
      <c r="Y662" s="247"/>
      <c r="Z662" s="247"/>
      <c r="AA662" s="247"/>
      <c r="AB662" s="247"/>
      <c r="AC662" s="247"/>
    </row>
    <row r="663">
      <c r="A663" s="247"/>
      <c r="B663" s="247"/>
      <c r="C663" s="247"/>
      <c r="D663" s="249"/>
      <c r="E663" s="250"/>
      <c r="F663" s="248"/>
      <c r="G663" s="248"/>
      <c r="H663" s="251"/>
      <c r="I663" s="247"/>
      <c r="J663" s="247"/>
      <c r="K663" s="247"/>
      <c r="L663" s="247"/>
      <c r="M663" s="247"/>
      <c r="N663" s="247"/>
      <c r="O663" s="247"/>
      <c r="P663" s="247"/>
      <c r="Q663" s="247"/>
      <c r="R663" s="247"/>
      <c r="S663" s="247"/>
      <c r="T663" s="247"/>
      <c r="U663" s="247"/>
      <c r="V663" s="247"/>
      <c r="W663" s="247"/>
      <c r="X663" s="247"/>
      <c r="Y663" s="247"/>
      <c r="Z663" s="247"/>
      <c r="AA663" s="247"/>
      <c r="AB663" s="247"/>
      <c r="AC663" s="247"/>
    </row>
    <row r="664">
      <c r="A664" s="247"/>
      <c r="B664" s="247"/>
      <c r="C664" s="247"/>
      <c r="D664" s="249"/>
      <c r="E664" s="250"/>
      <c r="F664" s="248"/>
      <c r="G664" s="248"/>
      <c r="H664" s="251"/>
      <c r="I664" s="247"/>
      <c r="J664" s="247"/>
      <c r="K664" s="247"/>
      <c r="L664" s="247"/>
      <c r="M664" s="247"/>
      <c r="N664" s="247"/>
      <c r="O664" s="247"/>
      <c r="P664" s="247"/>
      <c r="Q664" s="247"/>
      <c r="R664" s="247"/>
      <c r="S664" s="247"/>
      <c r="T664" s="247"/>
      <c r="U664" s="247"/>
      <c r="V664" s="247"/>
      <c r="W664" s="247"/>
      <c r="X664" s="247"/>
      <c r="Y664" s="247"/>
      <c r="Z664" s="247"/>
      <c r="AA664" s="247"/>
      <c r="AB664" s="247"/>
      <c r="AC664" s="247"/>
    </row>
    <row r="665">
      <c r="A665" s="247"/>
      <c r="B665" s="247"/>
      <c r="C665" s="247"/>
      <c r="D665" s="249"/>
      <c r="E665" s="250"/>
      <c r="F665" s="248"/>
      <c r="G665" s="248"/>
      <c r="H665" s="251"/>
      <c r="I665" s="247"/>
      <c r="J665" s="247"/>
      <c r="K665" s="247"/>
      <c r="L665" s="247"/>
      <c r="M665" s="247"/>
      <c r="N665" s="247"/>
      <c r="O665" s="247"/>
      <c r="P665" s="247"/>
      <c r="Q665" s="247"/>
      <c r="R665" s="247"/>
      <c r="S665" s="247"/>
      <c r="T665" s="247"/>
      <c r="U665" s="247"/>
      <c r="V665" s="247"/>
      <c r="W665" s="247"/>
      <c r="X665" s="247"/>
      <c r="Y665" s="247"/>
      <c r="Z665" s="247"/>
      <c r="AA665" s="247"/>
      <c r="AB665" s="247"/>
      <c r="AC665" s="247"/>
    </row>
    <row r="666">
      <c r="A666" s="247"/>
      <c r="B666" s="247"/>
      <c r="C666" s="247"/>
      <c r="D666" s="249"/>
      <c r="E666" s="250"/>
      <c r="F666" s="248"/>
      <c r="G666" s="248"/>
      <c r="H666" s="251"/>
      <c r="I666" s="247"/>
      <c r="J666" s="247"/>
      <c r="K666" s="247"/>
      <c r="L666" s="247"/>
      <c r="M666" s="247"/>
      <c r="N666" s="247"/>
      <c r="O666" s="247"/>
      <c r="P666" s="247"/>
      <c r="Q666" s="247"/>
      <c r="R666" s="247"/>
      <c r="S666" s="247"/>
      <c r="T666" s="247"/>
      <c r="U666" s="247"/>
      <c r="V666" s="247"/>
      <c r="W666" s="247"/>
      <c r="X666" s="247"/>
      <c r="Y666" s="247"/>
      <c r="Z666" s="247"/>
      <c r="AA666" s="247"/>
      <c r="AB666" s="247"/>
      <c r="AC666" s="247"/>
    </row>
    <row r="667">
      <c r="A667" s="247"/>
      <c r="B667" s="247"/>
      <c r="C667" s="247"/>
      <c r="D667" s="249"/>
      <c r="E667" s="250"/>
      <c r="F667" s="248"/>
      <c r="G667" s="248"/>
      <c r="H667" s="251"/>
      <c r="I667" s="247"/>
      <c r="J667" s="247"/>
      <c r="K667" s="247"/>
      <c r="L667" s="247"/>
      <c r="M667" s="247"/>
      <c r="N667" s="247"/>
      <c r="O667" s="247"/>
      <c r="P667" s="247"/>
      <c r="Q667" s="247"/>
      <c r="R667" s="247"/>
      <c r="S667" s="247"/>
      <c r="T667" s="247"/>
      <c r="U667" s="247"/>
      <c r="V667" s="247"/>
      <c r="W667" s="247"/>
      <c r="X667" s="247"/>
      <c r="Y667" s="247"/>
      <c r="Z667" s="247"/>
      <c r="AA667" s="247"/>
      <c r="AB667" s="247"/>
      <c r="AC667" s="247"/>
    </row>
    <row r="668">
      <c r="A668" s="247"/>
      <c r="B668" s="247"/>
      <c r="C668" s="247"/>
      <c r="D668" s="249"/>
      <c r="E668" s="250"/>
      <c r="F668" s="248"/>
      <c r="G668" s="248"/>
      <c r="H668" s="251"/>
      <c r="I668" s="247"/>
      <c r="J668" s="247"/>
      <c r="K668" s="247"/>
      <c r="L668" s="247"/>
      <c r="M668" s="247"/>
      <c r="N668" s="247"/>
      <c r="O668" s="247"/>
      <c r="P668" s="247"/>
      <c r="Q668" s="247"/>
      <c r="R668" s="247"/>
      <c r="S668" s="247"/>
      <c r="T668" s="247"/>
      <c r="U668" s="247"/>
      <c r="V668" s="247"/>
      <c r="W668" s="247"/>
      <c r="X668" s="247"/>
      <c r="Y668" s="247"/>
      <c r="Z668" s="247"/>
      <c r="AA668" s="247"/>
      <c r="AB668" s="247"/>
      <c r="AC668" s="247"/>
    </row>
    <row r="669">
      <c r="A669" s="247"/>
      <c r="B669" s="247"/>
      <c r="C669" s="247"/>
      <c r="D669" s="249"/>
      <c r="E669" s="250"/>
      <c r="F669" s="248"/>
      <c r="G669" s="248"/>
      <c r="H669" s="251"/>
      <c r="I669" s="247"/>
      <c r="J669" s="247"/>
      <c r="K669" s="247"/>
      <c r="L669" s="247"/>
      <c r="M669" s="247"/>
      <c r="N669" s="247"/>
      <c r="O669" s="247"/>
      <c r="P669" s="247"/>
      <c r="Q669" s="247"/>
      <c r="R669" s="247"/>
      <c r="S669" s="247"/>
      <c r="T669" s="247"/>
      <c r="U669" s="247"/>
      <c r="V669" s="247"/>
      <c r="W669" s="247"/>
      <c r="X669" s="247"/>
      <c r="Y669" s="247"/>
      <c r="Z669" s="247"/>
      <c r="AA669" s="247"/>
      <c r="AB669" s="247"/>
      <c r="AC669" s="247"/>
    </row>
    <row r="670">
      <c r="A670" s="247"/>
      <c r="B670" s="247"/>
      <c r="C670" s="247"/>
      <c r="D670" s="249"/>
      <c r="E670" s="250"/>
      <c r="F670" s="248"/>
      <c r="G670" s="248"/>
      <c r="H670" s="251"/>
      <c r="I670" s="247"/>
      <c r="J670" s="247"/>
      <c r="K670" s="247"/>
      <c r="L670" s="247"/>
      <c r="M670" s="247"/>
      <c r="N670" s="247"/>
      <c r="O670" s="247"/>
      <c r="P670" s="247"/>
      <c r="Q670" s="247"/>
      <c r="R670" s="247"/>
      <c r="S670" s="247"/>
      <c r="T670" s="247"/>
      <c r="U670" s="247"/>
      <c r="V670" s="247"/>
      <c r="W670" s="247"/>
      <c r="X670" s="247"/>
      <c r="Y670" s="247"/>
      <c r="Z670" s="247"/>
      <c r="AA670" s="247"/>
      <c r="AB670" s="247"/>
      <c r="AC670" s="247"/>
    </row>
    <row r="671">
      <c r="A671" s="247"/>
      <c r="B671" s="247"/>
      <c r="C671" s="247"/>
      <c r="D671" s="249"/>
      <c r="E671" s="250"/>
      <c r="F671" s="248"/>
      <c r="G671" s="248"/>
      <c r="H671" s="251"/>
      <c r="I671" s="247"/>
      <c r="J671" s="247"/>
      <c r="K671" s="247"/>
      <c r="L671" s="247"/>
      <c r="M671" s="247"/>
      <c r="N671" s="247"/>
      <c r="O671" s="247"/>
      <c r="P671" s="247"/>
      <c r="Q671" s="247"/>
      <c r="R671" s="247"/>
      <c r="S671" s="247"/>
      <c r="T671" s="247"/>
      <c r="U671" s="247"/>
      <c r="V671" s="247"/>
      <c r="W671" s="247"/>
      <c r="X671" s="247"/>
      <c r="Y671" s="247"/>
      <c r="Z671" s="247"/>
      <c r="AA671" s="247"/>
      <c r="AB671" s="247"/>
      <c r="AC671" s="247"/>
    </row>
    <row r="672">
      <c r="A672" s="247"/>
      <c r="B672" s="247"/>
      <c r="C672" s="247"/>
      <c r="D672" s="249"/>
      <c r="E672" s="250"/>
      <c r="F672" s="248"/>
      <c r="G672" s="248"/>
      <c r="H672" s="251"/>
      <c r="I672" s="247"/>
      <c r="J672" s="247"/>
      <c r="K672" s="247"/>
      <c r="L672" s="247"/>
      <c r="M672" s="247"/>
      <c r="N672" s="247"/>
      <c r="O672" s="247"/>
      <c r="P672" s="247"/>
      <c r="Q672" s="247"/>
      <c r="R672" s="247"/>
      <c r="S672" s="247"/>
      <c r="T672" s="247"/>
      <c r="U672" s="247"/>
      <c r="V672" s="247"/>
      <c r="W672" s="247"/>
      <c r="X672" s="247"/>
      <c r="Y672" s="247"/>
      <c r="Z672" s="247"/>
      <c r="AA672" s="247"/>
      <c r="AB672" s="247"/>
      <c r="AC672" s="247"/>
    </row>
    <row r="673">
      <c r="A673" s="247"/>
      <c r="B673" s="247"/>
      <c r="C673" s="247"/>
      <c r="D673" s="249"/>
      <c r="E673" s="250"/>
      <c r="F673" s="248"/>
      <c r="G673" s="248"/>
      <c r="H673" s="251"/>
      <c r="I673" s="247"/>
      <c r="J673" s="247"/>
      <c r="K673" s="247"/>
      <c r="L673" s="247"/>
      <c r="M673" s="247"/>
      <c r="N673" s="247"/>
      <c r="O673" s="247"/>
      <c r="P673" s="247"/>
      <c r="Q673" s="247"/>
      <c r="R673" s="247"/>
      <c r="S673" s="247"/>
      <c r="T673" s="247"/>
      <c r="U673" s="247"/>
      <c r="V673" s="247"/>
      <c r="W673" s="247"/>
      <c r="X673" s="247"/>
      <c r="Y673" s="247"/>
      <c r="Z673" s="247"/>
      <c r="AA673" s="247"/>
      <c r="AB673" s="247"/>
      <c r="AC673" s="247"/>
    </row>
    <row r="674">
      <c r="A674" s="247"/>
      <c r="B674" s="247"/>
      <c r="C674" s="247"/>
      <c r="D674" s="249"/>
      <c r="E674" s="250"/>
      <c r="F674" s="248"/>
      <c r="G674" s="248"/>
      <c r="H674" s="251"/>
      <c r="I674" s="247"/>
      <c r="J674" s="247"/>
      <c r="K674" s="247"/>
      <c r="L674" s="247"/>
      <c r="M674" s="247"/>
      <c r="N674" s="247"/>
      <c r="O674" s="247"/>
      <c r="P674" s="247"/>
      <c r="Q674" s="247"/>
      <c r="R674" s="247"/>
      <c r="S674" s="247"/>
      <c r="T674" s="247"/>
      <c r="U674" s="247"/>
      <c r="V674" s="247"/>
      <c r="W674" s="247"/>
      <c r="X674" s="247"/>
      <c r="Y674" s="247"/>
      <c r="Z674" s="247"/>
      <c r="AA674" s="247"/>
      <c r="AB674" s="247"/>
      <c r="AC674" s="247"/>
    </row>
    <row r="675">
      <c r="A675" s="247"/>
      <c r="B675" s="247"/>
      <c r="C675" s="247"/>
      <c r="D675" s="249"/>
      <c r="E675" s="250"/>
      <c r="F675" s="248"/>
      <c r="G675" s="248"/>
      <c r="H675" s="251"/>
      <c r="I675" s="247"/>
      <c r="J675" s="247"/>
      <c r="K675" s="247"/>
      <c r="L675" s="247"/>
      <c r="M675" s="247"/>
      <c r="N675" s="247"/>
      <c r="O675" s="247"/>
      <c r="P675" s="247"/>
      <c r="Q675" s="247"/>
      <c r="R675" s="247"/>
      <c r="S675" s="247"/>
      <c r="T675" s="247"/>
      <c r="U675" s="247"/>
      <c r="V675" s="247"/>
      <c r="W675" s="247"/>
      <c r="X675" s="247"/>
      <c r="Y675" s="247"/>
      <c r="Z675" s="247"/>
      <c r="AA675" s="247"/>
      <c r="AB675" s="247"/>
      <c r="AC675" s="247"/>
    </row>
    <row r="676">
      <c r="A676" s="247"/>
      <c r="B676" s="247"/>
      <c r="C676" s="247"/>
      <c r="D676" s="249"/>
      <c r="E676" s="250"/>
      <c r="F676" s="248"/>
      <c r="G676" s="248"/>
      <c r="H676" s="251"/>
      <c r="I676" s="247"/>
      <c r="J676" s="247"/>
      <c r="K676" s="247"/>
      <c r="L676" s="247"/>
      <c r="M676" s="247"/>
      <c r="N676" s="247"/>
      <c r="O676" s="247"/>
      <c r="P676" s="247"/>
      <c r="Q676" s="247"/>
      <c r="R676" s="247"/>
      <c r="S676" s="247"/>
      <c r="T676" s="247"/>
      <c r="U676" s="247"/>
      <c r="V676" s="247"/>
      <c r="W676" s="247"/>
      <c r="X676" s="247"/>
      <c r="Y676" s="247"/>
      <c r="Z676" s="247"/>
      <c r="AA676" s="247"/>
      <c r="AB676" s="247"/>
      <c r="AC676" s="247"/>
    </row>
    <row r="677">
      <c r="A677" s="247"/>
      <c r="B677" s="247"/>
      <c r="C677" s="247"/>
      <c r="D677" s="249"/>
      <c r="E677" s="250"/>
      <c r="F677" s="248"/>
      <c r="G677" s="248"/>
      <c r="H677" s="251"/>
      <c r="I677" s="247"/>
      <c r="J677" s="247"/>
      <c r="K677" s="247"/>
      <c r="L677" s="247"/>
      <c r="M677" s="247"/>
      <c r="N677" s="247"/>
      <c r="O677" s="247"/>
      <c r="P677" s="247"/>
      <c r="Q677" s="247"/>
      <c r="R677" s="247"/>
      <c r="S677" s="247"/>
      <c r="T677" s="247"/>
      <c r="U677" s="247"/>
      <c r="V677" s="247"/>
      <c r="W677" s="247"/>
      <c r="X677" s="247"/>
      <c r="Y677" s="247"/>
      <c r="Z677" s="247"/>
      <c r="AA677" s="247"/>
      <c r="AB677" s="247"/>
      <c r="AC677" s="247"/>
    </row>
    <row r="678">
      <c r="A678" s="247"/>
      <c r="B678" s="247"/>
      <c r="C678" s="247"/>
      <c r="D678" s="249"/>
      <c r="E678" s="250"/>
      <c r="F678" s="248"/>
      <c r="G678" s="248"/>
      <c r="H678" s="251"/>
      <c r="I678" s="247"/>
      <c r="J678" s="247"/>
      <c r="K678" s="247"/>
      <c r="L678" s="247"/>
      <c r="M678" s="247"/>
      <c r="N678" s="247"/>
      <c r="O678" s="247"/>
      <c r="P678" s="247"/>
      <c r="Q678" s="247"/>
      <c r="R678" s="247"/>
      <c r="S678" s="247"/>
      <c r="T678" s="247"/>
      <c r="U678" s="247"/>
      <c r="V678" s="247"/>
      <c r="W678" s="247"/>
      <c r="X678" s="247"/>
      <c r="Y678" s="247"/>
      <c r="Z678" s="247"/>
      <c r="AA678" s="247"/>
      <c r="AB678" s="247"/>
      <c r="AC678" s="247"/>
    </row>
    <row r="679">
      <c r="A679" s="247"/>
      <c r="B679" s="247"/>
      <c r="C679" s="247"/>
      <c r="D679" s="249"/>
      <c r="E679" s="250"/>
      <c r="F679" s="248"/>
      <c r="G679" s="248"/>
      <c r="H679" s="251"/>
      <c r="I679" s="247"/>
      <c r="J679" s="247"/>
      <c r="K679" s="247"/>
      <c r="L679" s="247"/>
      <c r="M679" s="247"/>
      <c r="N679" s="247"/>
      <c r="O679" s="247"/>
      <c r="P679" s="247"/>
      <c r="Q679" s="247"/>
      <c r="R679" s="247"/>
      <c r="S679" s="247"/>
      <c r="T679" s="247"/>
      <c r="U679" s="247"/>
      <c r="V679" s="247"/>
      <c r="W679" s="247"/>
      <c r="X679" s="247"/>
      <c r="Y679" s="247"/>
      <c r="Z679" s="247"/>
      <c r="AA679" s="247"/>
      <c r="AB679" s="247"/>
      <c r="AC679" s="247"/>
    </row>
    <row r="680">
      <c r="A680" s="247"/>
      <c r="B680" s="247"/>
      <c r="C680" s="247"/>
      <c r="D680" s="249"/>
      <c r="E680" s="250"/>
      <c r="F680" s="248"/>
      <c r="G680" s="248"/>
      <c r="H680" s="251"/>
      <c r="I680" s="247"/>
      <c r="J680" s="247"/>
      <c r="K680" s="247"/>
      <c r="L680" s="247"/>
      <c r="M680" s="247"/>
      <c r="N680" s="247"/>
      <c r="O680" s="247"/>
      <c r="P680" s="247"/>
      <c r="Q680" s="247"/>
      <c r="R680" s="247"/>
      <c r="S680" s="247"/>
      <c r="T680" s="247"/>
      <c r="U680" s="247"/>
      <c r="V680" s="247"/>
      <c r="W680" s="247"/>
      <c r="X680" s="247"/>
      <c r="Y680" s="247"/>
      <c r="Z680" s="247"/>
      <c r="AA680" s="247"/>
      <c r="AB680" s="247"/>
      <c r="AC680" s="247"/>
    </row>
    <row r="681">
      <c r="A681" s="247"/>
      <c r="B681" s="247"/>
      <c r="C681" s="247"/>
      <c r="D681" s="249"/>
      <c r="E681" s="250"/>
      <c r="F681" s="248"/>
      <c r="G681" s="248"/>
      <c r="H681" s="251"/>
      <c r="I681" s="247"/>
      <c r="J681" s="247"/>
      <c r="K681" s="247"/>
      <c r="L681" s="247"/>
      <c r="M681" s="247"/>
      <c r="N681" s="247"/>
      <c r="O681" s="247"/>
      <c r="P681" s="247"/>
      <c r="Q681" s="247"/>
      <c r="R681" s="247"/>
      <c r="S681" s="247"/>
      <c r="T681" s="247"/>
      <c r="U681" s="247"/>
      <c r="V681" s="247"/>
      <c r="W681" s="247"/>
      <c r="X681" s="247"/>
      <c r="Y681" s="247"/>
      <c r="Z681" s="247"/>
      <c r="AA681" s="247"/>
      <c r="AB681" s="247"/>
      <c r="AC681" s="247"/>
    </row>
    <row r="682">
      <c r="A682" s="247"/>
      <c r="B682" s="247"/>
      <c r="C682" s="247"/>
      <c r="D682" s="249"/>
      <c r="E682" s="250"/>
      <c r="F682" s="248"/>
      <c r="G682" s="248"/>
      <c r="H682" s="251"/>
      <c r="I682" s="247"/>
      <c r="J682" s="247"/>
      <c r="K682" s="247"/>
      <c r="L682" s="247"/>
      <c r="M682" s="247"/>
      <c r="N682" s="247"/>
      <c r="O682" s="247"/>
      <c r="P682" s="247"/>
      <c r="Q682" s="247"/>
      <c r="R682" s="247"/>
      <c r="S682" s="247"/>
      <c r="T682" s="247"/>
      <c r="U682" s="247"/>
      <c r="V682" s="247"/>
      <c r="W682" s="247"/>
      <c r="X682" s="247"/>
      <c r="Y682" s="247"/>
      <c r="Z682" s="247"/>
      <c r="AA682" s="247"/>
      <c r="AB682" s="247"/>
      <c r="AC682" s="247"/>
    </row>
    <row r="683">
      <c r="A683" s="247"/>
      <c r="B683" s="247"/>
      <c r="C683" s="247"/>
      <c r="D683" s="249"/>
      <c r="E683" s="250"/>
      <c r="F683" s="248"/>
      <c r="G683" s="248"/>
      <c r="H683" s="251"/>
      <c r="I683" s="247"/>
      <c r="J683" s="247"/>
      <c r="K683" s="247"/>
      <c r="L683" s="247"/>
      <c r="M683" s="247"/>
      <c r="N683" s="247"/>
      <c r="O683" s="247"/>
      <c r="P683" s="247"/>
      <c r="Q683" s="247"/>
      <c r="R683" s="247"/>
      <c r="S683" s="247"/>
      <c r="T683" s="247"/>
      <c r="U683" s="247"/>
      <c r="V683" s="247"/>
      <c r="W683" s="247"/>
      <c r="X683" s="247"/>
      <c r="Y683" s="247"/>
      <c r="Z683" s="247"/>
      <c r="AA683" s="247"/>
      <c r="AB683" s="247"/>
      <c r="AC683" s="247"/>
    </row>
    <row r="684">
      <c r="A684" s="247"/>
      <c r="B684" s="247"/>
      <c r="C684" s="247"/>
      <c r="D684" s="249"/>
      <c r="E684" s="250"/>
      <c r="F684" s="248"/>
      <c r="G684" s="248"/>
      <c r="H684" s="251"/>
      <c r="I684" s="247"/>
      <c r="J684" s="247"/>
      <c r="K684" s="247"/>
      <c r="L684" s="247"/>
      <c r="M684" s="247"/>
      <c r="N684" s="247"/>
      <c r="O684" s="247"/>
      <c r="P684" s="247"/>
      <c r="Q684" s="247"/>
      <c r="R684" s="247"/>
      <c r="S684" s="247"/>
      <c r="T684" s="247"/>
      <c r="U684" s="247"/>
      <c r="V684" s="247"/>
      <c r="W684" s="247"/>
      <c r="X684" s="247"/>
      <c r="Y684" s="247"/>
      <c r="Z684" s="247"/>
      <c r="AA684" s="247"/>
      <c r="AB684" s="247"/>
      <c r="AC684" s="247"/>
    </row>
    <row r="685">
      <c r="A685" s="247"/>
      <c r="B685" s="247"/>
      <c r="C685" s="247"/>
      <c r="D685" s="249"/>
      <c r="E685" s="250"/>
      <c r="F685" s="248"/>
      <c r="G685" s="248"/>
      <c r="H685" s="251"/>
      <c r="I685" s="247"/>
      <c r="J685" s="247"/>
      <c r="K685" s="247"/>
      <c r="L685" s="247"/>
      <c r="M685" s="247"/>
      <c r="N685" s="247"/>
      <c r="O685" s="247"/>
      <c r="P685" s="247"/>
      <c r="Q685" s="247"/>
      <c r="R685" s="247"/>
      <c r="S685" s="247"/>
      <c r="T685" s="247"/>
      <c r="U685" s="247"/>
      <c r="V685" s="247"/>
      <c r="W685" s="247"/>
      <c r="X685" s="247"/>
      <c r="Y685" s="247"/>
      <c r="Z685" s="247"/>
      <c r="AA685" s="247"/>
      <c r="AB685" s="247"/>
      <c r="AC685" s="247"/>
    </row>
    <row r="686">
      <c r="A686" s="247"/>
      <c r="B686" s="247"/>
      <c r="C686" s="247"/>
      <c r="D686" s="249"/>
      <c r="E686" s="250"/>
      <c r="F686" s="248"/>
      <c r="G686" s="248"/>
      <c r="H686" s="251"/>
      <c r="I686" s="247"/>
      <c r="J686" s="247"/>
      <c r="K686" s="247"/>
      <c r="L686" s="247"/>
      <c r="M686" s="247"/>
      <c r="N686" s="247"/>
      <c r="O686" s="247"/>
      <c r="P686" s="247"/>
      <c r="Q686" s="247"/>
      <c r="R686" s="247"/>
      <c r="S686" s="247"/>
      <c r="T686" s="247"/>
      <c r="U686" s="247"/>
      <c r="V686" s="247"/>
      <c r="W686" s="247"/>
      <c r="X686" s="247"/>
      <c r="Y686" s="247"/>
      <c r="Z686" s="247"/>
      <c r="AA686" s="247"/>
      <c r="AB686" s="247"/>
      <c r="AC686" s="247"/>
    </row>
    <row r="687">
      <c r="A687" s="247"/>
      <c r="B687" s="247"/>
      <c r="C687" s="247"/>
      <c r="D687" s="249"/>
      <c r="E687" s="250"/>
      <c r="F687" s="248"/>
      <c r="G687" s="248"/>
      <c r="H687" s="251"/>
      <c r="I687" s="247"/>
      <c r="J687" s="247"/>
      <c r="K687" s="247"/>
      <c r="L687" s="247"/>
      <c r="M687" s="247"/>
      <c r="N687" s="247"/>
      <c r="O687" s="247"/>
      <c r="P687" s="247"/>
      <c r="Q687" s="247"/>
      <c r="R687" s="247"/>
      <c r="S687" s="247"/>
      <c r="T687" s="247"/>
      <c r="U687" s="247"/>
      <c r="V687" s="247"/>
      <c r="W687" s="247"/>
      <c r="X687" s="247"/>
      <c r="Y687" s="247"/>
      <c r="Z687" s="247"/>
      <c r="AA687" s="247"/>
      <c r="AB687" s="247"/>
      <c r="AC687" s="247"/>
    </row>
    <row r="688">
      <c r="A688" s="247"/>
      <c r="B688" s="247"/>
      <c r="C688" s="247"/>
      <c r="D688" s="249"/>
      <c r="E688" s="250"/>
      <c r="F688" s="248"/>
      <c r="G688" s="248"/>
      <c r="H688" s="251"/>
      <c r="I688" s="247"/>
      <c r="J688" s="247"/>
      <c r="K688" s="247"/>
      <c r="L688" s="247"/>
      <c r="M688" s="247"/>
      <c r="N688" s="247"/>
      <c r="O688" s="247"/>
      <c r="P688" s="247"/>
      <c r="Q688" s="247"/>
      <c r="R688" s="247"/>
      <c r="S688" s="247"/>
      <c r="T688" s="247"/>
      <c r="U688" s="247"/>
      <c r="V688" s="247"/>
      <c r="W688" s="247"/>
      <c r="X688" s="247"/>
      <c r="Y688" s="247"/>
      <c r="Z688" s="247"/>
      <c r="AA688" s="247"/>
      <c r="AB688" s="247"/>
      <c r="AC688" s="247"/>
    </row>
    <row r="689">
      <c r="A689" s="247"/>
      <c r="B689" s="247"/>
      <c r="C689" s="247"/>
      <c r="D689" s="249"/>
      <c r="E689" s="250"/>
      <c r="F689" s="248"/>
      <c r="G689" s="248"/>
      <c r="H689" s="251"/>
      <c r="I689" s="247"/>
      <c r="J689" s="247"/>
      <c r="K689" s="247"/>
      <c r="L689" s="247"/>
      <c r="M689" s="247"/>
      <c r="N689" s="247"/>
      <c r="O689" s="247"/>
      <c r="P689" s="247"/>
      <c r="Q689" s="247"/>
      <c r="R689" s="247"/>
      <c r="S689" s="247"/>
      <c r="T689" s="247"/>
      <c r="U689" s="247"/>
      <c r="V689" s="247"/>
      <c r="W689" s="247"/>
      <c r="X689" s="247"/>
      <c r="Y689" s="247"/>
      <c r="Z689" s="247"/>
      <c r="AA689" s="247"/>
      <c r="AB689" s="247"/>
      <c r="AC689" s="247"/>
    </row>
    <row r="690">
      <c r="A690" s="247"/>
      <c r="B690" s="247"/>
      <c r="C690" s="247"/>
      <c r="D690" s="249"/>
      <c r="E690" s="250"/>
      <c r="F690" s="248"/>
      <c r="G690" s="248"/>
      <c r="H690" s="251"/>
      <c r="I690" s="247"/>
      <c r="J690" s="247"/>
      <c r="K690" s="247"/>
      <c r="L690" s="247"/>
      <c r="M690" s="247"/>
      <c r="N690" s="247"/>
      <c r="O690" s="247"/>
      <c r="P690" s="247"/>
      <c r="Q690" s="247"/>
      <c r="R690" s="247"/>
      <c r="S690" s="247"/>
      <c r="T690" s="247"/>
      <c r="U690" s="247"/>
      <c r="V690" s="247"/>
      <c r="W690" s="247"/>
      <c r="X690" s="247"/>
      <c r="Y690" s="247"/>
      <c r="Z690" s="247"/>
      <c r="AA690" s="247"/>
      <c r="AB690" s="247"/>
      <c r="AC690" s="247"/>
    </row>
    <row r="691">
      <c r="A691" s="247"/>
      <c r="B691" s="247"/>
      <c r="C691" s="247"/>
      <c r="D691" s="249"/>
      <c r="E691" s="250"/>
      <c r="F691" s="248"/>
      <c r="G691" s="248"/>
      <c r="H691" s="251"/>
      <c r="I691" s="247"/>
      <c r="J691" s="247"/>
      <c r="K691" s="247"/>
      <c r="L691" s="247"/>
      <c r="M691" s="247"/>
      <c r="N691" s="247"/>
      <c r="O691" s="247"/>
      <c r="P691" s="247"/>
      <c r="Q691" s="247"/>
      <c r="R691" s="247"/>
      <c r="S691" s="247"/>
      <c r="T691" s="247"/>
      <c r="U691" s="247"/>
      <c r="V691" s="247"/>
      <c r="W691" s="247"/>
      <c r="X691" s="247"/>
      <c r="Y691" s="247"/>
      <c r="Z691" s="247"/>
      <c r="AA691" s="247"/>
      <c r="AB691" s="247"/>
      <c r="AC691" s="247"/>
    </row>
    <row r="692">
      <c r="A692" s="247"/>
      <c r="B692" s="247"/>
      <c r="C692" s="247"/>
      <c r="D692" s="249"/>
      <c r="E692" s="250"/>
      <c r="F692" s="248"/>
      <c r="G692" s="248"/>
      <c r="H692" s="251"/>
      <c r="I692" s="247"/>
      <c r="J692" s="247"/>
      <c r="K692" s="247"/>
      <c r="L692" s="247"/>
      <c r="M692" s="247"/>
      <c r="N692" s="247"/>
      <c r="O692" s="247"/>
      <c r="P692" s="247"/>
      <c r="Q692" s="247"/>
      <c r="R692" s="247"/>
      <c r="S692" s="247"/>
      <c r="T692" s="247"/>
      <c r="U692" s="247"/>
      <c r="V692" s="247"/>
      <c r="W692" s="247"/>
      <c r="X692" s="247"/>
      <c r="Y692" s="247"/>
      <c r="Z692" s="247"/>
      <c r="AA692" s="247"/>
      <c r="AB692" s="247"/>
      <c r="AC692" s="247"/>
    </row>
    <row r="693">
      <c r="A693" s="247"/>
      <c r="B693" s="247"/>
      <c r="C693" s="247"/>
      <c r="D693" s="249"/>
      <c r="E693" s="250"/>
      <c r="F693" s="248"/>
      <c r="G693" s="248"/>
      <c r="H693" s="251"/>
      <c r="I693" s="247"/>
      <c r="J693" s="247"/>
      <c r="K693" s="247"/>
      <c r="L693" s="247"/>
      <c r="M693" s="247"/>
      <c r="N693" s="247"/>
      <c r="O693" s="247"/>
      <c r="P693" s="247"/>
      <c r="Q693" s="247"/>
      <c r="R693" s="247"/>
      <c r="S693" s="247"/>
      <c r="T693" s="247"/>
      <c r="U693" s="247"/>
      <c r="V693" s="247"/>
      <c r="W693" s="247"/>
      <c r="X693" s="247"/>
      <c r="Y693" s="247"/>
      <c r="Z693" s="247"/>
      <c r="AA693" s="247"/>
      <c r="AB693" s="247"/>
      <c r="AC693" s="247"/>
    </row>
    <row r="694">
      <c r="A694" s="247"/>
      <c r="B694" s="247"/>
      <c r="C694" s="247"/>
      <c r="D694" s="249"/>
      <c r="E694" s="250"/>
      <c r="F694" s="248"/>
      <c r="G694" s="248"/>
      <c r="H694" s="251"/>
      <c r="I694" s="247"/>
      <c r="J694" s="247"/>
      <c r="K694" s="247"/>
      <c r="L694" s="247"/>
      <c r="M694" s="247"/>
      <c r="N694" s="247"/>
      <c r="O694" s="247"/>
      <c r="P694" s="247"/>
      <c r="Q694" s="247"/>
      <c r="R694" s="247"/>
      <c r="S694" s="247"/>
      <c r="T694" s="247"/>
      <c r="U694" s="247"/>
      <c r="V694" s="247"/>
      <c r="W694" s="247"/>
      <c r="X694" s="247"/>
      <c r="Y694" s="247"/>
      <c r="Z694" s="247"/>
      <c r="AA694" s="247"/>
      <c r="AB694" s="247"/>
      <c r="AC694" s="247"/>
    </row>
    <row r="695">
      <c r="A695" s="247"/>
      <c r="B695" s="247"/>
      <c r="C695" s="247"/>
      <c r="D695" s="249"/>
      <c r="E695" s="250"/>
      <c r="F695" s="248"/>
      <c r="G695" s="248"/>
      <c r="H695" s="251"/>
      <c r="I695" s="247"/>
      <c r="J695" s="247"/>
      <c r="K695" s="247"/>
      <c r="L695" s="247"/>
      <c r="M695" s="247"/>
      <c r="N695" s="247"/>
      <c r="O695" s="247"/>
      <c r="P695" s="247"/>
      <c r="Q695" s="247"/>
      <c r="R695" s="247"/>
      <c r="S695" s="247"/>
      <c r="T695" s="247"/>
      <c r="U695" s="247"/>
      <c r="V695" s="247"/>
      <c r="W695" s="247"/>
      <c r="X695" s="247"/>
      <c r="Y695" s="247"/>
      <c r="Z695" s="247"/>
      <c r="AA695" s="247"/>
      <c r="AB695" s="247"/>
      <c r="AC695" s="247"/>
    </row>
    <row r="696">
      <c r="A696" s="247"/>
      <c r="B696" s="247"/>
      <c r="C696" s="247"/>
      <c r="D696" s="249"/>
      <c r="E696" s="250"/>
      <c r="F696" s="248"/>
      <c r="G696" s="248"/>
      <c r="H696" s="251"/>
      <c r="I696" s="247"/>
      <c r="J696" s="247"/>
      <c r="K696" s="247"/>
      <c r="L696" s="247"/>
      <c r="M696" s="247"/>
      <c r="N696" s="247"/>
      <c r="O696" s="247"/>
      <c r="P696" s="247"/>
      <c r="Q696" s="247"/>
      <c r="R696" s="247"/>
      <c r="S696" s="247"/>
      <c r="T696" s="247"/>
      <c r="U696" s="247"/>
      <c r="V696" s="247"/>
      <c r="W696" s="247"/>
      <c r="X696" s="247"/>
      <c r="Y696" s="247"/>
      <c r="Z696" s="247"/>
      <c r="AA696" s="247"/>
      <c r="AB696" s="247"/>
      <c r="AC696" s="247"/>
    </row>
    <row r="697">
      <c r="A697" s="247"/>
      <c r="B697" s="247"/>
      <c r="C697" s="247"/>
      <c r="D697" s="249"/>
      <c r="E697" s="250"/>
      <c r="F697" s="248"/>
      <c r="G697" s="248"/>
      <c r="H697" s="251"/>
      <c r="I697" s="247"/>
      <c r="J697" s="247"/>
      <c r="K697" s="247"/>
      <c r="L697" s="247"/>
      <c r="M697" s="247"/>
      <c r="N697" s="247"/>
      <c r="O697" s="247"/>
      <c r="P697" s="247"/>
      <c r="Q697" s="247"/>
      <c r="R697" s="247"/>
      <c r="S697" s="247"/>
      <c r="T697" s="247"/>
      <c r="U697" s="247"/>
      <c r="V697" s="247"/>
      <c r="W697" s="247"/>
      <c r="X697" s="247"/>
      <c r="Y697" s="247"/>
      <c r="Z697" s="247"/>
      <c r="AA697" s="247"/>
      <c r="AB697" s="247"/>
      <c r="AC697" s="247"/>
    </row>
    <row r="698">
      <c r="A698" s="247"/>
      <c r="B698" s="247"/>
      <c r="C698" s="247"/>
      <c r="D698" s="249"/>
      <c r="E698" s="250"/>
      <c r="F698" s="248"/>
      <c r="G698" s="248"/>
      <c r="H698" s="251"/>
      <c r="I698" s="247"/>
      <c r="J698" s="247"/>
      <c r="K698" s="247"/>
      <c r="L698" s="247"/>
      <c r="M698" s="247"/>
      <c r="N698" s="247"/>
      <c r="O698" s="247"/>
      <c r="P698" s="247"/>
      <c r="Q698" s="247"/>
      <c r="R698" s="247"/>
      <c r="S698" s="247"/>
      <c r="T698" s="247"/>
      <c r="U698" s="247"/>
      <c r="V698" s="247"/>
      <c r="W698" s="247"/>
      <c r="X698" s="247"/>
      <c r="Y698" s="247"/>
      <c r="Z698" s="247"/>
      <c r="AA698" s="247"/>
      <c r="AB698" s="247"/>
      <c r="AC698" s="247"/>
    </row>
    <row r="699">
      <c r="A699" s="247"/>
      <c r="B699" s="247"/>
      <c r="C699" s="247"/>
      <c r="D699" s="249"/>
      <c r="E699" s="250"/>
      <c r="F699" s="248"/>
      <c r="G699" s="248"/>
      <c r="H699" s="251"/>
      <c r="I699" s="247"/>
      <c r="J699" s="247"/>
      <c r="K699" s="247"/>
      <c r="L699" s="247"/>
      <c r="M699" s="247"/>
      <c r="N699" s="247"/>
      <c r="O699" s="247"/>
      <c r="P699" s="247"/>
      <c r="Q699" s="247"/>
      <c r="R699" s="247"/>
      <c r="S699" s="247"/>
      <c r="T699" s="247"/>
      <c r="U699" s="247"/>
      <c r="V699" s="247"/>
      <c r="W699" s="247"/>
      <c r="X699" s="247"/>
      <c r="Y699" s="247"/>
      <c r="Z699" s="247"/>
      <c r="AA699" s="247"/>
      <c r="AB699" s="247"/>
      <c r="AC699" s="247"/>
    </row>
    <row r="700">
      <c r="A700" s="247"/>
      <c r="B700" s="247"/>
      <c r="C700" s="247"/>
      <c r="D700" s="249"/>
      <c r="E700" s="250"/>
      <c r="F700" s="248"/>
      <c r="G700" s="248"/>
      <c r="H700" s="251"/>
      <c r="I700" s="247"/>
      <c r="J700" s="247"/>
      <c r="K700" s="247"/>
      <c r="L700" s="247"/>
      <c r="M700" s="247"/>
      <c r="N700" s="247"/>
      <c r="O700" s="247"/>
      <c r="P700" s="247"/>
      <c r="Q700" s="247"/>
      <c r="R700" s="247"/>
      <c r="S700" s="247"/>
      <c r="T700" s="247"/>
      <c r="U700" s="247"/>
      <c r="V700" s="247"/>
      <c r="W700" s="247"/>
      <c r="X700" s="247"/>
      <c r="Y700" s="247"/>
      <c r="Z700" s="247"/>
      <c r="AA700" s="247"/>
      <c r="AB700" s="247"/>
      <c r="AC700" s="247"/>
    </row>
    <row r="701">
      <c r="A701" s="247"/>
      <c r="B701" s="247"/>
      <c r="C701" s="247"/>
      <c r="D701" s="249"/>
      <c r="E701" s="250"/>
      <c r="F701" s="248"/>
      <c r="G701" s="248"/>
      <c r="H701" s="251"/>
      <c r="I701" s="247"/>
      <c r="J701" s="247"/>
      <c r="K701" s="247"/>
      <c r="L701" s="247"/>
      <c r="M701" s="247"/>
      <c r="N701" s="247"/>
      <c r="O701" s="247"/>
      <c r="P701" s="247"/>
      <c r="Q701" s="247"/>
      <c r="R701" s="247"/>
      <c r="S701" s="247"/>
      <c r="T701" s="247"/>
      <c r="U701" s="247"/>
      <c r="V701" s="247"/>
      <c r="W701" s="247"/>
      <c r="X701" s="247"/>
      <c r="Y701" s="247"/>
      <c r="Z701" s="247"/>
      <c r="AA701" s="247"/>
      <c r="AB701" s="247"/>
      <c r="AC701" s="247"/>
    </row>
    <row r="702">
      <c r="A702" s="247"/>
      <c r="B702" s="247"/>
      <c r="C702" s="247"/>
      <c r="D702" s="249"/>
      <c r="E702" s="250"/>
      <c r="F702" s="248"/>
      <c r="G702" s="248"/>
      <c r="H702" s="251"/>
      <c r="I702" s="247"/>
      <c r="J702" s="247"/>
      <c r="K702" s="247"/>
      <c r="L702" s="247"/>
      <c r="M702" s="247"/>
      <c r="N702" s="247"/>
      <c r="O702" s="247"/>
      <c r="P702" s="247"/>
      <c r="Q702" s="247"/>
      <c r="R702" s="247"/>
      <c r="S702" s="247"/>
      <c r="T702" s="247"/>
      <c r="U702" s="247"/>
      <c r="V702" s="247"/>
      <c r="W702" s="247"/>
      <c r="X702" s="247"/>
      <c r="Y702" s="247"/>
      <c r="Z702" s="247"/>
      <c r="AA702" s="247"/>
      <c r="AB702" s="247"/>
      <c r="AC702" s="247"/>
    </row>
    <row r="703">
      <c r="A703" s="247"/>
      <c r="B703" s="247"/>
      <c r="C703" s="247"/>
      <c r="D703" s="249"/>
      <c r="E703" s="250"/>
      <c r="F703" s="248"/>
      <c r="G703" s="248"/>
      <c r="H703" s="251"/>
      <c r="I703" s="247"/>
      <c r="J703" s="247"/>
      <c r="K703" s="247"/>
      <c r="L703" s="247"/>
      <c r="M703" s="247"/>
      <c r="N703" s="247"/>
      <c r="O703" s="247"/>
      <c r="P703" s="247"/>
      <c r="Q703" s="247"/>
      <c r="R703" s="247"/>
      <c r="S703" s="247"/>
      <c r="T703" s="247"/>
      <c r="U703" s="247"/>
      <c r="V703" s="247"/>
      <c r="W703" s="247"/>
      <c r="X703" s="247"/>
      <c r="Y703" s="247"/>
      <c r="Z703" s="247"/>
      <c r="AA703" s="247"/>
      <c r="AB703" s="247"/>
      <c r="AC703" s="247"/>
    </row>
    <row r="704">
      <c r="A704" s="247"/>
      <c r="B704" s="247"/>
      <c r="C704" s="247"/>
      <c r="D704" s="249"/>
      <c r="E704" s="250"/>
      <c r="F704" s="248"/>
      <c r="G704" s="248"/>
      <c r="H704" s="251"/>
      <c r="I704" s="247"/>
      <c r="J704" s="247"/>
      <c r="K704" s="247"/>
      <c r="L704" s="247"/>
      <c r="M704" s="247"/>
      <c r="N704" s="247"/>
      <c r="O704" s="247"/>
      <c r="P704" s="247"/>
      <c r="Q704" s="247"/>
      <c r="R704" s="247"/>
      <c r="S704" s="247"/>
      <c r="T704" s="247"/>
      <c r="U704" s="247"/>
      <c r="V704" s="247"/>
      <c r="W704" s="247"/>
      <c r="X704" s="247"/>
      <c r="Y704" s="247"/>
      <c r="Z704" s="247"/>
      <c r="AA704" s="247"/>
      <c r="AB704" s="247"/>
      <c r="AC704" s="247"/>
    </row>
    <row r="705">
      <c r="A705" s="247"/>
      <c r="B705" s="247"/>
      <c r="C705" s="247"/>
      <c r="D705" s="249"/>
      <c r="E705" s="250"/>
      <c r="F705" s="248"/>
      <c r="G705" s="248"/>
      <c r="H705" s="251"/>
      <c r="I705" s="247"/>
      <c r="J705" s="247"/>
      <c r="K705" s="247"/>
      <c r="L705" s="247"/>
      <c r="M705" s="247"/>
      <c r="N705" s="247"/>
      <c r="O705" s="247"/>
      <c r="P705" s="247"/>
      <c r="Q705" s="247"/>
      <c r="R705" s="247"/>
      <c r="S705" s="247"/>
      <c r="T705" s="247"/>
      <c r="U705" s="247"/>
      <c r="V705" s="247"/>
      <c r="W705" s="247"/>
      <c r="X705" s="247"/>
      <c r="Y705" s="247"/>
      <c r="Z705" s="247"/>
      <c r="AA705" s="247"/>
      <c r="AB705" s="247"/>
      <c r="AC705" s="247"/>
    </row>
    <row r="706">
      <c r="A706" s="247"/>
      <c r="B706" s="247"/>
      <c r="C706" s="247"/>
      <c r="D706" s="249"/>
      <c r="E706" s="250"/>
      <c r="F706" s="248"/>
      <c r="G706" s="248"/>
      <c r="H706" s="251"/>
      <c r="I706" s="247"/>
      <c r="J706" s="247"/>
      <c r="K706" s="247"/>
      <c r="L706" s="247"/>
      <c r="M706" s="247"/>
      <c r="N706" s="247"/>
      <c r="O706" s="247"/>
      <c r="P706" s="247"/>
      <c r="Q706" s="247"/>
      <c r="R706" s="247"/>
      <c r="S706" s="247"/>
      <c r="T706" s="247"/>
      <c r="U706" s="247"/>
      <c r="V706" s="247"/>
      <c r="W706" s="247"/>
      <c r="X706" s="247"/>
      <c r="Y706" s="247"/>
      <c r="Z706" s="247"/>
      <c r="AA706" s="247"/>
      <c r="AB706" s="247"/>
      <c r="AC706" s="247"/>
    </row>
    <row r="707">
      <c r="A707" s="247"/>
      <c r="B707" s="247"/>
      <c r="C707" s="247"/>
      <c r="D707" s="249"/>
      <c r="E707" s="250"/>
      <c r="F707" s="248"/>
      <c r="G707" s="248"/>
      <c r="H707" s="251"/>
      <c r="I707" s="247"/>
      <c r="J707" s="247"/>
      <c r="K707" s="247"/>
      <c r="L707" s="247"/>
      <c r="M707" s="247"/>
      <c r="N707" s="247"/>
      <c r="O707" s="247"/>
      <c r="P707" s="247"/>
      <c r="Q707" s="247"/>
      <c r="R707" s="247"/>
      <c r="S707" s="247"/>
      <c r="T707" s="247"/>
      <c r="U707" s="247"/>
      <c r="V707" s="247"/>
      <c r="W707" s="247"/>
      <c r="X707" s="247"/>
      <c r="Y707" s="247"/>
      <c r="Z707" s="247"/>
      <c r="AA707" s="247"/>
      <c r="AB707" s="247"/>
      <c r="AC707" s="247"/>
    </row>
    <row r="708">
      <c r="A708" s="247"/>
      <c r="B708" s="247"/>
      <c r="C708" s="247"/>
      <c r="D708" s="249"/>
      <c r="E708" s="250"/>
      <c r="F708" s="248"/>
      <c r="G708" s="248"/>
      <c r="H708" s="251"/>
      <c r="I708" s="247"/>
      <c r="J708" s="247"/>
      <c r="K708" s="247"/>
      <c r="L708" s="247"/>
      <c r="M708" s="247"/>
      <c r="N708" s="247"/>
      <c r="O708" s="247"/>
      <c r="P708" s="247"/>
      <c r="Q708" s="247"/>
      <c r="R708" s="247"/>
      <c r="S708" s="247"/>
      <c r="T708" s="247"/>
      <c r="U708" s="247"/>
      <c r="V708" s="247"/>
      <c r="W708" s="247"/>
      <c r="X708" s="247"/>
      <c r="Y708" s="247"/>
      <c r="Z708" s="247"/>
      <c r="AA708" s="247"/>
      <c r="AB708" s="247"/>
      <c r="AC708" s="247"/>
    </row>
    <row r="709">
      <c r="A709" s="247"/>
      <c r="B709" s="247"/>
      <c r="C709" s="247"/>
      <c r="D709" s="249"/>
      <c r="E709" s="250"/>
      <c r="F709" s="248"/>
      <c r="G709" s="248"/>
      <c r="H709" s="251"/>
      <c r="I709" s="247"/>
      <c r="J709" s="247"/>
      <c r="K709" s="247"/>
      <c r="L709" s="247"/>
      <c r="M709" s="247"/>
      <c r="N709" s="247"/>
      <c r="O709" s="247"/>
      <c r="P709" s="247"/>
      <c r="Q709" s="247"/>
      <c r="R709" s="247"/>
      <c r="S709" s="247"/>
      <c r="T709" s="247"/>
      <c r="U709" s="247"/>
      <c r="V709" s="247"/>
      <c r="W709" s="247"/>
      <c r="X709" s="247"/>
      <c r="Y709" s="247"/>
      <c r="Z709" s="247"/>
      <c r="AA709" s="247"/>
      <c r="AB709" s="247"/>
      <c r="AC709" s="247"/>
    </row>
    <row r="710">
      <c r="A710" s="247"/>
      <c r="B710" s="247"/>
      <c r="C710" s="247"/>
      <c r="D710" s="249"/>
      <c r="E710" s="250"/>
      <c r="F710" s="248"/>
      <c r="G710" s="248"/>
      <c r="H710" s="251"/>
      <c r="I710" s="247"/>
      <c r="J710" s="247"/>
      <c r="K710" s="247"/>
      <c r="L710" s="247"/>
      <c r="M710" s="247"/>
      <c r="N710" s="247"/>
      <c r="O710" s="247"/>
      <c r="P710" s="247"/>
      <c r="Q710" s="247"/>
      <c r="R710" s="247"/>
      <c r="S710" s="247"/>
      <c r="T710" s="247"/>
      <c r="U710" s="247"/>
      <c r="V710" s="247"/>
      <c r="W710" s="247"/>
      <c r="X710" s="247"/>
      <c r="Y710" s="247"/>
      <c r="Z710" s="247"/>
      <c r="AA710" s="247"/>
      <c r="AB710" s="247"/>
      <c r="AC710" s="247"/>
    </row>
    <row r="711">
      <c r="A711" s="247"/>
      <c r="B711" s="247"/>
      <c r="C711" s="247"/>
      <c r="D711" s="249"/>
      <c r="E711" s="250"/>
      <c r="F711" s="248"/>
      <c r="G711" s="248"/>
      <c r="H711" s="251"/>
      <c r="I711" s="247"/>
      <c r="J711" s="247"/>
      <c r="K711" s="247"/>
      <c r="L711" s="247"/>
      <c r="M711" s="247"/>
      <c r="N711" s="247"/>
      <c r="O711" s="247"/>
      <c r="P711" s="247"/>
      <c r="Q711" s="247"/>
      <c r="R711" s="247"/>
      <c r="S711" s="247"/>
      <c r="T711" s="247"/>
      <c r="U711" s="247"/>
      <c r="V711" s="247"/>
      <c r="W711" s="247"/>
      <c r="X711" s="247"/>
      <c r="Y711" s="247"/>
      <c r="Z711" s="247"/>
      <c r="AA711" s="247"/>
      <c r="AB711" s="247"/>
      <c r="AC711" s="247"/>
    </row>
    <row r="712">
      <c r="A712" s="247"/>
      <c r="B712" s="247"/>
      <c r="C712" s="247"/>
      <c r="D712" s="249"/>
      <c r="E712" s="250"/>
      <c r="F712" s="248"/>
      <c r="G712" s="248"/>
      <c r="H712" s="251"/>
      <c r="I712" s="247"/>
      <c r="J712" s="247"/>
      <c r="K712" s="247"/>
      <c r="L712" s="247"/>
      <c r="M712" s="247"/>
      <c r="N712" s="247"/>
      <c r="O712" s="247"/>
      <c r="P712" s="247"/>
      <c r="Q712" s="247"/>
      <c r="R712" s="247"/>
      <c r="S712" s="247"/>
      <c r="T712" s="247"/>
      <c r="U712" s="247"/>
      <c r="V712" s="247"/>
      <c r="W712" s="247"/>
      <c r="X712" s="247"/>
      <c r="Y712" s="247"/>
      <c r="Z712" s="247"/>
      <c r="AA712" s="247"/>
      <c r="AB712" s="247"/>
      <c r="AC712" s="247"/>
    </row>
    <row r="713">
      <c r="A713" s="247"/>
      <c r="B713" s="247"/>
      <c r="C713" s="247"/>
      <c r="D713" s="249"/>
      <c r="E713" s="250"/>
      <c r="F713" s="248"/>
      <c r="G713" s="248"/>
      <c r="H713" s="251"/>
      <c r="I713" s="247"/>
      <c r="J713" s="247"/>
      <c r="K713" s="247"/>
      <c r="L713" s="247"/>
      <c r="M713" s="247"/>
      <c r="N713" s="247"/>
      <c r="O713" s="247"/>
      <c r="P713" s="247"/>
      <c r="Q713" s="247"/>
      <c r="R713" s="247"/>
      <c r="S713" s="247"/>
      <c r="T713" s="247"/>
      <c r="U713" s="247"/>
      <c r="V713" s="247"/>
      <c r="W713" s="247"/>
      <c r="X713" s="247"/>
      <c r="Y713" s="247"/>
      <c r="Z713" s="247"/>
      <c r="AA713" s="247"/>
      <c r="AB713" s="247"/>
      <c r="AC713" s="247"/>
    </row>
    <row r="714">
      <c r="A714" s="247"/>
      <c r="B714" s="247"/>
      <c r="C714" s="247"/>
      <c r="D714" s="249"/>
      <c r="E714" s="250"/>
      <c r="F714" s="248"/>
      <c r="G714" s="248"/>
      <c r="H714" s="251"/>
      <c r="I714" s="247"/>
      <c r="J714" s="247"/>
      <c r="K714" s="247"/>
      <c r="L714" s="247"/>
      <c r="M714" s="247"/>
      <c r="N714" s="247"/>
      <c r="O714" s="247"/>
      <c r="P714" s="247"/>
      <c r="Q714" s="247"/>
      <c r="R714" s="247"/>
      <c r="S714" s="247"/>
      <c r="T714" s="247"/>
      <c r="U714" s="247"/>
      <c r="V714" s="247"/>
      <c r="W714" s="247"/>
      <c r="X714" s="247"/>
      <c r="Y714" s="247"/>
      <c r="Z714" s="247"/>
      <c r="AA714" s="247"/>
      <c r="AB714" s="247"/>
      <c r="AC714" s="247"/>
    </row>
    <row r="715">
      <c r="A715" s="247"/>
      <c r="B715" s="247"/>
      <c r="C715" s="247"/>
      <c r="D715" s="249"/>
      <c r="E715" s="250"/>
      <c r="F715" s="248"/>
      <c r="G715" s="248"/>
      <c r="H715" s="251"/>
      <c r="I715" s="247"/>
      <c r="J715" s="247"/>
      <c r="K715" s="247"/>
      <c r="L715" s="247"/>
      <c r="M715" s="247"/>
      <c r="N715" s="247"/>
      <c r="O715" s="247"/>
      <c r="P715" s="247"/>
      <c r="Q715" s="247"/>
      <c r="R715" s="247"/>
      <c r="S715" s="247"/>
      <c r="T715" s="247"/>
      <c r="U715" s="247"/>
      <c r="V715" s="247"/>
      <c r="W715" s="247"/>
      <c r="X715" s="247"/>
      <c r="Y715" s="247"/>
      <c r="Z715" s="247"/>
      <c r="AA715" s="247"/>
      <c r="AB715" s="247"/>
      <c r="AC715" s="247"/>
    </row>
    <row r="716">
      <c r="A716" s="247"/>
      <c r="B716" s="247"/>
      <c r="C716" s="247"/>
      <c r="D716" s="249"/>
      <c r="E716" s="250"/>
      <c r="F716" s="248"/>
      <c r="G716" s="248"/>
      <c r="H716" s="251"/>
      <c r="I716" s="247"/>
      <c r="J716" s="247"/>
      <c r="K716" s="247"/>
      <c r="L716" s="247"/>
      <c r="M716" s="247"/>
      <c r="N716" s="247"/>
      <c r="O716" s="247"/>
      <c r="P716" s="247"/>
      <c r="Q716" s="247"/>
      <c r="R716" s="247"/>
      <c r="S716" s="247"/>
      <c r="T716" s="247"/>
      <c r="U716" s="247"/>
      <c r="V716" s="247"/>
      <c r="W716" s="247"/>
      <c r="X716" s="247"/>
      <c r="Y716" s="247"/>
      <c r="Z716" s="247"/>
      <c r="AA716" s="247"/>
      <c r="AB716" s="247"/>
      <c r="AC716" s="247"/>
    </row>
    <row r="717">
      <c r="A717" s="247"/>
      <c r="B717" s="247"/>
      <c r="C717" s="247"/>
      <c r="D717" s="249"/>
      <c r="E717" s="250"/>
      <c r="F717" s="248"/>
      <c r="G717" s="248"/>
      <c r="H717" s="251"/>
      <c r="I717" s="247"/>
      <c r="J717" s="247"/>
      <c r="K717" s="247"/>
      <c r="L717" s="247"/>
      <c r="M717" s="247"/>
      <c r="N717" s="247"/>
      <c r="O717" s="247"/>
      <c r="P717" s="247"/>
      <c r="Q717" s="247"/>
      <c r="R717" s="247"/>
      <c r="S717" s="247"/>
      <c r="T717" s="247"/>
      <c r="U717" s="247"/>
      <c r="V717" s="247"/>
      <c r="W717" s="247"/>
      <c r="X717" s="247"/>
      <c r="Y717" s="247"/>
      <c r="Z717" s="247"/>
      <c r="AA717" s="247"/>
      <c r="AB717" s="247"/>
      <c r="AC717" s="247"/>
    </row>
    <row r="718">
      <c r="A718" s="247"/>
      <c r="B718" s="247"/>
      <c r="C718" s="247"/>
      <c r="D718" s="249"/>
      <c r="E718" s="250"/>
      <c r="F718" s="248"/>
      <c r="G718" s="248"/>
      <c r="H718" s="251"/>
      <c r="I718" s="247"/>
      <c r="J718" s="247"/>
      <c r="K718" s="247"/>
      <c r="L718" s="247"/>
      <c r="M718" s="247"/>
      <c r="N718" s="247"/>
      <c r="O718" s="247"/>
      <c r="P718" s="247"/>
      <c r="Q718" s="247"/>
      <c r="R718" s="247"/>
      <c r="S718" s="247"/>
      <c r="T718" s="247"/>
      <c r="U718" s="247"/>
      <c r="V718" s="247"/>
      <c r="W718" s="247"/>
      <c r="X718" s="247"/>
      <c r="Y718" s="247"/>
      <c r="Z718" s="247"/>
      <c r="AA718" s="247"/>
      <c r="AB718" s="247"/>
      <c r="AC718" s="247"/>
    </row>
    <row r="719">
      <c r="A719" s="247"/>
      <c r="B719" s="247"/>
      <c r="C719" s="247"/>
      <c r="D719" s="249"/>
      <c r="E719" s="250"/>
      <c r="F719" s="248"/>
      <c r="G719" s="248"/>
      <c r="H719" s="251"/>
      <c r="I719" s="247"/>
      <c r="J719" s="247"/>
      <c r="K719" s="247"/>
      <c r="L719" s="247"/>
      <c r="M719" s="247"/>
      <c r="N719" s="247"/>
      <c r="O719" s="247"/>
      <c r="P719" s="247"/>
      <c r="Q719" s="247"/>
      <c r="R719" s="247"/>
      <c r="S719" s="247"/>
      <c r="T719" s="247"/>
      <c r="U719" s="247"/>
      <c r="V719" s="247"/>
      <c r="W719" s="247"/>
      <c r="X719" s="247"/>
      <c r="Y719" s="247"/>
      <c r="Z719" s="247"/>
      <c r="AA719" s="247"/>
      <c r="AB719" s="247"/>
      <c r="AC719" s="247"/>
    </row>
    <row r="720">
      <c r="A720" s="247"/>
      <c r="B720" s="247"/>
      <c r="C720" s="247"/>
      <c r="D720" s="249"/>
      <c r="E720" s="250"/>
      <c r="F720" s="248"/>
      <c r="G720" s="248"/>
      <c r="H720" s="251"/>
      <c r="I720" s="247"/>
      <c r="J720" s="247"/>
      <c r="K720" s="247"/>
      <c r="L720" s="247"/>
      <c r="M720" s="247"/>
      <c r="N720" s="247"/>
      <c r="O720" s="247"/>
      <c r="P720" s="247"/>
      <c r="Q720" s="247"/>
      <c r="R720" s="247"/>
      <c r="S720" s="247"/>
      <c r="T720" s="247"/>
      <c r="U720" s="247"/>
      <c r="V720" s="247"/>
      <c r="W720" s="247"/>
      <c r="X720" s="247"/>
      <c r="Y720" s="247"/>
      <c r="Z720" s="247"/>
      <c r="AA720" s="247"/>
      <c r="AB720" s="247"/>
      <c r="AC720" s="247"/>
    </row>
    <row r="721">
      <c r="A721" s="247"/>
      <c r="B721" s="247"/>
      <c r="C721" s="247"/>
      <c r="D721" s="249"/>
      <c r="E721" s="250"/>
      <c r="F721" s="248"/>
      <c r="G721" s="248"/>
      <c r="H721" s="251"/>
      <c r="I721" s="247"/>
      <c r="J721" s="247"/>
      <c r="K721" s="247"/>
      <c r="L721" s="247"/>
      <c r="M721" s="247"/>
      <c r="N721" s="247"/>
      <c r="O721" s="247"/>
      <c r="P721" s="247"/>
      <c r="Q721" s="247"/>
      <c r="R721" s="247"/>
      <c r="S721" s="247"/>
      <c r="T721" s="247"/>
      <c r="U721" s="247"/>
      <c r="V721" s="247"/>
      <c r="W721" s="247"/>
      <c r="X721" s="247"/>
      <c r="Y721" s="247"/>
      <c r="Z721" s="247"/>
      <c r="AA721" s="247"/>
      <c r="AB721" s="247"/>
      <c r="AC721" s="247"/>
    </row>
    <row r="722">
      <c r="A722" s="247"/>
      <c r="B722" s="247"/>
      <c r="C722" s="247"/>
      <c r="D722" s="249"/>
      <c r="E722" s="250"/>
      <c r="F722" s="248"/>
      <c r="G722" s="248"/>
      <c r="H722" s="251"/>
      <c r="I722" s="247"/>
      <c r="J722" s="247"/>
      <c r="K722" s="247"/>
      <c r="L722" s="247"/>
      <c r="M722" s="247"/>
      <c r="N722" s="247"/>
      <c r="O722" s="247"/>
      <c r="P722" s="247"/>
      <c r="Q722" s="247"/>
      <c r="R722" s="247"/>
      <c r="S722" s="247"/>
      <c r="T722" s="247"/>
      <c r="U722" s="247"/>
      <c r="V722" s="247"/>
      <c r="W722" s="247"/>
      <c r="X722" s="247"/>
      <c r="Y722" s="247"/>
      <c r="Z722" s="247"/>
      <c r="AA722" s="247"/>
      <c r="AB722" s="247"/>
      <c r="AC722" s="247"/>
    </row>
    <row r="723">
      <c r="A723" s="247"/>
      <c r="B723" s="247"/>
      <c r="C723" s="247"/>
      <c r="D723" s="249"/>
      <c r="E723" s="250"/>
      <c r="F723" s="248"/>
      <c r="G723" s="248"/>
      <c r="H723" s="251"/>
      <c r="I723" s="247"/>
      <c r="J723" s="247"/>
      <c r="K723" s="247"/>
      <c r="L723" s="247"/>
      <c r="M723" s="247"/>
      <c r="N723" s="247"/>
      <c r="O723" s="247"/>
      <c r="P723" s="247"/>
      <c r="Q723" s="247"/>
      <c r="R723" s="247"/>
      <c r="S723" s="247"/>
      <c r="T723" s="247"/>
      <c r="U723" s="247"/>
      <c r="V723" s="247"/>
      <c r="W723" s="247"/>
      <c r="X723" s="247"/>
      <c r="Y723" s="247"/>
      <c r="Z723" s="247"/>
      <c r="AA723" s="247"/>
      <c r="AB723" s="247"/>
      <c r="AC723" s="247"/>
    </row>
    <row r="724">
      <c r="A724" s="247"/>
      <c r="B724" s="247"/>
      <c r="C724" s="247"/>
      <c r="D724" s="249"/>
      <c r="E724" s="250"/>
      <c r="F724" s="248"/>
      <c r="G724" s="248"/>
      <c r="H724" s="251"/>
      <c r="I724" s="247"/>
      <c r="J724" s="247"/>
      <c r="K724" s="247"/>
      <c r="L724" s="247"/>
      <c r="M724" s="247"/>
      <c r="N724" s="247"/>
      <c r="O724" s="247"/>
      <c r="P724" s="247"/>
      <c r="Q724" s="247"/>
      <c r="R724" s="247"/>
      <c r="S724" s="247"/>
      <c r="T724" s="247"/>
      <c r="U724" s="247"/>
      <c r="V724" s="247"/>
      <c r="W724" s="247"/>
      <c r="X724" s="247"/>
      <c r="Y724" s="247"/>
      <c r="Z724" s="247"/>
      <c r="AA724" s="247"/>
      <c r="AB724" s="247"/>
      <c r="AC724" s="247"/>
    </row>
    <row r="725">
      <c r="A725" s="247"/>
      <c r="B725" s="247"/>
      <c r="C725" s="247"/>
      <c r="D725" s="249"/>
      <c r="E725" s="250"/>
      <c r="F725" s="248"/>
      <c r="G725" s="248"/>
      <c r="H725" s="251"/>
      <c r="I725" s="247"/>
      <c r="J725" s="247"/>
      <c r="K725" s="247"/>
      <c r="L725" s="247"/>
      <c r="M725" s="247"/>
      <c r="N725" s="247"/>
      <c r="O725" s="247"/>
      <c r="P725" s="247"/>
      <c r="Q725" s="247"/>
      <c r="R725" s="247"/>
      <c r="S725" s="247"/>
      <c r="T725" s="247"/>
      <c r="U725" s="247"/>
      <c r="V725" s="247"/>
      <c r="W725" s="247"/>
      <c r="X725" s="247"/>
      <c r="Y725" s="247"/>
      <c r="Z725" s="247"/>
      <c r="AA725" s="247"/>
      <c r="AB725" s="247"/>
      <c r="AC725" s="247"/>
    </row>
    <row r="726">
      <c r="A726" s="247"/>
      <c r="B726" s="247"/>
      <c r="C726" s="247"/>
      <c r="D726" s="249"/>
      <c r="E726" s="250"/>
      <c r="F726" s="248"/>
      <c r="G726" s="248"/>
      <c r="H726" s="251"/>
      <c r="I726" s="247"/>
      <c r="J726" s="247"/>
      <c r="K726" s="247"/>
      <c r="L726" s="247"/>
      <c r="M726" s="247"/>
      <c r="N726" s="247"/>
      <c r="O726" s="247"/>
      <c r="P726" s="247"/>
      <c r="Q726" s="247"/>
      <c r="R726" s="247"/>
      <c r="S726" s="247"/>
      <c r="T726" s="247"/>
      <c r="U726" s="247"/>
      <c r="V726" s="247"/>
      <c r="W726" s="247"/>
      <c r="X726" s="247"/>
      <c r="Y726" s="247"/>
      <c r="Z726" s="247"/>
      <c r="AA726" s="247"/>
      <c r="AB726" s="247"/>
      <c r="AC726" s="247"/>
    </row>
    <row r="727">
      <c r="A727" s="247"/>
      <c r="B727" s="247"/>
      <c r="C727" s="247"/>
      <c r="D727" s="249"/>
      <c r="E727" s="250"/>
      <c r="F727" s="248"/>
      <c r="G727" s="248"/>
      <c r="H727" s="251"/>
      <c r="I727" s="247"/>
      <c r="J727" s="247"/>
      <c r="K727" s="247"/>
      <c r="L727" s="247"/>
      <c r="M727" s="247"/>
      <c r="N727" s="247"/>
      <c r="O727" s="247"/>
      <c r="P727" s="247"/>
      <c r="Q727" s="247"/>
      <c r="R727" s="247"/>
      <c r="S727" s="247"/>
      <c r="T727" s="247"/>
      <c r="U727" s="247"/>
      <c r="V727" s="247"/>
      <c r="W727" s="247"/>
      <c r="X727" s="247"/>
      <c r="Y727" s="247"/>
      <c r="Z727" s="247"/>
      <c r="AA727" s="247"/>
      <c r="AB727" s="247"/>
      <c r="AC727" s="247"/>
    </row>
    <row r="728">
      <c r="A728" s="247"/>
      <c r="B728" s="247"/>
      <c r="C728" s="247"/>
      <c r="D728" s="249"/>
      <c r="E728" s="250"/>
      <c r="F728" s="248"/>
      <c r="G728" s="248"/>
      <c r="H728" s="251"/>
      <c r="I728" s="247"/>
      <c r="J728" s="247"/>
      <c r="K728" s="247"/>
      <c r="L728" s="247"/>
      <c r="M728" s="247"/>
      <c r="N728" s="247"/>
      <c r="O728" s="247"/>
      <c r="P728" s="247"/>
      <c r="Q728" s="247"/>
      <c r="R728" s="247"/>
      <c r="S728" s="247"/>
      <c r="T728" s="247"/>
      <c r="U728" s="247"/>
      <c r="V728" s="247"/>
      <c r="W728" s="247"/>
      <c r="X728" s="247"/>
      <c r="Y728" s="247"/>
      <c r="Z728" s="247"/>
      <c r="AA728" s="247"/>
      <c r="AB728" s="247"/>
      <c r="AC728" s="247"/>
    </row>
    <row r="729">
      <c r="A729" s="247"/>
      <c r="B729" s="247"/>
      <c r="C729" s="247"/>
      <c r="D729" s="249"/>
      <c r="E729" s="250"/>
      <c r="F729" s="248"/>
      <c r="G729" s="248"/>
      <c r="H729" s="251"/>
      <c r="I729" s="247"/>
      <c r="J729" s="247"/>
      <c r="K729" s="247"/>
      <c r="L729" s="247"/>
      <c r="M729" s="247"/>
      <c r="N729" s="247"/>
      <c r="O729" s="247"/>
      <c r="P729" s="247"/>
      <c r="Q729" s="247"/>
      <c r="R729" s="247"/>
      <c r="S729" s="247"/>
      <c r="T729" s="247"/>
      <c r="U729" s="247"/>
      <c r="V729" s="247"/>
      <c r="W729" s="247"/>
      <c r="X729" s="247"/>
      <c r="Y729" s="247"/>
      <c r="Z729" s="247"/>
      <c r="AA729" s="247"/>
      <c r="AB729" s="247"/>
      <c r="AC729" s="247"/>
    </row>
    <row r="730">
      <c r="A730" s="247"/>
      <c r="B730" s="247"/>
      <c r="C730" s="247"/>
      <c r="D730" s="249"/>
      <c r="E730" s="250"/>
      <c r="F730" s="248"/>
      <c r="G730" s="248"/>
      <c r="H730" s="251"/>
      <c r="I730" s="247"/>
      <c r="J730" s="247"/>
      <c r="K730" s="247"/>
      <c r="L730" s="247"/>
      <c r="M730" s="247"/>
      <c r="N730" s="247"/>
      <c r="O730" s="247"/>
      <c r="P730" s="247"/>
      <c r="Q730" s="247"/>
      <c r="R730" s="247"/>
      <c r="S730" s="247"/>
      <c r="T730" s="247"/>
      <c r="U730" s="247"/>
      <c r="V730" s="247"/>
      <c r="W730" s="247"/>
      <c r="X730" s="247"/>
      <c r="Y730" s="247"/>
      <c r="Z730" s="247"/>
      <c r="AA730" s="247"/>
      <c r="AB730" s="247"/>
      <c r="AC730" s="247"/>
    </row>
    <row r="731">
      <c r="A731" s="247"/>
      <c r="B731" s="247"/>
      <c r="C731" s="247"/>
      <c r="D731" s="249"/>
      <c r="E731" s="250"/>
      <c r="F731" s="248"/>
      <c r="G731" s="248"/>
      <c r="H731" s="251"/>
      <c r="I731" s="247"/>
      <c r="J731" s="247"/>
      <c r="K731" s="247"/>
      <c r="L731" s="247"/>
      <c r="M731" s="247"/>
      <c r="N731" s="247"/>
      <c r="O731" s="247"/>
      <c r="P731" s="247"/>
      <c r="Q731" s="247"/>
      <c r="R731" s="247"/>
      <c r="S731" s="247"/>
      <c r="T731" s="247"/>
      <c r="U731" s="247"/>
      <c r="V731" s="247"/>
      <c r="W731" s="247"/>
      <c r="X731" s="247"/>
      <c r="Y731" s="247"/>
      <c r="Z731" s="247"/>
      <c r="AA731" s="247"/>
      <c r="AB731" s="247"/>
      <c r="AC731" s="247"/>
    </row>
    <row r="732">
      <c r="A732" s="247"/>
      <c r="B732" s="247"/>
      <c r="C732" s="247"/>
      <c r="D732" s="249"/>
      <c r="E732" s="250"/>
      <c r="F732" s="248"/>
      <c r="G732" s="248"/>
      <c r="H732" s="251"/>
      <c r="I732" s="247"/>
      <c r="J732" s="247"/>
      <c r="K732" s="247"/>
      <c r="L732" s="247"/>
      <c r="M732" s="247"/>
      <c r="N732" s="247"/>
      <c r="O732" s="247"/>
      <c r="P732" s="247"/>
      <c r="Q732" s="247"/>
      <c r="R732" s="247"/>
      <c r="S732" s="247"/>
      <c r="T732" s="247"/>
      <c r="U732" s="247"/>
      <c r="V732" s="247"/>
      <c r="W732" s="247"/>
      <c r="X732" s="247"/>
      <c r="Y732" s="247"/>
      <c r="Z732" s="247"/>
      <c r="AA732" s="247"/>
      <c r="AB732" s="247"/>
      <c r="AC732" s="247"/>
    </row>
    <row r="733">
      <c r="A733" s="247"/>
      <c r="B733" s="247"/>
      <c r="C733" s="247"/>
      <c r="D733" s="249"/>
      <c r="E733" s="250"/>
      <c r="F733" s="248"/>
      <c r="G733" s="248"/>
      <c r="H733" s="251"/>
      <c r="I733" s="247"/>
      <c r="J733" s="247"/>
      <c r="K733" s="247"/>
      <c r="L733" s="247"/>
      <c r="M733" s="247"/>
      <c r="N733" s="247"/>
      <c r="O733" s="247"/>
      <c r="P733" s="247"/>
      <c r="Q733" s="247"/>
      <c r="R733" s="247"/>
      <c r="S733" s="247"/>
      <c r="T733" s="247"/>
      <c r="U733" s="247"/>
      <c r="V733" s="247"/>
      <c r="W733" s="247"/>
      <c r="X733" s="247"/>
      <c r="Y733" s="247"/>
      <c r="Z733" s="247"/>
      <c r="AA733" s="247"/>
      <c r="AB733" s="247"/>
      <c r="AC733" s="247"/>
    </row>
    <row r="734">
      <c r="A734" s="247"/>
      <c r="B734" s="247"/>
      <c r="C734" s="247"/>
      <c r="D734" s="249"/>
      <c r="E734" s="250"/>
      <c r="F734" s="248"/>
      <c r="G734" s="248"/>
      <c r="H734" s="251"/>
      <c r="I734" s="247"/>
      <c r="J734" s="247"/>
      <c r="K734" s="247"/>
      <c r="L734" s="247"/>
      <c r="M734" s="247"/>
      <c r="N734" s="247"/>
      <c r="O734" s="247"/>
      <c r="P734" s="247"/>
      <c r="Q734" s="247"/>
      <c r="R734" s="247"/>
      <c r="S734" s="247"/>
      <c r="T734" s="247"/>
      <c r="U734" s="247"/>
      <c r="V734" s="247"/>
      <c r="W734" s="247"/>
      <c r="X734" s="247"/>
      <c r="Y734" s="247"/>
      <c r="Z734" s="247"/>
      <c r="AA734" s="247"/>
      <c r="AB734" s="247"/>
      <c r="AC734" s="247"/>
    </row>
    <row r="735">
      <c r="A735" s="247"/>
      <c r="B735" s="247"/>
      <c r="C735" s="247"/>
      <c r="D735" s="249"/>
      <c r="E735" s="250"/>
      <c r="F735" s="248"/>
      <c r="G735" s="248"/>
      <c r="H735" s="251"/>
      <c r="I735" s="247"/>
      <c r="J735" s="247"/>
      <c r="K735" s="247"/>
      <c r="L735" s="247"/>
      <c r="M735" s="247"/>
      <c r="N735" s="247"/>
      <c r="O735" s="247"/>
      <c r="P735" s="247"/>
      <c r="Q735" s="247"/>
      <c r="R735" s="247"/>
      <c r="S735" s="247"/>
      <c r="T735" s="247"/>
      <c r="U735" s="247"/>
      <c r="V735" s="247"/>
      <c r="W735" s="247"/>
      <c r="X735" s="247"/>
      <c r="Y735" s="247"/>
      <c r="Z735" s="247"/>
      <c r="AA735" s="247"/>
      <c r="AB735" s="247"/>
      <c r="AC735" s="247"/>
    </row>
    <row r="736">
      <c r="A736" s="247"/>
      <c r="B736" s="247"/>
      <c r="C736" s="247"/>
      <c r="D736" s="249"/>
      <c r="E736" s="250"/>
      <c r="F736" s="248"/>
      <c r="G736" s="248"/>
      <c r="H736" s="251"/>
      <c r="I736" s="247"/>
      <c r="J736" s="247"/>
      <c r="K736" s="247"/>
      <c r="L736" s="247"/>
      <c r="M736" s="247"/>
      <c r="N736" s="247"/>
      <c r="O736" s="247"/>
      <c r="P736" s="247"/>
      <c r="Q736" s="247"/>
      <c r="R736" s="247"/>
      <c r="S736" s="247"/>
      <c r="T736" s="247"/>
      <c r="U736" s="247"/>
      <c r="V736" s="247"/>
      <c r="W736" s="247"/>
      <c r="X736" s="247"/>
      <c r="Y736" s="247"/>
      <c r="Z736" s="247"/>
      <c r="AA736" s="247"/>
      <c r="AB736" s="247"/>
      <c r="AC736" s="247"/>
    </row>
    <row r="737">
      <c r="A737" s="247"/>
      <c r="B737" s="247"/>
      <c r="C737" s="247"/>
      <c r="D737" s="249"/>
      <c r="E737" s="250"/>
      <c r="F737" s="248"/>
      <c r="G737" s="248"/>
      <c r="H737" s="251"/>
      <c r="I737" s="247"/>
      <c r="J737" s="247"/>
      <c r="K737" s="247"/>
      <c r="L737" s="247"/>
      <c r="M737" s="247"/>
      <c r="N737" s="247"/>
      <c r="O737" s="247"/>
      <c r="P737" s="247"/>
      <c r="Q737" s="247"/>
      <c r="R737" s="247"/>
      <c r="S737" s="247"/>
      <c r="T737" s="247"/>
      <c r="U737" s="247"/>
      <c r="V737" s="247"/>
      <c r="W737" s="247"/>
      <c r="X737" s="247"/>
      <c r="Y737" s="247"/>
      <c r="Z737" s="247"/>
      <c r="AA737" s="247"/>
      <c r="AB737" s="247"/>
      <c r="AC737" s="247"/>
    </row>
    <row r="738">
      <c r="A738" s="247"/>
      <c r="B738" s="247"/>
      <c r="C738" s="247"/>
      <c r="D738" s="249"/>
      <c r="E738" s="250"/>
      <c r="F738" s="248"/>
      <c r="G738" s="248"/>
      <c r="H738" s="251"/>
      <c r="I738" s="247"/>
      <c r="J738" s="247"/>
      <c r="K738" s="247"/>
      <c r="L738" s="247"/>
      <c r="M738" s="247"/>
      <c r="N738" s="247"/>
      <c r="O738" s="247"/>
      <c r="P738" s="247"/>
      <c r="Q738" s="247"/>
      <c r="R738" s="247"/>
      <c r="S738" s="247"/>
      <c r="T738" s="247"/>
      <c r="U738" s="247"/>
      <c r="V738" s="247"/>
      <c r="W738" s="247"/>
      <c r="X738" s="247"/>
      <c r="Y738" s="247"/>
      <c r="Z738" s="247"/>
      <c r="AA738" s="247"/>
      <c r="AB738" s="247"/>
      <c r="AC738" s="247"/>
    </row>
    <row r="739">
      <c r="A739" s="247"/>
      <c r="B739" s="247"/>
      <c r="C739" s="247"/>
      <c r="D739" s="249"/>
      <c r="E739" s="250"/>
      <c r="F739" s="248"/>
      <c r="G739" s="248"/>
      <c r="H739" s="251"/>
      <c r="I739" s="247"/>
      <c r="J739" s="247"/>
      <c r="K739" s="247"/>
      <c r="L739" s="247"/>
      <c r="M739" s="247"/>
      <c r="N739" s="247"/>
      <c r="O739" s="247"/>
      <c r="P739" s="247"/>
      <c r="Q739" s="247"/>
      <c r="R739" s="247"/>
      <c r="S739" s="247"/>
      <c r="T739" s="247"/>
      <c r="U739" s="247"/>
      <c r="V739" s="247"/>
      <c r="W739" s="247"/>
      <c r="X739" s="247"/>
      <c r="Y739" s="247"/>
      <c r="Z739" s="247"/>
      <c r="AA739" s="247"/>
      <c r="AB739" s="247"/>
      <c r="AC739" s="247"/>
    </row>
    <row r="740">
      <c r="A740" s="247"/>
      <c r="B740" s="247"/>
      <c r="C740" s="247"/>
      <c r="D740" s="249"/>
      <c r="E740" s="250"/>
      <c r="F740" s="248"/>
      <c r="G740" s="248"/>
      <c r="H740" s="251"/>
      <c r="I740" s="247"/>
      <c r="J740" s="247"/>
      <c r="K740" s="247"/>
      <c r="L740" s="247"/>
      <c r="M740" s="247"/>
      <c r="N740" s="247"/>
      <c r="O740" s="247"/>
      <c r="P740" s="247"/>
      <c r="Q740" s="247"/>
      <c r="R740" s="247"/>
      <c r="S740" s="247"/>
      <c r="T740" s="247"/>
      <c r="U740" s="247"/>
      <c r="V740" s="247"/>
      <c r="W740" s="247"/>
      <c r="X740" s="247"/>
      <c r="Y740" s="247"/>
      <c r="Z740" s="247"/>
      <c r="AA740" s="247"/>
      <c r="AB740" s="247"/>
      <c r="AC740" s="247"/>
    </row>
    <row r="741">
      <c r="A741" s="247"/>
      <c r="B741" s="247"/>
      <c r="C741" s="247"/>
      <c r="D741" s="249"/>
      <c r="E741" s="250"/>
      <c r="F741" s="248"/>
      <c r="G741" s="248"/>
      <c r="H741" s="251"/>
      <c r="I741" s="247"/>
      <c r="J741" s="247"/>
      <c r="K741" s="247"/>
      <c r="L741" s="247"/>
      <c r="M741" s="247"/>
      <c r="N741" s="247"/>
      <c r="O741" s="247"/>
      <c r="P741" s="247"/>
      <c r="Q741" s="247"/>
      <c r="R741" s="247"/>
      <c r="S741" s="247"/>
      <c r="T741" s="247"/>
      <c r="U741" s="247"/>
      <c r="V741" s="247"/>
      <c r="W741" s="247"/>
      <c r="X741" s="247"/>
      <c r="Y741" s="247"/>
      <c r="Z741" s="247"/>
      <c r="AA741" s="247"/>
      <c r="AB741" s="247"/>
      <c r="AC741" s="247"/>
    </row>
    <row r="742">
      <c r="A742" s="247"/>
      <c r="B742" s="247"/>
      <c r="C742" s="247"/>
      <c r="D742" s="249"/>
      <c r="E742" s="250"/>
      <c r="F742" s="248"/>
      <c r="G742" s="248"/>
      <c r="H742" s="251"/>
      <c r="I742" s="247"/>
      <c r="J742" s="247"/>
      <c r="K742" s="247"/>
      <c r="L742" s="247"/>
      <c r="M742" s="247"/>
      <c r="N742" s="247"/>
      <c r="O742" s="247"/>
      <c r="P742" s="247"/>
      <c r="Q742" s="247"/>
      <c r="R742" s="247"/>
      <c r="S742" s="247"/>
      <c r="T742" s="247"/>
      <c r="U742" s="247"/>
      <c r="V742" s="247"/>
      <c r="W742" s="247"/>
      <c r="X742" s="247"/>
      <c r="Y742" s="247"/>
      <c r="Z742" s="247"/>
      <c r="AA742" s="247"/>
      <c r="AB742" s="247"/>
      <c r="AC742" s="247"/>
    </row>
    <row r="743">
      <c r="A743" s="247"/>
      <c r="B743" s="247"/>
      <c r="C743" s="247"/>
      <c r="D743" s="249"/>
      <c r="E743" s="250"/>
      <c r="F743" s="248"/>
      <c r="G743" s="248"/>
      <c r="H743" s="251"/>
      <c r="I743" s="247"/>
      <c r="J743" s="247"/>
      <c r="K743" s="247"/>
      <c r="L743" s="247"/>
      <c r="M743" s="247"/>
      <c r="N743" s="247"/>
      <c r="O743" s="247"/>
      <c r="P743" s="247"/>
      <c r="Q743" s="247"/>
      <c r="R743" s="247"/>
      <c r="S743" s="247"/>
      <c r="T743" s="247"/>
      <c r="U743" s="247"/>
      <c r="V743" s="247"/>
      <c r="W743" s="247"/>
      <c r="X743" s="247"/>
      <c r="Y743" s="247"/>
      <c r="Z743" s="247"/>
      <c r="AA743" s="247"/>
      <c r="AB743" s="247"/>
      <c r="AC743" s="247"/>
    </row>
    <row r="744">
      <c r="A744" s="247"/>
      <c r="B744" s="247"/>
      <c r="C744" s="247"/>
      <c r="D744" s="249"/>
      <c r="E744" s="250"/>
      <c r="F744" s="248"/>
      <c r="G744" s="248"/>
      <c r="H744" s="251"/>
      <c r="I744" s="247"/>
      <c r="J744" s="247"/>
      <c r="K744" s="247"/>
      <c r="L744" s="247"/>
      <c r="M744" s="247"/>
      <c r="N744" s="247"/>
      <c r="O744" s="247"/>
      <c r="P744" s="247"/>
      <c r="Q744" s="247"/>
      <c r="R744" s="247"/>
      <c r="S744" s="247"/>
      <c r="T744" s="247"/>
      <c r="U744" s="247"/>
      <c r="V744" s="247"/>
      <c r="W744" s="247"/>
      <c r="X744" s="247"/>
      <c r="Y744" s="247"/>
      <c r="Z744" s="247"/>
      <c r="AA744" s="247"/>
      <c r="AB744" s="247"/>
      <c r="AC744" s="247"/>
    </row>
    <row r="745">
      <c r="A745" s="247"/>
      <c r="B745" s="247"/>
      <c r="C745" s="247"/>
      <c r="D745" s="249"/>
      <c r="E745" s="250"/>
      <c r="F745" s="248"/>
      <c r="G745" s="248"/>
      <c r="H745" s="251"/>
      <c r="I745" s="247"/>
      <c r="J745" s="247"/>
      <c r="K745" s="247"/>
      <c r="L745" s="247"/>
      <c r="M745" s="247"/>
      <c r="N745" s="247"/>
      <c r="O745" s="247"/>
      <c r="P745" s="247"/>
      <c r="Q745" s="247"/>
      <c r="R745" s="247"/>
      <c r="S745" s="247"/>
      <c r="T745" s="247"/>
      <c r="U745" s="247"/>
      <c r="V745" s="247"/>
      <c r="W745" s="247"/>
      <c r="X745" s="247"/>
      <c r="Y745" s="247"/>
      <c r="Z745" s="247"/>
      <c r="AA745" s="247"/>
      <c r="AB745" s="247"/>
      <c r="AC745" s="247"/>
    </row>
    <row r="746">
      <c r="A746" s="247"/>
      <c r="B746" s="247"/>
      <c r="C746" s="247"/>
      <c r="D746" s="249"/>
      <c r="E746" s="250"/>
      <c r="F746" s="248"/>
      <c r="G746" s="248"/>
      <c r="H746" s="251"/>
      <c r="I746" s="247"/>
      <c r="J746" s="247"/>
      <c r="K746" s="247"/>
      <c r="L746" s="247"/>
      <c r="M746" s="247"/>
      <c r="N746" s="247"/>
      <c r="O746" s="247"/>
      <c r="P746" s="247"/>
      <c r="Q746" s="247"/>
      <c r="R746" s="247"/>
      <c r="S746" s="247"/>
      <c r="T746" s="247"/>
      <c r="U746" s="247"/>
      <c r="V746" s="247"/>
      <c r="W746" s="247"/>
      <c r="X746" s="247"/>
      <c r="Y746" s="247"/>
      <c r="Z746" s="247"/>
      <c r="AA746" s="247"/>
      <c r="AB746" s="247"/>
      <c r="AC746" s="247"/>
    </row>
    <row r="747">
      <c r="A747" s="247"/>
      <c r="B747" s="247"/>
      <c r="C747" s="247"/>
      <c r="D747" s="249"/>
      <c r="E747" s="250"/>
      <c r="F747" s="248"/>
      <c r="G747" s="248"/>
      <c r="H747" s="251"/>
      <c r="I747" s="247"/>
      <c r="J747" s="247"/>
      <c r="K747" s="247"/>
      <c r="L747" s="247"/>
      <c r="M747" s="247"/>
      <c r="N747" s="247"/>
      <c r="O747" s="247"/>
      <c r="P747" s="247"/>
      <c r="Q747" s="247"/>
      <c r="R747" s="247"/>
      <c r="S747" s="247"/>
      <c r="T747" s="247"/>
      <c r="U747" s="247"/>
      <c r="V747" s="247"/>
      <c r="W747" s="247"/>
      <c r="X747" s="247"/>
      <c r="Y747" s="247"/>
      <c r="Z747" s="247"/>
      <c r="AA747" s="247"/>
      <c r="AB747" s="247"/>
      <c r="AC747" s="247"/>
    </row>
    <row r="748">
      <c r="A748" s="247"/>
      <c r="B748" s="247"/>
      <c r="C748" s="247"/>
      <c r="D748" s="249"/>
      <c r="E748" s="250"/>
      <c r="F748" s="248"/>
      <c r="G748" s="248"/>
      <c r="H748" s="251"/>
      <c r="I748" s="247"/>
      <c r="J748" s="247"/>
      <c r="K748" s="247"/>
      <c r="L748" s="247"/>
      <c r="M748" s="247"/>
      <c r="N748" s="247"/>
      <c r="O748" s="247"/>
      <c r="P748" s="247"/>
      <c r="Q748" s="247"/>
      <c r="R748" s="247"/>
      <c r="S748" s="247"/>
      <c r="T748" s="247"/>
      <c r="U748" s="247"/>
      <c r="V748" s="247"/>
      <c r="W748" s="247"/>
      <c r="X748" s="247"/>
      <c r="Y748" s="247"/>
      <c r="Z748" s="247"/>
      <c r="AA748" s="247"/>
      <c r="AB748" s="247"/>
      <c r="AC748" s="247"/>
    </row>
    <row r="749">
      <c r="A749" s="247"/>
      <c r="B749" s="247"/>
      <c r="C749" s="247"/>
      <c r="D749" s="249"/>
      <c r="E749" s="250"/>
      <c r="F749" s="248"/>
      <c r="G749" s="248"/>
      <c r="H749" s="251"/>
      <c r="I749" s="247"/>
      <c r="J749" s="247"/>
      <c r="K749" s="247"/>
      <c r="L749" s="247"/>
      <c r="M749" s="247"/>
      <c r="N749" s="247"/>
      <c r="O749" s="247"/>
      <c r="P749" s="247"/>
      <c r="Q749" s="247"/>
      <c r="R749" s="247"/>
      <c r="S749" s="247"/>
      <c r="T749" s="247"/>
      <c r="U749" s="247"/>
      <c r="V749" s="247"/>
      <c r="W749" s="247"/>
      <c r="X749" s="247"/>
      <c r="Y749" s="247"/>
      <c r="Z749" s="247"/>
      <c r="AA749" s="247"/>
      <c r="AB749" s="247"/>
      <c r="AC749" s="247"/>
    </row>
    <row r="750">
      <c r="A750" s="247"/>
      <c r="B750" s="247"/>
      <c r="C750" s="247"/>
      <c r="D750" s="249"/>
      <c r="E750" s="250"/>
      <c r="F750" s="248"/>
      <c r="G750" s="248"/>
      <c r="H750" s="251"/>
      <c r="I750" s="247"/>
      <c r="J750" s="247"/>
      <c r="K750" s="247"/>
      <c r="L750" s="247"/>
      <c r="M750" s="247"/>
      <c r="N750" s="247"/>
      <c r="O750" s="247"/>
      <c r="P750" s="247"/>
      <c r="Q750" s="247"/>
      <c r="R750" s="247"/>
      <c r="S750" s="247"/>
      <c r="T750" s="247"/>
      <c r="U750" s="247"/>
      <c r="V750" s="247"/>
      <c r="W750" s="247"/>
      <c r="X750" s="247"/>
      <c r="Y750" s="247"/>
      <c r="Z750" s="247"/>
      <c r="AA750" s="247"/>
      <c r="AB750" s="247"/>
      <c r="AC750" s="247"/>
    </row>
    <row r="751">
      <c r="A751" s="247"/>
      <c r="B751" s="247"/>
      <c r="C751" s="247"/>
      <c r="D751" s="249"/>
      <c r="E751" s="250"/>
      <c r="F751" s="248"/>
      <c r="G751" s="248"/>
      <c r="H751" s="251"/>
      <c r="I751" s="247"/>
      <c r="J751" s="247"/>
      <c r="K751" s="247"/>
      <c r="L751" s="247"/>
      <c r="M751" s="247"/>
      <c r="N751" s="247"/>
      <c r="O751" s="247"/>
      <c r="P751" s="247"/>
      <c r="Q751" s="247"/>
      <c r="R751" s="247"/>
      <c r="S751" s="247"/>
      <c r="T751" s="247"/>
      <c r="U751" s="247"/>
      <c r="V751" s="247"/>
      <c r="W751" s="247"/>
      <c r="X751" s="247"/>
      <c r="Y751" s="247"/>
      <c r="Z751" s="247"/>
      <c r="AA751" s="247"/>
      <c r="AB751" s="247"/>
      <c r="AC751" s="247"/>
    </row>
    <row r="752">
      <c r="A752" s="247"/>
      <c r="B752" s="247"/>
      <c r="C752" s="247"/>
      <c r="D752" s="249"/>
      <c r="E752" s="250"/>
      <c r="F752" s="248"/>
      <c r="G752" s="248"/>
      <c r="H752" s="251"/>
      <c r="I752" s="247"/>
      <c r="J752" s="247"/>
      <c r="K752" s="247"/>
      <c r="L752" s="247"/>
      <c r="M752" s="247"/>
      <c r="N752" s="247"/>
      <c r="O752" s="247"/>
      <c r="P752" s="247"/>
      <c r="Q752" s="247"/>
      <c r="R752" s="247"/>
      <c r="S752" s="247"/>
      <c r="T752" s="247"/>
      <c r="U752" s="247"/>
      <c r="V752" s="247"/>
      <c r="W752" s="247"/>
      <c r="X752" s="247"/>
      <c r="Y752" s="247"/>
      <c r="Z752" s="247"/>
      <c r="AA752" s="247"/>
      <c r="AB752" s="247"/>
      <c r="AC752" s="247"/>
    </row>
    <row r="753">
      <c r="A753" s="247"/>
      <c r="B753" s="247"/>
      <c r="C753" s="247"/>
      <c r="D753" s="249"/>
      <c r="E753" s="250"/>
      <c r="F753" s="248"/>
      <c r="G753" s="248"/>
      <c r="H753" s="251"/>
      <c r="I753" s="247"/>
      <c r="J753" s="247"/>
      <c r="K753" s="247"/>
      <c r="L753" s="247"/>
      <c r="M753" s="247"/>
      <c r="N753" s="247"/>
      <c r="O753" s="247"/>
      <c r="P753" s="247"/>
      <c r="Q753" s="247"/>
      <c r="R753" s="247"/>
      <c r="S753" s="247"/>
      <c r="T753" s="247"/>
      <c r="U753" s="247"/>
      <c r="V753" s="247"/>
      <c r="W753" s="247"/>
      <c r="X753" s="247"/>
      <c r="Y753" s="247"/>
      <c r="Z753" s="247"/>
      <c r="AA753" s="247"/>
      <c r="AB753" s="247"/>
      <c r="AC753" s="247"/>
    </row>
    <row r="754">
      <c r="A754" s="247"/>
      <c r="B754" s="247"/>
      <c r="C754" s="247"/>
      <c r="D754" s="249"/>
      <c r="E754" s="250"/>
      <c r="F754" s="248"/>
      <c r="G754" s="248"/>
      <c r="H754" s="251"/>
      <c r="I754" s="247"/>
      <c r="J754" s="247"/>
      <c r="K754" s="247"/>
      <c r="L754" s="247"/>
      <c r="M754" s="247"/>
      <c r="N754" s="247"/>
      <c r="O754" s="247"/>
      <c r="P754" s="247"/>
      <c r="Q754" s="247"/>
      <c r="R754" s="247"/>
      <c r="S754" s="247"/>
      <c r="T754" s="247"/>
      <c r="U754" s="247"/>
      <c r="V754" s="247"/>
      <c r="W754" s="247"/>
      <c r="X754" s="247"/>
      <c r="Y754" s="247"/>
      <c r="Z754" s="247"/>
      <c r="AA754" s="247"/>
      <c r="AB754" s="247"/>
      <c r="AC754" s="247"/>
    </row>
    <row r="755">
      <c r="A755" s="247"/>
      <c r="B755" s="247"/>
      <c r="C755" s="247"/>
      <c r="D755" s="249"/>
      <c r="E755" s="250"/>
      <c r="F755" s="248"/>
      <c r="G755" s="248"/>
      <c r="H755" s="251"/>
      <c r="I755" s="247"/>
      <c r="J755" s="247"/>
      <c r="K755" s="247"/>
      <c r="L755" s="247"/>
      <c r="M755" s="247"/>
      <c r="N755" s="247"/>
      <c r="O755" s="247"/>
      <c r="P755" s="247"/>
      <c r="Q755" s="247"/>
      <c r="R755" s="247"/>
      <c r="S755" s="247"/>
      <c r="T755" s="247"/>
      <c r="U755" s="247"/>
      <c r="V755" s="247"/>
      <c r="W755" s="247"/>
      <c r="X755" s="247"/>
      <c r="Y755" s="247"/>
      <c r="Z755" s="247"/>
      <c r="AA755" s="247"/>
      <c r="AB755" s="247"/>
      <c r="AC755" s="247"/>
    </row>
    <row r="756">
      <c r="A756" s="247"/>
      <c r="B756" s="247"/>
      <c r="C756" s="247"/>
      <c r="D756" s="249"/>
      <c r="E756" s="250"/>
      <c r="F756" s="248"/>
      <c r="G756" s="248"/>
      <c r="H756" s="251"/>
      <c r="I756" s="247"/>
      <c r="J756" s="247"/>
      <c r="K756" s="247"/>
      <c r="L756" s="247"/>
      <c r="M756" s="247"/>
      <c r="N756" s="247"/>
      <c r="O756" s="247"/>
      <c r="P756" s="247"/>
      <c r="Q756" s="247"/>
      <c r="R756" s="247"/>
      <c r="S756" s="247"/>
      <c r="T756" s="247"/>
      <c r="U756" s="247"/>
      <c r="V756" s="247"/>
      <c r="W756" s="247"/>
      <c r="X756" s="247"/>
      <c r="Y756" s="247"/>
      <c r="Z756" s="247"/>
      <c r="AA756" s="247"/>
      <c r="AB756" s="247"/>
      <c r="AC756" s="247"/>
    </row>
    <row r="757">
      <c r="A757" s="247"/>
      <c r="B757" s="247"/>
      <c r="C757" s="247"/>
      <c r="D757" s="249"/>
      <c r="E757" s="250"/>
      <c r="F757" s="248"/>
      <c r="G757" s="248"/>
      <c r="H757" s="251"/>
      <c r="I757" s="247"/>
      <c r="J757" s="247"/>
      <c r="K757" s="247"/>
      <c r="L757" s="247"/>
      <c r="M757" s="247"/>
      <c r="N757" s="247"/>
      <c r="O757" s="247"/>
      <c r="P757" s="247"/>
      <c r="Q757" s="247"/>
      <c r="R757" s="247"/>
      <c r="S757" s="247"/>
      <c r="T757" s="247"/>
      <c r="U757" s="247"/>
      <c r="V757" s="247"/>
      <c r="W757" s="247"/>
      <c r="X757" s="247"/>
      <c r="Y757" s="247"/>
      <c r="Z757" s="247"/>
      <c r="AA757" s="247"/>
      <c r="AB757" s="247"/>
      <c r="AC757" s="247"/>
    </row>
    <row r="758">
      <c r="A758" s="247"/>
      <c r="B758" s="247"/>
      <c r="C758" s="247"/>
      <c r="D758" s="249"/>
      <c r="E758" s="250"/>
      <c r="F758" s="248"/>
      <c r="G758" s="248"/>
      <c r="H758" s="251"/>
      <c r="I758" s="247"/>
      <c r="J758" s="247"/>
      <c r="K758" s="247"/>
      <c r="L758" s="247"/>
      <c r="M758" s="247"/>
      <c r="N758" s="247"/>
      <c r="O758" s="247"/>
      <c r="P758" s="247"/>
      <c r="Q758" s="247"/>
      <c r="R758" s="247"/>
      <c r="S758" s="247"/>
      <c r="T758" s="247"/>
      <c r="U758" s="247"/>
      <c r="V758" s="247"/>
      <c r="W758" s="247"/>
      <c r="X758" s="247"/>
      <c r="Y758" s="247"/>
      <c r="Z758" s="247"/>
      <c r="AA758" s="247"/>
      <c r="AB758" s="247"/>
      <c r="AC758" s="247"/>
    </row>
    <row r="759">
      <c r="A759" s="247"/>
      <c r="B759" s="247"/>
      <c r="C759" s="247"/>
      <c r="D759" s="249"/>
      <c r="E759" s="250"/>
      <c r="F759" s="248"/>
      <c r="G759" s="248"/>
      <c r="H759" s="251"/>
      <c r="I759" s="247"/>
      <c r="J759" s="247"/>
      <c r="K759" s="247"/>
      <c r="L759" s="247"/>
      <c r="M759" s="247"/>
      <c r="N759" s="247"/>
      <c r="O759" s="247"/>
      <c r="P759" s="247"/>
      <c r="Q759" s="247"/>
      <c r="R759" s="247"/>
      <c r="S759" s="247"/>
      <c r="T759" s="247"/>
      <c r="U759" s="247"/>
      <c r="V759" s="247"/>
      <c r="W759" s="247"/>
      <c r="X759" s="247"/>
      <c r="Y759" s="247"/>
      <c r="Z759" s="247"/>
      <c r="AA759" s="247"/>
      <c r="AB759" s="247"/>
      <c r="AC759" s="247"/>
    </row>
    <row r="760">
      <c r="A760" s="247"/>
      <c r="B760" s="247"/>
      <c r="C760" s="247"/>
      <c r="D760" s="249"/>
      <c r="E760" s="250"/>
      <c r="F760" s="248"/>
      <c r="G760" s="248"/>
      <c r="H760" s="251"/>
      <c r="I760" s="247"/>
      <c r="J760" s="247"/>
      <c r="K760" s="247"/>
      <c r="L760" s="247"/>
      <c r="M760" s="247"/>
      <c r="N760" s="247"/>
      <c r="O760" s="247"/>
      <c r="P760" s="247"/>
      <c r="Q760" s="247"/>
      <c r="R760" s="247"/>
      <c r="S760" s="247"/>
      <c r="T760" s="247"/>
      <c r="U760" s="247"/>
      <c r="V760" s="247"/>
      <c r="W760" s="247"/>
      <c r="X760" s="247"/>
      <c r="Y760" s="247"/>
      <c r="Z760" s="247"/>
      <c r="AA760" s="247"/>
      <c r="AB760" s="247"/>
      <c r="AC760" s="247"/>
    </row>
    <row r="761">
      <c r="A761" s="247"/>
      <c r="B761" s="247"/>
      <c r="C761" s="247"/>
      <c r="D761" s="249"/>
      <c r="E761" s="250"/>
      <c r="F761" s="248"/>
      <c r="G761" s="248"/>
      <c r="H761" s="251"/>
      <c r="I761" s="247"/>
      <c r="J761" s="247"/>
      <c r="K761" s="247"/>
      <c r="L761" s="247"/>
      <c r="M761" s="247"/>
      <c r="N761" s="247"/>
      <c r="O761" s="247"/>
      <c r="P761" s="247"/>
      <c r="Q761" s="247"/>
      <c r="R761" s="247"/>
      <c r="S761" s="247"/>
      <c r="T761" s="247"/>
      <c r="U761" s="247"/>
      <c r="V761" s="247"/>
      <c r="W761" s="247"/>
      <c r="X761" s="247"/>
      <c r="Y761" s="247"/>
      <c r="Z761" s="247"/>
      <c r="AA761" s="247"/>
      <c r="AB761" s="247"/>
      <c r="AC761" s="247"/>
    </row>
    <row r="762">
      <c r="A762" s="247"/>
      <c r="B762" s="247"/>
      <c r="C762" s="247"/>
      <c r="D762" s="249"/>
      <c r="E762" s="250"/>
      <c r="F762" s="248"/>
      <c r="G762" s="248"/>
      <c r="H762" s="251"/>
      <c r="I762" s="247"/>
      <c r="J762" s="247"/>
      <c r="K762" s="247"/>
      <c r="L762" s="247"/>
      <c r="M762" s="247"/>
      <c r="N762" s="247"/>
      <c r="O762" s="247"/>
      <c r="P762" s="247"/>
      <c r="Q762" s="247"/>
      <c r="R762" s="247"/>
      <c r="S762" s="247"/>
      <c r="T762" s="247"/>
      <c r="U762" s="247"/>
      <c r="V762" s="247"/>
      <c r="W762" s="247"/>
      <c r="X762" s="247"/>
      <c r="Y762" s="247"/>
      <c r="Z762" s="247"/>
      <c r="AA762" s="247"/>
      <c r="AB762" s="247"/>
      <c r="AC762" s="247"/>
    </row>
    <row r="763">
      <c r="A763" s="247"/>
      <c r="B763" s="247"/>
      <c r="C763" s="247"/>
      <c r="D763" s="249"/>
      <c r="E763" s="250"/>
      <c r="F763" s="248"/>
      <c r="G763" s="248"/>
      <c r="H763" s="251"/>
      <c r="I763" s="247"/>
      <c r="J763" s="247"/>
      <c r="K763" s="247"/>
      <c r="L763" s="247"/>
      <c r="M763" s="247"/>
      <c r="N763" s="247"/>
      <c r="O763" s="247"/>
      <c r="P763" s="247"/>
      <c r="Q763" s="247"/>
      <c r="R763" s="247"/>
      <c r="S763" s="247"/>
      <c r="T763" s="247"/>
      <c r="U763" s="247"/>
      <c r="V763" s="247"/>
      <c r="W763" s="247"/>
      <c r="X763" s="247"/>
      <c r="Y763" s="247"/>
      <c r="Z763" s="247"/>
      <c r="AA763" s="247"/>
      <c r="AB763" s="247"/>
      <c r="AC763" s="247"/>
    </row>
    <row r="764">
      <c r="A764" s="247"/>
      <c r="B764" s="247"/>
      <c r="C764" s="247"/>
      <c r="D764" s="249"/>
      <c r="E764" s="250"/>
      <c r="F764" s="248"/>
      <c r="G764" s="248"/>
      <c r="H764" s="251"/>
      <c r="I764" s="247"/>
      <c r="J764" s="247"/>
      <c r="K764" s="247"/>
      <c r="L764" s="247"/>
      <c r="M764" s="247"/>
      <c r="N764" s="247"/>
      <c r="O764" s="247"/>
      <c r="P764" s="247"/>
      <c r="Q764" s="247"/>
      <c r="R764" s="247"/>
      <c r="S764" s="247"/>
      <c r="T764" s="247"/>
      <c r="U764" s="247"/>
      <c r="V764" s="247"/>
      <c r="W764" s="247"/>
      <c r="X764" s="247"/>
      <c r="Y764" s="247"/>
      <c r="Z764" s="247"/>
      <c r="AA764" s="247"/>
      <c r="AB764" s="247"/>
      <c r="AC764" s="247"/>
    </row>
    <row r="765">
      <c r="A765" s="247"/>
      <c r="B765" s="247"/>
      <c r="C765" s="247"/>
      <c r="D765" s="249"/>
      <c r="E765" s="250"/>
      <c r="F765" s="248"/>
      <c r="G765" s="248"/>
      <c r="H765" s="251"/>
      <c r="I765" s="247"/>
      <c r="J765" s="247"/>
      <c r="K765" s="247"/>
      <c r="L765" s="247"/>
      <c r="M765" s="247"/>
      <c r="N765" s="247"/>
      <c r="O765" s="247"/>
      <c r="P765" s="247"/>
      <c r="Q765" s="247"/>
      <c r="R765" s="247"/>
      <c r="S765" s="247"/>
      <c r="T765" s="247"/>
      <c r="U765" s="247"/>
      <c r="V765" s="247"/>
      <c r="W765" s="247"/>
      <c r="X765" s="247"/>
      <c r="Y765" s="247"/>
      <c r="Z765" s="247"/>
      <c r="AA765" s="247"/>
      <c r="AB765" s="247"/>
      <c r="AC765" s="247"/>
    </row>
    <row r="766">
      <c r="A766" s="247"/>
      <c r="B766" s="247"/>
      <c r="C766" s="247"/>
      <c r="D766" s="249"/>
      <c r="E766" s="250"/>
      <c r="F766" s="248"/>
      <c r="G766" s="248"/>
      <c r="H766" s="251"/>
      <c r="I766" s="247"/>
      <c r="J766" s="247"/>
      <c r="K766" s="247"/>
      <c r="L766" s="247"/>
      <c r="M766" s="247"/>
      <c r="N766" s="247"/>
      <c r="O766" s="247"/>
      <c r="P766" s="247"/>
      <c r="Q766" s="247"/>
      <c r="R766" s="247"/>
      <c r="S766" s="247"/>
      <c r="T766" s="247"/>
      <c r="U766" s="247"/>
      <c r="V766" s="247"/>
      <c r="W766" s="247"/>
      <c r="X766" s="247"/>
      <c r="Y766" s="247"/>
      <c r="Z766" s="247"/>
      <c r="AA766" s="247"/>
      <c r="AB766" s="247"/>
      <c r="AC766" s="247"/>
    </row>
    <row r="767">
      <c r="A767" s="247"/>
      <c r="B767" s="247"/>
      <c r="C767" s="247"/>
      <c r="D767" s="249"/>
      <c r="E767" s="250"/>
      <c r="F767" s="248"/>
      <c r="G767" s="248"/>
      <c r="H767" s="251"/>
      <c r="I767" s="247"/>
      <c r="J767" s="247"/>
      <c r="K767" s="247"/>
      <c r="L767" s="247"/>
      <c r="M767" s="247"/>
      <c r="N767" s="247"/>
      <c r="O767" s="247"/>
      <c r="P767" s="247"/>
      <c r="Q767" s="247"/>
      <c r="R767" s="247"/>
      <c r="S767" s="247"/>
      <c r="T767" s="247"/>
      <c r="U767" s="247"/>
      <c r="V767" s="247"/>
      <c r="W767" s="247"/>
      <c r="X767" s="247"/>
      <c r="Y767" s="247"/>
      <c r="Z767" s="247"/>
      <c r="AA767" s="247"/>
      <c r="AB767" s="247"/>
      <c r="AC767" s="247"/>
    </row>
    <row r="768">
      <c r="A768" s="247"/>
      <c r="B768" s="247"/>
      <c r="C768" s="247"/>
      <c r="D768" s="249"/>
      <c r="E768" s="250"/>
      <c r="F768" s="248"/>
      <c r="G768" s="248"/>
      <c r="H768" s="251"/>
      <c r="I768" s="247"/>
      <c r="J768" s="247"/>
      <c r="K768" s="247"/>
      <c r="L768" s="247"/>
      <c r="M768" s="247"/>
      <c r="N768" s="247"/>
      <c r="O768" s="247"/>
      <c r="P768" s="247"/>
      <c r="Q768" s="247"/>
      <c r="R768" s="247"/>
      <c r="S768" s="247"/>
      <c r="T768" s="247"/>
      <c r="U768" s="247"/>
      <c r="V768" s="247"/>
      <c r="W768" s="247"/>
      <c r="X768" s="247"/>
      <c r="Y768" s="247"/>
      <c r="Z768" s="247"/>
      <c r="AA768" s="247"/>
      <c r="AB768" s="247"/>
      <c r="AC768" s="247"/>
    </row>
    <row r="769">
      <c r="A769" s="247"/>
      <c r="B769" s="247"/>
      <c r="C769" s="247"/>
      <c r="D769" s="249"/>
      <c r="E769" s="250"/>
      <c r="F769" s="248"/>
      <c r="G769" s="248"/>
      <c r="H769" s="251"/>
      <c r="I769" s="247"/>
      <c r="J769" s="247"/>
      <c r="K769" s="247"/>
      <c r="L769" s="247"/>
      <c r="M769" s="247"/>
      <c r="N769" s="247"/>
      <c r="O769" s="247"/>
      <c r="P769" s="247"/>
      <c r="Q769" s="247"/>
      <c r="R769" s="247"/>
      <c r="S769" s="247"/>
      <c r="T769" s="247"/>
      <c r="U769" s="247"/>
      <c r="V769" s="247"/>
      <c r="W769" s="247"/>
      <c r="X769" s="247"/>
      <c r="Y769" s="247"/>
      <c r="Z769" s="247"/>
      <c r="AA769" s="247"/>
      <c r="AB769" s="247"/>
      <c r="AC769" s="247"/>
    </row>
    <row r="770">
      <c r="A770" s="247"/>
      <c r="B770" s="247"/>
      <c r="C770" s="247"/>
      <c r="D770" s="249"/>
      <c r="E770" s="250"/>
      <c r="F770" s="248"/>
      <c r="G770" s="248"/>
      <c r="H770" s="251"/>
      <c r="I770" s="247"/>
      <c r="J770" s="247"/>
      <c r="K770" s="247"/>
      <c r="L770" s="247"/>
      <c r="M770" s="247"/>
      <c r="N770" s="247"/>
      <c r="O770" s="247"/>
      <c r="P770" s="247"/>
      <c r="Q770" s="247"/>
      <c r="R770" s="247"/>
      <c r="S770" s="247"/>
      <c r="T770" s="247"/>
      <c r="U770" s="247"/>
      <c r="V770" s="247"/>
      <c r="W770" s="247"/>
      <c r="X770" s="247"/>
      <c r="Y770" s="247"/>
      <c r="Z770" s="247"/>
      <c r="AA770" s="247"/>
      <c r="AB770" s="247"/>
      <c r="AC770" s="247"/>
    </row>
    <row r="771">
      <c r="A771" s="247"/>
      <c r="B771" s="247"/>
      <c r="C771" s="247"/>
      <c r="D771" s="249"/>
      <c r="E771" s="250"/>
      <c r="F771" s="248"/>
      <c r="G771" s="248"/>
      <c r="H771" s="251"/>
      <c r="I771" s="247"/>
      <c r="J771" s="247"/>
      <c r="K771" s="247"/>
      <c r="L771" s="247"/>
      <c r="M771" s="247"/>
      <c r="N771" s="247"/>
      <c r="O771" s="247"/>
      <c r="P771" s="247"/>
      <c r="Q771" s="247"/>
      <c r="R771" s="247"/>
      <c r="S771" s="247"/>
      <c r="T771" s="247"/>
      <c r="U771" s="247"/>
      <c r="V771" s="247"/>
      <c r="W771" s="247"/>
      <c r="X771" s="247"/>
      <c r="Y771" s="247"/>
      <c r="Z771" s="247"/>
      <c r="AA771" s="247"/>
      <c r="AB771" s="247"/>
      <c r="AC771" s="247"/>
    </row>
    <row r="772">
      <c r="A772" s="247"/>
      <c r="B772" s="247"/>
      <c r="C772" s="247"/>
      <c r="D772" s="249"/>
      <c r="E772" s="250"/>
      <c r="F772" s="248"/>
      <c r="G772" s="248"/>
      <c r="H772" s="251"/>
      <c r="I772" s="247"/>
      <c r="J772" s="247"/>
      <c r="K772" s="247"/>
      <c r="L772" s="247"/>
      <c r="M772" s="247"/>
      <c r="N772" s="247"/>
      <c r="O772" s="247"/>
      <c r="P772" s="247"/>
      <c r="Q772" s="247"/>
      <c r="R772" s="247"/>
      <c r="S772" s="247"/>
      <c r="T772" s="247"/>
      <c r="U772" s="247"/>
      <c r="V772" s="247"/>
      <c r="W772" s="247"/>
      <c r="X772" s="247"/>
      <c r="Y772" s="247"/>
      <c r="Z772" s="247"/>
      <c r="AA772" s="247"/>
      <c r="AB772" s="247"/>
      <c r="AC772" s="247"/>
    </row>
    <row r="773">
      <c r="A773" s="247"/>
      <c r="B773" s="247"/>
      <c r="C773" s="247"/>
      <c r="D773" s="249"/>
      <c r="E773" s="250"/>
      <c r="F773" s="248"/>
      <c r="G773" s="248"/>
      <c r="H773" s="251"/>
      <c r="I773" s="247"/>
      <c r="J773" s="247"/>
      <c r="K773" s="247"/>
      <c r="L773" s="247"/>
      <c r="M773" s="247"/>
      <c r="N773" s="247"/>
      <c r="O773" s="247"/>
      <c r="P773" s="247"/>
      <c r="Q773" s="247"/>
      <c r="R773" s="247"/>
      <c r="S773" s="247"/>
      <c r="T773" s="247"/>
      <c r="U773" s="247"/>
      <c r="V773" s="247"/>
      <c r="W773" s="247"/>
      <c r="X773" s="247"/>
      <c r="Y773" s="247"/>
      <c r="Z773" s="247"/>
      <c r="AA773" s="247"/>
      <c r="AB773" s="247"/>
      <c r="AC773" s="247"/>
    </row>
    <row r="774">
      <c r="A774" s="247"/>
      <c r="B774" s="247"/>
      <c r="C774" s="247"/>
      <c r="D774" s="249"/>
      <c r="E774" s="250"/>
      <c r="F774" s="248"/>
      <c r="G774" s="248"/>
      <c r="H774" s="251"/>
      <c r="I774" s="247"/>
      <c r="J774" s="247"/>
      <c r="K774" s="247"/>
      <c r="L774" s="247"/>
      <c r="M774" s="247"/>
      <c r="N774" s="247"/>
      <c r="O774" s="247"/>
      <c r="P774" s="247"/>
      <c r="Q774" s="247"/>
      <c r="R774" s="247"/>
      <c r="S774" s="247"/>
      <c r="T774" s="247"/>
      <c r="U774" s="247"/>
      <c r="V774" s="247"/>
      <c r="W774" s="247"/>
      <c r="X774" s="247"/>
      <c r="Y774" s="247"/>
      <c r="Z774" s="247"/>
      <c r="AA774" s="247"/>
      <c r="AB774" s="247"/>
      <c r="AC774" s="247"/>
    </row>
    <row r="775">
      <c r="A775" s="247"/>
      <c r="B775" s="247"/>
      <c r="C775" s="247"/>
      <c r="D775" s="249"/>
      <c r="E775" s="250"/>
      <c r="F775" s="248"/>
      <c r="G775" s="248"/>
      <c r="H775" s="251"/>
      <c r="I775" s="247"/>
      <c r="J775" s="247"/>
      <c r="K775" s="247"/>
      <c r="L775" s="247"/>
      <c r="M775" s="247"/>
      <c r="N775" s="247"/>
      <c r="O775" s="247"/>
      <c r="P775" s="247"/>
      <c r="Q775" s="247"/>
      <c r="R775" s="247"/>
      <c r="S775" s="247"/>
      <c r="T775" s="247"/>
      <c r="U775" s="247"/>
      <c r="V775" s="247"/>
      <c r="W775" s="247"/>
      <c r="X775" s="247"/>
      <c r="Y775" s="247"/>
      <c r="Z775" s="247"/>
      <c r="AA775" s="247"/>
      <c r="AB775" s="247"/>
      <c r="AC775" s="247"/>
    </row>
    <row r="776">
      <c r="A776" s="247"/>
      <c r="B776" s="247"/>
      <c r="C776" s="247"/>
      <c r="D776" s="249"/>
      <c r="E776" s="250"/>
      <c r="F776" s="248"/>
      <c r="G776" s="248"/>
      <c r="H776" s="251"/>
      <c r="I776" s="247"/>
      <c r="J776" s="247"/>
      <c r="K776" s="247"/>
      <c r="L776" s="247"/>
      <c r="M776" s="247"/>
      <c r="N776" s="247"/>
      <c r="O776" s="247"/>
      <c r="P776" s="247"/>
      <c r="Q776" s="247"/>
      <c r="R776" s="247"/>
      <c r="S776" s="247"/>
      <c r="T776" s="247"/>
      <c r="U776" s="247"/>
      <c r="V776" s="247"/>
      <c r="W776" s="247"/>
      <c r="X776" s="247"/>
      <c r="Y776" s="247"/>
      <c r="Z776" s="247"/>
      <c r="AA776" s="247"/>
      <c r="AB776" s="247"/>
      <c r="AC776" s="247"/>
    </row>
    <row r="777">
      <c r="A777" s="247"/>
      <c r="B777" s="247"/>
      <c r="C777" s="247"/>
      <c r="D777" s="249"/>
      <c r="E777" s="250"/>
      <c r="F777" s="248"/>
      <c r="G777" s="248"/>
      <c r="H777" s="251"/>
      <c r="I777" s="247"/>
      <c r="J777" s="247"/>
      <c r="K777" s="247"/>
      <c r="L777" s="247"/>
      <c r="M777" s="247"/>
      <c r="N777" s="247"/>
      <c r="O777" s="247"/>
      <c r="P777" s="247"/>
      <c r="Q777" s="247"/>
      <c r="R777" s="247"/>
      <c r="S777" s="247"/>
      <c r="T777" s="247"/>
      <c r="U777" s="247"/>
      <c r="V777" s="247"/>
      <c r="W777" s="247"/>
      <c r="X777" s="247"/>
      <c r="Y777" s="247"/>
      <c r="Z777" s="247"/>
      <c r="AA777" s="247"/>
      <c r="AB777" s="247"/>
      <c r="AC777" s="247"/>
    </row>
    <row r="778">
      <c r="A778" s="247"/>
      <c r="B778" s="247"/>
      <c r="C778" s="247"/>
      <c r="D778" s="249"/>
      <c r="E778" s="250"/>
      <c r="F778" s="248"/>
      <c r="G778" s="248"/>
      <c r="H778" s="251"/>
      <c r="I778" s="247"/>
      <c r="J778" s="247"/>
      <c r="K778" s="247"/>
      <c r="L778" s="247"/>
      <c r="M778" s="247"/>
      <c r="N778" s="247"/>
      <c r="O778" s="247"/>
      <c r="P778" s="247"/>
      <c r="Q778" s="247"/>
      <c r="R778" s="247"/>
      <c r="S778" s="247"/>
      <c r="T778" s="247"/>
      <c r="U778" s="247"/>
      <c r="V778" s="247"/>
      <c r="W778" s="247"/>
      <c r="X778" s="247"/>
      <c r="Y778" s="247"/>
      <c r="Z778" s="247"/>
      <c r="AA778" s="247"/>
      <c r="AB778" s="247"/>
      <c r="AC778" s="247"/>
    </row>
    <row r="779">
      <c r="A779" s="247"/>
      <c r="B779" s="247"/>
      <c r="C779" s="247"/>
      <c r="D779" s="249"/>
      <c r="E779" s="250"/>
      <c r="F779" s="248"/>
      <c r="G779" s="248"/>
      <c r="H779" s="251"/>
      <c r="I779" s="247"/>
      <c r="J779" s="247"/>
      <c r="K779" s="247"/>
      <c r="L779" s="247"/>
      <c r="M779" s="247"/>
      <c r="N779" s="247"/>
      <c r="O779" s="247"/>
      <c r="P779" s="247"/>
      <c r="Q779" s="247"/>
      <c r="R779" s="247"/>
      <c r="S779" s="247"/>
      <c r="T779" s="247"/>
      <c r="U779" s="247"/>
      <c r="V779" s="247"/>
      <c r="W779" s="247"/>
      <c r="X779" s="247"/>
      <c r="Y779" s="247"/>
      <c r="Z779" s="247"/>
      <c r="AA779" s="247"/>
      <c r="AB779" s="247"/>
      <c r="AC779" s="247"/>
    </row>
    <row r="780">
      <c r="A780" s="247"/>
      <c r="B780" s="247"/>
      <c r="C780" s="247"/>
      <c r="D780" s="249"/>
      <c r="E780" s="250"/>
      <c r="F780" s="248"/>
      <c r="G780" s="248"/>
      <c r="H780" s="251"/>
      <c r="I780" s="247"/>
      <c r="J780" s="247"/>
      <c r="K780" s="247"/>
      <c r="L780" s="247"/>
      <c r="M780" s="247"/>
      <c r="N780" s="247"/>
      <c r="O780" s="247"/>
      <c r="P780" s="247"/>
      <c r="Q780" s="247"/>
      <c r="R780" s="247"/>
      <c r="S780" s="247"/>
      <c r="T780" s="247"/>
      <c r="U780" s="247"/>
      <c r="V780" s="247"/>
      <c r="W780" s="247"/>
      <c r="X780" s="247"/>
      <c r="Y780" s="247"/>
      <c r="Z780" s="247"/>
      <c r="AA780" s="247"/>
      <c r="AB780" s="247"/>
      <c r="AC780" s="247"/>
    </row>
    <row r="781">
      <c r="A781" s="247"/>
      <c r="B781" s="247"/>
      <c r="C781" s="247"/>
      <c r="D781" s="249"/>
      <c r="E781" s="250"/>
      <c r="F781" s="248"/>
      <c r="G781" s="248"/>
      <c r="H781" s="251"/>
      <c r="I781" s="247"/>
      <c r="J781" s="247"/>
      <c r="K781" s="247"/>
      <c r="L781" s="247"/>
      <c r="M781" s="247"/>
      <c r="N781" s="247"/>
      <c r="O781" s="247"/>
      <c r="P781" s="247"/>
      <c r="Q781" s="247"/>
      <c r="R781" s="247"/>
      <c r="S781" s="247"/>
      <c r="T781" s="247"/>
      <c r="U781" s="247"/>
      <c r="V781" s="247"/>
      <c r="W781" s="247"/>
      <c r="X781" s="247"/>
      <c r="Y781" s="247"/>
      <c r="Z781" s="247"/>
      <c r="AA781" s="247"/>
      <c r="AB781" s="247"/>
      <c r="AC781" s="247"/>
    </row>
    <row r="782">
      <c r="A782" s="247"/>
      <c r="B782" s="247"/>
      <c r="C782" s="247"/>
      <c r="D782" s="249"/>
      <c r="E782" s="250"/>
      <c r="F782" s="248"/>
      <c r="G782" s="248"/>
      <c r="H782" s="251"/>
      <c r="I782" s="247"/>
      <c r="J782" s="247"/>
      <c r="K782" s="247"/>
      <c r="L782" s="247"/>
      <c r="M782" s="247"/>
      <c r="N782" s="247"/>
      <c r="O782" s="247"/>
      <c r="P782" s="247"/>
      <c r="Q782" s="247"/>
      <c r="R782" s="247"/>
      <c r="S782" s="247"/>
      <c r="T782" s="247"/>
      <c r="U782" s="247"/>
      <c r="V782" s="247"/>
      <c r="W782" s="247"/>
      <c r="X782" s="247"/>
      <c r="Y782" s="247"/>
      <c r="Z782" s="247"/>
      <c r="AA782" s="247"/>
      <c r="AB782" s="247"/>
      <c r="AC782" s="247"/>
    </row>
    <row r="783">
      <c r="A783" s="247"/>
      <c r="B783" s="247"/>
      <c r="C783" s="247"/>
      <c r="D783" s="249"/>
      <c r="E783" s="250"/>
      <c r="F783" s="248"/>
      <c r="G783" s="248"/>
      <c r="H783" s="251"/>
      <c r="I783" s="247"/>
      <c r="J783" s="247"/>
      <c r="K783" s="247"/>
      <c r="L783" s="247"/>
      <c r="M783" s="247"/>
      <c r="N783" s="247"/>
      <c r="O783" s="247"/>
      <c r="P783" s="247"/>
      <c r="Q783" s="247"/>
      <c r="R783" s="247"/>
      <c r="S783" s="247"/>
      <c r="T783" s="247"/>
      <c r="U783" s="247"/>
      <c r="V783" s="247"/>
      <c r="W783" s="247"/>
      <c r="X783" s="247"/>
      <c r="Y783" s="247"/>
      <c r="Z783" s="247"/>
      <c r="AA783" s="247"/>
      <c r="AB783" s="247"/>
      <c r="AC783" s="247"/>
    </row>
    <row r="784">
      <c r="A784" s="247"/>
      <c r="B784" s="247"/>
      <c r="C784" s="247"/>
      <c r="D784" s="249"/>
      <c r="E784" s="250"/>
      <c r="F784" s="248"/>
      <c r="G784" s="248"/>
      <c r="H784" s="251"/>
      <c r="I784" s="247"/>
      <c r="J784" s="247"/>
      <c r="K784" s="247"/>
      <c r="L784" s="247"/>
      <c r="M784" s="247"/>
      <c r="N784" s="247"/>
      <c r="O784" s="247"/>
      <c r="P784" s="247"/>
      <c r="Q784" s="247"/>
      <c r="R784" s="247"/>
      <c r="S784" s="247"/>
      <c r="T784" s="247"/>
      <c r="U784" s="247"/>
      <c r="V784" s="247"/>
      <c r="W784" s="247"/>
      <c r="X784" s="247"/>
      <c r="Y784" s="247"/>
      <c r="Z784" s="247"/>
      <c r="AA784" s="247"/>
      <c r="AB784" s="247"/>
      <c r="AC784" s="247"/>
    </row>
    <row r="785">
      <c r="A785" s="247"/>
      <c r="B785" s="247"/>
      <c r="C785" s="247"/>
      <c r="D785" s="249"/>
      <c r="E785" s="250"/>
      <c r="F785" s="248"/>
      <c r="G785" s="248"/>
      <c r="H785" s="251"/>
      <c r="I785" s="247"/>
      <c r="J785" s="247"/>
      <c r="K785" s="247"/>
      <c r="L785" s="247"/>
      <c r="M785" s="247"/>
      <c r="N785" s="247"/>
      <c r="O785" s="247"/>
      <c r="P785" s="247"/>
      <c r="Q785" s="247"/>
      <c r="R785" s="247"/>
      <c r="S785" s="247"/>
      <c r="T785" s="247"/>
      <c r="U785" s="247"/>
      <c r="V785" s="247"/>
      <c r="W785" s="247"/>
      <c r="X785" s="247"/>
      <c r="Y785" s="247"/>
      <c r="Z785" s="247"/>
      <c r="AA785" s="247"/>
      <c r="AB785" s="247"/>
      <c r="AC785" s="247"/>
    </row>
    <row r="786">
      <c r="A786" s="247"/>
      <c r="B786" s="247"/>
      <c r="C786" s="247"/>
      <c r="D786" s="249"/>
      <c r="E786" s="250"/>
      <c r="F786" s="248"/>
      <c r="G786" s="248"/>
      <c r="H786" s="251"/>
      <c r="I786" s="247"/>
      <c r="J786" s="247"/>
      <c r="K786" s="247"/>
      <c r="L786" s="247"/>
      <c r="M786" s="247"/>
      <c r="N786" s="247"/>
      <c r="O786" s="247"/>
      <c r="P786" s="247"/>
      <c r="Q786" s="247"/>
      <c r="R786" s="247"/>
      <c r="S786" s="247"/>
      <c r="T786" s="247"/>
      <c r="U786" s="247"/>
      <c r="V786" s="247"/>
      <c r="W786" s="247"/>
      <c r="X786" s="247"/>
      <c r="Y786" s="247"/>
      <c r="Z786" s="247"/>
      <c r="AA786" s="247"/>
      <c r="AB786" s="247"/>
      <c r="AC786" s="247"/>
    </row>
    <row r="787">
      <c r="A787" s="247"/>
      <c r="B787" s="247"/>
      <c r="C787" s="247"/>
      <c r="D787" s="249"/>
      <c r="E787" s="250"/>
      <c r="F787" s="248"/>
      <c r="G787" s="248"/>
      <c r="H787" s="251"/>
      <c r="I787" s="247"/>
      <c r="J787" s="247"/>
      <c r="K787" s="247"/>
      <c r="L787" s="247"/>
      <c r="M787" s="247"/>
      <c r="N787" s="247"/>
      <c r="O787" s="247"/>
      <c r="P787" s="247"/>
      <c r="Q787" s="247"/>
      <c r="R787" s="247"/>
      <c r="S787" s="247"/>
      <c r="T787" s="247"/>
      <c r="U787" s="247"/>
      <c r="V787" s="247"/>
      <c r="W787" s="247"/>
      <c r="X787" s="247"/>
      <c r="Y787" s="247"/>
      <c r="Z787" s="247"/>
      <c r="AA787" s="247"/>
      <c r="AB787" s="247"/>
      <c r="AC787" s="247"/>
    </row>
    <row r="788">
      <c r="A788" s="247"/>
      <c r="B788" s="247"/>
      <c r="C788" s="247"/>
      <c r="D788" s="249"/>
      <c r="E788" s="250"/>
      <c r="F788" s="248"/>
      <c r="G788" s="248"/>
      <c r="H788" s="251"/>
      <c r="I788" s="247"/>
      <c r="J788" s="247"/>
      <c r="K788" s="247"/>
      <c r="L788" s="247"/>
      <c r="M788" s="247"/>
      <c r="N788" s="247"/>
      <c r="O788" s="247"/>
      <c r="P788" s="247"/>
      <c r="Q788" s="247"/>
      <c r="R788" s="247"/>
      <c r="S788" s="247"/>
      <c r="T788" s="247"/>
      <c r="U788" s="247"/>
      <c r="V788" s="247"/>
      <c r="W788" s="247"/>
      <c r="X788" s="247"/>
      <c r="Y788" s="247"/>
      <c r="Z788" s="247"/>
      <c r="AA788" s="247"/>
      <c r="AB788" s="247"/>
      <c r="AC788" s="247"/>
    </row>
    <row r="789">
      <c r="A789" s="247"/>
      <c r="B789" s="247"/>
      <c r="C789" s="247"/>
      <c r="D789" s="249"/>
      <c r="E789" s="250"/>
      <c r="F789" s="248"/>
      <c r="G789" s="248"/>
      <c r="H789" s="251"/>
      <c r="I789" s="247"/>
      <c r="J789" s="247"/>
      <c r="K789" s="247"/>
      <c r="L789" s="247"/>
      <c r="M789" s="247"/>
      <c r="N789" s="247"/>
      <c r="O789" s="247"/>
      <c r="P789" s="247"/>
      <c r="Q789" s="247"/>
      <c r="R789" s="247"/>
      <c r="S789" s="247"/>
      <c r="T789" s="247"/>
      <c r="U789" s="247"/>
      <c r="V789" s="247"/>
      <c r="W789" s="247"/>
      <c r="X789" s="247"/>
      <c r="Y789" s="247"/>
      <c r="Z789" s="247"/>
      <c r="AA789" s="247"/>
      <c r="AB789" s="247"/>
      <c r="AC789" s="247"/>
    </row>
    <row r="790">
      <c r="A790" s="247"/>
      <c r="B790" s="247"/>
      <c r="C790" s="247"/>
      <c r="D790" s="249"/>
      <c r="E790" s="250"/>
      <c r="F790" s="248"/>
      <c r="G790" s="248"/>
      <c r="H790" s="251"/>
      <c r="I790" s="247"/>
      <c r="J790" s="247"/>
      <c r="K790" s="247"/>
      <c r="L790" s="247"/>
      <c r="M790" s="247"/>
      <c r="N790" s="247"/>
      <c r="O790" s="247"/>
      <c r="P790" s="247"/>
      <c r="Q790" s="247"/>
      <c r="R790" s="247"/>
      <c r="S790" s="247"/>
      <c r="T790" s="247"/>
      <c r="U790" s="247"/>
      <c r="V790" s="247"/>
      <c r="W790" s="247"/>
      <c r="X790" s="247"/>
      <c r="Y790" s="247"/>
      <c r="Z790" s="247"/>
      <c r="AA790" s="247"/>
      <c r="AB790" s="247"/>
      <c r="AC790" s="247"/>
    </row>
    <row r="791">
      <c r="A791" s="247"/>
      <c r="B791" s="247"/>
      <c r="C791" s="247"/>
      <c r="D791" s="249"/>
      <c r="E791" s="250"/>
      <c r="F791" s="248"/>
      <c r="G791" s="248"/>
      <c r="H791" s="251"/>
      <c r="I791" s="247"/>
      <c r="J791" s="247"/>
      <c r="K791" s="247"/>
      <c r="L791" s="247"/>
      <c r="M791" s="247"/>
      <c r="N791" s="247"/>
      <c r="O791" s="247"/>
      <c r="P791" s="247"/>
      <c r="Q791" s="247"/>
      <c r="R791" s="247"/>
      <c r="S791" s="247"/>
      <c r="T791" s="247"/>
      <c r="U791" s="247"/>
      <c r="V791" s="247"/>
      <c r="W791" s="247"/>
      <c r="X791" s="247"/>
      <c r="Y791" s="247"/>
      <c r="Z791" s="247"/>
      <c r="AA791" s="247"/>
      <c r="AB791" s="247"/>
      <c r="AC791" s="247"/>
    </row>
    <row r="792">
      <c r="A792" s="247"/>
      <c r="B792" s="247"/>
      <c r="C792" s="247"/>
      <c r="D792" s="249"/>
      <c r="E792" s="250"/>
      <c r="F792" s="248"/>
      <c r="G792" s="248"/>
      <c r="H792" s="251"/>
      <c r="I792" s="247"/>
      <c r="J792" s="247"/>
      <c r="K792" s="247"/>
      <c r="L792" s="247"/>
      <c r="M792" s="247"/>
      <c r="N792" s="247"/>
      <c r="O792" s="247"/>
      <c r="P792" s="247"/>
      <c r="Q792" s="247"/>
      <c r="R792" s="247"/>
      <c r="S792" s="247"/>
      <c r="T792" s="247"/>
      <c r="U792" s="247"/>
      <c r="V792" s="247"/>
      <c r="W792" s="247"/>
      <c r="X792" s="247"/>
      <c r="Y792" s="247"/>
      <c r="Z792" s="247"/>
      <c r="AA792" s="247"/>
      <c r="AB792" s="247"/>
      <c r="AC792" s="247"/>
    </row>
    <row r="793">
      <c r="A793" s="247"/>
      <c r="B793" s="247"/>
      <c r="C793" s="247"/>
      <c r="D793" s="249"/>
      <c r="E793" s="250"/>
      <c r="F793" s="248"/>
      <c r="G793" s="248"/>
      <c r="H793" s="251"/>
      <c r="I793" s="247"/>
      <c r="J793" s="247"/>
      <c r="K793" s="247"/>
      <c r="L793" s="247"/>
      <c r="M793" s="247"/>
      <c r="N793" s="247"/>
      <c r="O793" s="247"/>
      <c r="P793" s="247"/>
      <c r="Q793" s="247"/>
      <c r="R793" s="247"/>
      <c r="S793" s="247"/>
      <c r="T793" s="247"/>
      <c r="U793" s="247"/>
      <c r="V793" s="247"/>
      <c r="W793" s="247"/>
      <c r="X793" s="247"/>
      <c r="Y793" s="247"/>
      <c r="Z793" s="247"/>
      <c r="AA793" s="247"/>
      <c r="AB793" s="247"/>
      <c r="AC793" s="247"/>
    </row>
    <row r="794">
      <c r="A794" s="247"/>
      <c r="B794" s="247"/>
      <c r="C794" s="247"/>
      <c r="D794" s="249"/>
      <c r="E794" s="250"/>
      <c r="F794" s="248"/>
      <c r="G794" s="248"/>
      <c r="H794" s="251"/>
      <c r="I794" s="247"/>
      <c r="J794" s="247"/>
      <c r="K794" s="247"/>
      <c r="L794" s="247"/>
      <c r="M794" s="247"/>
      <c r="N794" s="247"/>
      <c r="O794" s="247"/>
      <c r="P794" s="247"/>
      <c r="Q794" s="247"/>
      <c r="R794" s="247"/>
      <c r="S794" s="247"/>
      <c r="T794" s="247"/>
      <c r="U794" s="247"/>
      <c r="V794" s="247"/>
      <c r="W794" s="247"/>
      <c r="X794" s="247"/>
      <c r="Y794" s="247"/>
      <c r="Z794" s="247"/>
      <c r="AA794" s="247"/>
      <c r="AB794" s="247"/>
      <c r="AC794" s="247"/>
    </row>
    <row r="795">
      <c r="A795" s="247"/>
      <c r="B795" s="247"/>
      <c r="C795" s="247"/>
      <c r="D795" s="249"/>
      <c r="E795" s="250"/>
      <c r="F795" s="248"/>
      <c r="G795" s="248"/>
      <c r="H795" s="251"/>
      <c r="I795" s="247"/>
      <c r="J795" s="247"/>
      <c r="K795" s="247"/>
      <c r="L795" s="247"/>
      <c r="M795" s="247"/>
      <c r="N795" s="247"/>
      <c r="O795" s="247"/>
      <c r="P795" s="247"/>
      <c r="Q795" s="247"/>
      <c r="R795" s="247"/>
      <c r="S795" s="247"/>
      <c r="T795" s="247"/>
      <c r="U795" s="247"/>
      <c r="V795" s="247"/>
      <c r="W795" s="247"/>
      <c r="X795" s="247"/>
      <c r="Y795" s="247"/>
      <c r="Z795" s="247"/>
      <c r="AA795" s="247"/>
      <c r="AB795" s="247"/>
      <c r="AC795" s="247"/>
    </row>
    <row r="796">
      <c r="A796" s="247"/>
      <c r="B796" s="247"/>
      <c r="C796" s="247"/>
      <c r="D796" s="249"/>
      <c r="E796" s="250"/>
      <c r="F796" s="248"/>
      <c r="G796" s="248"/>
      <c r="H796" s="251"/>
      <c r="I796" s="247"/>
      <c r="J796" s="247"/>
      <c r="K796" s="247"/>
      <c r="L796" s="247"/>
      <c r="M796" s="247"/>
      <c r="N796" s="247"/>
      <c r="O796" s="247"/>
      <c r="P796" s="247"/>
      <c r="Q796" s="247"/>
      <c r="R796" s="247"/>
      <c r="S796" s="247"/>
      <c r="T796" s="247"/>
      <c r="U796" s="247"/>
      <c r="V796" s="247"/>
      <c r="W796" s="247"/>
      <c r="X796" s="247"/>
      <c r="Y796" s="247"/>
      <c r="Z796" s="247"/>
      <c r="AA796" s="247"/>
      <c r="AB796" s="247"/>
      <c r="AC796" s="247"/>
    </row>
    <row r="797">
      <c r="A797" s="247"/>
      <c r="B797" s="247"/>
      <c r="C797" s="247"/>
      <c r="D797" s="249"/>
      <c r="E797" s="250"/>
      <c r="F797" s="248"/>
      <c r="G797" s="248"/>
      <c r="H797" s="251"/>
      <c r="I797" s="247"/>
      <c r="J797" s="247"/>
      <c r="K797" s="247"/>
      <c r="L797" s="247"/>
      <c r="M797" s="247"/>
      <c r="N797" s="247"/>
      <c r="O797" s="247"/>
      <c r="P797" s="247"/>
      <c r="Q797" s="247"/>
      <c r="R797" s="247"/>
      <c r="S797" s="247"/>
      <c r="T797" s="247"/>
      <c r="U797" s="247"/>
      <c r="V797" s="247"/>
      <c r="W797" s="247"/>
      <c r="X797" s="247"/>
      <c r="Y797" s="247"/>
      <c r="Z797" s="247"/>
      <c r="AA797" s="247"/>
      <c r="AB797" s="247"/>
      <c r="AC797" s="247"/>
    </row>
    <row r="798">
      <c r="A798" s="247"/>
      <c r="B798" s="247"/>
      <c r="C798" s="247"/>
      <c r="D798" s="249"/>
      <c r="E798" s="250"/>
      <c r="F798" s="248"/>
      <c r="G798" s="248"/>
      <c r="H798" s="251"/>
      <c r="I798" s="247"/>
      <c r="J798" s="247"/>
      <c r="K798" s="247"/>
      <c r="L798" s="247"/>
      <c r="M798" s="247"/>
      <c r="N798" s="247"/>
      <c r="O798" s="247"/>
      <c r="P798" s="247"/>
      <c r="Q798" s="247"/>
      <c r="R798" s="247"/>
      <c r="S798" s="247"/>
      <c r="T798" s="247"/>
      <c r="U798" s="247"/>
      <c r="V798" s="247"/>
      <c r="W798" s="247"/>
      <c r="X798" s="247"/>
      <c r="Y798" s="247"/>
      <c r="Z798" s="247"/>
      <c r="AA798" s="247"/>
      <c r="AB798" s="247"/>
      <c r="AC798" s="247"/>
    </row>
    <row r="799">
      <c r="A799" s="247"/>
      <c r="B799" s="247"/>
      <c r="C799" s="247"/>
      <c r="D799" s="249"/>
      <c r="E799" s="250"/>
      <c r="F799" s="248"/>
      <c r="G799" s="248"/>
      <c r="H799" s="251"/>
      <c r="I799" s="247"/>
      <c r="J799" s="247"/>
      <c r="K799" s="247"/>
      <c r="L799" s="247"/>
      <c r="M799" s="247"/>
      <c r="N799" s="247"/>
      <c r="O799" s="247"/>
      <c r="P799" s="247"/>
      <c r="Q799" s="247"/>
      <c r="R799" s="247"/>
      <c r="S799" s="247"/>
      <c r="T799" s="247"/>
      <c r="U799" s="247"/>
      <c r="V799" s="247"/>
      <c r="W799" s="247"/>
      <c r="X799" s="247"/>
      <c r="Y799" s="247"/>
      <c r="Z799" s="247"/>
      <c r="AA799" s="247"/>
      <c r="AB799" s="247"/>
      <c r="AC799" s="247"/>
    </row>
    <row r="800">
      <c r="A800" s="247"/>
      <c r="B800" s="247"/>
      <c r="C800" s="247"/>
      <c r="D800" s="249"/>
      <c r="E800" s="250"/>
      <c r="F800" s="248"/>
      <c r="G800" s="248"/>
      <c r="H800" s="251"/>
      <c r="I800" s="247"/>
      <c r="J800" s="247"/>
      <c r="K800" s="247"/>
      <c r="L800" s="247"/>
      <c r="M800" s="247"/>
      <c r="N800" s="247"/>
      <c r="O800" s="247"/>
      <c r="P800" s="247"/>
      <c r="Q800" s="247"/>
      <c r="R800" s="247"/>
      <c r="S800" s="247"/>
      <c r="T800" s="247"/>
      <c r="U800" s="247"/>
      <c r="V800" s="247"/>
      <c r="W800" s="247"/>
      <c r="X800" s="247"/>
      <c r="Y800" s="247"/>
      <c r="Z800" s="247"/>
      <c r="AA800" s="247"/>
      <c r="AB800" s="247"/>
      <c r="AC800" s="247"/>
    </row>
    <row r="801">
      <c r="A801" s="247"/>
      <c r="B801" s="247"/>
      <c r="C801" s="247"/>
      <c r="D801" s="249"/>
      <c r="E801" s="250"/>
      <c r="F801" s="248"/>
      <c r="G801" s="248"/>
      <c r="H801" s="251"/>
      <c r="I801" s="247"/>
      <c r="J801" s="247"/>
      <c r="K801" s="247"/>
      <c r="L801" s="247"/>
      <c r="M801" s="247"/>
      <c r="N801" s="247"/>
      <c r="O801" s="247"/>
      <c r="P801" s="247"/>
      <c r="Q801" s="247"/>
      <c r="R801" s="247"/>
      <c r="S801" s="247"/>
      <c r="T801" s="247"/>
      <c r="U801" s="247"/>
      <c r="V801" s="247"/>
      <c r="W801" s="247"/>
      <c r="X801" s="247"/>
      <c r="Y801" s="247"/>
      <c r="Z801" s="247"/>
      <c r="AA801" s="247"/>
      <c r="AB801" s="247"/>
      <c r="AC801" s="247"/>
    </row>
    <row r="802">
      <c r="A802" s="247"/>
      <c r="B802" s="247"/>
      <c r="C802" s="247"/>
      <c r="D802" s="249"/>
      <c r="E802" s="250"/>
      <c r="F802" s="248"/>
      <c r="G802" s="248"/>
      <c r="H802" s="251"/>
      <c r="I802" s="247"/>
      <c r="J802" s="247"/>
      <c r="K802" s="247"/>
      <c r="L802" s="247"/>
      <c r="M802" s="247"/>
      <c r="N802" s="247"/>
      <c r="O802" s="247"/>
      <c r="P802" s="247"/>
      <c r="Q802" s="247"/>
      <c r="R802" s="247"/>
      <c r="S802" s="247"/>
      <c r="T802" s="247"/>
      <c r="U802" s="247"/>
      <c r="V802" s="247"/>
      <c r="W802" s="247"/>
      <c r="X802" s="247"/>
      <c r="Y802" s="247"/>
      <c r="Z802" s="247"/>
      <c r="AA802" s="247"/>
      <c r="AB802" s="247"/>
      <c r="AC802" s="247"/>
    </row>
    <row r="803">
      <c r="A803" s="247"/>
      <c r="B803" s="247"/>
      <c r="C803" s="247"/>
      <c r="D803" s="249"/>
      <c r="E803" s="250"/>
      <c r="F803" s="248"/>
      <c r="G803" s="248"/>
      <c r="H803" s="251"/>
      <c r="I803" s="247"/>
      <c r="J803" s="247"/>
      <c r="K803" s="247"/>
      <c r="L803" s="247"/>
      <c r="M803" s="247"/>
      <c r="N803" s="247"/>
      <c r="O803" s="247"/>
      <c r="P803" s="247"/>
      <c r="Q803" s="247"/>
      <c r="R803" s="247"/>
      <c r="S803" s="247"/>
      <c r="T803" s="247"/>
      <c r="U803" s="247"/>
      <c r="V803" s="247"/>
      <c r="W803" s="247"/>
      <c r="X803" s="247"/>
      <c r="Y803" s="247"/>
      <c r="Z803" s="247"/>
      <c r="AA803" s="247"/>
      <c r="AB803" s="247"/>
      <c r="AC803" s="247"/>
    </row>
    <row r="804">
      <c r="A804" s="247"/>
      <c r="B804" s="247"/>
      <c r="C804" s="247"/>
      <c r="D804" s="249"/>
      <c r="E804" s="250"/>
      <c r="F804" s="248"/>
      <c r="G804" s="248"/>
      <c r="H804" s="251"/>
      <c r="I804" s="247"/>
      <c r="J804" s="247"/>
      <c r="K804" s="247"/>
      <c r="L804" s="247"/>
      <c r="M804" s="247"/>
      <c r="N804" s="247"/>
      <c r="O804" s="247"/>
      <c r="P804" s="247"/>
      <c r="Q804" s="247"/>
      <c r="R804" s="247"/>
      <c r="S804" s="247"/>
      <c r="T804" s="247"/>
      <c r="U804" s="247"/>
      <c r="V804" s="247"/>
      <c r="W804" s="247"/>
      <c r="X804" s="247"/>
      <c r="Y804" s="247"/>
      <c r="Z804" s="247"/>
      <c r="AA804" s="247"/>
      <c r="AB804" s="247"/>
      <c r="AC804" s="247"/>
    </row>
    <row r="805">
      <c r="A805" s="247"/>
      <c r="B805" s="247"/>
      <c r="C805" s="247"/>
      <c r="D805" s="249"/>
      <c r="E805" s="250"/>
      <c r="F805" s="248"/>
      <c r="G805" s="248"/>
      <c r="H805" s="251"/>
      <c r="I805" s="247"/>
      <c r="J805" s="247"/>
      <c r="K805" s="247"/>
      <c r="L805" s="247"/>
      <c r="M805" s="247"/>
      <c r="N805" s="247"/>
      <c r="O805" s="247"/>
      <c r="P805" s="247"/>
      <c r="Q805" s="247"/>
      <c r="R805" s="247"/>
      <c r="S805" s="247"/>
      <c r="T805" s="247"/>
      <c r="U805" s="247"/>
      <c r="V805" s="247"/>
      <c r="W805" s="247"/>
      <c r="X805" s="247"/>
      <c r="Y805" s="247"/>
      <c r="Z805" s="247"/>
      <c r="AA805" s="247"/>
      <c r="AB805" s="247"/>
      <c r="AC805" s="247"/>
    </row>
    <row r="806">
      <c r="A806" s="247"/>
      <c r="B806" s="247"/>
      <c r="C806" s="247"/>
      <c r="D806" s="249"/>
      <c r="E806" s="250"/>
      <c r="F806" s="248"/>
      <c r="G806" s="248"/>
      <c r="H806" s="251"/>
      <c r="I806" s="247"/>
      <c r="J806" s="247"/>
      <c r="K806" s="247"/>
      <c r="L806" s="247"/>
      <c r="M806" s="247"/>
      <c r="N806" s="247"/>
      <c r="O806" s="247"/>
      <c r="P806" s="247"/>
      <c r="Q806" s="247"/>
      <c r="R806" s="247"/>
      <c r="S806" s="247"/>
      <c r="T806" s="247"/>
      <c r="U806" s="247"/>
      <c r="V806" s="247"/>
      <c r="W806" s="247"/>
      <c r="X806" s="247"/>
      <c r="Y806" s="247"/>
      <c r="Z806" s="247"/>
      <c r="AA806" s="247"/>
      <c r="AB806" s="247"/>
      <c r="AC806" s="247"/>
    </row>
    <row r="807">
      <c r="A807" s="247"/>
      <c r="B807" s="247"/>
      <c r="C807" s="247"/>
      <c r="D807" s="249"/>
      <c r="E807" s="250"/>
      <c r="F807" s="248"/>
      <c r="G807" s="248"/>
      <c r="H807" s="251"/>
      <c r="I807" s="247"/>
      <c r="J807" s="247"/>
      <c r="K807" s="247"/>
      <c r="L807" s="247"/>
      <c r="M807" s="247"/>
      <c r="N807" s="247"/>
      <c r="O807" s="247"/>
      <c r="P807" s="247"/>
      <c r="Q807" s="247"/>
      <c r="R807" s="247"/>
      <c r="S807" s="247"/>
      <c r="T807" s="247"/>
      <c r="U807" s="247"/>
      <c r="V807" s="247"/>
      <c r="W807" s="247"/>
      <c r="X807" s="247"/>
      <c r="Y807" s="247"/>
      <c r="Z807" s="247"/>
      <c r="AA807" s="247"/>
      <c r="AB807" s="247"/>
      <c r="AC807" s="247"/>
    </row>
    <row r="808">
      <c r="A808" s="247"/>
      <c r="B808" s="247"/>
      <c r="C808" s="247"/>
      <c r="D808" s="249"/>
      <c r="E808" s="250"/>
      <c r="F808" s="248"/>
      <c r="G808" s="248"/>
      <c r="H808" s="251"/>
      <c r="I808" s="247"/>
      <c r="J808" s="247"/>
      <c r="K808" s="247"/>
      <c r="L808" s="247"/>
      <c r="M808" s="247"/>
      <c r="N808" s="247"/>
      <c r="O808" s="247"/>
      <c r="P808" s="247"/>
      <c r="Q808" s="247"/>
      <c r="R808" s="247"/>
      <c r="S808" s="247"/>
      <c r="T808" s="247"/>
      <c r="U808" s="247"/>
      <c r="V808" s="247"/>
      <c r="W808" s="247"/>
      <c r="X808" s="247"/>
      <c r="Y808" s="247"/>
      <c r="Z808" s="247"/>
      <c r="AA808" s="247"/>
      <c r="AB808" s="247"/>
      <c r="AC808" s="247"/>
    </row>
    <row r="809">
      <c r="A809" s="247"/>
      <c r="B809" s="247"/>
      <c r="C809" s="247"/>
      <c r="D809" s="249"/>
      <c r="E809" s="250"/>
      <c r="F809" s="248"/>
      <c r="G809" s="248"/>
      <c r="H809" s="251"/>
      <c r="I809" s="247"/>
      <c r="J809" s="247"/>
      <c r="K809" s="247"/>
      <c r="L809" s="247"/>
      <c r="M809" s="247"/>
      <c r="N809" s="247"/>
      <c r="O809" s="247"/>
      <c r="P809" s="247"/>
      <c r="Q809" s="247"/>
      <c r="R809" s="247"/>
      <c r="S809" s="247"/>
      <c r="T809" s="247"/>
      <c r="U809" s="247"/>
      <c r="V809" s="247"/>
      <c r="W809" s="247"/>
      <c r="X809" s="247"/>
      <c r="Y809" s="247"/>
      <c r="Z809" s="247"/>
      <c r="AA809" s="247"/>
      <c r="AB809" s="247"/>
      <c r="AC809" s="247"/>
    </row>
    <row r="810">
      <c r="A810" s="247"/>
      <c r="B810" s="247"/>
      <c r="C810" s="247"/>
      <c r="D810" s="249"/>
      <c r="E810" s="250"/>
      <c r="F810" s="248"/>
      <c r="G810" s="248"/>
      <c r="H810" s="251"/>
      <c r="I810" s="247"/>
      <c r="J810" s="247"/>
      <c r="K810" s="247"/>
      <c r="L810" s="247"/>
      <c r="M810" s="247"/>
      <c r="N810" s="247"/>
      <c r="O810" s="247"/>
      <c r="P810" s="247"/>
      <c r="Q810" s="247"/>
      <c r="R810" s="247"/>
      <c r="S810" s="247"/>
      <c r="T810" s="247"/>
      <c r="U810" s="247"/>
      <c r="V810" s="247"/>
      <c r="W810" s="247"/>
      <c r="X810" s="247"/>
      <c r="Y810" s="247"/>
      <c r="Z810" s="247"/>
      <c r="AA810" s="247"/>
      <c r="AB810" s="247"/>
      <c r="AC810" s="247"/>
    </row>
    <row r="811">
      <c r="A811" s="247"/>
      <c r="B811" s="247"/>
      <c r="C811" s="247"/>
      <c r="D811" s="249"/>
      <c r="E811" s="250"/>
      <c r="F811" s="248"/>
      <c r="G811" s="248"/>
      <c r="H811" s="251"/>
      <c r="I811" s="247"/>
      <c r="J811" s="247"/>
      <c r="K811" s="247"/>
      <c r="L811" s="247"/>
      <c r="M811" s="247"/>
      <c r="N811" s="247"/>
      <c r="O811" s="247"/>
      <c r="P811" s="247"/>
      <c r="Q811" s="247"/>
      <c r="R811" s="247"/>
      <c r="S811" s="247"/>
      <c r="T811" s="247"/>
      <c r="U811" s="247"/>
      <c r="V811" s="247"/>
      <c r="W811" s="247"/>
      <c r="X811" s="247"/>
      <c r="Y811" s="247"/>
      <c r="Z811" s="247"/>
      <c r="AA811" s="247"/>
      <c r="AB811" s="247"/>
      <c r="AC811" s="247"/>
    </row>
    <row r="812">
      <c r="A812" s="247"/>
      <c r="B812" s="247"/>
      <c r="C812" s="247"/>
      <c r="D812" s="249"/>
      <c r="E812" s="250"/>
      <c r="F812" s="248"/>
      <c r="G812" s="248"/>
      <c r="H812" s="251"/>
      <c r="I812" s="247"/>
      <c r="J812" s="247"/>
      <c r="K812" s="247"/>
      <c r="L812" s="247"/>
      <c r="M812" s="247"/>
      <c r="N812" s="247"/>
      <c r="O812" s="247"/>
      <c r="P812" s="247"/>
      <c r="Q812" s="247"/>
      <c r="R812" s="247"/>
      <c r="S812" s="247"/>
      <c r="T812" s="247"/>
      <c r="U812" s="247"/>
      <c r="V812" s="247"/>
      <c r="W812" s="247"/>
      <c r="X812" s="247"/>
      <c r="Y812" s="247"/>
      <c r="Z812" s="247"/>
      <c r="AA812" s="247"/>
      <c r="AB812" s="247"/>
      <c r="AC812" s="247"/>
    </row>
    <row r="813">
      <c r="A813" s="247"/>
      <c r="B813" s="247"/>
      <c r="C813" s="247"/>
      <c r="D813" s="249"/>
      <c r="E813" s="250"/>
      <c r="F813" s="248"/>
      <c r="G813" s="248"/>
      <c r="H813" s="251"/>
      <c r="I813" s="247"/>
      <c r="J813" s="247"/>
      <c r="K813" s="247"/>
      <c r="L813" s="247"/>
      <c r="M813" s="247"/>
      <c r="N813" s="247"/>
      <c r="O813" s="247"/>
      <c r="P813" s="247"/>
      <c r="Q813" s="247"/>
      <c r="R813" s="247"/>
      <c r="S813" s="247"/>
      <c r="T813" s="247"/>
      <c r="U813" s="247"/>
      <c r="V813" s="247"/>
      <c r="W813" s="247"/>
      <c r="X813" s="247"/>
      <c r="Y813" s="247"/>
      <c r="Z813" s="247"/>
      <c r="AA813" s="247"/>
      <c r="AB813" s="247"/>
      <c r="AC813" s="247"/>
    </row>
    <row r="814">
      <c r="A814" s="247"/>
      <c r="B814" s="247"/>
      <c r="C814" s="247"/>
      <c r="D814" s="249"/>
      <c r="E814" s="250"/>
      <c r="F814" s="248"/>
      <c r="G814" s="248"/>
      <c r="H814" s="251"/>
      <c r="I814" s="247"/>
      <c r="J814" s="247"/>
      <c r="K814" s="247"/>
      <c r="L814" s="247"/>
      <c r="M814" s="247"/>
      <c r="N814" s="247"/>
      <c r="O814" s="247"/>
      <c r="P814" s="247"/>
      <c r="Q814" s="247"/>
      <c r="R814" s="247"/>
      <c r="S814" s="247"/>
      <c r="T814" s="247"/>
      <c r="U814" s="247"/>
      <c r="V814" s="247"/>
      <c r="W814" s="247"/>
      <c r="X814" s="247"/>
      <c r="Y814" s="247"/>
      <c r="Z814" s="247"/>
      <c r="AA814" s="247"/>
      <c r="AB814" s="247"/>
      <c r="AC814" s="247"/>
    </row>
    <row r="815">
      <c r="A815" s="247"/>
      <c r="B815" s="247"/>
      <c r="C815" s="247"/>
      <c r="D815" s="249"/>
      <c r="E815" s="250"/>
      <c r="F815" s="248"/>
      <c r="G815" s="248"/>
      <c r="H815" s="251"/>
      <c r="I815" s="247"/>
      <c r="J815" s="247"/>
      <c r="K815" s="247"/>
      <c r="L815" s="247"/>
      <c r="M815" s="247"/>
      <c r="N815" s="247"/>
      <c r="O815" s="247"/>
      <c r="P815" s="247"/>
      <c r="Q815" s="247"/>
      <c r="R815" s="247"/>
      <c r="S815" s="247"/>
      <c r="T815" s="247"/>
      <c r="U815" s="247"/>
      <c r="V815" s="247"/>
      <c r="W815" s="247"/>
      <c r="X815" s="247"/>
      <c r="Y815" s="247"/>
      <c r="Z815" s="247"/>
      <c r="AA815" s="247"/>
      <c r="AB815" s="247"/>
      <c r="AC815" s="247"/>
    </row>
    <row r="816">
      <c r="A816" s="247"/>
      <c r="B816" s="247"/>
      <c r="C816" s="247"/>
      <c r="D816" s="249"/>
      <c r="E816" s="250"/>
      <c r="F816" s="248"/>
      <c r="G816" s="248"/>
      <c r="H816" s="251"/>
      <c r="I816" s="247"/>
      <c r="J816" s="247"/>
      <c r="K816" s="247"/>
      <c r="L816" s="247"/>
      <c r="M816" s="247"/>
      <c r="N816" s="247"/>
      <c r="O816" s="247"/>
      <c r="P816" s="247"/>
      <c r="Q816" s="247"/>
      <c r="R816" s="247"/>
      <c r="S816" s="247"/>
      <c r="T816" s="247"/>
      <c r="U816" s="247"/>
      <c r="V816" s="247"/>
      <c r="W816" s="247"/>
      <c r="X816" s="247"/>
      <c r="Y816" s="247"/>
      <c r="Z816" s="247"/>
      <c r="AA816" s="247"/>
      <c r="AB816" s="247"/>
      <c r="AC816" s="247"/>
    </row>
    <row r="817">
      <c r="A817" s="247"/>
      <c r="B817" s="247"/>
      <c r="C817" s="247"/>
      <c r="D817" s="249"/>
      <c r="E817" s="250"/>
      <c r="F817" s="248"/>
      <c r="G817" s="248"/>
      <c r="H817" s="251"/>
      <c r="I817" s="247"/>
      <c r="J817" s="247"/>
      <c r="K817" s="247"/>
      <c r="L817" s="247"/>
      <c r="M817" s="247"/>
      <c r="N817" s="247"/>
      <c r="O817" s="247"/>
      <c r="P817" s="247"/>
      <c r="Q817" s="247"/>
      <c r="R817" s="247"/>
      <c r="S817" s="247"/>
      <c r="T817" s="247"/>
      <c r="U817" s="247"/>
      <c r="V817" s="247"/>
      <c r="W817" s="247"/>
      <c r="X817" s="247"/>
      <c r="Y817" s="247"/>
      <c r="Z817" s="247"/>
      <c r="AA817" s="247"/>
      <c r="AB817" s="247"/>
      <c r="AC817" s="247"/>
    </row>
    <row r="818">
      <c r="A818" s="247"/>
      <c r="B818" s="247"/>
      <c r="C818" s="247"/>
      <c r="D818" s="249"/>
      <c r="E818" s="250"/>
      <c r="F818" s="248"/>
      <c r="G818" s="248"/>
      <c r="H818" s="251"/>
      <c r="I818" s="247"/>
      <c r="J818" s="247"/>
      <c r="K818" s="247"/>
      <c r="L818" s="247"/>
      <c r="M818" s="247"/>
      <c r="N818" s="247"/>
      <c r="O818" s="247"/>
      <c r="P818" s="247"/>
      <c r="Q818" s="247"/>
      <c r="R818" s="247"/>
      <c r="S818" s="247"/>
      <c r="T818" s="247"/>
      <c r="U818" s="247"/>
      <c r="V818" s="247"/>
      <c r="W818" s="247"/>
      <c r="X818" s="247"/>
      <c r="Y818" s="247"/>
      <c r="Z818" s="247"/>
      <c r="AA818" s="247"/>
      <c r="AB818" s="247"/>
      <c r="AC818" s="247"/>
    </row>
    <row r="819">
      <c r="A819" s="247"/>
      <c r="B819" s="247"/>
      <c r="C819" s="247"/>
      <c r="D819" s="249"/>
      <c r="E819" s="250"/>
      <c r="F819" s="248"/>
      <c r="G819" s="248"/>
      <c r="H819" s="251"/>
      <c r="I819" s="247"/>
      <c r="J819" s="247"/>
      <c r="K819" s="247"/>
      <c r="L819" s="247"/>
      <c r="M819" s="247"/>
      <c r="N819" s="247"/>
      <c r="O819" s="247"/>
      <c r="P819" s="247"/>
      <c r="Q819" s="247"/>
      <c r="R819" s="247"/>
      <c r="S819" s="247"/>
      <c r="T819" s="247"/>
      <c r="U819" s="247"/>
      <c r="V819" s="247"/>
      <c r="W819" s="247"/>
      <c r="X819" s="247"/>
      <c r="Y819" s="247"/>
      <c r="Z819" s="247"/>
      <c r="AA819" s="247"/>
      <c r="AB819" s="247"/>
      <c r="AC819" s="247"/>
    </row>
    <row r="820">
      <c r="A820" s="247"/>
      <c r="B820" s="247"/>
      <c r="C820" s="247"/>
      <c r="D820" s="249"/>
      <c r="E820" s="250"/>
      <c r="F820" s="248"/>
      <c r="G820" s="248"/>
      <c r="H820" s="251"/>
      <c r="I820" s="247"/>
      <c r="J820" s="247"/>
      <c r="K820" s="247"/>
      <c r="L820" s="247"/>
      <c r="M820" s="247"/>
      <c r="N820" s="247"/>
      <c r="O820" s="247"/>
      <c r="P820" s="247"/>
      <c r="Q820" s="247"/>
      <c r="R820" s="247"/>
      <c r="S820" s="247"/>
      <c r="T820" s="247"/>
      <c r="U820" s="247"/>
      <c r="V820" s="247"/>
      <c r="W820" s="247"/>
      <c r="X820" s="247"/>
      <c r="Y820" s="247"/>
      <c r="Z820" s="247"/>
      <c r="AA820" s="247"/>
      <c r="AB820" s="247"/>
      <c r="AC820" s="247"/>
    </row>
    <row r="821">
      <c r="A821" s="247"/>
      <c r="B821" s="247"/>
      <c r="C821" s="247"/>
      <c r="D821" s="249"/>
      <c r="E821" s="250"/>
      <c r="F821" s="248"/>
      <c r="G821" s="248"/>
      <c r="H821" s="251"/>
      <c r="I821" s="247"/>
      <c r="J821" s="247"/>
      <c r="K821" s="247"/>
      <c r="L821" s="247"/>
      <c r="M821" s="247"/>
      <c r="N821" s="247"/>
      <c r="O821" s="247"/>
      <c r="P821" s="247"/>
      <c r="Q821" s="247"/>
      <c r="R821" s="247"/>
      <c r="S821" s="247"/>
      <c r="T821" s="247"/>
      <c r="U821" s="247"/>
      <c r="V821" s="247"/>
      <c r="W821" s="247"/>
      <c r="X821" s="247"/>
      <c r="Y821" s="247"/>
      <c r="Z821" s="247"/>
      <c r="AA821" s="247"/>
      <c r="AB821" s="247"/>
      <c r="AC821" s="247"/>
    </row>
    <row r="822">
      <c r="A822" s="247"/>
      <c r="B822" s="247"/>
      <c r="C822" s="247"/>
      <c r="D822" s="249"/>
      <c r="E822" s="250"/>
      <c r="F822" s="248"/>
      <c r="G822" s="248"/>
      <c r="H822" s="251"/>
      <c r="I822" s="247"/>
      <c r="J822" s="247"/>
      <c r="K822" s="247"/>
      <c r="L822" s="247"/>
      <c r="M822" s="247"/>
      <c r="N822" s="247"/>
      <c r="O822" s="247"/>
      <c r="P822" s="247"/>
      <c r="Q822" s="247"/>
      <c r="R822" s="247"/>
      <c r="S822" s="247"/>
      <c r="T822" s="247"/>
      <c r="U822" s="247"/>
      <c r="V822" s="247"/>
      <c r="W822" s="247"/>
      <c r="X822" s="247"/>
      <c r="Y822" s="247"/>
      <c r="Z822" s="247"/>
      <c r="AA822" s="247"/>
      <c r="AB822" s="247"/>
      <c r="AC822" s="247"/>
    </row>
    <row r="823">
      <c r="A823" s="247"/>
      <c r="B823" s="247"/>
      <c r="C823" s="247"/>
      <c r="D823" s="249"/>
      <c r="E823" s="250"/>
      <c r="F823" s="248"/>
      <c r="G823" s="248"/>
      <c r="H823" s="251"/>
      <c r="I823" s="247"/>
      <c r="J823" s="247"/>
      <c r="K823" s="247"/>
      <c r="L823" s="247"/>
      <c r="M823" s="247"/>
      <c r="N823" s="247"/>
      <c r="O823" s="247"/>
      <c r="P823" s="247"/>
      <c r="Q823" s="247"/>
      <c r="R823" s="247"/>
      <c r="S823" s="247"/>
      <c r="T823" s="247"/>
      <c r="U823" s="247"/>
      <c r="V823" s="247"/>
      <c r="W823" s="247"/>
      <c r="X823" s="247"/>
      <c r="Y823" s="247"/>
      <c r="Z823" s="247"/>
      <c r="AA823" s="247"/>
      <c r="AB823" s="247"/>
      <c r="AC823" s="247"/>
    </row>
    <row r="824">
      <c r="A824" s="247"/>
      <c r="B824" s="247"/>
      <c r="C824" s="247"/>
      <c r="D824" s="249"/>
      <c r="E824" s="250"/>
      <c r="F824" s="248"/>
      <c r="G824" s="248"/>
      <c r="H824" s="251"/>
      <c r="I824" s="247"/>
      <c r="J824" s="247"/>
      <c r="K824" s="247"/>
      <c r="L824" s="247"/>
      <c r="M824" s="247"/>
      <c r="N824" s="247"/>
      <c r="O824" s="247"/>
      <c r="P824" s="247"/>
      <c r="Q824" s="247"/>
      <c r="R824" s="247"/>
      <c r="S824" s="247"/>
      <c r="T824" s="247"/>
      <c r="U824" s="247"/>
      <c r="V824" s="247"/>
      <c r="W824" s="247"/>
      <c r="X824" s="247"/>
      <c r="Y824" s="247"/>
      <c r="Z824" s="247"/>
      <c r="AA824" s="247"/>
      <c r="AB824" s="247"/>
      <c r="AC824" s="247"/>
    </row>
    <row r="825">
      <c r="A825" s="247"/>
      <c r="B825" s="247"/>
      <c r="C825" s="247"/>
      <c r="D825" s="249"/>
      <c r="E825" s="250"/>
      <c r="F825" s="248"/>
      <c r="G825" s="248"/>
      <c r="H825" s="251"/>
      <c r="I825" s="247"/>
      <c r="J825" s="247"/>
      <c r="K825" s="247"/>
      <c r="L825" s="247"/>
      <c r="M825" s="247"/>
      <c r="N825" s="247"/>
      <c r="O825" s="247"/>
      <c r="P825" s="247"/>
      <c r="Q825" s="247"/>
      <c r="R825" s="247"/>
      <c r="S825" s="247"/>
      <c r="T825" s="247"/>
      <c r="U825" s="247"/>
      <c r="V825" s="247"/>
      <c r="W825" s="247"/>
      <c r="X825" s="247"/>
      <c r="Y825" s="247"/>
      <c r="Z825" s="247"/>
      <c r="AA825" s="247"/>
      <c r="AB825" s="247"/>
      <c r="AC825" s="247"/>
    </row>
    <row r="826">
      <c r="A826" s="247"/>
      <c r="B826" s="247"/>
      <c r="C826" s="247"/>
      <c r="D826" s="249"/>
      <c r="E826" s="250"/>
      <c r="F826" s="248"/>
      <c r="G826" s="248"/>
      <c r="H826" s="251"/>
      <c r="I826" s="247"/>
      <c r="J826" s="247"/>
      <c r="K826" s="247"/>
      <c r="L826" s="247"/>
      <c r="M826" s="247"/>
      <c r="N826" s="247"/>
      <c r="O826" s="247"/>
      <c r="P826" s="247"/>
      <c r="Q826" s="247"/>
      <c r="R826" s="247"/>
      <c r="S826" s="247"/>
      <c r="T826" s="247"/>
      <c r="U826" s="247"/>
      <c r="V826" s="247"/>
      <c r="W826" s="247"/>
      <c r="X826" s="247"/>
      <c r="Y826" s="247"/>
      <c r="Z826" s="247"/>
      <c r="AA826" s="247"/>
      <c r="AB826" s="247"/>
      <c r="AC826" s="247"/>
    </row>
    <row r="827">
      <c r="A827" s="247"/>
      <c r="B827" s="247"/>
      <c r="C827" s="247"/>
      <c r="D827" s="249"/>
      <c r="E827" s="250"/>
      <c r="F827" s="248"/>
      <c r="G827" s="248"/>
      <c r="H827" s="251"/>
      <c r="I827" s="247"/>
      <c r="J827" s="247"/>
      <c r="K827" s="247"/>
      <c r="L827" s="247"/>
      <c r="M827" s="247"/>
      <c r="N827" s="247"/>
      <c r="O827" s="247"/>
      <c r="P827" s="247"/>
      <c r="Q827" s="247"/>
      <c r="R827" s="247"/>
      <c r="S827" s="247"/>
      <c r="T827" s="247"/>
      <c r="U827" s="247"/>
      <c r="V827" s="247"/>
      <c r="W827" s="247"/>
      <c r="X827" s="247"/>
      <c r="Y827" s="247"/>
      <c r="Z827" s="247"/>
      <c r="AA827" s="247"/>
      <c r="AB827" s="247"/>
      <c r="AC827" s="247"/>
    </row>
    <row r="828">
      <c r="A828" s="247"/>
      <c r="B828" s="247"/>
      <c r="C828" s="247"/>
      <c r="D828" s="249"/>
      <c r="E828" s="250"/>
      <c r="F828" s="248"/>
      <c r="G828" s="248"/>
      <c r="H828" s="251"/>
      <c r="I828" s="247"/>
      <c r="J828" s="247"/>
      <c r="K828" s="247"/>
      <c r="L828" s="247"/>
      <c r="M828" s="247"/>
      <c r="N828" s="247"/>
      <c r="O828" s="247"/>
      <c r="P828" s="247"/>
      <c r="Q828" s="247"/>
      <c r="R828" s="247"/>
      <c r="S828" s="247"/>
      <c r="T828" s="247"/>
      <c r="U828" s="247"/>
      <c r="V828" s="247"/>
      <c r="W828" s="247"/>
      <c r="X828" s="247"/>
      <c r="Y828" s="247"/>
      <c r="Z828" s="247"/>
      <c r="AA828" s="247"/>
      <c r="AB828" s="247"/>
      <c r="AC828" s="247"/>
    </row>
    <row r="829">
      <c r="A829" s="247"/>
      <c r="B829" s="247"/>
      <c r="C829" s="247"/>
      <c r="D829" s="249"/>
      <c r="E829" s="250"/>
      <c r="F829" s="248"/>
      <c r="G829" s="248"/>
      <c r="H829" s="251"/>
      <c r="I829" s="247"/>
      <c r="J829" s="247"/>
      <c r="K829" s="247"/>
      <c r="L829" s="247"/>
      <c r="M829" s="247"/>
      <c r="N829" s="247"/>
      <c r="O829" s="247"/>
      <c r="P829" s="247"/>
      <c r="Q829" s="247"/>
      <c r="R829" s="247"/>
      <c r="S829" s="247"/>
      <c r="T829" s="247"/>
      <c r="U829" s="247"/>
      <c r="V829" s="247"/>
      <c r="W829" s="247"/>
      <c r="X829" s="247"/>
      <c r="Y829" s="247"/>
      <c r="Z829" s="247"/>
      <c r="AA829" s="247"/>
      <c r="AB829" s="247"/>
      <c r="AC829" s="247"/>
    </row>
    <row r="830">
      <c r="A830" s="247"/>
      <c r="B830" s="247"/>
      <c r="C830" s="247"/>
      <c r="D830" s="249"/>
      <c r="E830" s="250"/>
      <c r="F830" s="248"/>
      <c r="G830" s="248"/>
      <c r="H830" s="251"/>
      <c r="I830" s="247"/>
      <c r="J830" s="247"/>
      <c r="K830" s="247"/>
      <c r="L830" s="247"/>
      <c r="M830" s="247"/>
      <c r="N830" s="247"/>
      <c r="O830" s="247"/>
      <c r="P830" s="247"/>
      <c r="Q830" s="247"/>
      <c r="R830" s="247"/>
      <c r="S830" s="247"/>
      <c r="T830" s="247"/>
      <c r="U830" s="247"/>
      <c r="V830" s="247"/>
      <c r="W830" s="247"/>
      <c r="X830" s="247"/>
      <c r="Y830" s="247"/>
      <c r="Z830" s="247"/>
      <c r="AA830" s="247"/>
      <c r="AB830" s="247"/>
      <c r="AC830" s="247"/>
    </row>
    <row r="831">
      <c r="A831" s="247"/>
      <c r="B831" s="247"/>
      <c r="C831" s="247"/>
      <c r="D831" s="249"/>
      <c r="E831" s="250"/>
      <c r="F831" s="248"/>
      <c r="G831" s="248"/>
      <c r="H831" s="251"/>
      <c r="I831" s="247"/>
      <c r="J831" s="247"/>
      <c r="K831" s="247"/>
      <c r="L831" s="247"/>
      <c r="M831" s="247"/>
      <c r="N831" s="247"/>
      <c r="O831" s="247"/>
      <c r="P831" s="247"/>
      <c r="Q831" s="247"/>
      <c r="R831" s="247"/>
      <c r="S831" s="247"/>
      <c r="T831" s="247"/>
      <c r="U831" s="247"/>
      <c r="V831" s="247"/>
      <c r="W831" s="247"/>
      <c r="X831" s="247"/>
      <c r="Y831" s="247"/>
      <c r="Z831" s="247"/>
      <c r="AA831" s="247"/>
      <c r="AB831" s="247"/>
      <c r="AC831" s="247"/>
    </row>
    <row r="832">
      <c r="A832" s="247"/>
      <c r="B832" s="247"/>
      <c r="C832" s="247"/>
      <c r="D832" s="249"/>
      <c r="E832" s="250"/>
      <c r="F832" s="248"/>
      <c r="G832" s="248"/>
      <c r="H832" s="251"/>
      <c r="I832" s="247"/>
      <c r="J832" s="247"/>
      <c r="K832" s="247"/>
      <c r="L832" s="247"/>
      <c r="M832" s="247"/>
      <c r="N832" s="247"/>
      <c r="O832" s="247"/>
      <c r="P832" s="247"/>
      <c r="Q832" s="247"/>
      <c r="R832" s="247"/>
      <c r="S832" s="247"/>
      <c r="T832" s="247"/>
      <c r="U832" s="247"/>
      <c r="V832" s="247"/>
      <c r="W832" s="247"/>
      <c r="X832" s="247"/>
      <c r="Y832" s="247"/>
      <c r="Z832" s="247"/>
      <c r="AA832" s="247"/>
      <c r="AB832" s="247"/>
      <c r="AC832" s="247"/>
    </row>
    <row r="833">
      <c r="A833" s="247"/>
      <c r="B833" s="247"/>
      <c r="C833" s="247"/>
      <c r="D833" s="249"/>
      <c r="E833" s="250"/>
      <c r="F833" s="248"/>
      <c r="G833" s="248"/>
      <c r="H833" s="251"/>
      <c r="I833" s="247"/>
      <c r="J833" s="247"/>
      <c r="K833" s="247"/>
      <c r="L833" s="247"/>
      <c r="M833" s="247"/>
      <c r="N833" s="247"/>
      <c r="O833" s="247"/>
      <c r="P833" s="247"/>
      <c r="Q833" s="247"/>
      <c r="R833" s="247"/>
      <c r="S833" s="247"/>
      <c r="T833" s="247"/>
      <c r="U833" s="247"/>
      <c r="V833" s="247"/>
      <c r="W833" s="247"/>
      <c r="X833" s="247"/>
      <c r="Y833" s="247"/>
      <c r="Z833" s="247"/>
      <c r="AA833" s="247"/>
      <c r="AB833" s="247"/>
      <c r="AC833" s="247"/>
    </row>
    <row r="834">
      <c r="A834" s="247"/>
      <c r="B834" s="247"/>
      <c r="C834" s="247"/>
      <c r="D834" s="249"/>
      <c r="E834" s="250"/>
      <c r="F834" s="248"/>
      <c r="G834" s="248"/>
      <c r="H834" s="251"/>
      <c r="I834" s="247"/>
      <c r="J834" s="247"/>
      <c r="K834" s="247"/>
      <c r="L834" s="247"/>
      <c r="M834" s="247"/>
      <c r="N834" s="247"/>
      <c r="O834" s="247"/>
      <c r="P834" s="247"/>
      <c r="Q834" s="247"/>
      <c r="R834" s="247"/>
      <c r="S834" s="247"/>
      <c r="T834" s="247"/>
      <c r="U834" s="247"/>
      <c r="V834" s="247"/>
      <c r="W834" s="247"/>
      <c r="X834" s="247"/>
      <c r="Y834" s="247"/>
      <c r="Z834" s="247"/>
      <c r="AA834" s="247"/>
      <c r="AB834" s="247"/>
      <c r="AC834" s="247"/>
    </row>
    <row r="835">
      <c r="A835" s="247"/>
      <c r="B835" s="247"/>
      <c r="C835" s="247"/>
      <c r="D835" s="249"/>
      <c r="E835" s="250"/>
      <c r="F835" s="248"/>
      <c r="G835" s="248"/>
      <c r="H835" s="251"/>
      <c r="I835" s="247"/>
      <c r="J835" s="247"/>
      <c r="K835" s="247"/>
      <c r="L835" s="247"/>
      <c r="M835" s="247"/>
      <c r="N835" s="247"/>
      <c r="O835" s="247"/>
      <c r="P835" s="247"/>
      <c r="Q835" s="247"/>
      <c r="R835" s="247"/>
      <c r="S835" s="247"/>
      <c r="T835" s="247"/>
      <c r="U835" s="247"/>
      <c r="V835" s="247"/>
      <c r="W835" s="247"/>
      <c r="X835" s="247"/>
      <c r="Y835" s="247"/>
      <c r="Z835" s="247"/>
      <c r="AA835" s="247"/>
      <c r="AB835" s="247"/>
      <c r="AC835" s="247"/>
    </row>
    <row r="836">
      <c r="A836" s="247"/>
      <c r="B836" s="247"/>
      <c r="C836" s="247"/>
      <c r="D836" s="249"/>
      <c r="E836" s="250"/>
      <c r="F836" s="248"/>
      <c r="G836" s="248"/>
      <c r="H836" s="251"/>
      <c r="I836" s="247"/>
      <c r="J836" s="247"/>
      <c r="K836" s="247"/>
      <c r="L836" s="247"/>
      <c r="M836" s="247"/>
      <c r="N836" s="247"/>
      <c r="O836" s="247"/>
      <c r="P836" s="247"/>
      <c r="Q836" s="247"/>
      <c r="R836" s="247"/>
      <c r="S836" s="247"/>
      <c r="T836" s="247"/>
      <c r="U836" s="247"/>
      <c r="V836" s="247"/>
      <c r="W836" s="247"/>
      <c r="X836" s="247"/>
      <c r="Y836" s="247"/>
      <c r="Z836" s="247"/>
      <c r="AA836" s="247"/>
      <c r="AB836" s="247"/>
      <c r="AC836" s="247"/>
    </row>
    <row r="837">
      <c r="A837" s="247"/>
      <c r="B837" s="247"/>
      <c r="C837" s="247"/>
      <c r="D837" s="249"/>
      <c r="E837" s="250"/>
      <c r="F837" s="248"/>
      <c r="G837" s="248"/>
      <c r="H837" s="251"/>
      <c r="I837" s="247"/>
      <c r="J837" s="247"/>
      <c r="K837" s="247"/>
      <c r="L837" s="247"/>
      <c r="M837" s="247"/>
      <c r="N837" s="247"/>
      <c r="O837" s="247"/>
      <c r="P837" s="247"/>
      <c r="Q837" s="247"/>
      <c r="R837" s="247"/>
      <c r="S837" s="247"/>
      <c r="T837" s="247"/>
      <c r="U837" s="247"/>
      <c r="V837" s="247"/>
      <c r="W837" s="247"/>
      <c r="X837" s="247"/>
      <c r="Y837" s="247"/>
      <c r="Z837" s="247"/>
      <c r="AA837" s="247"/>
      <c r="AB837" s="247"/>
      <c r="AC837" s="247"/>
    </row>
    <row r="838">
      <c r="A838" s="247"/>
      <c r="B838" s="247"/>
      <c r="C838" s="247"/>
      <c r="D838" s="249"/>
      <c r="E838" s="250"/>
      <c r="F838" s="248"/>
      <c r="G838" s="248"/>
      <c r="H838" s="251"/>
      <c r="I838" s="247"/>
      <c r="J838" s="247"/>
      <c r="K838" s="247"/>
      <c r="L838" s="247"/>
      <c r="M838" s="247"/>
      <c r="N838" s="247"/>
      <c r="O838" s="247"/>
      <c r="P838" s="247"/>
      <c r="Q838" s="247"/>
      <c r="R838" s="247"/>
      <c r="S838" s="247"/>
      <c r="T838" s="247"/>
      <c r="U838" s="247"/>
      <c r="V838" s="247"/>
      <c r="W838" s="247"/>
      <c r="X838" s="247"/>
      <c r="Y838" s="247"/>
      <c r="Z838" s="247"/>
      <c r="AA838" s="247"/>
      <c r="AB838" s="247"/>
      <c r="AC838" s="247"/>
    </row>
    <row r="839">
      <c r="A839" s="247"/>
      <c r="B839" s="247"/>
      <c r="C839" s="247"/>
      <c r="D839" s="249"/>
      <c r="E839" s="250"/>
      <c r="F839" s="248"/>
      <c r="G839" s="248"/>
      <c r="H839" s="251"/>
      <c r="I839" s="247"/>
      <c r="J839" s="247"/>
      <c r="K839" s="247"/>
      <c r="L839" s="247"/>
      <c r="M839" s="247"/>
      <c r="N839" s="247"/>
      <c r="O839" s="247"/>
      <c r="P839" s="247"/>
      <c r="Q839" s="247"/>
      <c r="R839" s="247"/>
      <c r="S839" s="247"/>
      <c r="T839" s="247"/>
      <c r="U839" s="247"/>
      <c r="V839" s="247"/>
      <c r="W839" s="247"/>
      <c r="X839" s="247"/>
      <c r="Y839" s="247"/>
      <c r="Z839" s="247"/>
      <c r="AA839" s="247"/>
      <c r="AB839" s="247"/>
      <c r="AC839" s="247"/>
    </row>
    <row r="840">
      <c r="A840" s="247"/>
      <c r="B840" s="247"/>
      <c r="C840" s="247"/>
      <c r="D840" s="249"/>
      <c r="E840" s="250"/>
      <c r="F840" s="248"/>
      <c r="G840" s="248"/>
      <c r="H840" s="251"/>
      <c r="I840" s="247"/>
      <c r="J840" s="247"/>
      <c r="K840" s="247"/>
      <c r="L840" s="247"/>
      <c r="M840" s="247"/>
      <c r="N840" s="247"/>
      <c r="O840" s="247"/>
      <c r="P840" s="247"/>
      <c r="Q840" s="247"/>
      <c r="R840" s="247"/>
      <c r="S840" s="247"/>
      <c r="T840" s="247"/>
      <c r="U840" s="247"/>
      <c r="V840" s="247"/>
      <c r="W840" s="247"/>
      <c r="X840" s="247"/>
      <c r="Y840" s="247"/>
      <c r="Z840" s="247"/>
      <c r="AA840" s="247"/>
      <c r="AB840" s="247"/>
      <c r="AC840" s="247"/>
    </row>
    <row r="841">
      <c r="A841" s="247"/>
      <c r="B841" s="247"/>
      <c r="C841" s="247"/>
      <c r="D841" s="249"/>
      <c r="E841" s="250"/>
      <c r="F841" s="248"/>
      <c r="G841" s="248"/>
      <c r="H841" s="251"/>
      <c r="I841" s="247"/>
      <c r="J841" s="247"/>
      <c r="K841" s="247"/>
      <c r="L841" s="247"/>
      <c r="M841" s="247"/>
      <c r="N841" s="247"/>
      <c r="O841" s="247"/>
      <c r="P841" s="247"/>
      <c r="Q841" s="247"/>
      <c r="R841" s="247"/>
      <c r="S841" s="247"/>
      <c r="T841" s="247"/>
      <c r="U841" s="247"/>
      <c r="V841" s="247"/>
      <c r="W841" s="247"/>
      <c r="X841" s="247"/>
      <c r="Y841" s="247"/>
      <c r="Z841" s="247"/>
      <c r="AA841" s="247"/>
      <c r="AB841" s="247"/>
      <c r="AC841" s="247"/>
    </row>
    <row r="842">
      <c r="A842" s="247"/>
      <c r="B842" s="247"/>
      <c r="C842" s="247"/>
      <c r="D842" s="249"/>
      <c r="E842" s="250"/>
      <c r="F842" s="248"/>
      <c r="G842" s="248"/>
      <c r="H842" s="251"/>
      <c r="I842" s="247"/>
      <c r="J842" s="247"/>
      <c r="K842" s="247"/>
      <c r="L842" s="247"/>
      <c r="M842" s="247"/>
      <c r="N842" s="247"/>
      <c r="O842" s="247"/>
      <c r="P842" s="247"/>
      <c r="Q842" s="247"/>
      <c r="R842" s="247"/>
      <c r="S842" s="247"/>
      <c r="T842" s="247"/>
      <c r="U842" s="247"/>
      <c r="V842" s="247"/>
      <c r="W842" s="247"/>
      <c r="X842" s="247"/>
      <c r="Y842" s="247"/>
      <c r="Z842" s="247"/>
      <c r="AA842" s="247"/>
      <c r="AB842" s="247"/>
      <c r="AC842" s="247"/>
    </row>
    <row r="843">
      <c r="A843" s="247"/>
      <c r="B843" s="247"/>
      <c r="C843" s="247"/>
      <c r="D843" s="249"/>
      <c r="E843" s="250"/>
      <c r="F843" s="248"/>
      <c r="G843" s="248"/>
      <c r="H843" s="251"/>
      <c r="I843" s="247"/>
      <c r="J843" s="247"/>
      <c r="K843" s="247"/>
      <c r="L843" s="247"/>
      <c r="M843" s="247"/>
      <c r="N843" s="247"/>
      <c r="O843" s="247"/>
      <c r="P843" s="247"/>
      <c r="Q843" s="247"/>
      <c r="R843" s="247"/>
      <c r="S843" s="247"/>
      <c r="T843" s="247"/>
      <c r="U843" s="247"/>
      <c r="V843" s="247"/>
      <c r="W843" s="247"/>
      <c r="X843" s="247"/>
      <c r="Y843" s="247"/>
      <c r="Z843" s="247"/>
      <c r="AA843" s="247"/>
      <c r="AB843" s="247"/>
      <c r="AC843" s="247"/>
    </row>
    <row r="844">
      <c r="A844" s="247"/>
      <c r="B844" s="247"/>
      <c r="C844" s="247"/>
      <c r="D844" s="249"/>
      <c r="E844" s="250"/>
      <c r="F844" s="248"/>
      <c r="G844" s="248"/>
      <c r="H844" s="251"/>
      <c r="I844" s="247"/>
      <c r="J844" s="247"/>
      <c r="K844" s="247"/>
      <c r="L844" s="247"/>
      <c r="M844" s="247"/>
      <c r="N844" s="247"/>
      <c r="O844" s="247"/>
      <c r="P844" s="247"/>
      <c r="Q844" s="247"/>
      <c r="R844" s="247"/>
      <c r="S844" s="247"/>
      <c r="T844" s="247"/>
      <c r="U844" s="247"/>
      <c r="V844" s="247"/>
      <c r="W844" s="247"/>
      <c r="X844" s="247"/>
      <c r="Y844" s="247"/>
      <c r="Z844" s="247"/>
      <c r="AA844" s="247"/>
      <c r="AB844" s="247"/>
      <c r="AC844" s="247"/>
    </row>
    <row r="845">
      <c r="A845" s="247"/>
      <c r="B845" s="247"/>
      <c r="C845" s="247"/>
      <c r="D845" s="249"/>
      <c r="E845" s="250"/>
      <c r="F845" s="248"/>
      <c r="G845" s="248"/>
      <c r="H845" s="251"/>
      <c r="I845" s="247"/>
      <c r="J845" s="247"/>
      <c r="K845" s="247"/>
      <c r="L845" s="247"/>
      <c r="M845" s="247"/>
      <c r="N845" s="247"/>
      <c r="O845" s="247"/>
      <c r="P845" s="247"/>
      <c r="Q845" s="247"/>
      <c r="R845" s="247"/>
      <c r="S845" s="247"/>
      <c r="T845" s="247"/>
      <c r="U845" s="247"/>
      <c r="V845" s="247"/>
      <c r="W845" s="247"/>
      <c r="X845" s="247"/>
      <c r="Y845" s="247"/>
      <c r="Z845" s="247"/>
      <c r="AA845" s="247"/>
      <c r="AB845" s="247"/>
      <c r="AC845" s="247"/>
    </row>
    <row r="846">
      <c r="A846" s="247"/>
      <c r="B846" s="247"/>
      <c r="C846" s="247"/>
      <c r="D846" s="249"/>
      <c r="E846" s="250"/>
      <c r="F846" s="248"/>
      <c r="G846" s="248"/>
      <c r="H846" s="251"/>
      <c r="I846" s="247"/>
      <c r="J846" s="247"/>
      <c r="K846" s="247"/>
      <c r="L846" s="247"/>
      <c r="M846" s="247"/>
      <c r="N846" s="247"/>
      <c r="O846" s="247"/>
      <c r="P846" s="247"/>
      <c r="Q846" s="247"/>
      <c r="R846" s="247"/>
      <c r="S846" s="247"/>
      <c r="T846" s="247"/>
      <c r="U846" s="247"/>
      <c r="V846" s="247"/>
      <c r="W846" s="247"/>
      <c r="X846" s="247"/>
      <c r="Y846" s="247"/>
      <c r="Z846" s="247"/>
      <c r="AA846" s="247"/>
      <c r="AB846" s="247"/>
      <c r="AC846" s="247"/>
    </row>
    <row r="847">
      <c r="A847" s="247"/>
      <c r="B847" s="247"/>
      <c r="C847" s="247"/>
      <c r="D847" s="249"/>
      <c r="E847" s="250"/>
      <c r="F847" s="248"/>
      <c r="G847" s="248"/>
      <c r="H847" s="251"/>
      <c r="I847" s="247"/>
      <c r="J847" s="247"/>
      <c r="K847" s="247"/>
      <c r="L847" s="247"/>
      <c r="M847" s="247"/>
      <c r="N847" s="247"/>
      <c r="O847" s="247"/>
      <c r="P847" s="247"/>
      <c r="Q847" s="247"/>
      <c r="R847" s="247"/>
      <c r="S847" s="247"/>
      <c r="T847" s="247"/>
      <c r="U847" s="247"/>
      <c r="V847" s="247"/>
      <c r="W847" s="247"/>
      <c r="X847" s="247"/>
      <c r="Y847" s="247"/>
      <c r="Z847" s="247"/>
      <c r="AA847" s="247"/>
      <c r="AB847" s="247"/>
      <c r="AC847" s="247"/>
    </row>
    <row r="848">
      <c r="A848" s="247"/>
      <c r="B848" s="247"/>
      <c r="C848" s="247"/>
      <c r="D848" s="249"/>
      <c r="E848" s="250"/>
      <c r="F848" s="248"/>
      <c r="G848" s="248"/>
      <c r="H848" s="251"/>
      <c r="I848" s="247"/>
      <c r="J848" s="247"/>
      <c r="K848" s="247"/>
      <c r="L848" s="247"/>
      <c r="M848" s="247"/>
      <c r="N848" s="247"/>
      <c r="O848" s="247"/>
      <c r="P848" s="247"/>
      <c r="Q848" s="247"/>
      <c r="R848" s="247"/>
      <c r="S848" s="247"/>
      <c r="T848" s="247"/>
      <c r="U848" s="247"/>
      <c r="V848" s="247"/>
      <c r="W848" s="247"/>
      <c r="X848" s="247"/>
      <c r="Y848" s="247"/>
      <c r="Z848" s="247"/>
      <c r="AA848" s="247"/>
      <c r="AB848" s="247"/>
      <c r="AC848" s="247"/>
    </row>
    <row r="849">
      <c r="A849" s="247"/>
      <c r="B849" s="247"/>
      <c r="C849" s="247"/>
      <c r="D849" s="249"/>
      <c r="E849" s="250"/>
      <c r="F849" s="248"/>
      <c r="G849" s="248"/>
      <c r="H849" s="251"/>
      <c r="I849" s="247"/>
      <c r="J849" s="247"/>
      <c r="K849" s="247"/>
      <c r="L849" s="247"/>
      <c r="M849" s="247"/>
      <c r="N849" s="247"/>
      <c r="O849" s="247"/>
      <c r="P849" s="247"/>
      <c r="Q849" s="247"/>
      <c r="R849" s="247"/>
      <c r="S849" s="247"/>
      <c r="T849" s="247"/>
      <c r="U849" s="247"/>
      <c r="V849" s="247"/>
      <c r="W849" s="247"/>
      <c r="X849" s="247"/>
      <c r="Y849" s="247"/>
      <c r="Z849" s="247"/>
      <c r="AA849" s="247"/>
      <c r="AB849" s="247"/>
      <c r="AC849" s="247"/>
    </row>
    <row r="850">
      <c r="A850" s="247"/>
      <c r="B850" s="247"/>
      <c r="C850" s="247"/>
      <c r="D850" s="249"/>
      <c r="E850" s="250"/>
      <c r="F850" s="248"/>
      <c r="G850" s="248"/>
      <c r="H850" s="251"/>
      <c r="I850" s="247"/>
      <c r="J850" s="247"/>
      <c r="K850" s="247"/>
      <c r="L850" s="247"/>
      <c r="M850" s="247"/>
      <c r="N850" s="247"/>
      <c r="O850" s="247"/>
      <c r="P850" s="247"/>
      <c r="Q850" s="247"/>
      <c r="R850" s="247"/>
      <c r="S850" s="247"/>
      <c r="T850" s="247"/>
      <c r="U850" s="247"/>
      <c r="V850" s="247"/>
      <c r="W850" s="247"/>
      <c r="X850" s="247"/>
      <c r="Y850" s="247"/>
      <c r="Z850" s="247"/>
      <c r="AA850" s="247"/>
      <c r="AB850" s="247"/>
      <c r="AC850" s="247"/>
    </row>
    <row r="851">
      <c r="A851" s="247"/>
      <c r="B851" s="247"/>
      <c r="C851" s="247"/>
      <c r="D851" s="249"/>
      <c r="E851" s="250"/>
      <c r="F851" s="248"/>
      <c r="G851" s="248"/>
      <c r="H851" s="251"/>
      <c r="I851" s="247"/>
      <c r="J851" s="247"/>
      <c r="K851" s="247"/>
      <c r="L851" s="247"/>
      <c r="M851" s="247"/>
      <c r="N851" s="247"/>
      <c r="O851" s="247"/>
      <c r="P851" s="247"/>
      <c r="Q851" s="247"/>
      <c r="R851" s="247"/>
      <c r="S851" s="247"/>
      <c r="T851" s="247"/>
      <c r="U851" s="247"/>
      <c r="V851" s="247"/>
      <c r="W851" s="247"/>
      <c r="X851" s="247"/>
      <c r="Y851" s="247"/>
      <c r="Z851" s="247"/>
      <c r="AA851" s="247"/>
      <c r="AB851" s="247"/>
      <c r="AC851" s="247"/>
    </row>
    <row r="852">
      <c r="A852" s="247"/>
      <c r="B852" s="247"/>
      <c r="C852" s="247"/>
      <c r="D852" s="249"/>
      <c r="E852" s="250"/>
      <c r="F852" s="248"/>
      <c r="G852" s="248"/>
      <c r="H852" s="251"/>
      <c r="I852" s="247"/>
      <c r="J852" s="247"/>
      <c r="K852" s="247"/>
      <c r="L852" s="247"/>
      <c r="M852" s="247"/>
      <c r="N852" s="247"/>
      <c r="O852" s="247"/>
      <c r="P852" s="247"/>
      <c r="Q852" s="247"/>
      <c r="R852" s="247"/>
      <c r="S852" s="247"/>
      <c r="T852" s="247"/>
      <c r="U852" s="247"/>
      <c r="V852" s="247"/>
      <c r="W852" s="247"/>
      <c r="X852" s="247"/>
      <c r="Y852" s="247"/>
      <c r="Z852" s="247"/>
      <c r="AA852" s="247"/>
      <c r="AB852" s="247"/>
      <c r="AC852" s="247"/>
    </row>
    <row r="853">
      <c r="A853" s="247"/>
      <c r="B853" s="247"/>
      <c r="C853" s="247"/>
      <c r="D853" s="249"/>
      <c r="E853" s="250"/>
      <c r="F853" s="248"/>
      <c r="G853" s="248"/>
      <c r="H853" s="251"/>
      <c r="I853" s="247"/>
      <c r="J853" s="247"/>
      <c r="K853" s="247"/>
      <c r="L853" s="247"/>
      <c r="M853" s="247"/>
      <c r="N853" s="247"/>
      <c r="O853" s="247"/>
      <c r="P853" s="247"/>
      <c r="Q853" s="247"/>
      <c r="R853" s="247"/>
      <c r="S853" s="247"/>
      <c r="T853" s="247"/>
      <c r="U853" s="247"/>
      <c r="V853" s="247"/>
      <c r="W853" s="247"/>
      <c r="X853" s="247"/>
      <c r="Y853" s="247"/>
      <c r="Z853" s="247"/>
      <c r="AA853" s="247"/>
      <c r="AB853" s="247"/>
      <c r="AC853" s="247"/>
    </row>
    <row r="854">
      <c r="A854" s="247"/>
      <c r="B854" s="247"/>
      <c r="C854" s="247"/>
      <c r="D854" s="249"/>
      <c r="E854" s="250"/>
      <c r="F854" s="248"/>
      <c r="G854" s="248"/>
      <c r="H854" s="251"/>
      <c r="I854" s="247"/>
      <c r="J854" s="247"/>
      <c r="K854" s="247"/>
      <c r="L854" s="247"/>
      <c r="M854" s="247"/>
      <c r="N854" s="247"/>
      <c r="O854" s="247"/>
      <c r="P854" s="247"/>
      <c r="Q854" s="247"/>
      <c r="R854" s="247"/>
      <c r="S854" s="247"/>
      <c r="T854" s="247"/>
      <c r="U854" s="247"/>
      <c r="V854" s="247"/>
      <c r="W854" s="247"/>
      <c r="X854" s="247"/>
      <c r="Y854" s="247"/>
      <c r="Z854" s="247"/>
      <c r="AA854" s="247"/>
      <c r="AB854" s="247"/>
      <c r="AC854" s="247"/>
    </row>
    <row r="855">
      <c r="A855" s="247"/>
      <c r="B855" s="247"/>
      <c r="C855" s="247"/>
      <c r="D855" s="249"/>
      <c r="E855" s="250"/>
      <c r="F855" s="248"/>
      <c r="G855" s="248"/>
      <c r="H855" s="251"/>
      <c r="I855" s="247"/>
      <c r="J855" s="247"/>
      <c r="K855" s="247"/>
      <c r="L855" s="247"/>
      <c r="M855" s="247"/>
      <c r="N855" s="247"/>
      <c r="O855" s="247"/>
      <c r="P855" s="247"/>
      <c r="Q855" s="247"/>
      <c r="R855" s="247"/>
      <c r="S855" s="247"/>
      <c r="T855" s="247"/>
      <c r="U855" s="247"/>
      <c r="V855" s="247"/>
      <c r="W855" s="247"/>
      <c r="X855" s="247"/>
      <c r="Y855" s="247"/>
      <c r="Z855" s="247"/>
      <c r="AA855" s="247"/>
      <c r="AB855" s="247"/>
      <c r="AC855" s="247"/>
    </row>
    <row r="856">
      <c r="A856" s="247"/>
      <c r="B856" s="247"/>
      <c r="C856" s="247"/>
      <c r="D856" s="249"/>
      <c r="E856" s="250"/>
      <c r="F856" s="248"/>
      <c r="G856" s="248"/>
      <c r="H856" s="251"/>
      <c r="I856" s="247"/>
      <c r="J856" s="247"/>
      <c r="K856" s="247"/>
      <c r="L856" s="247"/>
      <c r="M856" s="247"/>
      <c r="N856" s="247"/>
      <c r="O856" s="247"/>
      <c r="P856" s="247"/>
      <c r="Q856" s="247"/>
      <c r="R856" s="247"/>
      <c r="S856" s="247"/>
      <c r="T856" s="247"/>
      <c r="U856" s="247"/>
      <c r="V856" s="247"/>
      <c r="W856" s="247"/>
      <c r="X856" s="247"/>
      <c r="Y856" s="247"/>
      <c r="Z856" s="247"/>
      <c r="AA856" s="247"/>
      <c r="AB856" s="247"/>
      <c r="AC856" s="247"/>
    </row>
    <row r="857">
      <c r="A857" s="247"/>
      <c r="B857" s="247"/>
      <c r="C857" s="247"/>
      <c r="D857" s="249"/>
      <c r="E857" s="250"/>
      <c r="F857" s="248"/>
      <c r="G857" s="248"/>
      <c r="H857" s="251"/>
      <c r="I857" s="247"/>
      <c r="J857" s="247"/>
      <c r="K857" s="247"/>
      <c r="L857" s="247"/>
      <c r="M857" s="247"/>
      <c r="N857" s="247"/>
      <c r="O857" s="247"/>
      <c r="P857" s="247"/>
      <c r="Q857" s="247"/>
      <c r="R857" s="247"/>
      <c r="S857" s="247"/>
      <c r="T857" s="247"/>
      <c r="U857" s="247"/>
      <c r="V857" s="247"/>
      <c r="W857" s="247"/>
      <c r="X857" s="247"/>
      <c r="Y857" s="247"/>
      <c r="Z857" s="247"/>
      <c r="AA857" s="247"/>
      <c r="AB857" s="247"/>
      <c r="AC857" s="247"/>
    </row>
    <row r="858">
      <c r="A858" s="247"/>
      <c r="B858" s="247"/>
      <c r="C858" s="247"/>
      <c r="D858" s="249"/>
      <c r="E858" s="250"/>
      <c r="F858" s="248"/>
      <c r="G858" s="248"/>
      <c r="H858" s="251"/>
      <c r="I858" s="247"/>
      <c r="J858" s="247"/>
      <c r="K858" s="247"/>
      <c r="L858" s="247"/>
      <c r="M858" s="247"/>
      <c r="N858" s="247"/>
      <c r="O858" s="247"/>
      <c r="P858" s="247"/>
      <c r="Q858" s="247"/>
      <c r="R858" s="247"/>
      <c r="S858" s="247"/>
      <c r="T858" s="247"/>
      <c r="U858" s="247"/>
      <c r="V858" s="247"/>
      <c r="W858" s="247"/>
      <c r="X858" s="247"/>
      <c r="Y858" s="247"/>
      <c r="Z858" s="247"/>
      <c r="AA858" s="247"/>
      <c r="AB858" s="247"/>
      <c r="AC858" s="247"/>
    </row>
    <row r="859">
      <c r="A859" s="247"/>
      <c r="B859" s="247"/>
      <c r="C859" s="247"/>
      <c r="D859" s="249"/>
      <c r="E859" s="250"/>
      <c r="F859" s="248"/>
      <c r="G859" s="248"/>
      <c r="H859" s="251"/>
      <c r="I859" s="247"/>
      <c r="J859" s="247"/>
      <c r="K859" s="247"/>
      <c r="L859" s="247"/>
      <c r="M859" s="247"/>
      <c r="N859" s="247"/>
      <c r="O859" s="247"/>
      <c r="P859" s="247"/>
      <c r="Q859" s="247"/>
      <c r="R859" s="247"/>
      <c r="S859" s="247"/>
      <c r="T859" s="247"/>
      <c r="U859" s="247"/>
      <c r="V859" s="247"/>
      <c r="W859" s="247"/>
      <c r="X859" s="247"/>
      <c r="Y859" s="247"/>
      <c r="Z859" s="247"/>
      <c r="AA859" s="247"/>
      <c r="AB859" s="247"/>
      <c r="AC859" s="247"/>
    </row>
    <row r="860">
      <c r="A860" s="247"/>
      <c r="B860" s="247"/>
      <c r="C860" s="247"/>
      <c r="D860" s="249"/>
      <c r="E860" s="250"/>
      <c r="F860" s="248"/>
      <c r="G860" s="248"/>
      <c r="H860" s="251"/>
      <c r="I860" s="247"/>
      <c r="J860" s="247"/>
      <c r="K860" s="247"/>
      <c r="L860" s="247"/>
      <c r="M860" s="247"/>
      <c r="N860" s="247"/>
      <c r="O860" s="247"/>
      <c r="P860" s="247"/>
      <c r="Q860" s="247"/>
      <c r="R860" s="247"/>
      <c r="S860" s="247"/>
      <c r="T860" s="247"/>
      <c r="U860" s="247"/>
      <c r="V860" s="247"/>
      <c r="W860" s="247"/>
      <c r="X860" s="247"/>
      <c r="Y860" s="247"/>
      <c r="Z860" s="247"/>
      <c r="AA860" s="247"/>
      <c r="AB860" s="247"/>
      <c r="AC860" s="247"/>
    </row>
    <row r="861">
      <c r="A861" s="247"/>
      <c r="B861" s="247"/>
      <c r="C861" s="247"/>
      <c r="D861" s="249"/>
      <c r="E861" s="250"/>
      <c r="F861" s="248"/>
      <c r="G861" s="248"/>
      <c r="H861" s="251"/>
      <c r="I861" s="247"/>
      <c r="J861" s="247"/>
      <c r="K861" s="247"/>
      <c r="L861" s="247"/>
      <c r="M861" s="247"/>
      <c r="N861" s="247"/>
      <c r="O861" s="247"/>
      <c r="P861" s="247"/>
      <c r="Q861" s="247"/>
      <c r="R861" s="247"/>
      <c r="S861" s="247"/>
      <c r="T861" s="247"/>
      <c r="U861" s="247"/>
      <c r="V861" s="247"/>
      <c r="W861" s="247"/>
      <c r="X861" s="247"/>
      <c r="Y861" s="247"/>
      <c r="Z861" s="247"/>
      <c r="AA861" s="247"/>
      <c r="AB861" s="247"/>
      <c r="AC861" s="247"/>
    </row>
    <row r="862">
      <c r="A862" s="247"/>
      <c r="B862" s="247"/>
      <c r="C862" s="247"/>
      <c r="D862" s="249"/>
      <c r="E862" s="250"/>
      <c r="F862" s="248"/>
      <c r="G862" s="248"/>
      <c r="H862" s="251"/>
      <c r="I862" s="247"/>
      <c r="J862" s="247"/>
      <c r="K862" s="247"/>
      <c r="L862" s="247"/>
      <c r="M862" s="247"/>
      <c r="N862" s="247"/>
      <c r="O862" s="247"/>
      <c r="P862" s="247"/>
      <c r="Q862" s="247"/>
      <c r="R862" s="247"/>
      <c r="S862" s="247"/>
      <c r="T862" s="247"/>
      <c r="U862" s="247"/>
      <c r="V862" s="247"/>
      <c r="W862" s="247"/>
      <c r="X862" s="247"/>
      <c r="Y862" s="247"/>
      <c r="Z862" s="247"/>
      <c r="AA862" s="247"/>
      <c r="AB862" s="247"/>
      <c r="AC862" s="247"/>
    </row>
    <row r="863">
      <c r="A863" s="247"/>
      <c r="B863" s="247"/>
      <c r="C863" s="247"/>
      <c r="D863" s="249"/>
      <c r="E863" s="250"/>
      <c r="F863" s="248"/>
      <c r="G863" s="248"/>
      <c r="H863" s="251"/>
      <c r="I863" s="247"/>
      <c r="J863" s="247"/>
      <c r="K863" s="247"/>
      <c r="L863" s="247"/>
      <c r="M863" s="247"/>
      <c r="N863" s="247"/>
      <c r="O863" s="247"/>
      <c r="P863" s="247"/>
      <c r="Q863" s="247"/>
      <c r="R863" s="247"/>
      <c r="S863" s="247"/>
      <c r="T863" s="247"/>
      <c r="U863" s="247"/>
      <c r="V863" s="247"/>
      <c r="W863" s="247"/>
      <c r="X863" s="247"/>
      <c r="Y863" s="247"/>
      <c r="Z863" s="247"/>
      <c r="AA863" s="247"/>
      <c r="AB863" s="247"/>
      <c r="AC863" s="247"/>
    </row>
    <row r="864">
      <c r="A864" s="247"/>
      <c r="B864" s="247"/>
      <c r="C864" s="247"/>
      <c r="D864" s="249"/>
      <c r="E864" s="250"/>
      <c r="F864" s="248"/>
      <c r="G864" s="248"/>
      <c r="H864" s="251"/>
      <c r="I864" s="247"/>
      <c r="J864" s="247"/>
      <c r="K864" s="247"/>
      <c r="L864" s="247"/>
      <c r="M864" s="247"/>
      <c r="N864" s="247"/>
      <c r="O864" s="247"/>
      <c r="P864" s="247"/>
      <c r="Q864" s="247"/>
      <c r="R864" s="247"/>
      <c r="S864" s="247"/>
      <c r="T864" s="247"/>
      <c r="U864" s="247"/>
      <c r="V864" s="247"/>
      <c r="W864" s="247"/>
      <c r="X864" s="247"/>
      <c r="Y864" s="247"/>
      <c r="Z864" s="247"/>
      <c r="AA864" s="247"/>
      <c r="AB864" s="247"/>
      <c r="AC864" s="247"/>
    </row>
    <row r="865">
      <c r="A865" s="247"/>
      <c r="B865" s="247"/>
      <c r="C865" s="247"/>
      <c r="D865" s="249"/>
      <c r="E865" s="250"/>
      <c r="F865" s="248"/>
      <c r="G865" s="248"/>
      <c r="H865" s="251"/>
      <c r="I865" s="247"/>
      <c r="J865" s="247"/>
      <c r="K865" s="247"/>
      <c r="L865" s="247"/>
      <c r="M865" s="247"/>
      <c r="N865" s="247"/>
      <c r="O865" s="247"/>
      <c r="P865" s="247"/>
      <c r="Q865" s="247"/>
      <c r="R865" s="247"/>
      <c r="S865" s="247"/>
      <c r="T865" s="247"/>
      <c r="U865" s="247"/>
      <c r="V865" s="247"/>
      <c r="W865" s="247"/>
      <c r="X865" s="247"/>
      <c r="Y865" s="247"/>
      <c r="Z865" s="247"/>
      <c r="AA865" s="247"/>
      <c r="AB865" s="247"/>
      <c r="AC865" s="247"/>
    </row>
    <row r="866">
      <c r="A866" s="247"/>
      <c r="B866" s="247"/>
      <c r="C866" s="247"/>
      <c r="D866" s="249"/>
      <c r="E866" s="250"/>
      <c r="F866" s="248"/>
      <c r="G866" s="248"/>
      <c r="H866" s="251"/>
      <c r="I866" s="247"/>
      <c r="J866" s="247"/>
      <c r="K866" s="247"/>
      <c r="L866" s="247"/>
      <c r="M866" s="247"/>
      <c r="N866" s="247"/>
      <c r="O866" s="247"/>
      <c r="P866" s="247"/>
      <c r="Q866" s="247"/>
      <c r="R866" s="247"/>
      <c r="S866" s="247"/>
      <c r="T866" s="247"/>
      <c r="U866" s="247"/>
      <c r="V866" s="247"/>
      <c r="W866" s="247"/>
      <c r="X866" s="247"/>
      <c r="Y866" s="247"/>
      <c r="Z866" s="247"/>
      <c r="AA866" s="247"/>
      <c r="AB866" s="247"/>
      <c r="AC866" s="247"/>
    </row>
    <row r="867">
      <c r="A867" s="247"/>
      <c r="B867" s="247"/>
      <c r="C867" s="247"/>
      <c r="D867" s="249"/>
      <c r="E867" s="250"/>
      <c r="F867" s="248"/>
      <c r="G867" s="248"/>
      <c r="H867" s="251"/>
      <c r="I867" s="247"/>
      <c r="J867" s="247"/>
      <c r="K867" s="247"/>
      <c r="L867" s="247"/>
      <c r="M867" s="247"/>
      <c r="N867" s="247"/>
      <c r="O867" s="247"/>
      <c r="P867" s="247"/>
      <c r="Q867" s="247"/>
      <c r="R867" s="247"/>
      <c r="S867" s="247"/>
      <c r="T867" s="247"/>
      <c r="U867" s="247"/>
      <c r="V867" s="247"/>
      <c r="W867" s="247"/>
      <c r="X867" s="247"/>
      <c r="Y867" s="247"/>
      <c r="Z867" s="247"/>
      <c r="AA867" s="247"/>
      <c r="AB867" s="247"/>
      <c r="AC867" s="247"/>
    </row>
    <row r="868">
      <c r="A868" s="247"/>
      <c r="B868" s="247"/>
      <c r="C868" s="247"/>
      <c r="D868" s="249"/>
      <c r="E868" s="250"/>
      <c r="F868" s="248"/>
      <c r="G868" s="248"/>
      <c r="H868" s="251"/>
      <c r="I868" s="247"/>
      <c r="J868" s="247"/>
      <c r="K868" s="247"/>
      <c r="L868" s="247"/>
      <c r="M868" s="247"/>
      <c r="N868" s="247"/>
      <c r="O868" s="247"/>
      <c r="P868" s="247"/>
      <c r="Q868" s="247"/>
      <c r="R868" s="247"/>
      <c r="S868" s="247"/>
      <c r="T868" s="247"/>
      <c r="U868" s="247"/>
      <c r="V868" s="247"/>
      <c r="W868" s="247"/>
      <c r="X868" s="247"/>
      <c r="Y868" s="247"/>
      <c r="Z868" s="247"/>
      <c r="AA868" s="247"/>
      <c r="AB868" s="247"/>
      <c r="AC868" s="247"/>
    </row>
    <row r="869">
      <c r="A869" s="247"/>
      <c r="B869" s="247"/>
      <c r="C869" s="247"/>
      <c r="D869" s="249"/>
      <c r="E869" s="250"/>
      <c r="F869" s="248"/>
      <c r="G869" s="248"/>
      <c r="H869" s="251"/>
      <c r="I869" s="247"/>
      <c r="J869" s="247"/>
      <c r="K869" s="247"/>
      <c r="L869" s="247"/>
      <c r="M869" s="247"/>
      <c r="N869" s="247"/>
      <c r="O869" s="247"/>
      <c r="P869" s="247"/>
      <c r="Q869" s="247"/>
      <c r="R869" s="247"/>
      <c r="S869" s="247"/>
      <c r="T869" s="247"/>
      <c r="U869" s="247"/>
      <c r="V869" s="247"/>
      <c r="W869" s="247"/>
      <c r="X869" s="247"/>
      <c r="Y869" s="247"/>
      <c r="Z869" s="247"/>
      <c r="AA869" s="247"/>
      <c r="AB869" s="247"/>
      <c r="AC869" s="247"/>
    </row>
    <row r="870">
      <c r="A870" s="247"/>
      <c r="B870" s="247"/>
      <c r="C870" s="247"/>
      <c r="D870" s="249"/>
      <c r="E870" s="250"/>
      <c r="F870" s="248"/>
      <c r="G870" s="248"/>
      <c r="H870" s="251"/>
      <c r="I870" s="247"/>
      <c r="J870" s="247"/>
      <c r="K870" s="247"/>
      <c r="L870" s="247"/>
      <c r="M870" s="247"/>
      <c r="N870" s="247"/>
      <c r="O870" s="247"/>
      <c r="P870" s="247"/>
      <c r="Q870" s="247"/>
      <c r="R870" s="247"/>
      <c r="S870" s="247"/>
      <c r="T870" s="247"/>
      <c r="U870" s="247"/>
      <c r="V870" s="247"/>
      <c r="W870" s="247"/>
      <c r="X870" s="247"/>
      <c r="Y870" s="247"/>
      <c r="Z870" s="247"/>
      <c r="AA870" s="247"/>
      <c r="AB870" s="247"/>
      <c r="AC870" s="247"/>
    </row>
    <row r="871">
      <c r="A871" s="247"/>
      <c r="B871" s="247"/>
      <c r="C871" s="247"/>
      <c r="D871" s="249"/>
      <c r="E871" s="250"/>
      <c r="F871" s="248"/>
      <c r="G871" s="248"/>
      <c r="H871" s="251"/>
      <c r="I871" s="247"/>
      <c r="J871" s="247"/>
      <c r="K871" s="247"/>
      <c r="L871" s="247"/>
      <c r="M871" s="247"/>
      <c r="N871" s="247"/>
      <c r="O871" s="247"/>
      <c r="P871" s="247"/>
      <c r="Q871" s="247"/>
      <c r="R871" s="247"/>
      <c r="S871" s="247"/>
      <c r="T871" s="247"/>
      <c r="U871" s="247"/>
      <c r="V871" s="247"/>
      <c r="W871" s="247"/>
      <c r="X871" s="247"/>
      <c r="Y871" s="247"/>
      <c r="Z871" s="247"/>
      <c r="AA871" s="247"/>
      <c r="AB871" s="247"/>
      <c r="AC871" s="247"/>
    </row>
    <row r="872">
      <c r="A872" s="247"/>
      <c r="B872" s="247"/>
      <c r="C872" s="247"/>
      <c r="D872" s="249"/>
      <c r="E872" s="250"/>
      <c r="F872" s="248"/>
      <c r="G872" s="248"/>
      <c r="H872" s="251"/>
      <c r="I872" s="247"/>
      <c r="J872" s="247"/>
      <c r="K872" s="247"/>
      <c r="L872" s="247"/>
      <c r="M872" s="247"/>
      <c r="N872" s="247"/>
      <c r="O872" s="247"/>
      <c r="P872" s="247"/>
      <c r="Q872" s="247"/>
      <c r="R872" s="247"/>
      <c r="S872" s="247"/>
      <c r="T872" s="247"/>
      <c r="U872" s="247"/>
      <c r="V872" s="247"/>
      <c r="W872" s="247"/>
      <c r="X872" s="247"/>
      <c r="Y872" s="247"/>
      <c r="Z872" s="247"/>
      <c r="AA872" s="247"/>
      <c r="AB872" s="247"/>
      <c r="AC872" s="247"/>
    </row>
    <row r="873">
      <c r="A873" s="247"/>
      <c r="B873" s="247"/>
      <c r="C873" s="247"/>
      <c r="D873" s="249"/>
      <c r="E873" s="250"/>
      <c r="F873" s="248"/>
      <c r="G873" s="248"/>
      <c r="H873" s="251"/>
      <c r="I873" s="247"/>
      <c r="J873" s="247"/>
      <c r="K873" s="247"/>
      <c r="L873" s="247"/>
      <c r="M873" s="247"/>
      <c r="N873" s="247"/>
      <c r="O873" s="247"/>
      <c r="P873" s="247"/>
      <c r="Q873" s="247"/>
      <c r="R873" s="247"/>
      <c r="S873" s="247"/>
      <c r="T873" s="247"/>
      <c r="U873" s="247"/>
      <c r="V873" s="247"/>
      <c r="W873" s="247"/>
      <c r="X873" s="247"/>
      <c r="Y873" s="247"/>
      <c r="Z873" s="247"/>
      <c r="AA873" s="247"/>
      <c r="AB873" s="247"/>
      <c r="AC873" s="247"/>
    </row>
    <row r="874">
      <c r="A874" s="247"/>
      <c r="B874" s="247"/>
      <c r="C874" s="247"/>
      <c r="D874" s="249"/>
      <c r="E874" s="250"/>
      <c r="F874" s="248"/>
      <c r="G874" s="248"/>
      <c r="H874" s="251"/>
      <c r="I874" s="247"/>
      <c r="J874" s="247"/>
      <c r="K874" s="247"/>
      <c r="L874" s="247"/>
      <c r="M874" s="247"/>
      <c r="N874" s="247"/>
      <c r="O874" s="247"/>
      <c r="P874" s="247"/>
      <c r="Q874" s="247"/>
      <c r="R874" s="247"/>
      <c r="S874" s="247"/>
      <c r="T874" s="247"/>
      <c r="U874" s="247"/>
      <c r="V874" s="247"/>
      <c r="W874" s="247"/>
      <c r="X874" s="247"/>
      <c r="Y874" s="247"/>
      <c r="Z874" s="247"/>
      <c r="AA874" s="247"/>
      <c r="AB874" s="247"/>
      <c r="AC874" s="247"/>
    </row>
    <row r="875">
      <c r="A875" s="247"/>
      <c r="B875" s="247"/>
      <c r="C875" s="247"/>
      <c r="D875" s="249"/>
      <c r="E875" s="250"/>
      <c r="F875" s="248"/>
      <c r="G875" s="248"/>
      <c r="H875" s="251"/>
      <c r="I875" s="247"/>
      <c r="J875" s="247"/>
      <c r="K875" s="247"/>
      <c r="L875" s="247"/>
      <c r="M875" s="247"/>
      <c r="N875" s="247"/>
      <c r="O875" s="247"/>
      <c r="P875" s="247"/>
      <c r="Q875" s="247"/>
      <c r="R875" s="247"/>
      <c r="S875" s="247"/>
      <c r="T875" s="247"/>
      <c r="U875" s="247"/>
      <c r="V875" s="247"/>
      <c r="W875" s="247"/>
      <c r="X875" s="247"/>
      <c r="Y875" s="247"/>
      <c r="Z875" s="247"/>
      <c r="AA875" s="247"/>
      <c r="AB875" s="247"/>
      <c r="AC875" s="247"/>
    </row>
    <row r="876">
      <c r="A876" s="247"/>
      <c r="B876" s="247"/>
      <c r="C876" s="247"/>
      <c r="D876" s="249"/>
      <c r="E876" s="250"/>
      <c r="F876" s="248"/>
      <c r="G876" s="248"/>
      <c r="H876" s="251"/>
      <c r="I876" s="247"/>
      <c r="J876" s="247"/>
      <c r="K876" s="247"/>
      <c r="L876" s="247"/>
      <c r="M876" s="247"/>
      <c r="N876" s="247"/>
      <c r="O876" s="247"/>
      <c r="P876" s="247"/>
      <c r="Q876" s="247"/>
      <c r="R876" s="247"/>
      <c r="S876" s="247"/>
      <c r="T876" s="247"/>
      <c r="U876" s="247"/>
      <c r="V876" s="247"/>
      <c r="W876" s="247"/>
      <c r="X876" s="247"/>
      <c r="Y876" s="247"/>
      <c r="Z876" s="247"/>
      <c r="AA876" s="247"/>
      <c r="AB876" s="247"/>
      <c r="AC876" s="247"/>
    </row>
    <row r="877">
      <c r="A877" s="247"/>
      <c r="B877" s="247"/>
      <c r="C877" s="247"/>
      <c r="D877" s="249"/>
      <c r="E877" s="250"/>
      <c r="F877" s="248"/>
      <c r="G877" s="248"/>
      <c r="H877" s="251"/>
      <c r="I877" s="247"/>
      <c r="J877" s="247"/>
      <c r="K877" s="247"/>
      <c r="L877" s="247"/>
      <c r="M877" s="247"/>
      <c r="N877" s="247"/>
      <c r="O877" s="247"/>
      <c r="P877" s="247"/>
      <c r="Q877" s="247"/>
      <c r="R877" s="247"/>
      <c r="S877" s="247"/>
      <c r="T877" s="247"/>
      <c r="U877" s="247"/>
      <c r="V877" s="247"/>
      <c r="W877" s="247"/>
      <c r="X877" s="247"/>
      <c r="Y877" s="247"/>
      <c r="Z877" s="247"/>
      <c r="AA877" s="247"/>
      <c r="AB877" s="247"/>
      <c r="AC877" s="247"/>
    </row>
    <row r="878">
      <c r="A878" s="247"/>
      <c r="B878" s="247"/>
      <c r="C878" s="247"/>
      <c r="D878" s="249"/>
      <c r="E878" s="250"/>
      <c r="F878" s="248"/>
      <c r="G878" s="248"/>
      <c r="H878" s="251"/>
      <c r="I878" s="247"/>
      <c r="J878" s="247"/>
      <c r="K878" s="247"/>
      <c r="L878" s="247"/>
      <c r="M878" s="247"/>
      <c r="N878" s="247"/>
      <c r="O878" s="247"/>
      <c r="P878" s="247"/>
      <c r="Q878" s="247"/>
      <c r="R878" s="247"/>
      <c r="S878" s="247"/>
      <c r="T878" s="247"/>
      <c r="U878" s="247"/>
      <c r="V878" s="247"/>
      <c r="W878" s="247"/>
      <c r="X878" s="247"/>
      <c r="Y878" s="247"/>
      <c r="Z878" s="247"/>
      <c r="AA878" s="247"/>
      <c r="AB878" s="247"/>
      <c r="AC878" s="247"/>
    </row>
    <row r="879">
      <c r="A879" s="247"/>
      <c r="B879" s="247"/>
      <c r="C879" s="247"/>
      <c r="D879" s="249"/>
      <c r="E879" s="250"/>
      <c r="F879" s="248"/>
      <c r="G879" s="248"/>
      <c r="H879" s="251"/>
      <c r="I879" s="247"/>
      <c r="J879" s="247"/>
      <c r="K879" s="247"/>
      <c r="L879" s="247"/>
      <c r="M879" s="247"/>
      <c r="N879" s="247"/>
      <c r="O879" s="247"/>
      <c r="P879" s="247"/>
      <c r="Q879" s="247"/>
      <c r="R879" s="247"/>
      <c r="S879" s="247"/>
      <c r="T879" s="247"/>
      <c r="U879" s="247"/>
      <c r="V879" s="247"/>
      <c r="W879" s="247"/>
      <c r="X879" s="247"/>
      <c r="Y879" s="247"/>
      <c r="Z879" s="247"/>
      <c r="AA879" s="247"/>
      <c r="AB879" s="247"/>
      <c r="AC879" s="247"/>
    </row>
    <row r="880">
      <c r="A880" s="247"/>
      <c r="B880" s="247"/>
      <c r="C880" s="247"/>
      <c r="D880" s="249"/>
      <c r="E880" s="250"/>
      <c r="F880" s="248"/>
      <c r="G880" s="248"/>
      <c r="H880" s="251"/>
      <c r="I880" s="247"/>
      <c r="J880" s="247"/>
      <c r="K880" s="247"/>
      <c r="L880" s="247"/>
      <c r="M880" s="247"/>
      <c r="N880" s="247"/>
      <c r="O880" s="247"/>
      <c r="P880" s="247"/>
      <c r="Q880" s="247"/>
      <c r="R880" s="247"/>
      <c r="S880" s="247"/>
      <c r="T880" s="247"/>
      <c r="U880" s="247"/>
      <c r="V880" s="247"/>
      <c r="W880" s="247"/>
      <c r="X880" s="247"/>
      <c r="Y880" s="247"/>
      <c r="Z880" s="247"/>
      <c r="AA880" s="247"/>
      <c r="AB880" s="247"/>
      <c r="AC880" s="247"/>
    </row>
    <row r="881">
      <c r="A881" s="247"/>
      <c r="B881" s="247"/>
      <c r="C881" s="247"/>
      <c r="D881" s="249"/>
      <c r="E881" s="250"/>
      <c r="F881" s="248"/>
      <c r="G881" s="248"/>
      <c r="H881" s="251"/>
      <c r="I881" s="247"/>
      <c r="J881" s="247"/>
      <c r="K881" s="247"/>
      <c r="L881" s="247"/>
      <c r="M881" s="247"/>
      <c r="N881" s="247"/>
      <c r="O881" s="247"/>
      <c r="P881" s="247"/>
      <c r="Q881" s="247"/>
      <c r="R881" s="247"/>
      <c r="S881" s="247"/>
      <c r="T881" s="247"/>
      <c r="U881" s="247"/>
      <c r="V881" s="247"/>
      <c r="W881" s="247"/>
      <c r="X881" s="247"/>
      <c r="Y881" s="247"/>
      <c r="Z881" s="247"/>
      <c r="AA881" s="247"/>
      <c r="AB881" s="247"/>
      <c r="AC881" s="247"/>
    </row>
    <row r="882">
      <c r="A882" s="247"/>
      <c r="B882" s="247"/>
      <c r="C882" s="247"/>
      <c r="D882" s="249"/>
      <c r="E882" s="250"/>
      <c r="F882" s="248"/>
      <c r="G882" s="248"/>
      <c r="H882" s="251"/>
      <c r="I882" s="247"/>
      <c r="J882" s="247"/>
      <c r="K882" s="247"/>
      <c r="L882" s="247"/>
      <c r="M882" s="247"/>
      <c r="N882" s="247"/>
      <c r="O882" s="247"/>
      <c r="P882" s="247"/>
      <c r="Q882" s="247"/>
      <c r="R882" s="247"/>
      <c r="S882" s="247"/>
      <c r="T882" s="247"/>
      <c r="U882" s="247"/>
      <c r="V882" s="247"/>
      <c r="W882" s="247"/>
      <c r="X882" s="247"/>
      <c r="Y882" s="247"/>
      <c r="Z882" s="247"/>
      <c r="AA882" s="247"/>
      <c r="AB882" s="247"/>
      <c r="AC882" s="247"/>
    </row>
    <row r="883">
      <c r="A883" s="247"/>
      <c r="B883" s="247"/>
      <c r="C883" s="247"/>
      <c r="D883" s="249"/>
      <c r="E883" s="250"/>
      <c r="F883" s="248"/>
      <c r="G883" s="248"/>
      <c r="H883" s="251"/>
      <c r="I883" s="247"/>
      <c r="J883" s="247"/>
      <c r="K883" s="247"/>
      <c r="L883" s="247"/>
      <c r="M883" s="247"/>
      <c r="N883" s="247"/>
      <c r="O883" s="247"/>
      <c r="P883" s="247"/>
      <c r="Q883" s="247"/>
      <c r="R883" s="247"/>
      <c r="S883" s="247"/>
      <c r="T883" s="247"/>
      <c r="U883" s="247"/>
      <c r="V883" s="247"/>
      <c r="W883" s="247"/>
      <c r="X883" s="247"/>
      <c r="Y883" s="247"/>
      <c r="Z883" s="247"/>
      <c r="AA883" s="247"/>
      <c r="AB883" s="247"/>
      <c r="AC883" s="247"/>
    </row>
    <row r="884">
      <c r="A884" s="247"/>
      <c r="B884" s="247"/>
      <c r="C884" s="247"/>
      <c r="D884" s="249"/>
      <c r="E884" s="250"/>
      <c r="F884" s="248"/>
      <c r="G884" s="248"/>
      <c r="H884" s="251"/>
      <c r="I884" s="247"/>
      <c r="J884" s="247"/>
      <c r="K884" s="247"/>
      <c r="L884" s="247"/>
      <c r="M884" s="247"/>
      <c r="N884" s="247"/>
      <c r="O884" s="247"/>
      <c r="P884" s="247"/>
      <c r="Q884" s="247"/>
      <c r="R884" s="247"/>
      <c r="S884" s="247"/>
      <c r="T884" s="247"/>
      <c r="U884" s="247"/>
      <c r="V884" s="247"/>
      <c r="W884" s="247"/>
      <c r="X884" s="247"/>
      <c r="Y884" s="247"/>
      <c r="Z884" s="247"/>
      <c r="AA884" s="247"/>
      <c r="AB884" s="247"/>
      <c r="AC884" s="247"/>
    </row>
    <row r="885">
      <c r="A885" s="247"/>
      <c r="B885" s="247"/>
      <c r="C885" s="247"/>
      <c r="D885" s="249"/>
      <c r="E885" s="250"/>
      <c r="F885" s="248"/>
      <c r="G885" s="248"/>
      <c r="H885" s="251"/>
      <c r="I885" s="247"/>
      <c r="J885" s="247"/>
      <c r="K885" s="247"/>
      <c r="L885" s="247"/>
      <c r="M885" s="247"/>
      <c r="N885" s="247"/>
      <c r="O885" s="247"/>
      <c r="P885" s="247"/>
      <c r="Q885" s="247"/>
      <c r="R885" s="247"/>
      <c r="S885" s="247"/>
      <c r="T885" s="247"/>
      <c r="U885" s="247"/>
      <c r="V885" s="247"/>
      <c r="W885" s="247"/>
      <c r="X885" s="247"/>
      <c r="Y885" s="247"/>
      <c r="Z885" s="247"/>
      <c r="AA885" s="247"/>
      <c r="AB885" s="247"/>
      <c r="AC885" s="247"/>
    </row>
    <row r="886">
      <c r="A886" s="247"/>
      <c r="B886" s="247"/>
      <c r="C886" s="247"/>
      <c r="D886" s="249"/>
      <c r="E886" s="250"/>
      <c r="F886" s="248"/>
      <c r="G886" s="248"/>
      <c r="H886" s="251"/>
      <c r="I886" s="247"/>
      <c r="J886" s="247"/>
      <c r="K886" s="247"/>
      <c r="L886" s="247"/>
      <c r="M886" s="247"/>
      <c r="N886" s="247"/>
      <c r="O886" s="247"/>
      <c r="P886" s="247"/>
      <c r="Q886" s="247"/>
      <c r="R886" s="247"/>
      <c r="S886" s="247"/>
      <c r="T886" s="247"/>
      <c r="U886" s="247"/>
      <c r="V886" s="247"/>
      <c r="W886" s="247"/>
      <c r="X886" s="247"/>
      <c r="Y886" s="247"/>
      <c r="Z886" s="247"/>
      <c r="AA886" s="247"/>
      <c r="AB886" s="247"/>
      <c r="AC886" s="247"/>
    </row>
    <row r="887">
      <c r="A887" s="247"/>
      <c r="B887" s="247"/>
      <c r="C887" s="247"/>
      <c r="D887" s="249"/>
      <c r="E887" s="250"/>
      <c r="F887" s="248"/>
      <c r="G887" s="248"/>
      <c r="H887" s="251"/>
      <c r="I887" s="247"/>
      <c r="J887" s="247"/>
      <c r="K887" s="247"/>
      <c r="L887" s="247"/>
      <c r="M887" s="247"/>
      <c r="N887" s="247"/>
      <c r="O887" s="247"/>
      <c r="P887" s="247"/>
      <c r="Q887" s="247"/>
      <c r="R887" s="247"/>
      <c r="S887" s="247"/>
      <c r="T887" s="247"/>
      <c r="U887" s="247"/>
      <c r="V887" s="247"/>
      <c r="W887" s="247"/>
      <c r="X887" s="247"/>
      <c r="Y887" s="247"/>
      <c r="Z887" s="247"/>
      <c r="AA887" s="247"/>
      <c r="AB887" s="247"/>
      <c r="AC887" s="247"/>
    </row>
    <row r="888">
      <c r="A888" s="247"/>
      <c r="B888" s="247"/>
      <c r="C888" s="247"/>
      <c r="D888" s="249"/>
      <c r="E888" s="250"/>
      <c r="F888" s="248"/>
      <c r="G888" s="248"/>
      <c r="H888" s="251"/>
      <c r="I888" s="247"/>
      <c r="J888" s="247"/>
      <c r="K888" s="247"/>
      <c r="L888" s="247"/>
      <c r="M888" s="247"/>
      <c r="N888" s="247"/>
      <c r="O888" s="247"/>
      <c r="P888" s="247"/>
      <c r="Q888" s="247"/>
      <c r="R888" s="247"/>
      <c r="S888" s="247"/>
      <c r="T888" s="247"/>
      <c r="U888" s="247"/>
      <c r="V888" s="247"/>
      <c r="W888" s="247"/>
      <c r="X888" s="247"/>
      <c r="Y888" s="247"/>
      <c r="Z888" s="247"/>
      <c r="AA888" s="247"/>
      <c r="AB888" s="247"/>
      <c r="AC888" s="247"/>
    </row>
    <row r="889">
      <c r="A889" s="247"/>
      <c r="B889" s="247"/>
      <c r="C889" s="247"/>
      <c r="D889" s="249"/>
      <c r="E889" s="250"/>
      <c r="F889" s="248"/>
      <c r="G889" s="248"/>
      <c r="H889" s="251"/>
      <c r="I889" s="247"/>
      <c r="J889" s="247"/>
      <c r="K889" s="247"/>
      <c r="L889" s="247"/>
      <c r="M889" s="247"/>
      <c r="N889" s="247"/>
      <c r="O889" s="247"/>
      <c r="P889" s="247"/>
      <c r="Q889" s="247"/>
      <c r="R889" s="247"/>
      <c r="S889" s="247"/>
      <c r="T889" s="247"/>
      <c r="U889" s="247"/>
      <c r="V889" s="247"/>
      <c r="W889" s="247"/>
      <c r="X889" s="247"/>
      <c r="Y889" s="247"/>
      <c r="Z889" s="247"/>
      <c r="AA889" s="247"/>
      <c r="AB889" s="247"/>
      <c r="AC889" s="247"/>
    </row>
    <row r="890">
      <c r="A890" s="247"/>
      <c r="B890" s="247"/>
      <c r="C890" s="247"/>
      <c r="D890" s="249"/>
      <c r="E890" s="250"/>
      <c r="F890" s="248"/>
      <c r="G890" s="248"/>
      <c r="H890" s="251"/>
      <c r="I890" s="247"/>
      <c r="J890" s="247"/>
      <c r="K890" s="247"/>
      <c r="L890" s="247"/>
      <c r="M890" s="247"/>
      <c r="N890" s="247"/>
      <c r="O890" s="247"/>
      <c r="P890" s="247"/>
      <c r="Q890" s="247"/>
      <c r="R890" s="247"/>
      <c r="S890" s="247"/>
      <c r="T890" s="247"/>
      <c r="U890" s="247"/>
      <c r="V890" s="247"/>
      <c r="W890" s="247"/>
      <c r="X890" s="247"/>
      <c r="Y890" s="247"/>
      <c r="Z890" s="247"/>
      <c r="AA890" s="247"/>
      <c r="AB890" s="247"/>
      <c r="AC890" s="247"/>
    </row>
    <row r="891">
      <c r="A891" s="247"/>
      <c r="B891" s="247"/>
      <c r="C891" s="247"/>
      <c r="D891" s="249"/>
      <c r="E891" s="250"/>
      <c r="F891" s="248"/>
      <c r="G891" s="248"/>
      <c r="H891" s="251"/>
      <c r="I891" s="247"/>
      <c r="J891" s="247"/>
      <c r="K891" s="247"/>
      <c r="L891" s="247"/>
      <c r="M891" s="247"/>
      <c r="N891" s="247"/>
      <c r="O891" s="247"/>
      <c r="P891" s="247"/>
      <c r="Q891" s="247"/>
      <c r="R891" s="247"/>
      <c r="S891" s="247"/>
      <c r="T891" s="247"/>
      <c r="U891" s="247"/>
      <c r="V891" s="247"/>
      <c r="W891" s="247"/>
      <c r="X891" s="247"/>
      <c r="Y891" s="247"/>
      <c r="Z891" s="247"/>
      <c r="AA891" s="247"/>
      <c r="AB891" s="247"/>
      <c r="AC891" s="247"/>
    </row>
    <row r="892">
      <c r="A892" s="247"/>
      <c r="B892" s="247"/>
      <c r="C892" s="247"/>
      <c r="D892" s="249"/>
      <c r="E892" s="250"/>
      <c r="F892" s="248"/>
      <c r="G892" s="248"/>
      <c r="H892" s="251"/>
      <c r="I892" s="247"/>
      <c r="J892" s="247"/>
      <c r="K892" s="247"/>
      <c r="L892" s="247"/>
      <c r="M892" s="247"/>
      <c r="N892" s="247"/>
      <c r="O892" s="247"/>
      <c r="P892" s="247"/>
      <c r="Q892" s="247"/>
      <c r="R892" s="247"/>
      <c r="S892" s="247"/>
      <c r="T892" s="247"/>
      <c r="U892" s="247"/>
      <c r="V892" s="247"/>
      <c r="W892" s="247"/>
      <c r="X892" s="247"/>
      <c r="Y892" s="247"/>
      <c r="Z892" s="247"/>
      <c r="AA892" s="247"/>
      <c r="AB892" s="247"/>
      <c r="AC892" s="247"/>
    </row>
    <row r="893">
      <c r="A893" s="247"/>
      <c r="B893" s="247"/>
      <c r="C893" s="247"/>
      <c r="D893" s="249"/>
      <c r="E893" s="250"/>
      <c r="F893" s="248"/>
      <c r="G893" s="248"/>
      <c r="H893" s="251"/>
      <c r="I893" s="247"/>
      <c r="J893" s="247"/>
      <c r="K893" s="247"/>
      <c r="L893" s="247"/>
      <c r="M893" s="247"/>
      <c r="N893" s="247"/>
      <c r="O893" s="247"/>
      <c r="P893" s="247"/>
      <c r="Q893" s="247"/>
      <c r="R893" s="247"/>
      <c r="S893" s="247"/>
      <c r="T893" s="247"/>
      <c r="U893" s="247"/>
      <c r="V893" s="247"/>
      <c r="W893" s="247"/>
      <c r="X893" s="247"/>
      <c r="Y893" s="247"/>
      <c r="Z893" s="247"/>
      <c r="AA893" s="247"/>
      <c r="AB893" s="247"/>
      <c r="AC893" s="247"/>
    </row>
    <row r="894">
      <c r="A894" s="247"/>
      <c r="B894" s="247"/>
      <c r="C894" s="247"/>
      <c r="D894" s="249"/>
      <c r="E894" s="250"/>
      <c r="F894" s="248"/>
      <c r="G894" s="248"/>
      <c r="H894" s="251"/>
      <c r="I894" s="247"/>
      <c r="J894" s="247"/>
      <c r="K894" s="247"/>
      <c r="L894" s="247"/>
      <c r="M894" s="247"/>
      <c r="N894" s="247"/>
      <c r="O894" s="247"/>
      <c r="P894" s="247"/>
      <c r="Q894" s="247"/>
      <c r="R894" s="247"/>
      <c r="S894" s="247"/>
      <c r="T894" s="247"/>
      <c r="U894" s="247"/>
      <c r="V894" s="247"/>
      <c r="W894" s="247"/>
      <c r="X894" s="247"/>
      <c r="Y894" s="247"/>
      <c r="Z894" s="247"/>
      <c r="AA894" s="247"/>
      <c r="AB894" s="247"/>
      <c r="AC894" s="247"/>
    </row>
    <row r="895">
      <c r="A895" s="247"/>
      <c r="B895" s="247"/>
      <c r="C895" s="247"/>
      <c r="D895" s="249"/>
      <c r="E895" s="250"/>
      <c r="F895" s="248"/>
      <c r="G895" s="248"/>
      <c r="H895" s="251"/>
      <c r="I895" s="247"/>
      <c r="J895" s="247"/>
      <c r="K895" s="247"/>
      <c r="L895" s="247"/>
      <c r="M895" s="247"/>
      <c r="N895" s="247"/>
      <c r="O895" s="247"/>
      <c r="P895" s="247"/>
      <c r="Q895" s="247"/>
      <c r="R895" s="247"/>
      <c r="S895" s="247"/>
      <c r="T895" s="247"/>
      <c r="U895" s="247"/>
      <c r="V895" s="247"/>
      <c r="W895" s="247"/>
      <c r="X895" s="247"/>
      <c r="Y895" s="247"/>
      <c r="Z895" s="247"/>
      <c r="AA895" s="247"/>
      <c r="AB895" s="247"/>
      <c r="AC895" s="247"/>
    </row>
    <row r="896">
      <c r="A896" s="247"/>
      <c r="B896" s="247"/>
      <c r="C896" s="247"/>
      <c r="D896" s="249"/>
      <c r="E896" s="250"/>
      <c r="F896" s="248"/>
      <c r="G896" s="248"/>
      <c r="H896" s="251"/>
      <c r="I896" s="247"/>
      <c r="J896" s="247"/>
      <c r="K896" s="247"/>
      <c r="L896" s="247"/>
      <c r="M896" s="247"/>
      <c r="N896" s="247"/>
      <c r="O896" s="247"/>
      <c r="P896" s="247"/>
      <c r="Q896" s="247"/>
      <c r="R896" s="247"/>
      <c r="S896" s="247"/>
      <c r="T896" s="247"/>
      <c r="U896" s="247"/>
      <c r="V896" s="247"/>
      <c r="W896" s="247"/>
      <c r="X896" s="247"/>
      <c r="Y896" s="247"/>
      <c r="Z896" s="247"/>
      <c r="AA896" s="247"/>
      <c r="AB896" s="247"/>
      <c r="AC896" s="247"/>
    </row>
    <row r="897">
      <c r="A897" s="247"/>
      <c r="B897" s="247"/>
      <c r="C897" s="247"/>
      <c r="D897" s="249"/>
      <c r="E897" s="250"/>
      <c r="F897" s="248"/>
      <c r="G897" s="248"/>
      <c r="H897" s="251"/>
      <c r="I897" s="247"/>
      <c r="J897" s="247"/>
      <c r="K897" s="247"/>
      <c r="L897" s="247"/>
      <c r="M897" s="247"/>
      <c r="N897" s="247"/>
      <c r="O897" s="247"/>
      <c r="P897" s="247"/>
      <c r="Q897" s="247"/>
      <c r="R897" s="247"/>
      <c r="S897" s="247"/>
      <c r="T897" s="247"/>
      <c r="U897" s="247"/>
      <c r="V897" s="247"/>
      <c r="W897" s="247"/>
      <c r="X897" s="247"/>
      <c r="Y897" s="247"/>
      <c r="Z897" s="247"/>
      <c r="AA897" s="247"/>
      <c r="AB897" s="247"/>
      <c r="AC897" s="247"/>
    </row>
    <row r="898">
      <c r="A898" s="247"/>
      <c r="B898" s="247"/>
      <c r="C898" s="247"/>
      <c r="D898" s="249"/>
      <c r="E898" s="250"/>
      <c r="F898" s="248"/>
      <c r="G898" s="248"/>
      <c r="H898" s="251"/>
      <c r="I898" s="247"/>
      <c r="J898" s="247"/>
      <c r="K898" s="247"/>
      <c r="L898" s="247"/>
      <c r="M898" s="247"/>
      <c r="N898" s="247"/>
      <c r="O898" s="247"/>
      <c r="P898" s="247"/>
      <c r="Q898" s="247"/>
      <c r="R898" s="247"/>
      <c r="S898" s="247"/>
      <c r="T898" s="247"/>
      <c r="U898" s="247"/>
      <c r="V898" s="247"/>
      <c r="W898" s="247"/>
      <c r="X898" s="247"/>
      <c r="Y898" s="247"/>
      <c r="Z898" s="247"/>
      <c r="AA898" s="247"/>
      <c r="AB898" s="247"/>
      <c r="AC898" s="247"/>
    </row>
    <row r="899">
      <c r="A899" s="247"/>
      <c r="B899" s="247"/>
      <c r="C899" s="247"/>
      <c r="D899" s="249"/>
      <c r="E899" s="250"/>
      <c r="F899" s="248"/>
      <c r="G899" s="248"/>
      <c r="H899" s="251"/>
      <c r="I899" s="247"/>
      <c r="J899" s="247"/>
      <c r="K899" s="247"/>
      <c r="L899" s="247"/>
      <c r="M899" s="247"/>
      <c r="N899" s="247"/>
      <c r="O899" s="247"/>
      <c r="P899" s="247"/>
      <c r="Q899" s="247"/>
      <c r="R899" s="247"/>
      <c r="S899" s="247"/>
      <c r="T899" s="247"/>
      <c r="U899" s="247"/>
      <c r="V899" s="247"/>
      <c r="W899" s="247"/>
      <c r="X899" s="247"/>
      <c r="Y899" s="247"/>
      <c r="Z899" s="247"/>
      <c r="AA899" s="247"/>
      <c r="AB899" s="247"/>
      <c r="AC899" s="247"/>
    </row>
    <row r="900">
      <c r="A900" s="247"/>
      <c r="B900" s="247"/>
      <c r="C900" s="247"/>
      <c r="D900" s="249"/>
      <c r="E900" s="250"/>
      <c r="F900" s="248"/>
      <c r="G900" s="248"/>
      <c r="H900" s="251"/>
      <c r="I900" s="247"/>
      <c r="J900" s="247"/>
      <c r="K900" s="247"/>
      <c r="L900" s="247"/>
      <c r="M900" s="247"/>
      <c r="N900" s="247"/>
      <c r="O900" s="247"/>
      <c r="P900" s="247"/>
      <c r="Q900" s="247"/>
      <c r="R900" s="247"/>
      <c r="S900" s="247"/>
      <c r="T900" s="247"/>
      <c r="U900" s="247"/>
      <c r="V900" s="247"/>
      <c r="W900" s="247"/>
      <c r="X900" s="247"/>
      <c r="Y900" s="247"/>
      <c r="Z900" s="247"/>
      <c r="AA900" s="247"/>
      <c r="AB900" s="247"/>
      <c r="AC900" s="247"/>
    </row>
    <row r="901">
      <c r="A901" s="247"/>
      <c r="B901" s="247"/>
      <c r="C901" s="247"/>
      <c r="D901" s="249"/>
      <c r="E901" s="250"/>
      <c r="F901" s="248"/>
      <c r="G901" s="248"/>
      <c r="H901" s="251"/>
      <c r="I901" s="247"/>
      <c r="J901" s="247"/>
      <c r="K901" s="247"/>
      <c r="L901" s="247"/>
      <c r="M901" s="247"/>
      <c r="N901" s="247"/>
      <c r="O901" s="247"/>
      <c r="P901" s="247"/>
      <c r="Q901" s="247"/>
      <c r="R901" s="247"/>
      <c r="S901" s="247"/>
      <c r="T901" s="247"/>
      <c r="U901" s="247"/>
      <c r="V901" s="247"/>
      <c r="W901" s="247"/>
      <c r="X901" s="247"/>
      <c r="Y901" s="247"/>
      <c r="Z901" s="247"/>
      <c r="AA901" s="247"/>
      <c r="AB901" s="247"/>
      <c r="AC901" s="247"/>
    </row>
    <row r="902">
      <c r="A902" s="247"/>
      <c r="B902" s="247"/>
      <c r="C902" s="247"/>
      <c r="D902" s="249"/>
      <c r="E902" s="250"/>
      <c r="F902" s="248"/>
      <c r="G902" s="248"/>
      <c r="H902" s="251"/>
      <c r="I902" s="247"/>
      <c r="J902" s="247"/>
      <c r="K902" s="247"/>
      <c r="L902" s="247"/>
      <c r="M902" s="247"/>
      <c r="N902" s="247"/>
      <c r="O902" s="247"/>
      <c r="P902" s="247"/>
      <c r="Q902" s="247"/>
      <c r="R902" s="247"/>
      <c r="S902" s="247"/>
      <c r="T902" s="247"/>
      <c r="U902" s="247"/>
      <c r="V902" s="247"/>
      <c r="W902" s="247"/>
      <c r="X902" s="247"/>
      <c r="Y902" s="247"/>
      <c r="Z902" s="247"/>
      <c r="AA902" s="247"/>
      <c r="AB902" s="247"/>
      <c r="AC902" s="247"/>
    </row>
    <row r="903">
      <c r="A903" s="247"/>
      <c r="B903" s="247"/>
      <c r="C903" s="247"/>
      <c r="D903" s="249"/>
      <c r="E903" s="250"/>
      <c r="F903" s="248"/>
      <c r="G903" s="248"/>
      <c r="H903" s="251"/>
      <c r="I903" s="247"/>
      <c r="J903" s="247"/>
      <c r="K903" s="247"/>
      <c r="L903" s="247"/>
      <c r="M903" s="247"/>
      <c r="N903" s="247"/>
      <c r="O903" s="247"/>
      <c r="P903" s="247"/>
      <c r="Q903" s="247"/>
      <c r="R903" s="247"/>
      <c r="S903" s="247"/>
      <c r="T903" s="247"/>
      <c r="U903" s="247"/>
      <c r="V903" s="247"/>
      <c r="W903" s="247"/>
      <c r="X903" s="247"/>
      <c r="Y903" s="247"/>
      <c r="Z903" s="247"/>
      <c r="AA903" s="247"/>
      <c r="AB903" s="247"/>
      <c r="AC903" s="247"/>
    </row>
    <row r="904">
      <c r="A904" s="247"/>
      <c r="B904" s="247"/>
      <c r="C904" s="247"/>
      <c r="D904" s="249"/>
      <c r="E904" s="250"/>
      <c r="F904" s="248"/>
      <c r="G904" s="248"/>
      <c r="H904" s="251"/>
      <c r="I904" s="247"/>
      <c r="J904" s="247"/>
      <c r="K904" s="247"/>
      <c r="L904" s="247"/>
      <c r="M904" s="247"/>
      <c r="N904" s="247"/>
      <c r="O904" s="247"/>
      <c r="P904" s="247"/>
      <c r="Q904" s="247"/>
      <c r="R904" s="247"/>
      <c r="S904" s="247"/>
      <c r="T904" s="247"/>
      <c r="U904" s="247"/>
      <c r="V904" s="247"/>
      <c r="W904" s="247"/>
      <c r="X904" s="247"/>
      <c r="Y904" s="247"/>
      <c r="Z904" s="247"/>
      <c r="AA904" s="247"/>
      <c r="AB904" s="247"/>
      <c r="AC904" s="247"/>
    </row>
    <row r="905">
      <c r="A905" s="247"/>
      <c r="B905" s="247"/>
      <c r="C905" s="247"/>
      <c r="D905" s="249"/>
      <c r="E905" s="250"/>
      <c r="F905" s="248"/>
      <c r="G905" s="248"/>
      <c r="H905" s="251"/>
      <c r="I905" s="247"/>
      <c r="J905" s="247"/>
      <c r="K905" s="247"/>
      <c r="L905" s="247"/>
      <c r="M905" s="247"/>
      <c r="N905" s="247"/>
      <c r="O905" s="247"/>
      <c r="P905" s="247"/>
      <c r="Q905" s="247"/>
      <c r="R905" s="247"/>
      <c r="S905" s="247"/>
      <c r="T905" s="247"/>
      <c r="U905" s="247"/>
      <c r="V905" s="247"/>
      <c r="W905" s="247"/>
      <c r="X905" s="247"/>
      <c r="Y905" s="247"/>
      <c r="Z905" s="247"/>
      <c r="AA905" s="247"/>
      <c r="AB905" s="247"/>
      <c r="AC905" s="247"/>
    </row>
    <row r="906">
      <c r="A906" s="247"/>
      <c r="B906" s="247"/>
      <c r="C906" s="247"/>
      <c r="D906" s="249"/>
      <c r="E906" s="250"/>
      <c r="F906" s="248"/>
      <c r="G906" s="248"/>
      <c r="H906" s="251"/>
      <c r="I906" s="247"/>
      <c r="J906" s="247"/>
      <c r="K906" s="247"/>
      <c r="L906" s="247"/>
      <c r="M906" s="247"/>
      <c r="N906" s="247"/>
      <c r="O906" s="247"/>
      <c r="P906" s="247"/>
      <c r="Q906" s="247"/>
      <c r="R906" s="247"/>
      <c r="S906" s="247"/>
      <c r="T906" s="247"/>
      <c r="U906" s="247"/>
      <c r="V906" s="247"/>
      <c r="W906" s="247"/>
      <c r="X906" s="247"/>
      <c r="Y906" s="247"/>
      <c r="Z906" s="247"/>
      <c r="AA906" s="247"/>
      <c r="AB906" s="247"/>
      <c r="AC906" s="247"/>
    </row>
    <row r="907">
      <c r="A907" s="247"/>
      <c r="B907" s="247"/>
      <c r="C907" s="247"/>
      <c r="D907" s="249"/>
      <c r="E907" s="250"/>
      <c r="F907" s="248"/>
      <c r="G907" s="248"/>
      <c r="H907" s="251"/>
      <c r="I907" s="247"/>
      <c r="J907" s="247"/>
      <c r="K907" s="247"/>
      <c r="L907" s="247"/>
      <c r="M907" s="247"/>
      <c r="N907" s="247"/>
      <c r="O907" s="247"/>
      <c r="P907" s="247"/>
      <c r="Q907" s="247"/>
      <c r="R907" s="247"/>
      <c r="S907" s="247"/>
      <c r="T907" s="247"/>
      <c r="U907" s="247"/>
      <c r="V907" s="247"/>
      <c r="W907" s="247"/>
      <c r="X907" s="247"/>
      <c r="Y907" s="247"/>
      <c r="Z907" s="247"/>
      <c r="AA907" s="247"/>
      <c r="AB907" s="247"/>
      <c r="AC907" s="247"/>
    </row>
    <row r="908">
      <c r="A908" s="247"/>
      <c r="B908" s="247"/>
      <c r="C908" s="247"/>
      <c r="D908" s="249"/>
      <c r="E908" s="250"/>
      <c r="F908" s="248"/>
      <c r="G908" s="248"/>
      <c r="H908" s="251"/>
      <c r="I908" s="247"/>
      <c r="J908" s="247"/>
      <c r="K908" s="247"/>
      <c r="L908" s="247"/>
      <c r="M908" s="247"/>
      <c r="N908" s="247"/>
      <c r="O908" s="247"/>
      <c r="P908" s="247"/>
      <c r="Q908" s="247"/>
      <c r="R908" s="247"/>
      <c r="S908" s="247"/>
      <c r="T908" s="247"/>
      <c r="U908" s="247"/>
      <c r="V908" s="247"/>
      <c r="W908" s="247"/>
      <c r="X908" s="247"/>
      <c r="Y908" s="247"/>
      <c r="Z908" s="247"/>
      <c r="AA908" s="247"/>
      <c r="AB908" s="247"/>
      <c r="AC908" s="247"/>
    </row>
    <row r="909">
      <c r="A909" s="247"/>
      <c r="B909" s="247"/>
      <c r="C909" s="247"/>
      <c r="D909" s="249"/>
      <c r="E909" s="250"/>
      <c r="F909" s="248"/>
      <c r="G909" s="248"/>
      <c r="H909" s="251"/>
      <c r="I909" s="247"/>
      <c r="J909" s="247"/>
      <c r="K909" s="247"/>
      <c r="L909" s="247"/>
      <c r="M909" s="247"/>
      <c r="N909" s="247"/>
      <c r="O909" s="247"/>
      <c r="P909" s="247"/>
      <c r="Q909" s="247"/>
      <c r="R909" s="247"/>
      <c r="S909" s="247"/>
      <c r="T909" s="247"/>
      <c r="U909" s="247"/>
      <c r="V909" s="247"/>
      <c r="W909" s="247"/>
      <c r="X909" s="247"/>
      <c r="Y909" s="247"/>
      <c r="Z909" s="247"/>
      <c r="AA909" s="247"/>
      <c r="AB909" s="247"/>
      <c r="AC909" s="247"/>
    </row>
    <row r="910">
      <c r="A910" s="247"/>
      <c r="B910" s="247"/>
      <c r="C910" s="247"/>
      <c r="D910" s="249"/>
      <c r="E910" s="250"/>
      <c r="F910" s="248"/>
      <c r="G910" s="248"/>
      <c r="H910" s="251"/>
      <c r="I910" s="247"/>
      <c r="J910" s="247"/>
      <c r="K910" s="247"/>
      <c r="L910" s="247"/>
      <c r="M910" s="247"/>
      <c r="N910" s="247"/>
      <c r="O910" s="247"/>
      <c r="P910" s="247"/>
      <c r="Q910" s="247"/>
      <c r="R910" s="247"/>
      <c r="S910" s="247"/>
      <c r="T910" s="247"/>
      <c r="U910" s="247"/>
      <c r="V910" s="247"/>
      <c r="W910" s="247"/>
      <c r="X910" s="247"/>
      <c r="Y910" s="247"/>
      <c r="Z910" s="247"/>
      <c r="AA910" s="247"/>
      <c r="AB910" s="247"/>
      <c r="AC910" s="247"/>
    </row>
    <row r="911">
      <c r="A911" s="247"/>
      <c r="B911" s="247"/>
      <c r="C911" s="247"/>
      <c r="D911" s="249"/>
      <c r="E911" s="250"/>
      <c r="F911" s="248"/>
      <c r="G911" s="248"/>
      <c r="H911" s="251"/>
      <c r="I911" s="247"/>
      <c r="J911" s="247"/>
      <c r="K911" s="247"/>
      <c r="L911" s="247"/>
      <c r="M911" s="247"/>
      <c r="N911" s="247"/>
      <c r="O911" s="247"/>
      <c r="P911" s="247"/>
      <c r="Q911" s="247"/>
      <c r="R911" s="247"/>
      <c r="S911" s="247"/>
      <c r="T911" s="247"/>
      <c r="U911" s="247"/>
      <c r="V911" s="247"/>
      <c r="W911" s="247"/>
      <c r="X911" s="247"/>
      <c r="Y911" s="247"/>
      <c r="Z911" s="247"/>
      <c r="AA911" s="247"/>
      <c r="AB911" s="247"/>
      <c r="AC911" s="247"/>
    </row>
    <row r="912">
      <c r="A912" s="247"/>
      <c r="B912" s="247"/>
      <c r="C912" s="247"/>
      <c r="D912" s="249"/>
      <c r="E912" s="250"/>
      <c r="F912" s="248"/>
      <c r="G912" s="248"/>
      <c r="H912" s="251"/>
      <c r="I912" s="247"/>
      <c r="J912" s="247"/>
      <c r="K912" s="247"/>
      <c r="L912" s="247"/>
      <c r="M912" s="247"/>
      <c r="N912" s="247"/>
      <c r="O912" s="247"/>
      <c r="P912" s="247"/>
      <c r="Q912" s="247"/>
      <c r="R912" s="247"/>
      <c r="S912" s="247"/>
      <c r="T912" s="247"/>
      <c r="U912" s="247"/>
      <c r="V912" s="247"/>
      <c r="W912" s="247"/>
      <c r="X912" s="247"/>
      <c r="Y912" s="247"/>
      <c r="Z912" s="247"/>
      <c r="AA912" s="247"/>
      <c r="AB912" s="247"/>
      <c r="AC912" s="247"/>
    </row>
    <row r="913">
      <c r="A913" s="247"/>
      <c r="B913" s="247"/>
      <c r="C913" s="247"/>
      <c r="D913" s="249"/>
      <c r="E913" s="250"/>
      <c r="F913" s="248"/>
      <c r="G913" s="248"/>
      <c r="H913" s="251"/>
      <c r="I913" s="247"/>
      <c r="J913" s="247"/>
      <c r="K913" s="247"/>
      <c r="L913" s="247"/>
      <c r="M913" s="247"/>
      <c r="N913" s="247"/>
      <c r="O913" s="247"/>
      <c r="P913" s="247"/>
      <c r="Q913" s="247"/>
      <c r="R913" s="247"/>
      <c r="S913" s="247"/>
      <c r="T913" s="247"/>
      <c r="U913" s="247"/>
      <c r="V913" s="247"/>
      <c r="W913" s="247"/>
      <c r="X913" s="247"/>
      <c r="Y913" s="247"/>
      <c r="Z913" s="247"/>
      <c r="AA913" s="247"/>
      <c r="AB913" s="247"/>
      <c r="AC913" s="247"/>
    </row>
    <row r="914">
      <c r="A914" s="247"/>
      <c r="B914" s="247"/>
      <c r="C914" s="247"/>
      <c r="D914" s="249"/>
      <c r="E914" s="250"/>
      <c r="F914" s="248"/>
      <c r="G914" s="248"/>
      <c r="H914" s="251"/>
      <c r="I914" s="247"/>
      <c r="J914" s="247"/>
      <c r="K914" s="247"/>
      <c r="L914" s="247"/>
      <c r="M914" s="247"/>
      <c r="N914" s="247"/>
      <c r="O914" s="247"/>
      <c r="P914" s="247"/>
      <c r="Q914" s="247"/>
      <c r="R914" s="247"/>
      <c r="S914" s="247"/>
      <c r="T914" s="247"/>
      <c r="U914" s="247"/>
      <c r="V914" s="247"/>
      <c r="W914" s="247"/>
      <c r="X914" s="247"/>
      <c r="Y914" s="247"/>
      <c r="Z914" s="247"/>
      <c r="AA914" s="247"/>
      <c r="AB914" s="247"/>
      <c r="AC914" s="247"/>
    </row>
    <row r="915">
      <c r="A915" s="247"/>
      <c r="B915" s="247"/>
      <c r="C915" s="247"/>
      <c r="D915" s="249"/>
      <c r="E915" s="250"/>
      <c r="F915" s="248"/>
      <c r="G915" s="248"/>
      <c r="H915" s="251"/>
      <c r="I915" s="247"/>
      <c r="J915" s="247"/>
      <c r="K915" s="247"/>
      <c r="L915" s="247"/>
      <c r="M915" s="247"/>
      <c r="N915" s="247"/>
      <c r="O915" s="247"/>
      <c r="P915" s="247"/>
      <c r="Q915" s="247"/>
      <c r="R915" s="247"/>
      <c r="S915" s="247"/>
      <c r="T915" s="247"/>
      <c r="U915" s="247"/>
      <c r="V915" s="247"/>
      <c r="W915" s="247"/>
      <c r="X915" s="247"/>
      <c r="Y915" s="247"/>
      <c r="Z915" s="247"/>
      <c r="AA915" s="247"/>
      <c r="AB915" s="247"/>
      <c r="AC915" s="247"/>
    </row>
    <row r="916">
      <c r="A916" s="247"/>
      <c r="B916" s="247"/>
      <c r="C916" s="247"/>
      <c r="D916" s="249"/>
      <c r="E916" s="250"/>
      <c r="F916" s="248"/>
      <c r="G916" s="248"/>
      <c r="H916" s="251"/>
      <c r="I916" s="247"/>
      <c r="J916" s="247"/>
      <c r="K916" s="247"/>
      <c r="L916" s="247"/>
      <c r="M916" s="247"/>
      <c r="N916" s="247"/>
      <c r="O916" s="247"/>
      <c r="P916" s="247"/>
      <c r="Q916" s="247"/>
      <c r="R916" s="247"/>
      <c r="S916" s="247"/>
      <c r="T916" s="247"/>
      <c r="U916" s="247"/>
      <c r="V916" s="247"/>
      <c r="W916" s="247"/>
      <c r="X916" s="247"/>
      <c r="Y916" s="247"/>
      <c r="Z916" s="247"/>
      <c r="AA916" s="247"/>
      <c r="AB916" s="247"/>
      <c r="AC916" s="247"/>
    </row>
    <row r="917">
      <c r="A917" s="247"/>
      <c r="B917" s="247"/>
      <c r="C917" s="247"/>
      <c r="D917" s="249"/>
      <c r="E917" s="250"/>
      <c r="F917" s="248"/>
      <c r="G917" s="248"/>
      <c r="H917" s="251"/>
      <c r="I917" s="247"/>
      <c r="J917" s="247"/>
      <c r="K917" s="247"/>
      <c r="L917" s="247"/>
      <c r="M917" s="247"/>
      <c r="N917" s="247"/>
      <c r="O917" s="247"/>
      <c r="P917" s="247"/>
      <c r="Q917" s="247"/>
      <c r="R917" s="247"/>
      <c r="S917" s="247"/>
      <c r="T917" s="247"/>
      <c r="U917" s="247"/>
      <c r="V917" s="247"/>
      <c r="W917" s="247"/>
      <c r="X917" s="247"/>
      <c r="Y917" s="247"/>
      <c r="Z917" s="247"/>
      <c r="AA917" s="247"/>
      <c r="AB917" s="247"/>
      <c r="AC917" s="247"/>
    </row>
    <row r="918">
      <c r="A918" s="247"/>
      <c r="B918" s="247"/>
      <c r="C918" s="247"/>
      <c r="D918" s="249"/>
      <c r="E918" s="250"/>
      <c r="F918" s="248"/>
      <c r="G918" s="248"/>
      <c r="H918" s="251"/>
      <c r="I918" s="247"/>
      <c r="J918" s="247"/>
      <c r="K918" s="247"/>
      <c r="L918" s="247"/>
      <c r="M918" s="247"/>
      <c r="N918" s="247"/>
      <c r="O918" s="247"/>
      <c r="P918" s="247"/>
      <c r="Q918" s="247"/>
      <c r="R918" s="247"/>
      <c r="S918" s="247"/>
      <c r="T918" s="247"/>
      <c r="U918" s="247"/>
      <c r="V918" s="247"/>
      <c r="W918" s="247"/>
      <c r="X918" s="247"/>
      <c r="Y918" s="247"/>
      <c r="Z918" s="247"/>
      <c r="AA918" s="247"/>
      <c r="AB918" s="247"/>
      <c r="AC918" s="247"/>
    </row>
    <row r="919">
      <c r="A919" s="247"/>
      <c r="B919" s="247"/>
      <c r="C919" s="247"/>
      <c r="D919" s="249"/>
      <c r="E919" s="250"/>
      <c r="F919" s="248"/>
      <c r="G919" s="248"/>
      <c r="H919" s="251"/>
      <c r="I919" s="247"/>
      <c r="J919" s="247"/>
      <c r="K919" s="247"/>
      <c r="L919" s="247"/>
      <c r="M919" s="247"/>
      <c r="N919" s="247"/>
      <c r="O919" s="247"/>
      <c r="P919" s="247"/>
      <c r="Q919" s="247"/>
      <c r="R919" s="247"/>
      <c r="S919" s="247"/>
      <c r="T919" s="247"/>
      <c r="U919" s="247"/>
      <c r="V919" s="247"/>
      <c r="W919" s="247"/>
      <c r="X919" s="247"/>
      <c r="Y919" s="247"/>
      <c r="Z919" s="247"/>
      <c r="AA919" s="247"/>
      <c r="AB919" s="247"/>
      <c r="AC919" s="247"/>
    </row>
    <row r="920">
      <c r="A920" s="247"/>
      <c r="B920" s="247"/>
      <c r="C920" s="247"/>
      <c r="D920" s="249"/>
      <c r="E920" s="250"/>
      <c r="F920" s="248"/>
      <c r="G920" s="248"/>
      <c r="H920" s="251"/>
      <c r="I920" s="247"/>
      <c r="J920" s="247"/>
      <c r="K920" s="247"/>
      <c r="L920" s="247"/>
      <c r="M920" s="247"/>
      <c r="N920" s="247"/>
      <c r="O920" s="247"/>
      <c r="P920" s="247"/>
      <c r="Q920" s="247"/>
      <c r="R920" s="247"/>
      <c r="S920" s="247"/>
      <c r="T920" s="247"/>
      <c r="U920" s="247"/>
      <c r="V920" s="247"/>
      <c r="W920" s="247"/>
      <c r="X920" s="247"/>
      <c r="Y920" s="247"/>
      <c r="Z920" s="247"/>
      <c r="AA920" s="247"/>
      <c r="AB920" s="247"/>
      <c r="AC920" s="247"/>
    </row>
    <row r="921">
      <c r="A921" s="247"/>
      <c r="B921" s="247"/>
      <c r="C921" s="247"/>
      <c r="D921" s="249"/>
      <c r="E921" s="250"/>
      <c r="F921" s="248"/>
      <c r="G921" s="248"/>
      <c r="H921" s="251"/>
      <c r="I921" s="247"/>
      <c r="J921" s="247"/>
      <c r="K921" s="247"/>
      <c r="L921" s="247"/>
      <c r="M921" s="247"/>
      <c r="N921" s="247"/>
      <c r="O921" s="247"/>
      <c r="P921" s="247"/>
      <c r="Q921" s="247"/>
      <c r="R921" s="247"/>
      <c r="S921" s="247"/>
      <c r="T921" s="247"/>
      <c r="U921" s="247"/>
      <c r="V921" s="247"/>
      <c r="W921" s="247"/>
      <c r="X921" s="247"/>
      <c r="Y921" s="247"/>
      <c r="Z921" s="247"/>
      <c r="AA921" s="247"/>
      <c r="AB921" s="247"/>
      <c r="AC921" s="247"/>
    </row>
    <row r="922">
      <c r="A922" s="247"/>
      <c r="B922" s="247"/>
      <c r="C922" s="247"/>
      <c r="D922" s="249"/>
      <c r="E922" s="250"/>
      <c r="F922" s="248"/>
      <c r="G922" s="248"/>
      <c r="H922" s="251"/>
      <c r="I922" s="247"/>
      <c r="J922" s="247"/>
      <c r="K922" s="247"/>
      <c r="L922" s="247"/>
      <c r="M922" s="247"/>
      <c r="N922" s="247"/>
      <c r="O922" s="247"/>
      <c r="P922" s="247"/>
      <c r="Q922" s="247"/>
      <c r="R922" s="247"/>
      <c r="S922" s="247"/>
      <c r="T922" s="247"/>
      <c r="U922" s="247"/>
      <c r="V922" s="247"/>
      <c r="W922" s="247"/>
      <c r="X922" s="247"/>
      <c r="Y922" s="247"/>
      <c r="Z922" s="247"/>
      <c r="AA922" s="247"/>
      <c r="AB922" s="247"/>
      <c r="AC922" s="247"/>
    </row>
    <row r="923">
      <c r="A923" s="247"/>
      <c r="B923" s="247"/>
      <c r="C923" s="247"/>
      <c r="D923" s="249"/>
      <c r="E923" s="250"/>
      <c r="F923" s="248"/>
      <c r="G923" s="248"/>
      <c r="H923" s="251"/>
      <c r="I923" s="247"/>
      <c r="J923" s="247"/>
      <c r="K923" s="247"/>
      <c r="L923" s="247"/>
      <c r="M923" s="247"/>
      <c r="N923" s="247"/>
      <c r="O923" s="247"/>
      <c r="P923" s="247"/>
      <c r="Q923" s="247"/>
      <c r="R923" s="247"/>
      <c r="S923" s="247"/>
      <c r="T923" s="247"/>
      <c r="U923" s="247"/>
      <c r="V923" s="247"/>
      <c r="W923" s="247"/>
      <c r="X923" s="247"/>
      <c r="Y923" s="247"/>
      <c r="Z923" s="247"/>
      <c r="AA923" s="247"/>
      <c r="AB923" s="247"/>
      <c r="AC923" s="247"/>
    </row>
    <row r="924">
      <c r="A924" s="247"/>
      <c r="B924" s="247"/>
      <c r="C924" s="247"/>
      <c r="D924" s="249"/>
      <c r="E924" s="250"/>
      <c r="F924" s="248"/>
      <c r="G924" s="248"/>
      <c r="H924" s="251"/>
      <c r="I924" s="247"/>
      <c r="J924" s="247"/>
      <c r="K924" s="247"/>
      <c r="L924" s="247"/>
      <c r="M924" s="247"/>
      <c r="N924" s="247"/>
      <c r="O924" s="247"/>
      <c r="P924" s="247"/>
      <c r="Q924" s="247"/>
      <c r="R924" s="247"/>
      <c r="S924" s="247"/>
      <c r="T924" s="247"/>
      <c r="U924" s="247"/>
      <c r="V924" s="247"/>
      <c r="W924" s="247"/>
      <c r="X924" s="247"/>
      <c r="Y924" s="247"/>
      <c r="Z924" s="247"/>
      <c r="AA924" s="247"/>
      <c r="AB924" s="247"/>
      <c r="AC924" s="247"/>
    </row>
    <row r="925">
      <c r="A925" s="247"/>
      <c r="B925" s="247"/>
      <c r="C925" s="247"/>
      <c r="D925" s="249"/>
      <c r="E925" s="250"/>
      <c r="F925" s="248"/>
      <c r="G925" s="248"/>
      <c r="H925" s="251"/>
      <c r="I925" s="247"/>
      <c r="J925" s="247"/>
      <c r="K925" s="247"/>
      <c r="L925" s="247"/>
      <c r="M925" s="247"/>
      <c r="N925" s="247"/>
      <c r="O925" s="247"/>
      <c r="P925" s="247"/>
      <c r="Q925" s="247"/>
      <c r="R925" s="247"/>
      <c r="S925" s="247"/>
      <c r="T925" s="247"/>
      <c r="U925" s="247"/>
      <c r="V925" s="247"/>
      <c r="W925" s="247"/>
      <c r="X925" s="247"/>
      <c r="Y925" s="247"/>
      <c r="Z925" s="247"/>
      <c r="AA925" s="247"/>
      <c r="AB925" s="247"/>
      <c r="AC925" s="247"/>
    </row>
    <row r="926">
      <c r="A926" s="247"/>
      <c r="B926" s="247"/>
      <c r="C926" s="247"/>
      <c r="D926" s="249"/>
      <c r="E926" s="250"/>
      <c r="F926" s="248"/>
      <c r="G926" s="248"/>
      <c r="H926" s="251"/>
      <c r="I926" s="247"/>
      <c r="J926" s="247"/>
      <c r="K926" s="247"/>
      <c r="L926" s="247"/>
      <c r="M926" s="247"/>
      <c r="N926" s="247"/>
      <c r="O926" s="247"/>
      <c r="P926" s="247"/>
      <c r="Q926" s="247"/>
      <c r="R926" s="247"/>
      <c r="S926" s="247"/>
      <c r="T926" s="247"/>
      <c r="U926" s="247"/>
      <c r="V926" s="247"/>
      <c r="W926" s="247"/>
      <c r="X926" s="247"/>
      <c r="Y926" s="247"/>
      <c r="Z926" s="247"/>
      <c r="AA926" s="247"/>
      <c r="AB926" s="247"/>
      <c r="AC926" s="247"/>
    </row>
    <row r="927">
      <c r="A927" s="247"/>
      <c r="B927" s="247"/>
      <c r="C927" s="247"/>
      <c r="D927" s="249"/>
      <c r="E927" s="250"/>
      <c r="F927" s="248"/>
      <c r="G927" s="248"/>
      <c r="H927" s="251"/>
      <c r="I927" s="247"/>
      <c r="J927" s="247"/>
      <c r="K927" s="247"/>
      <c r="L927" s="247"/>
      <c r="M927" s="247"/>
      <c r="N927" s="247"/>
      <c r="O927" s="247"/>
      <c r="P927" s="247"/>
      <c r="Q927" s="247"/>
      <c r="R927" s="247"/>
      <c r="S927" s="247"/>
      <c r="T927" s="247"/>
      <c r="U927" s="247"/>
      <c r="V927" s="247"/>
      <c r="W927" s="247"/>
      <c r="X927" s="247"/>
      <c r="Y927" s="247"/>
      <c r="Z927" s="247"/>
      <c r="AA927" s="247"/>
      <c r="AB927" s="247"/>
      <c r="AC927" s="247"/>
    </row>
    <row r="928">
      <c r="A928" s="247"/>
      <c r="B928" s="247"/>
      <c r="C928" s="247"/>
      <c r="D928" s="249"/>
      <c r="E928" s="250"/>
      <c r="F928" s="248"/>
      <c r="G928" s="248"/>
      <c r="H928" s="251"/>
      <c r="I928" s="247"/>
      <c r="J928" s="247"/>
      <c r="K928" s="247"/>
      <c r="L928" s="247"/>
      <c r="M928" s="247"/>
      <c r="N928" s="247"/>
      <c r="O928" s="247"/>
      <c r="P928" s="247"/>
      <c r="Q928" s="247"/>
      <c r="R928" s="247"/>
      <c r="S928" s="247"/>
      <c r="T928" s="247"/>
      <c r="U928" s="247"/>
      <c r="V928" s="247"/>
      <c r="W928" s="247"/>
      <c r="X928" s="247"/>
      <c r="Y928" s="247"/>
      <c r="Z928" s="247"/>
      <c r="AA928" s="247"/>
      <c r="AB928" s="247"/>
      <c r="AC928" s="247"/>
    </row>
    <row r="929">
      <c r="A929" s="247"/>
      <c r="B929" s="247"/>
      <c r="C929" s="247"/>
      <c r="D929" s="249"/>
      <c r="E929" s="250"/>
      <c r="F929" s="248"/>
      <c r="G929" s="248"/>
      <c r="H929" s="251"/>
      <c r="I929" s="247"/>
      <c r="J929" s="247"/>
      <c r="K929" s="247"/>
      <c r="L929" s="247"/>
      <c r="M929" s="247"/>
      <c r="N929" s="247"/>
      <c r="O929" s="247"/>
      <c r="P929" s="247"/>
      <c r="Q929" s="247"/>
      <c r="R929" s="247"/>
      <c r="S929" s="247"/>
      <c r="T929" s="247"/>
      <c r="U929" s="247"/>
      <c r="V929" s="247"/>
      <c r="W929" s="247"/>
      <c r="X929" s="247"/>
      <c r="Y929" s="247"/>
      <c r="Z929" s="247"/>
      <c r="AA929" s="247"/>
      <c r="AB929" s="247"/>
      <c r="AC929" s="247"/>
    </row>
    <row r="930">
      <c r="A930" s="247"/>
      <c r="B930" s="247"/>
      <c r="C930" s="247"/>
      <c r="D930" s="249"/>
      <c r="E930" s="250"/>
      <c r="F930" s="248"/>
      <c r="G930" s="248"/>
      <c r="H930" s="251"/>
      <c r="I930" s="247"/>
      <c r="J930" s="247"/>
      <c r="K930" s="247"/>
      <c r="L930" s="247"/>
      <c r="M930" s="247"/>
      <c r="N930" s="247"/>
      <c r="O930" s="247"/>
      <c r="P930" s="247"/>
      <c r="Q930" s="247"/>
      <c r="R930" s="247"/>
      <c r="S930" s="247"/>
      <c r="T930" s="247"/>
      <c r="U930" s="247"/>
      <c r="V930" s="247"/>
      <c r="W930" s="247"/>
      <c r="X930" s="247"/>
      <c r="Y930" s="247"/>
      <c r="Z930" s="247"/>
      <c r="AA930" s="247"/>
      <c r="AB930" s="247"/>
      <c r="AC930" s="247"/>
    </row>
    <row r="931">
      <c r="A931" s="247"/>
      <c r="B931" s="247"/>
      <c r="C931" s="247"/>
      <c r="D931" s="249"/>
      <c r="E931" s="250"/>
      <c r="F931" s="248"/>
      <c r="G931" s="248"/>
      <c r="H931" s="251"/>
      <c r="I931" s="247"/>
      <c r="J931" s="247"/>
      <c r="K931" s="247"/>
      <c r="L931" s="247"/>
      <c r="M931" s="247"/>
      <c r="N931" s="247"/>
      <c r="O931" s="247"/>
      <c r="P931" s="247"/>
      <c r="Q931" s="247"/>
      <c r="R931" s="247"/>
      <c r="S931" s="247"/>
      <c r="T931" s="247"/>
      <c r="U931" s="247"/>
      <c r="V931" s="247"/>
      <c r="W931" s="247"/>
      <c r="X931" s="247"/>
      <c r="Y931" s="247"/>
      <c r="Z931" s="247"/>
      <c r="AA931" s="247"/>
      <c r="AB931" s="247"/>
      <c r="AC931" s="247"/>
    </row>
    <row r="932">
      <c r="A932" s="247"/>
      <c r="B932" s="247"/>
      <c r="C932" s="247"/>
      <c r="D932" s="249"/>
      <c r="E932" s="250"/>
      <c r="F932" s="248"/>
      <c r="G932" s="248"/>
      <c r="H932" s="251"/>
      <c r="I932" s="247"/>
      <c r="J932" s="247"/>
      <c r="K932" s="247"/>
      <c r="L932" s="247"/>
      <c r="M932" s="247"/>
      <c r="N932" s="247"/>
      <c r="O932" s="247"/>
      <c r="P932" s="247"/>
      <c r="Q932" s="247"/>
      <c r="R932" s="247"/>
      <c r="S932" s="247"/>
      <c r="T932" s="247"/>
      <c r="U932" s="247"/>
      <c r="V932" s="247"/>
      <c r="W932" s="247"/>
      <c r="X932" s="247"/>
      <c r="Y932" s="247"/>
      <c r="Z932" s="247"/>
      <c r="AA932" s="247"/>
      <c r="AB932" s="247"/>
      <c r="AC932" s="247"/>
    </row>
    <row r="933">
      <c r="A933" s="247"/>
      <c r="B933" s="247"/>
      <c r="C933" s="247"/>
      <c r="D933" s="249"/>
      <c r="E933" s="250"/>
      <c r="F933" s="248"/>
      <c r="G933" s="248"/>
      <c r="H933" s="251"/>
      <c r="I933" s="247"/>
      <c r="J933" s="247"/>
      <c r="K933" s="247"/>
      <c r="L933" s="247"/>
      <c r="M933" s="247"/>
      <c r="N933" s="247"/>
      <c r="O933" s="247"/>
      <c r="P933" s="247"/>
      <c r="Q933" s="247"/>
      <c r="R933" s="247"/>
      <c r="S933" s="247"/>
      <c r="T933" s="247"/>
      <c r="U933" s="247"/>
      <c r="V933" s="247"/>
      <c r="W933" s="247"/>
      <c r="X933" s="247"/>
      <c r="Y933" s="247"/>
      <c r="Z933" s="247"/>
      <c r="AA933" s="247"/>
      <c r="AB933" s="247"/>
      <c r="AC933" s="247"/>
    </row>
    <row r="934">
      <c r="A934" s="247"/>
      <c r="B934" s="247"/>
      <c r="C934" s="247"/>
      <c r="D934" s="249"/>
      <c r="E934" s="250"/>
      <c r="F934" s="248"/>
      <c r="G934" s="248"/>
      <c r="H934" s="251"/>
      <c r="I934" s="247"/>
      <c r="J934" s="247"/>
      <c r="K934" s="247"/>
      <c r="L934" s="247"/>
      <c r="M934" s="247"/>
      <c r="N934" s="247"/>
      <c r="O934" s="247"/>
      <c r="P934" s="247"/>
      <c r="Q934" s="247"/>
      <c r="R934" s="247"/>
      <c r="S934" s="247"/>
      <c r="T934" s="247"/>
      <c r="U934" s="247"/>
      <c r="V934" s="247"/>
      <c r="W934" s="247"/>
      <c r="X934" s="247"/>
      <c r="Y934" s="247"/>
      <c r="Z934" s="247"/>
      <c r="AA934" s="247"/>
      <c r="AB934" s="247"/>
      <c r="AC934" s="247"/>
    </row>
    <row r="935">
      <c r="A935" s="247"/>
      <c r="B935" s="247"/>
      <c r="C935" s="247"/>
      <c r="D935" s="249"/>
      <c r="E935" s="250"/>
      <c r="F935" s="248"/>
      <c r="G935" s="248"/>
      <c r="H935" s="251"/>
      <c r="I935" s="247"/>
      <c r="J935" s="247"/>
      <c r="K935" s="247"/>
      <c r="L935" s="247"/>
      <c r="M935" s="247"/>
      <c r="N935" s="247"/>
      <c r="O935" s="247"/>
      <c r="P935" s="247"/>
      <c r="Q935" s="247"/>
      <c r="R935" s="247"/>
      <c r="S935" s="247"/>
      <c r="T935" s="247"/>
      <c r="U935" s="247"/>
      <c r="V935" s="247"/>
      <c r="W935" s="247"/>
      <c r="X935" s="247"/>
      <c r="Y935" s="247"/>
      <c r="Z935" s="247"/>
      <c r="AA935" s="247"/>
      <c r="AB935" s="247"/>
      <c r="AC935" s="247"/>
    </row>
    <row r="936">
      <c r="A936" s="247"/>
      <c r="B936" s="247"/>
      <c r="C936" s="247"/>
      <c r="D936" s="249"/>
      <c r="E936" s="250"/>
      <c r="F936" s="248"/>
      <c r="G936" s="248"/>
      <c r="H936" s="251"/>
      <c r="I936" s="247"/>
      <c r="J936" s="247"/>
      <c r="K936" s="247"/>
      <c r="L936" s="247"/>
      <c r="M936" s="247"/>
      <c r="N936" s="247"/>
      <c r="O936" s="247"/>
      <c r="P936" s="247"/>
      <c r="Q936" s="247"/>
      <c r="R936" s="247"/>
      <c r="S936" s="247"/>
      <c r="T936" s="247"/>
      <c r="U936" s="247"/>
      <c r="V936" s="247"/>
      <c r="W936" s="247"/>
      <c r="X936" s="247"/>
      <c r="Y936" s="247"/>
      <c r="Z936" s="247"/>
      <c r="AA936" s="247"/>
      <c r="AB936" s="247"/>
      <c r="AC936" s="247"/>
    </row>
    <row r="937">
      <c r="A937" s="247"/>
      <c r="B937" s="247"/>
      <c r="C937" s="247"/>
      <c r="D937" s="249"/>
      <c r="E937" s="250"/>
      <c r="F937" s="248"/>
      <c r="G937" s="248"/>
      <c r="H937" s="251"/>
      <c r="I937" s="247"/>
      <c r="J937" s="247"/>
      <c r="K937" s="247"/>
      <c r="L937" s="247"/>
      <c r="M937" s="247"/>
      <c r="N937" s="247"/>
      <c r="O937" s="247"/>
      <c r="P937" s="247"/>
      <c r="Q937" s="247"/>
      <c r="R937" s="247"/>
      <c r="S937" s="247"/>
      <c r="T937" s="247"/>
      <c r="U937" s="247"/>
      <c r="V937" s="247"/>
      <c r="W937" s="247"/>
      <c r="X937" s="247"/>
      <c r="Y937" s="247"/>
      <c r="Z937" s="247"/>
      <c r="AA937" s="247"/>
      <c r="AB937" s="247"/>
      <c r="AC937" s="247"/>
    </row>
    <row r="938">
      <c r="A938" s="247"/>
      <c r="B938" s="247"/>
      <c r="C938" s="247"/>
      <c r="D938" s="249"/>
      <c r="E938" s="250"/>
      <c r="F938" s="248"/>
      <c r="G938" s="248"/>
      <c r="H938" s="251"/>
      <c r="I938" s="247"/>
      <c r="J938" s="247"/>
      <c r="K938" s="247"/>
      <c r="L938" s="247"/>
      <c r="M938" s="247"/>
      <c r="N938" s="247"/>
      <c r="O938" s="247"/>
      <c r="P938" s="247"/>
      <c r="Q938" s="247"/>
      <c r="R938" s="247"/>
      <c r="S938" s="247"/>
      <c r="T938" s="247"/>
      <c r="U938" s="247"/>
      <c r="V938" s="247"/>
      <c r="W938" s="247"/>
      <c r="X938" s="247"/>
      <c r="Y938" s="247"/>
      <c r="Z938" s="247"/>
      <c r="AA938" s="247"/>
      <c r="AB938" s="247"/>
      <c r="AC938" s="247"/>
    </row>
    <row r="939">
      <c r="A939" s="247"/>
      <c r="B939" s="247"/>
      <c r="C939" s="247"/>
      <c r="D939" s="249"/>
      <c r="E939" s="250"/>
      <c r="F939" s="248"/>
      <c r="G939" s="248"/>
      <c r="H939" s="251"/>
      <c r="I939" s="247"/>
      <c r="J939" s="247"/>
      <c r="K939" s="247"/>
      <c r="L939" s="247"/>
      <c r="M939" s="247"/>
      <c r="N939" s="247"/>
      <c r="O939" s="247"/>
      <c r="P939" s="247"/>
      <c r="Q939" s="247"/>
      <c r="R939" s="247"/>
      <c r="S939" s="247"/>
      <c r="T939" s="247"/>
      <c r="U939" s="247"/>
      <c r="V939" s="247"/>
      <c r="W939" s="247"/>
      <c r="X939" s="247"/>
      <c r="Y939" s="247"/>
      <c r="Z939" s="247"/>
      <c r="AA939" s="247"/>
      <c r="AB939" s="247"/>
      <c r="AC939" s="247"/>
    </row>
    <row r="940">
      <c r="A940" s="247"/>
      <c r="B940" s="247"/>
      <c r="C940" s="247"/>
      <c r="D940" s="249"/>
      <c r="E940" s="250"/>
      <c r="F940" s="248"/>
      <c r="G940" s="248"/>
      <c r="H940" s="251"/>
      <c r="I940" s="247"/>
      <c r="J940" s="247"/>
      <c r="K940" s="247"/>
      <c r="L940" s="247"/>
      <c r="M940" s="247"/>
      <c r="N940" s="247"/>
      <c r="O940" s="247"/>
      <c r="P940" s="247"/>
      <c r="Q940" s="247"/>
      <c r="R940" s="247"/>
      <c r="S940" s="247"/>
      <c r="T940" s="247"/>
      <c r="U940" s="247"/>
      <c r="V940" s="247"/>
      <c r="W940" s="247"/>
      <c r="X940" s="247"/>
      <c r="Y940" s="247"/>
      <c r="Z940" s="247"/>
      <c r="AA940" s="247"/>
      <c r="AB940" s="247"/>
      <c r="AC940" s="247"/>
    </row>
    <row r="941">
      <c r="A941" s="247"/>
      <c r="B941" s="247"/>
      <c r="C941" s="247"/>
      <c r="D941" s="249"/>
      <c r="E941" s="250"/>
      <c r="F941" s="248"/>
      <c r="G941" s="248"/>
      <c r="H941" s="251"/>
      <c r="I941" s="247"/>
      <c r="J941" s="247"/>
      <c r="K941" s="247"/>
      <c r="L941" s="247"/>
      <c r="M941" s="247"/>
      <c r="N941" s="247"/>
      <c r="O941" s="247"/>
      <c r="P941" s="247"/>
      <c r="Q941" s="247"/>
      <c r="R941" s="247"/>
      <c r="S941" s="247"/>
      <c r="T941" s="247"/>
      <c r="U941" s="247"/>
      <c r="V941" s="247"/>
      <c r="W941" s="247"/>
      <c r="X941" s="247"/>
      <c r="Y941" s="247"/>
      <c r="Z941" s="247"/>
      <c r="AA941" s="247"/>
      <c r="AB941" s="247"/>
      <c r="AC941" s="247"/>
    </row>
    <row r="942">
      <c r="A942" s="247"/>
      <c r="B942" s="247"/>
      <c r="C942" s="247"/>
      <c r="D942" s="249"/>
      <c r="E942" s="250"/>
      <c r="F942" s="248"/>
      <c r="G942" s="248"/>
      <c r="H942" s="251"/>
      <c r="I942" s="247"/>
      <c r="J942" s="247"/>
      <c r="K942" s="247"/>
      <c r="L942" s="247"/>
      <c r="M942" s="247"/>
      <c r="N942" s="247"/>
      <c r="O942" s="247"/>
      <c r="P942" s="247"/>
      <c r="Q942" s="247"/>
      <c r="R942" s="247"/>
      <c r="S942" s="247"/>
      <c r="T942" s="247"/>
      <c r="U942" s="247"/>
      <c r="V942" s="247"/>
      <c r="W942" s="247"/>
      <c r="X942" s="247"/>
      <c r="Y942" s="247"/>
      <c r="Z942" s="247"/>
      <c r="AA942" s="247"/>
      <c r="AB942" s="247"/>
      <c r="AC942" s="247"/>
    </row>
    <row r="943">
      <c r="A943" s="247"/>
      <c r="B943" s="247"/>
      <c r="C943" s="247"/>
      <c r="D943" s="249"/>
      <c r="E943" s="250"/>
      <c r="F943" s="248"/>
      <c r="G943" s="248"/>
      <c r="H943" s="251"/>
      <c r="I943" s="247"/>
      <c r="J943" s="247"/>
      <c r="K943" s="247"/>
      <c r="L943" s="247"/>
      <c r="M943" s="247"/>
      <c r="N943" s="247"/>
      <c r="O943" s="247"/>
      <c r="P943" s="247"/>
      <c r="Q943" s="247"/>
      <c r="R943" s="247"/>
      <c r="S943" s="247"/>
      <c r="T943" s="247"/>
      <c r="U943" s="247"/>
      <c r="V943" s="247"/>
      <c r="W943" s="247"/>
      <c r="X943" s="247"/>
      <c r="Y943" s="247"/>
      <c r="Z943" s="247"/>
      <c r="AA943" s="247"/>
      <c r="AB943" s="247"/>
      <c r="AC943" s="247"/>
    </row>
    <row r="944">
      <c r="A944" s="247"/>
      <c r="B944" s="247"/>
      <c r="C944" s="247"/>
      <c r="D944" s="249"/>
      <c r="E944" s="250"/>
      <c r="F944" s="248"/>
      <c r="G944" s="248"/>
      <c r="H944" s="251"/>
      <c r="I944" s="247"/>
      <c r="J944" s="247"/>
      <c r="K944" s="247"/>
      <c r="L944" s="247"/>
      <c r="M944" s="247"/>
      <c r="N944" s="247"/>
      <c r="O944" s="247"/>
      <c r="P944" s="247"/>
      <c r="Q944" s="247"/>
      <c r="R944" s="247"/>
      <c r="S944" s="247"/>
      <c r="T944" s="247"/>
      <c r="U944" s="247"/>
      <c r="V944" s="247"/>
      <c r="W944" s="247"/>
      <c r="X944" s="247"/>
      <c r="Y944" s="247"/>
      <c r="Z944" s="247"/>
      <c r="AA944" s="247"/>
      <c r="AB944" s="247"/>
      <c r="AC944" s="247"/>
    </row>
    <row r="945">
      <c r="A945" s="247"/>
      <c r="B945" s="247"/>
      <c r="C945" s="247"/>
      <c r="D945" s="249"/>
      <c r="E945" s="250"/>
      <c r="F945" s="248"/>
      <c r="G945" s="248"/>
      <c r="H945" s="251"/>
      <c r="I945" s="247"/>
      <c r="J945" s="247"/>
      <c r="K945" s="247"/>
      <c r="L945" s="247"/>
      <c r="M945" s="247"/>
      <c r="N945" s="247"/>
      <c r="O945" s="247"/>
      <c r="P945" s="247"/>
      <c r="Q945" s="247"/>
      <c r="R945" s="247"/>
      <c r="S945" s="247"/>
      <c r="T945" s="247"/>
      <c r="U945" s="247"/>
      <c r="V945" s="247"/>
      <c r="W945" s="247"/>
      <c r="X945" s="247"/>
      <c r="Y945" s="247"/>
      <c r="Z945" s="247"/>
      <c r="AA945" s="247"/>
      <c r="AB945" s="247"/>
      <c r="AC945" s="247"/>
    </row>
    <row r="946">
      <c r="A946" s="247"/>
      <c r="B946" s="247"/>
      <c r="C946" s="247"/>
      <c r="D946" s="249"/>
      <c r="E946" s="250"/>
      <c r="F946" s="248"/>
      <c r="G946" s="248"/>
      <c r="H946" s="251"/>
      <c r="I946" s="247"/>
      <c r="J946" s="247"/>
      <c r="K946" s="247"/>
      <c r="L946" s="247"/>
      <c r="M946" s="247"/>
      <c r="N946" s="247"/>
      <c r="O946" s="247"/>
      <c r="P946" s="247"/>
      <c r="Q946" s="247"/>
      <c r="R946" s="247"/>
      <c r="S946" s="247"/>
      <c r="T946" s="247"/>
      <c r="U946" s="247"/>
      <c r="V946" s="247"/>
      <c r="W946" s="247"/>
      <c r="X946" s="247"/>
      <c r="Y946" s="247"/>
      <c r="Z946" s="247"/>
      <c r="AA946" s="247"/>
      <c r="AB946" s="247"/>
      <c r="AC946" s="247"/>
    </row>
    <row r="947">
      <c r="A947" s="247"/>
      <c r="B947" s="247"/>
      <c r="C947" s="247"/>
      <c r="D947" s="249"/>
      <c r="E947" s="250"/>
      <c r="F947" s="248"/>
      <c r="G947" s="248"/>
      <c r="H947" s="251"/>
      <c r="I947" s="247"/>
      <c r="J947" s="247"/>
      <c r="K947" s="247"/>
      <c r="L947" s="247"/>
      <c r="M947" s="247"/>
      <c r="N947" s="247"/>
      <c r="O947" s="247"/>
      <c r="P947" s="247"/>
      <c r="Q947" s="247"/>
      <c r="R947" s="247"/>
      <c r="S947" s="247"/>
      <c r="T947" s="247"/>
      <c r="U947" s="247"/>
      <c r="V947" s="247"/>
      <c r="W947" s="247"/>
      <c r="X947" s="247"/>
      <c r="Y947" s="247"/>
      <c r="Z947" s="247"/>
      <c r="AA947" s="247"/>
      <c r="AB947" s="247"/>
      <c r="AC947" s="247"/>
    </row>
    <row r="948">
      <c r="A948" s="247"/>
      <c r="B948" s="247"/>
      <c r="C948" s="247"/>
      <c r="D948" s="249"/>
      <c r="E948" s="250"/>
      <c r="F948" s="248"/>
      <c r="G948" s="248"/>
      <c r="H948" s="251"/>
      <c r="I948" s="247"/>
      <c r="J948" s="247"/>
      <c r="K948" s="247"/>
      <c r="L948" s="247"/>
      <c r="M948" s="247"/>
      <c r="N948" s="247"/>
      <c r="O948" s="247"/>
      <c r="P948" s="247"/>
      <c r="Q948" s="247"/>
      <c r="R948" s="247"/>
      <c r="S948" s="247"/>
      <c r="T948" s="247"/>
      <c r="U948" s="247"/>
      <c r="V948" s="247"/>
      <c r="W948" s="247"/>
      <c r="X948" s="247"/>
      <c r="Y948" s="247"/>
      <c r="Z948" s="247"/>
      <c r="AA948" s="247"/>
      <c r="AB948" s="247"/>
      <c r="AC948" s="247"/>
    </row>
    <row r="949">
      <c r="A949" s="247"/>
      <c r="B949" s="247"/>
      <c r="C949" s="247"/>
      <c r="D949" s="249"/>
      <c r="E949" s="250"/>
      <c r="F949" s="248"/>
      <c r="G949" s="248"/>
      <c r="H949" s="251"/>
      <c r="I949" s="247"/>
      <c r="J949" s="247"/>
      <c r="K949" s="247"/>
      <c r="L949" s="247"/>
      <c r="M949" s="247"/>
      <c r="N949" s="247"/>
      <c r="O949" s="247"/>
      <c r="P949" s="247"/>
      <c r="Q949" s="247"/>
      <c r="R949" s="247"/>
      <c r="S949" s="247"/>
      <c r="T949" s="247"/>
      <c r="U949" s="247"/>
      <c r="V949" s="247"/>
      <c r="W949" s="247"/>
      <c r="X949" s="247"/>
      <c r="Y949" s="247"/>
      <c r="Z949" s="247"/>
      <c r="AA949" s="247"/>
      <c r="AB949" s="247"/>
      <c r="AC949" s="247"/>
    </row>
    <row r="950">
      <c r="A950" s="247"/>
      <c r="B950" s="247"/>
      <c r="C950" s="247"/>
      <c r="D950" s="249"/>
      <c r="E950" s="250"/>
      <c r="F950" s="248"/>
      <c r="G950" s="248"/>
      <c r="H950" s="251"/>
      <c r="I950" s="247"/>
      <c r="J950" s="247"/>
      <c r="K950" s="247"/>
      <c r="L950" s="247"/>
      <c r="M950" s="247"/>
      <c r="N950" s="247"/>
      <c r="O950" s="247"/>
      <c r="P950" s="247"/>
      <c r="Q950" s="247"/>
      <c r="R950" s="247"/>
      <c r="S950" s="247"/>
      <c r="T950" s="247"/>
      <c r="U950" s="247"/>
      <c r="V950" s="247"/>
      <c r="W950" s="247"/>
      <c r="X950" s="247"/>
      <c r="Y950" s="247"/>
      <c r="Z950" s="247"/>
      <c r="AA950" s="247"/>
      <c r="AB950" s="247"/>
      <c r="AC950" s="247"/>
    </row>
    <row r="951">
      <c r="A951" s="247"/>
      <c r="B951" s="247"/>
      <c r="C951" s="247"/>
      <c r="D951" s="249"/>
      <c r="E951" s="250"/>
      <c r="F951" s="248"/>
      <c r="G951" s="248"/>
      <c r="H951" s="251"/>
      <c r="I951" s="247"/>
      <c r="J951" s="247"/>
      <c r="K951" s="247"/>
      <c r="L951" s="247"/>
      <c r="M951" s="247"/>
      <c r="N951" s="247"/>
      <c r="O951" s="247"/>
      <c r="P951" s="247"/>
      <c r="Q951" s="247"/>
      <c r="R951" s="247"/>
      <c r="S951" s="247"/>
      <c r="T951" s="247"/>
      <c r="U951" s="247"/>
      <c r="V951" s="247"/>
      <c r="W951" s="247"/>
      <c r="X951" s="247"/>
      <c r="Y951" s="247"/>
      <c r="Z951" s="247"/>
      <c r="AA951" s="247"/>
      <c r="AB951" s="247"/>
      <c r="AC951" s="247"/>
    </row>
    <row r="952">
      <c r="A952" s="247"/>
      <c r="B952" s="247"/>
      <c r="C952" s="247"/>
      <c r="D952" s="249"/>
      <c r="E952" s="250"/>
      <c r="F952" s="248"/>
      <c r="G952" s="248"/>
      <c r="H952" s="251"/>
      <c r="I952" s="247"/>
      <c r="J952" s="247"/>
      <c r="K952" s="247"/>
      <c r="L952" s="247"/>
      <c r="M952" s="247"/>
      <c r="N952" s="247"/>
      <c r="O952" s="247"/>
      <c r="P952" s="247"/>
      <c r="Q952" s="247"/>
      <c r="R952" s="247"/>
      <c r="S952" s="247"/>
      <c r="T952" s="247"/>
      <c r="U952" s="247"/>
      <c r="V952" s="247"/>
      <c r="W952" s="247"/>
      <c r="X952" s="247"/>
      <c r="Y952" s="247"/>
      <c r="Z952" s="247"/>
      <c r="AA952" s="247"/>
      <c r="AB952" s="247"/>
      <c r="AC952" s="247"/>
    </row>
    <row r="953">
      <c r="A953" s="247"/>
      <c r="B953" s="247"/>
      <c r="C953" s="247"/>
      <c r="D953" s="249"/>
      <c r="E953" s="250"/>
      <c r="F953" s="248"/>
      <c r="G953" s="248"/>
      <c r="H953" s="251"/>
      <c r="I953" s="247"/>
      <c r="J953" s="247"/>
      <c r="K953" s="247"/>
      <c r="L953" s="247"/>
      <c r="M953" s="247"/>
      <c r="N953" s="247"/>
      <c r="O953" s="247"/>
      <c r="P953" s="247"/>
      <c r="Q953" s="247"/>
      <c r="R953" s="247"/>
      <c r="S953" s="247"/>
      <c r="T953" s="247"/>
      <c r="U953" s="247"/>
      <c r="V953" s="247"/>
      <c r="W953" s="247"/>
      <c r="X953" s="247"/>
      <c r="Y953" s="247"/>
      <c r="Z953" s="247"/>
      <c r="AA953" s="247"/>
      <c r="AB953" s="247"/>
      <c r="AC953" s="247"/>
    </row>
    <row r="954">
      <c r="A954" s="247"/>
      <c r="B954" s="247"/>
      <c r="C954" s="247"/>
      <c r="D954" s="249"/>
      <c r="E954" s="250"/>
      <c r="F954" s="248"/>
      <c r="G954" s="248"/>
      <c r="H954" s="251"/>
      <c r="I954" s="247"/>
      <c r="J954" s="247"/>
      <c r="K954" s="247"/>
      <c r="L954" s="247"/>
      <c r="M954" s="247"/>
      <c r="N954" s="247"/>
      <c r="O954" s="247"/>
      <c r="P954" s="247"/>
      <c r="Q954" s="247"/>
      <c r="R954" s="247"/>
      <c r="S954" s="247"/>
      <c r="T954" s="247"/>
      <c r="U954" s="247"/>
      <c r="V954" s="247"/>
      <c r="W954" s="247"/>
      <c r="X954" s="247"/>
      <c r="Y954" s="247"/>
      <c r="Z954" s="247"/>
      <c r="AA954" s="247"/>
      <c r="AB954" s="247"/>
      <c r="AC954" s="247"/>
    </row>
    <row r="955">
      <c r="A955" s="247"/>
      <c r="B955" s="247"/>
      <c r="C955" s="247"/>
      <c r="D955" s="249"/>
      <c r="E955" s="250"/>
      <c r="F955" s="248"/>
      <c r="G955" s="248"/>
      <c r="H955" s="251"/>
      <c r="I955" s="247"/>
      <c r="J955" s="247"/>
      <c r="K955" s="247"/>
      <c r="L955" s="247"/>
      <c r="M955" s="247"/>
      <c r="N955" s="247"/>
      <c r="O955" s="247"/>
      <c r="P955" s="247"/>
      <c r="Q955" s="247"/>
      <c r="R955" s="247"/>
      <c r="S955" s="247"/>
      <c r="T955" s="247"/>
      <c r="U955" s="247"/>
      <c r="V955" s="247"/>
      <c r="W955" s="247"/>
      <c r="X955" s="247"/>
      <c r="Y955" s="247"/>
      <c r="Z955" s="247"/>
      <c r="AA955" s="247"/>
      <c r="AB955" s="247"/>
      <c r="AC955" s="247"/>
    </row>
    <row r="956">
      <c r="A956" s="247"/>
      <c r="B956" s="247"/>
      <c r="C956" s="247"/>
      <c r="D956" s="249"/>
      <c r="E956" s="250"/>
      <c r="F956" s="248"/>
      <c r="G956" s="248"/>
      <c r="H956" s="251"/>
      <c r="I956" s="247"/>
      <c r="J956" s="247"/>
      <c r="K956" s="247"/>
      <c r="L956" s="247"/>
      <c r="M956" s="247"/>
      <c r="N956" s="247"/>
      <c r="O956" s="247"/>
      <c r="P956" s="247"/>
      <c r="Q956" s="247"/>
      <c r="R956" s="247"/>
      <c r="S956" s="247"/>
      <c r="T956" s="247"/>
      <c r="U956" s="247"/>
      <c r="V956" s="247"/>
      <c r="W956" s="247"/>
      <c r="X956" s="247"/>
      <c r="Y956" s="247"/>
      <c r="Z956" s="247"/>
      <c r="AA956" s="247"/>
      <c r="AB956" s="247"/>
      <c r="AC956" s="247"/>
    </row>
    <row r="957">
      <c r="A957" s="247"/>
      <c r="B957" s="247"/>
      <c r="C957" s="247"/>
      <c r="D957" s="249"/>
      <c r="E957" s="250"/>
      <c r="F957" s="248"/>
      <c r="G957" s="248"/>
      <c r="H957" s="251"/>
      <c r="I957" s="247"/>
      <c r="J957" s="247"/>
      <c r="K957" s="247"/>
      <c r="L957" s="247"/>
      <c r="M957" s="247"/>
      <c r="N957" s="247"/>
      <c r="O957" s="247"/>
      <c r="P957" s="247"/>
      <c r="Q957" s="247"/>
      <c r="R957" s="247"/>
      <c r="S957" s="247"/>
      <c r="T957" s="247"/>
      <c r="U957" s="247"/>
      <c r="V957" s="247"/>
      <c r="W957" s="247"/>
      <c r="X957" s="247"/>
      <c r="Y957" s="247"/>
      <c r="Z957" s="247"/>
      <c r="AA957" s="247"/>
      <c r="AB957" s="247"/>
      <c r="AC957" s="247"/>
    </row>
    <row r="958">
      <c r="A958" s="247"/>
      <c r="B958" s="247"/>
      <c r="C958" s="247"/>
      <c r="D958" s="249"/>
      <c r="E958" s="250"/>
      <c r="F958" s="248"/>
      <c r="G958" s="248"/>
      <c r="H958" s="251"/>
      <c r="I958" s="247"/>
      <c r="J958" s="247"/>
      <c r="K958" s="247"/>
      <c r="L958" s="247"/>
      <c r="M958" s="247"/>
      <c r="N958" s="247"/>
      <c r="O958" s="247"/>
      <c r="P958" s="247"/>
      <c r="Q958" s="247"/>
      <c r="R958" s="247"/>
      <c r="S958" s="247"/>
      <c r="T958" s="247"/>
      <c r="U958" s="247"/>
      <c r="V958" s="247"/>
      <c r="W958" s="247"/>
      <c r="X958" s="247"/>
      <c r="Y958" s="247"/>
      <c r="Z958" s="247"/>
      <c r="AA958" s="247"/>
      <c r="AB958" s="247"/>
      <c r="AC958" s="247"/>
    </row>
    <row r="959">
      <c r="A959" s="247"/>
      <c r="B959" s="247"/>
      <c r="C959" s="247"/>
      <c r="D959" s="249"/>
      <c r="E959" s="250"/>
      <c r="F959" s="248"/>
      <c r="G959" s="248"/>
      <c r="H959" s="251"/>
      <c r="I959" s="247"/>
      <c r="J959" s="247"/>
      <c r="K959" s="247"/>
      <c r="L959" s="247"/>
      <c r="M959" s="247"/>
      <c r="N959" s="247"/>
      <c r="O959" s="247"/>
      <c r="P959" s="247"/>
      <c r="Q959" s="247"/>
      <c r="R959" s="247"/>
      <c r="S959" s="247"/>
      <c r="T959" s="247"/>
      <c r="U959" s="247"/>
      <c r="V959" s="247"/>
      <c r="W959" s="247"/>
      <c r="X959" s="247"/>
      <c r="Y959" s="247"/>
      <c r="Z959" s="247"/>
      <c r="AA959" s="247"/>
      <c r="AB959" s="247"/>
      <c r="AC959" s="247"/>
    </row>
    <row r="960">
      <c r="A960" s="247"/>
      <c r="B960" s="247"/>
      <c r="C960" s="247"/>
      <c r="D960" s="249"/>
      <c r="E960" s="250"/>
      <c r="F960" s="248"/>
      <c r="G960" s="248"/>
      <c r="H960" s="251"/>
      <c r="I960" s="247"/>
      <c r="J960" s="247"/>
      <c r="K960" s="247"/>
      <c r="L960" s="247"/>
      <c r="M960" s="247"/>
      <c r="N960" s="247"/>
      <c r="O960" s="247"/>
      <c r="P960" s="247"/>
      <c r="Q960" s="247"/>
      <c r="R960" s="247"/>
      <c r="S960" s="247"/>
      <c r="T960" s="247"/>
      <c r="U960" s="247"/>
      <c r="V960" s="247"/>
      <c r="W960" s="247"/>
      <c r="X960" s="247"/>
      <c r="Y960" s="247"/>
      <c r="Z960" s="247"/>
      <c r="AA960" s="247"/>
      <c r="AB960" s="247"/>
      <c r="AC960" s="247"/>
    </row>
    <row r="961">
      <c r="A961" s="247"/>
      <c r="B961" s="247"/>
      <c r="C961" s="247"/>
      <c r="D961" s="249"/>
      <c r="E961" s="250"/>
      <c r="F961" s="248"/>
      <c r="G961" s="248"/>
      <c r="H961" s="251"/>
      <c r="I961" s="247"/>
      <c r="J961" s="247"/>
      <c r="K961" s="247"/>
      <c r="L961" s="247"/>
      <c r="M961" s="247"/>
      <c r="N961" s="247"/>
      <c r="O961" s="247"/>
      <c r="P961" s="247"/>
      <c r="Q961" s="247"/>
      <c r="R961" s="247"/>
      <c r="S961" s="247"/>
      <c r="T961" s="247"/>
      <c r="U961" s="247"/>
      <c r="V961" s="247"/>
      <c r="W961" s="247"/>
      <c r="X961" s="247"/>
      <c r="Y961" s="247"/>
      <c r="Z961" s="247"/>
      <c r="AA961" s="247"/>
      <c r="AB961" s="247"/>
      <c r="AC961" s="247"/>
    </row>
    <row r="962">
      <c r="A962" s="247"/>
      <c r="B962" s="247"/>
      <c r="C962" s="247"/>
      <c r="D962" s="249"/>
      <c r="E962" s="250"/>
      <c r="F962" s="248"/>
      <c r="G962" s="248"/>
      <c r="H962" s="251"/>
      <c r="I962" s="247"/>
      <c r="J962" s="247"/>
      <c r="K962" s="247"/>
      <c r="L962" s="247"/>
      <c r="M962" s="247"/>
      <c r="N962" s="247"/>
      <c r="O962" s="247"/>
      <c r="P962" s="247"/>
      <c r="Q962" s="247"/>
      <c r="R962" s="247"/>
      <c r="S962" s="247"/>
      <c r="T962" s="247"/>
      <c r="U962" s="247"/>
      <c r="V962" s="247"/>
      <c r="W962" s="247"/>
      <c r="X962" s="247"/>
      <c r="Y962" s="247"/>
      <c r="Z962" s="247"/>
      <c r="AA962" s="247"/>
      <c r="AB962" s="247"/>
      <c r="AC962" s="247"/>
    </row>
    <row r="963">
      <c r="A963" s="247"/>
      <c r="B963" s="247"/>
      <c r="C963" s="247"/>
      <c r="D963" s="249"/>
      <c r="E963" s="250"/>
      <c r="F963" s="248"/>
      <c r="G963" s="248"/>
      <c r="H963" s="251"/>
      <c r="I963" s="247"/>
      <c r="J963" s="247"/>
      <c r="K963" s="247"/>
      <c r="L963" s="247"/>
      <c r="M963" s="247"/>
      <c r="N963" s="247"/>
      <c r="O963" s="247"/>
      <c r="P963" s="247"/>
      <c r="Q963" s="247"/>
      <c r="R963" s="247"/>
      <c r="S963" s="247"/>
      <c r="T963" s="247"/>
      <c r="U963" s="247"/>
      <c r="V963" s="247"/>
      <c r="W963" s="247"/>
      <c r="X963" s="247"/>
      <c r="Y963" s="247"/>
      <c r="Z963" s="247"/>
      <c r="AA963" s="247"/>
      <c r="AB963" s="247"/>
      <c r="AC963" s="247"/>
    </row>
    <row r="964">
      <c r="A964" s="247"/>
      <c r="B964" s="247"/>
      <c r="C964" s="247"/>
      <c r="D964" s="249"/>
      <c r="E964" s="250"/>
      <c r="F964" s="248"/>
      <c r="G964" s="248"/>
      <c r="H964" s="251"/>
      <c r="I964" s="247"/>
      <c r="J964" s="247"/>
      <c r="K964" s="247"/>
      <c r="L964" s="247"/>
      <c r="M964" s="247"/>
      <c r="N964" s="247"/>
      <c r="O964" s="247"/>
      <c r="P964" s="247"/>
      <c r="Q964" s="247"/>
      <c r="R964" s="247"/>
      <c r="S964" s="247"/>
      <c r="T964" s="247"/>
      <c r="U964" s="247"/>
      <c r="V964" s="247"/>
      <c r="W964" s="247"/>
      <c r="X964" s="247"/>
      <c r="Y964" s="247"/>
      <c r="Z964" s="247"/>
      <c r="AA964" s="247"/>
      <c r="AB964" s="247"/>
      <c r="AC964" s="247"/>
    </row>
    <row r="965">
      <c r="A965" s="247"/>
      <c r="B965" s="247"/>
      <c r="C965" s="247"/>
      <c r="D965" s="249"/>
      <c r="E965" s="250"/>
      <c r="F965" s="248"/>
      <c r="G965" s="248"/>
      <c r="H965" s="251"/>
      <c r="I965" s="247"/>
      <c r="J965" s="247"/>
      <c r="K965" s="247"/>
      <c r="L965" s="247"/>
      <c r="M965" s="247"/>
      <c r="N965" s="247"/>
      <c r="O965" s="247"/>
      <c r="P965" s="247"/>
      <c r="Q965" s="247"/>
      <c r="R965" s="247"/>
      <c r="S965" s="247"/>
      <c r="T965" s="247"/>
      <c r="U965" s="247"/>
      <c r="V965" s="247"/>
      <c r="W965" s="247"/>
      <c r="X965" s="247"/>
      <c r="Y965" s="247"/>
      <c r="Z965" s="247"/>
      <c r="AA965" s="247"/>
      <c r="AB965" s="247"/>
      <c r="AC965" s="247"/>
    </row>
    <row r="966">
      <c r="A966" s="247"/>
      <c r="B966" s="247"/>
      <c r="C966" s="247"/>
      <c r="D966" s="249"/>
      <c r="E966" s="250"/>
      <c r="F966" s="248"/>
      <c r="G966" s="248"/>
      <c r="H966" s="251"/>
      <c r="I966" s="247"/>
      <c r="J966" s="247"/>
      <c r="K966" s="247"/>
      <c r="L966" s="247"/>
      <c r="M966" s="247"/>
      <c r="N966" s="247"/>
      <c r="O966" s="247"/>
      <c r="P966" s="247"/>
      <c r="Q966" s="247"/>
      <c r="R966" s="247"/>
      <c r="S966" s="247"/>
      <c r="T966" s="247"/>
      <c r="U966" s="247"/>
      <c r="V966" s="247"/>
      <c r="W966" s="247"/>
      <c r="X966" s="247"/>
      <c r="Y966" s="247"/>
      <c r="Z966" s="247"/>
      <c r="AA966" s="247"/>
      <c r="AB966" s="247"/>
      <c r="AC966" s="247"/>
    </row>
    <row r="967">
      <c r="A967" s="247"/>
      <c r="B967" s="247"/>
      <c r="C967" s="247"/>
      <c r="D967" s="249"/>
      <c r="E967" s="250"/>
      <c r="F967" s="248"/>
      <c r="G967" s="248"/>
      <c r="H967" s="251"/>
      <c r="I967" s="247"/>
      <c r="J967" s="247"/>
      <c r="K967" s="247"/>
      <c r="L967" s="247"/>
      <c r="M967" s="247"/>
      <c r="N967" s="247"/>
      <c r="O967" s="247"/>
      <c r="P967" s="247"/>
      <c r="Q967" s="247"/>
      <c r="R967" s="247"/>
      <c r="S967" s="247"/>
      <c r="T967" s="247"/>
      <c r="U967" s="247"/>
      <c r="V967" s="247"/>
      <c r="W967" s="247"/>
      <c r="X967" s="247"/>
      <c r="Y967" s="247"/>
      <c r="Z967" s="247"/>
      <c r="AA967" s="247"/>
      <c r="AB967" s="247"/>
      <c r="AC967" s="247"/>
    </row>
    <row r="968">
      <c r="A968" s="247"/>
      <c r="B968" s="247"/>
      <c r="C968" s="247"/>
      <c r="D968" s="249"/>
      <c r="E968" s="250"/>
      <c r="F968" s="248"/>
      <c r="G968" s="248"/>
      <c r="H968" s="251"/>
      <c r="I968" s="247"/>
      <c r="J968" s="247"/>
      <c r="K968" s="247"/>
      <c r="L968" s="247"/>
      <c r="M968" s="247"/>
      <c r="N968" s="247"/>
      <c r="O968" s="247"/>
      <c r="P968" s="247"/>
      <c r="Q968" s="247"/>
      <c r="R968" s="247"/>
      <c r="S968" s="247"/>
      <c r="T968" s="247"/>
      <c r="U968" s="247"/>
      <c r="V968" s="247"/>
      <c r="W968" s="247"/>
      <c r="X968" s="247"/>
      <c r="Y968" s="247"/>
      <c r="Z968" s="247"/>
      <c r="AA968" s="247"/>
      <c r="AB968" s="247"/>
      <c r="AC968" s="247"/>
    </row>
    <row r="969">
      <c r="A969" s="247"/>
      <c r="B969" s="247"/>
      <c r="C969" s="247"/>
      <c r="D969" s="249"/>
      <c r="E969" s="250"/>
      <c r="F969" s="248"/>
      <c r="G969" s="248"/>
      <c r="H969" s="251"/>
      <c r="I969" s="247"/>
      <c r="J969" s="247"/>
      <c r="K969" s="247"/>
      <c r="L969" s="247"/>
      <c r="M969" s="247"/>
      <c r="N969" s="247"/>
      <c r="O969" s="247"/>
      <c r="P969" s="247"/>
      <c r="Q969" s="247"/>
      <c r="R969" s="247"/>
      <c r="S969" s="247"/>
      <c r="T969" s="247"/>
      <c r="U969" s="247"/>
      <c r="V969" s="247"/>
      <c r="W969" s="247"/>
      <c r="X969" s="247"/>
      <c r="Y969" s="247"/>
      <c r="Z969" s="247"/>
      <c r="AA969" s="247"/>
      <c r="AB969" s="247"/>
      <c r="AC969" s="247"/>
    </row>
    <row r="970">
      <c r="A970" s="247"/>
      <c r="B970" s="247"/>
      <c r="C970" s="247"/>
      <c r="D970" s="249"/>
      <c r="E970" s="250"/>
      <c r="F970" s="248"/>
      <c r="G970" s="248"/>
      <c r="H970" s="251"/>
      <c r="I970" s="247"/>
      <c r="J970" s="247"/>
      <c r="K970" s="247"/>
      <c r="L970" s="247"/>
      <c r="M970" s="247"/>
      <c r="N970" s="247"/>
      <c r="O970" s="247"/>
      <c r="P970" s="247"/>
      <c r="Q970" s="247"/>
      <c r="R970" s="247"/>
      <c r="S970" s="247"/>
      <c r="T970" s="247"/>
      <c r="U970" s="247"/>
      <c r="V970" s="247"/>
      <c r="W970" s="247"/>
      <c r="X970" s="247"/>
      <c r="Y970" s="247"/>
      <c r="Z970" s="247"/>
      <c r="AA970" s="247"/>
      <c r="AB970" s="247"/>
      <c r="AC970" s="247"/>
    </row>
    <row r="971">
      <c r="A971" s="247"/>
      <c r="B971" s="247"/>
      <c r="C971" s="247"/>
      <c r="D971" s="249"/>
      <c r="E971" s="250"/>
      <c r="F971" s="248"/>
      <c r="G971" s="248"/>
      <c r="H971" s="251"/>
      <c r="I971" s="247"/>
      <c r="J971" s="247"/>
      <c r="K971" s="247"/>
      <c r="L971" s="247"/>
      <c r="M971" s="247"/>
      <c r="N971" s="247"/>
      <c r="O971" s="247"/>
      <c r="P971" s="247"/>
      <c r="Q971" s="247"/>
      <c r="R971" s="247"/>
      <c r="S971" s="247"/>
      <c r="T971" s="247"/>
      <c r="U971" s="247"/>
      <c r="V971" s="247"/>
      <c r="W971" s="247"/>
      <c r="X971" s="247"/>
      <c r="Y971" s="247"/>
      <c r="Z971" s="247"/>
      <c r="AA971" s="247"/>
      <c r="AB971" s="247"/>
      <c r="AC971" s="247"/>
    </row>
    <row r="972">
      <c r="A972" s="247"/>
      <c r="B972" s="247"/>
      <c r="C972" s="247"/>
      <c r="D972" s="249"/>
      <c r="E972" s="250"/>
      <c r="F972" s="248"/>
      <c r="G972" s="248"/>
      <c r="H972" s="251"/>
      <c r="I972" s="247"/>
      <c r="J972" s="247"/>
      <c r="K972" s="247"/>
      <c r="L972" s="247"/>
      <c r="M972" s="247"/>
      <c r="N972" s="247"/>
      <c r="O972" s="247"/>
      <c r="P972" s="247"/>
      <c r="Q972" s="247"/>
      <c r="R972" s="247"/>
      <c r="S972" s="247"/>
      <c r="T972" s="247"/>
      <c r="U972" s="247"/>
      <c r="V972" s="247"/>
      <c r="W972" s="247"/>
      <c r="X972" s="247"/>
      <c r="Y972" s="247"/>
      <c r="Z972" s="247"/>
      <c r="AA972" s="247"/>
      <c r="AB972" s="247"/>
      <c r="AC972" s="247"/>
    </row>
    <row r="973">
      <c r="A973" s="247"/>
      <c r="B973" s="247"/>
      <c r="C973" s="247"/>
      <c r="D973" s="249"/>
      <c r="E973" s="250"/>
      <c r="F973" s="248"/>
      <c r="G973" s="248"/>
      <c r="H973" s="251"/>
      <c r="I973" s="247"/>
      <c r="J973" s="247"/>
      <c r="K973" s="247"/>
      <c r="L973" s="247"/>
      <c r="M973" s="247"/>
      <c r="N973" s="247"/>
      <c r="O973" s="247"/>
      <c r="P973" s="247"/>
      <c r="Q973" s="247"/>
      <c r="R973" s="247"/>
      <c r="S973" s="247"/>
      <c r="T973" s="247"/>
      <c r="U973" s="247"/>
      <c r="V973" s="247"/>
      <c r="W973" s="247"/>
      <c r="X973" s="247"/>
      <c r="Y973" s="247"/>
      <c r="Z973" s="247"/>
      <c r="AA973" s="247"/>
      <c r="AB973" s="247"/>
      <c r="AC973" s="247"/>
    </row>
    <row r="974">
      <c r="A974" s="247"/>
      <c r="B974" s="247"/>
      <c r="C974" s="247"/>
      <c r="D974" s="249"/>
      <c r="E974" s="250"/>
      <c r="F974" s="248"/>
      <c r="G974" s="248"/>
      <c r="H974" s="251"/>
      <c r="I974" s="247"/>
      <c r="J974" s="247"/>
      <c r="K974" s="247"/>
      <c r="L974" s="247"/>
      <c r="M974" s="247"/>
      <c r="N974" s="247"/>
      <c r="O974" s="247"/>
      <c r="P974" s="247"/>
      <c r="Q974" s="247"/>
      <c r="R974" s="247"/>
      <c r="S974" s="247"/>
      <c r="T974" s="247"/>
      <c r="U974" s="247"/>
      <c r="V974" s="247"/>
      <c r="W974" s="247"/>
      <c r="X974" s="247"/>
      <c r="Y974" s="247"/>
      <c r="Z974" s="247"/>
      <c r="AA974" s="247"/>
      <c r="AB974" s="247"/>
      <c r="AC974" s="247"/>
    </row>
    <row r="975">
      <c r="A975" s="247"/>
      <c r="B975" s="247"/>
      <c r="C975" s="247"/>
      <c r="D975" s="249"/>
      <c r="E975" s="250"/>
      <c r="F975" s="248"/>
      <c r="G975" s="248"/>
      <c r="H975" s="251"/>
      <c r="I975" s="247"/>
      <c r="J975" s="247"/>
      <c r="K975" s="247"/>
      <c r="L975" s="247"/>
      <c r="M975" s="247"/>
      <c r="N975" s="247"/>
      <c r="O975" s="247"/>
      <c r="P975" s="247"/>
      <c r="Q975" s="247"/>
      <c r="R975" s="247"/>
      <c r="S975" s="247"/>
      <c r="T975" s="247"/>
      <c r="U975" s="247"/>
      <c r="V975" s="247"/>
      <c r="W975" s="247"/>
      <c r="X975" s="247"/>
      <c r="Y975" s="247"/>
      <c r="Z975" s="247"/>
      <c r="AA975" s="247"/>
      <c r="AB975" s="247"/>
      <c r="AC975" s="247"/>
    </row>
    <row r="976">
      <c r="A976" s="247"/>
      <c r="B976" s="247"/>
      <c r="C976" s="247"/>
      <c r="D976" s="249"/>
      <c r="E976" s="250"/>
      <c r="F976" s="248"/>
      <c r="G976" s="248"/>
      <c r="H976" s="251"/>
      <c r="I976" s="247"/>
      <c r="J976" s="247"/>
      <c r="K976" s="247"/>
      <c r="L976" s="247"/>
      <c r="M976" s="247"/>
      <c r="N976" s="247"/>
      <c r="O976" s="247"/>
      <c r="P976" s="247"/>
      <c r="Q976" s="247"/>
      <c r="R976" s="247"/>
      <c r="S976" s="247"/>
      <c r="T976" s="247"/>
      <c r="U976" s="247"/>
      <c r="V976" s="247"/>
      <c r="W976" s="247"/>
      <c r="X976" s="247"/>
      <c r="Y976" s="247"/>
      <c r="Z976" s="247"/>
      <c r="AA976" s="247"/>
      <c r="AB976" s="247"/>
      <c r="AC976" s="247"/>
    </row>
    <row r="977">
      <c r="A977" s="247"/>
      <c r="B977" s="247"/>
      <c r="C977" s="247"/>
      <c r="D977" s="249"/>
      <c r="E977" s="250"/>
      <c r="F977" s="248"/>
      <c r="G977" s="248"/>
      <c r="H977" s="251"/>
      <c r="I977" s="247"/>
      <c r="J977" s="247"/>
      <c r="K977" s="247"/>
      <c r="L977" s="247"/>
      <c r="M977" s="247"/>
      <c r="N977" s="247"/>
      <c r="O977" s="247"/>
      <c r="P977" s="247"/>
      <c r="Q977" s="247"/>
      <c r="R977" s="247"/>
      <c r="S977" s="247"/>
      <c r="T977" s="247"/>
      <c r="U977" s="247"/>
      <c r="V977" s="247"/>
      <c r="W977" s="247"/>
      <c r="X977" s="247"/>
      <c r="Y977" s="247"/>
      <c r="Z977" s="247"/>
      <c r="AA977" s="247"/>
      <c r="AB977" s="247"/>
      <c r="AC977" s="247"/>
    </row>
    <row r="978">
      <c r="A978" s="247"/>
      <c r="B978" s="247"/>
      <c r="C978" s="247"/>
      <c r="D978" s="249"/>
      <c r="E978" s="250"/>
      <c r="F978" s="248"/>
      <c r="G978" s="248"/>
      <c r="H978" s="251"/>
      <c r="I978" s="247"/>
      <c r="J978" s="247"/>
      <c r="K978" s="247"/>
      <c r="L978" s="247"/>
      <c r="M978" s="247"/>
      <c r="N978" s="247"/>
      <c r="O978" s="247"/>
      <c r="P978" s="247"/>
      <c r="Q978" s="247"/>
      <c r="R978" s="247"/>
      <c r="S978" s="247"/>
      <c r="T978" s="247"/>
      <c r="U978" s="247"/>
      <c r="V978" s="247"/>
      <c r="W978" s="247"/>
      <c r="X978" s="247"/>
      <c r="Y978" s="247"/>
      <c r="Z978" s="247"/>
      <c r="AA978" s="247"/>
      <c r="AB978" s="247"/>
      <c r="AC978" s="247"/>
    </row>
    <row r="979">
      <c r="A979" s="247"/>
      <c r="B979" s="247"/>
      <c r="C979" s="247"/>
      <c r="D979" s="249"/>
      <c r="E979" s="250"/>
      <c r="F979" s="248"/>
      <c r="G979" s="248"/>
      <c r="H979" s="251"/>
      <c r="I979" s="247"/>
      <c r="J979" s="247"/>
      <c r="K979" s="247"/>
      <c r="L979" s="247"/>
      <c r="M979" s="247"/>
      <c r="N979" s="247"/>
      <c r="O979" s="247"/>
      <c r="P979" s="247"/>
      <c r="Q979" s="247"/>
      <c r="R979" s="247"/>
      <c r="S979" s="247"/>
      <c r="T979" s="247"/>
      <c r="U979" s="247"/>
      <c r="V979" s="247"/>
      <c r="W979" s="247"/>
      <c r="X979" s="247"/>
      <c r="Y979" s="247"/>
      <c r="Z979" s="247"/>
      <c r="AA979" s="247"/>
      <c r="AB979" s="247"/>
      <c r="AC979" s="247"/>
    </row>
    <row r="980">
      <c r="A980" s="247"/>
      <c r="B980" s="247"/>
      <c r="C980" s="247"/>
      <c r="D980" s="249"/>
      <c r="E980" s="250"/>
      <c r="F980" s="248"/>
      <c r="G980" s="248"/>
      <c r="H980" s="251"/>
      <c r="I980" s="247"/>
      <c r="J980" s="247"/>
      <c r="K980" s="247"/>
      <c r="L980" s="247"/>
      <c r="M980" s="247"/>
      <c r="N980" s="247"/>
      <c r="O980" s="247"/>
      <c r="P980" s="247"/>
      <c r="Q980" s="247"/>
      <c r="R980" s="247"/>
      <c r="S980" s="247"/>
      <c r="T980" s="247"/>
      <c r="U980" s="247"/>
      <c r="V980" s="247"/>
      <c r="W980" s="247"/>
      <c r="X980" s="247"/>
      <c r="Y980" s="247"/>
      <c r="Z980" s="247"/>
      <c r="AA980" s="247"/>
      <c r="AB980" s="247"/>
      <c r="AC980" s="247"/>
    </row>
    <row r="981">
      <c r="A981" s="247"/>
      <c r="B981" s="247"/>
      <c r="C981" s="247"/>
      <c r="D981" s="249"/>
      <c r="E981" s="250"/>
      <c r="F981" s="248"/>
      <c r="G981" s="248"/>
      <c r="H981" s="251"/>
      <c r="I981" s="247"/>
      <c r="J981" s="247"/>
      <c r="K981" s="247"/>
      <c r="L981" s="247"/>
      <c r="M981" s="247"/>
      <c r="N981" s="247"/>
      <c r="O981" s="247"/>
      <c r="P981" s="247"/>
      <c r="Q981" s="247"/>
      <c r="R981" s="247"/>
      <c r="S981" s="247"/>
      <c r="T981" s="247"/>
      <c r="U981" s="247"/>
      <c r="V981" s="247"/>
      <c r="W981" s="247"/>
      <c r="X981" s="247"/>
      <c r="Y981" s="247"/>
      <c r="Z981" s="247"/>
      <c r="AA981" s="247"/>
      <c r="AB981" s="247"/>
      <c r="AC981" s="247"/>
    </row>
    <row r="982">
      <c r="A982" s="247"/>
      <c r="B982" s="247"/>
      <c r="C982" s="247"/>
      <c r="D982" s="249"/>
      <c r="E982" s="250"/>
      <c r="F982" s="248"/>
      <c r="G982" s="248"/>
      <c r="H982" s="251"/>
      <c r="I982" s="247"/>
      <c r="J982" s="247"/>
      <c r="K982" s="247"/>
      <c r="L982" s="247"/>
      <c r="M982" s="247"/>
      <c r="N982" s="247"/>
      <c r="O982" s="247"/>
      <c r="P982" s="247"/>
      <c r="Q982" s="247"/>
      <c r="R982" s="247"/>
      <c r="S982" s="247"/>
      <c r="T982" s="247"/>
      <c r="U982" s="247"/>
      <c r="V982" s="247"/>
      <c r="W982" s="247"/>
      <c r="X982" s="247"/>
      <c r="Y982" s="247"/>
      <c r="Z982" s="247"/>
      <c r="AA982" s="247"/>
      <c r="AB982" s="247"/>
      <c r="AC982" s="247"/>
    </row>
    <row r="983">
      <c r="A983" s="247"/>
      <c r="B983" s="247"/>
      <c r="C983" s="247"/>
      <c r="D983" s="249"/>
      <c r="E983" s="250"/>
      <c r="F983" s="248"/>
      <c r="G983" s="248"/>
      <c r="H983" s="251"/>
      <c r="I983" s="247"/>
      <c r="J983" s="247"/>
      <c r="K983" s="247"/>
      <c r="L983" s="247"/>
      <c r="M983" s="247"/>
      <c r="N983" s="247"/>
      <c r="O983" s="247"/>
      <c r="P983" s="247"/>
      <c r="Q983" s="247"/>
      <c r="R983" s="247"/>
      <c r="S983" s="247"/>
      <c r="T983" s="247"/>
      <c r="U983" s="247"/>
      <c r="V983" s="247"/>
      <c r="W983" s="247"/>
      <c r="X983" s="247"/>
      <c r="Y983" s="247"/>
      <c r="Z983" s="247"/>
      <c r="AA983" s="247"/>
      <c r="AB983" s="247"/>
      <c r="AC983" s="247"/>
    </row>
    <row r="984">
      <c r="A984" s="247"/>
      <c r="B984" s="247"/>
      <c r="C984" s="247"/>
      <c r="D984" s="249"/>
      <c r="E984" s="250"/>
      <c r="F984" s="248"/>
      <c r="G984" s="248"/>
      <c r="H984" s="251"/>
      <c r="I984" s="247"/>
      <c r="J984" s="247"/>
      <c r="K984" s="247"/>
      <c r="L984" s="247"/>
      <c r="M984" s="247"/>
      <c r="N984" s="247"/>
      <c r="O984" s="247"/>
      <c r="P984" s="247"/>
      <c r="Q984" s="247"/>
      <c r="R984" s="247"/>
      <c r="S984" s="247"/>
      <c r="T984" s="247"/>
      <c r="U984" s="247"/>
      <c r="V984" s="247"/>
      <c r="W984" s="247"/>
      <c r="X984" s="247"/>
      <c r="Y984" s="247"/>
      <c r="Z984" s="247"/>
      <c r="AA984" s="247"/>
      <c r="AB984" s="247"/>
      <c r="AC984" s="247"/>
    </row>
    <row r="985">
      <c r="A985" s="247"/>
      <c r="B985" s="247"/>
      <c r="C985" s="247"/>
      <c r="D985" s="249"/>
      <c r="E985" s="250"/>
      <c r="F985" s="248"/>
      <c r="G985" s="248"/>
      <c r="H985" s="251"/>
      <c r="I985" s="247"/>
      <c r="J985" s="247"/>
      <c r="K985" s="247"/>
      <c r="L985" s="247"/>
      <c r="M985" s="247"/>
      <c r="N985" s="247"/>
      <c r="O985" s="247"/>
      <c r="P985" s="247"/>
      <c r="Q985" s="247"/>
      <c r="R985" s="247"/>
      <c r="S985" s="247"/>
      <c r="T985" s="247"/>
      <c r="U985" s="247"/>
      <c r="V985" s="247"/>
      <c r="W985" s="247"/>
      <c r="X985" s="247"/>
      <c r="Y985" s="247"/>
      <c r="Z985" s="247"/>
      <c r="AA985" s="247"/>
      <c r="AB985" s="247"/>
      <c r="AC985" s="247"/>
    </row>
    <row r="986">
      <c r="A986" s="247"/>
      <c r="B986" s="247"/>
      <c r="C986" s="247"/>
      <c r="D986" s="249"/>
      <c r="E986" s="250"/>
      <c r="F986" s="248"/>
      <c r="G986" s="248"/>
      <c r="H986" s="251"/>
      <c r="I986" s="247"/>
      <c r="J986" s="247"/>
      <c r="K986" s="247"/>
      <c r="L986" s="247"/>
      <c r="M986" s="247"/>
      <c r="N986" s="247"/>
      <c r="O986" s="247"/>
      <c r="P986" s="247"/>
      <c r="Q986" s="247"/>
      <c r="R986" s="247"/>
      <c r="S986" s="247"/>
      <c r="T986" s="247"/>
      <c r="U986" s="247"/>
      <c r="V986" s="247"/>
      <c r="W986" s="247"/>
      <c r="X986" s="247"/>
      <c r="Y986" s="247"/>
      <c r="Z986" s="247"/>
      <c r="AA986" s="247"/>
      <c r="AB986" s="247"/>
      <c r="AC986" s="247"/>
    </row>
    <row r="987">
      <c r="A987" s="247"/>
      <c r="B987" s="247"/>
      <c r="C987" s="247"/>
      <c r="D987" s="249"/>
      <c r="E987" s="250"/>
      <c r="F987" s="248"/>
      <c r="G987" s="248"/>
      <c r="H987" s="251"/>
      <c r="I987" s="247"/>
      <c r="J987" s="247"/>
      <c r="K987" s="247"/>
      <c r="L987" s="247"/>
      <c r="M987" s="247"/>
      <c r="N987" s="247"/>
      <c r="O987" s="247"/>
      <c r="P987" s="247"/>
      <c r="Q987" s="247"/>
      <c r="R987" s="247"/>
      <c r="S987" s="247"/>
      <c r="T987" s="247"/>
      <c r="U987" s="247"/>
      <c r="V987" s="247"/>
      <c r="W987" s="247"/>
      <c r="X987" s="247"/>
      <c r="Y987" s="247"/>
      <c r="Z987" s="247"/>
      <c r="AA987" s="247"/>
      <c r="AB987" s="247"/>
      <c r="AC987" s="247"/>
    </row>
    <row r="988">
      <c r="A988" s="247"/>
      <c r="B988" s="247"/>
      <c r="C988" s="247"/>
      <c r="D988" s="249"/>
      <c r="E988" s="250"/>
      <c r="F988" s="248"/>
      <c r="G988" s="248"/>
      <c r="H988" s="251"/>
      <c r="I988" s="247"/>
      <c r="J988" s="247"/>
      <c r="K988" s="247"/>
      <c r="L988" s="247"/>
      <c r="M988" s="247"/>
      <c r="N988" s="247"/>
      <c r="O988" s="247"/>
      <c r="P988" s="247"/>
      <c r="Q988" s="247"/>
      <c r="R988" s="247"/>
      <c r="S988" s="247"/>
      <c r="T988" s="247"/>
      <c r="U988" s="247"/>
      <c r="V988" s="247"/>
      <c r="W988" s="247"/>
      <c r="X988" s="247"/>
      <c r="Y988" s="247"/>
      <c r="Z988" s="247"/>
      <c r="AA988" s="247"/>
      <c r="AB988" s="247"/>
      <c r="AC988" s="247"/>
    </row>
    <row r="989">
      <c r="A989" s="247"/>
      <c r="B989" s="247"/>
      <c r="C989" s="247"/>
      <c r="D989" s="249"/>
      <c r="E989" s="250"/>
      <c r="F989" s="248"/>
      <c r="G989" s="248"/>
      <c r="H989" s="251"/>
      <c r="I989" s="247"/>
      <c r="J989" s="247"/>
      <c r="K989" s="247"/>
      <c r="L989" s="247"/>
      <c r="M989" s="247"/>
      <c r="N989" s="247"/>
      <c r="O989" s="247"/>
      <c r="P989" s="247"/>
      <c r="Q989" s="247"/>
      <c r="R989" s="247"/>
      <c r="S989" s="247"/>
      <c r="T989" s="247"/>
      <c r="U989" s="247"/>
      <c r="V989" s="247"/>
      <c r="W989" s="247"/>
      <c r="X989" s="247"/>
      <c r="Y989" s="247"/>
      <c r="Z989" s="247"/>
      <c r="AA989" s="247"/>
      <c r="AB989" s="247"/>
      <c r="AC989" s="247"/>
    </row>
    <row r="990">
      <c r="A990" s="247"/>
      <c r="B990" s="247"/>
      <c r="C990" s="247"/>
      <c r="D990" s="249"/>
      <c r="E990" s="250"/>
      <c r="F990" s="248"/>
      <c r="G990" s="248"/>
      <c r="H990" s="251"/>
      <c r="I990" s="247"/>
      <c r="J990" s="247"/>
      <c r="K990" s="247"/>
      <c r="L990" s="247"/>
      <c r="M990" s="247"/>
      <c r="N990" s="247"/>
      <c r="O990" s="247"/>
      <c r="P990" s="247"/>
      <c r="Q990" s="247"/>
      <c r="R990" s="247"/>
      <c r="S990" s="247"/>
      <c r="T990" s="247"/>
      <c r="U990" s="247"/>
      <c r="V990" s="247"/>
      <c r="W990" s="247"/>
      <c r="X990" s="247"/>
      <c r="Y990" s="247"/>
      <c r="Z990" s="247"/>
      <c r="AA990" s="247"/>
      <c r="AB990" s="247"/>
      <c r="AC990" s="247"/>
    </row>
    <row r="991">
      <c r="A991" s="247"/>
      <c r="B991" s="247"/>
      <c r="C991" s="247"/>
      <c r="D991" s="249"/>
      <c r="E991" s="250"/>
      <c r="F991" s="248"/>
      <c r="G991" s="248"/>
      <c r="H991" s="251"/>
      <c r="I991" s="247"/>
      <c r="J991" s="247"/>
      <c r="K991" s="247"/>
      <c r="L991" s="247"/>
      <c r="M991" s="247"/>
      <c r="N991" s="247"/>
      <c r="O991" s="247"/>
      <c r="P991" s="247"/>
      <c r="Q991" s="247"/>
      <c r="R991" s="247"/>
      <c r="S991" s="247"/>
      <c r="T991" s="247"/>
      <c r="U991" s="247"/>
      <c r="V991" s="247"/>
      <c r="W991" s="247"/>
      <c r="X991" s="247"/>
      <c r="Y991" s="247"/>
      <c r="Z991" s="247"/>
      <c r="AA991" s="247"/>
      <c r="AB991" s="247"/>
      <c r="AC991" s="247"/>
    </row>
    <row r="992">
      <c r="A992" s="247"/>
      <c r="B992" s="247"/>
      <c r="C992" s="247"/>
      <c r="D992" s="249"/>
      <c r="E992" s="250"/>
      <c r="F992" s="248"/>
      <c r="G992" s="248"/>
      <c r="H992" s="251"/>
      <c r="I992" s="247"/>
      <c r="J992" s="247"/>
      <c r="K992" s="247"/>
      <c r="L992" s="247"/>
      <c r="M992" s="247"/>
      <c r="N992" s="247"/>
      <c r="O992" s="247"/>
      <c r="P992" s="247"/>
      <c r="Q992" s="247"/>
      <c r="R992" s="247"/>
      <c r="S992" s="247"/>
      <c r="T992" s="247"/>
      <c r="U992" s="247"/>
      <c r="V992" s="247"/>
      <c r="W992" s="247"/>
      <c r="X992" s="247"/>
      <c r="Y992" s="247"/>
      <c r="Z992" s="247"/>
      <c r="AA992" s="247"/>
      <c r="AB992" s="247"/>
      <c r="AC992" s="247"/>
    </row>
    <row r="993">
      <c r="A993" s="247"/>
      <c r="B993" s="247"/>
      <c r="C993" s="247"/>
      <c r="D993" s="249"/>
      <c r="E993" s="250"/>
      <c r="F993" s="248"/>
      <c r="G993" s="248"/>
      <c r="H993" s="251"/>
      <c r="I993" s="247"/>
      <c r="J993" s="247"/>
      <c r="K993" s="247"/>
      <c r="L993" s="247"/>
      <c r="M993" s="247"/>
      <c r="N993" s="247"/>
      <c r="O993" s="247"/>
      <c r="P993" s="247"/>
      <c r="Q993" s="247"/>
      <c r="R993" s="247"/>
      <c r="S993" s="247"/>
      <c r="T993" s="247"/>
      <c r="U993" s="247"/>
      <c r="V993" s="247"/>
      <c r="W993" s="247"/>
      <c r="X993" s="247"/>
      <c r="Y993" s="247"/>
      <c r="Z993" s="247"/>
      <c r="AA993" s="247"/>
      <c r="AB993" s="247"/>
      <c r="AC993" s="247"/>
    </row>
    <row r="994">
      <c r="A994" s="247"/>
      <c r="B994" s="247"/>
      <c r="C994" s="247"/>
      <c r="D994" s="249"/>
      <c r="E994" s="250"/>
      <c r="F994" s="248"/>
      <c r="G994" s="248"/>
      <c r="H994" s="251"/>
      <c r="I994" s="247"/>
      <c r="J994" s="247"/>
      <c r="K994" s="247"/>
      <c r="L994" s="247"/>
      <c r="M994" s="247"/>
      <c r="N994" s="247"/>
      <c r="O994" s="247"/>
      <c r="P994" s="247"/>
      <c r="Q994" s="247"/>
      <c r="R994" s="247"/>
      <c r="S994" s="247"/>
      <c r="T994" s="247"/>
      <c r="U994" s="247"/>
      <c r="V994" s="247"/>
      <c r="W994" s="247"/>
      <c r="X994" s="247"/>
      <c r="Y994" s="247"/>
      <c r="Z994" s="247"/>
      <c r="AA994" s="247"/>
      <c r="AB994" s="247"/>
      <c r="AC994" s="247"/>
    </row>
    <row r="995">
      <c r="A995" s="247"/>
      <c r="B995" s="247"/>
      <c r="C995" s="247"/>
      <c r="D995" s="249"/>
      <c r="E995" s="250"/>
      <c r="F995" s="248"/>
      <c r="G995" s="248"/>
      <c r="H995" s="251"/>
      <c r="I995" s="247"/>
      <c r="J995" s="247"/>
      <c r="K995" s="247"/>
      <c r="L995" s="247"/>
      <c r="M995" s="247"/>
      <c r="N995" s="247"/>
      <c r="O995" s="247"/>
      <c r="P995" s="247"/>
      <c r="Q995" s="247"/>
      <c r="R995" s="247"/>
      <c r="S995" s="247"/>
      <c r="T995" s="247"/>
      <c r="U995" s="247"/>
      <c r="V995" s="247"/>
      <c r="W995" s="247"/>
      <c r="X995" s="247"/>
      <c r="Y995" s="247"/>
      <c r="Z995" s="247"/>
      <c r="AA995" s="247"/>
      <c r="AB995" s="247"/>
      <c r="AC995" s="247"/>
    </row>
    <row r="996">
      <c r="A996" s="247"/>
      <c r="B996" s="247"/>
      <c r="C996" s="247"/>
      <c r="D996" s="249"/>
      <c r="E996" s="250"/>
      <c r="F996" s="248"/>
      <c r="G996" s="248"/>
      <c r="H996" s="251"/>
      <c r="I996" s="247"/>
      <c r="J996" s="247"/>
      <c r="K996" s="247"/>
      <c r="L996" s="247"/>
      <c r="M996" s="247"/>
      <c r="N996" s="247"/>
      <c r="O996" s="247"/>
      <c r="P996" s="247"/>
      <c r="Q996" s="247"/>
      <c r="R996" s="247"/>
      <c r="S996" s="247"/>
      <c r="T996" s="247"/>
      <c r="U996" s="247"/>
      <c r="V996" s="247"/>
      <c r="W996" s="247"/>
      <c r="X996" s="247"/>
      <c r="Y996" s="247"/>
      <c r="Z996" s="247"/>
      <c r="AA996" s="247"/>
      <c r="AB996" s="247"/>
      <c r="AC996" s="247"/>
    </row>
    <row r="997">
      <c r="A997" s="247"/>
      <c r="B997" s="247"/>
      <c r="C997" s="247"/>
      <c r="D997" s="249"/>
      <c r="E997" s="250"/>
      <c r="F997" s="248"/>
      <c r="G997" s="248"/>
      <c r="H997" s="251"/>
      <c r="I997" s="247"/>
      <c r="J997" s="247"/>
      <c r="K997" s="247"/>
      <c r="L997" s="247"/>
      <c r="M997" s="247"/>
      <c r="N997" s="247"/>
      <c r="O997" s="247"/>
      <c r="P997" s="247"/>
      <c r="Q997" s="247"/>
      <c r="R997" s="247"/>
      <c r="S997" s="247"/>
      <c r="T997" s="247"/>
      <c r="U997" s="247"/>
      <c r="V997" s="247"/>
      <c r="W997" s="247"/>
      <c r="X997" s="247"/>
      <c r="Y997" s="247"/>
      <c r="Z997" s="247"/>
      <c r="AA997" s="247"/>
      <c r="AB997" s="247"/>
      <c r="AC997" s="247"/>
    </row>
    <row r="998">
      <c r="A998" s="247"/>
      <c r="B998" s="247"/>
      <c r="C998" s="247"/>
      <c r="D998" s="249"/>
      <c r="E998" s="250"/>
      <c r="F998" s="248"/>
      <c r="G998" s="248"/>
      <c r="H998" s="251"/>
      <c r="I998" s="247"/>
      <c r="J998" s="247"/>
      <c r="K998" s="247"/>
      <c r="L998" s="247"/>
      <c r="M998" s="247"/>
      <c r="N998" s="247"/>
      <c r="O998" s="247"/>
      <c r="P998" s="247"/>
      <c r="Q998" s="247"/>
      <c r="R998" s="247"/>
      <c r="S998" s="247"/>
      <c r="T998" s="247"/>
      <c r="U998" s="247"/>
      <c r="V998" s="247"/>
      <c r="W998" s="247"/>
      <c r="X998" s="247"/>
      <c r="Y998" s="247"/>
      <c r="Z998" s="247"/>
      <c r="AA998" s="247"/>
      <c r="AB998" s="247"/>
      <c r="AC998" s="247"/>
    </row>
    <row r="999">
      <c r="A999" s="247"/>
      <c r="B999" s="247"/>
      <c r="C999" s="247"/>
      <c r="D999" s="249"/>
      <c r="E999" s="250"/>
      <c r="F999" s="248"/>
      <c r="G999" s="248"/>
      <c r="H999" s="251"/>
      <c r="I999" s="247"/>
      <c r="J999" s="247"/>
      <c r="K999" s="247"/>
      <c r="L999" s="247"/>
      <c r="M999" s="247"/>
      <c r="N999" s="247"/>
      <c r="O999" s="247"/>
      <c r="P999" s="247"/>
      <c r="Q999" s="247"/>
      <c r="R999" s="247"/>
      <c r="S999" s="247"/>
      <c r="T999" s="247"/>
      <c r="U999" s="247"/>
      <c r="V999" s="247"/>
      <c r="W999" s="247"/>
      <c r="X999" s="247"/>
      <c r="Y999" s="247"/>
      <c r="Z999" s="247"/>
      <c r="AA999" s="247"/>
      <c r="AB999" s="247"/>
      <c r="AC999" s="247"/>
    </row>
    <row r="1000">
      <c r="A1000" s="247"/>
      <c r="B1000" s="247"/>
      <c r="C1000" s="247"/>
      <c r="D1000" s="249"/>
      <c r="E1000" s="250"/>
      <c r="F1000" s="248"/>
      <c r="G1000" s="248"/>
      <c r="H1000" s="251"/>
      <c r="I1000" s="247"/>
      <c r="J1000" s="247"/>
      <c r="K1000" s="247"/>
      <c r="L1000" s="247"/>
      <c r="M1000" s="247"/>
      <c r="N1000" s="247"/>
      <c r="O1000" s="247"/>
      <c r="P1000" s="247"/>
      <c r="Q1000" s="247"/>
      <c r="R1000" s="247"/>
      <c r="S1000" s="247"/>
      <c r="T1000" s="247"/>
      <c r="U1000" s="247"/>
      <c r="V1000" s="247"/>
      <c r="W1000" s="247"/>
      <c r="X1000" s="247"/>
      <c r="Y1000" s="247"/>
      <c r="Z1000" s="247"/>
      <c r="AA1000" s="247"/>
      <c r="AB1000" s="247"/>
      <c r="AC1000" s="247"/>
    </row>
  </sheetData>
  <dataValidations>
    <dataValidation type="list" allowBlank="1" showErrorMessage="1" sqref="C2:C1000">
      <formula1>"Venda desalinhada,Problema de execução,Problema com terceirizada,Problema pessoal do cliente,Cliente louco"</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2" max="2" width="13.13"/>
    <col customWidth="1" min="7" max="8" width="11.63"/>
    <col customWidth="1" min="9" max="9" width="12.0"/>
    <col customWidth="1" min="10" max="10" width="13.38"/>
    <col customWidth="1" min="11" max="11" width="14.0"/>
    <col hidden="1" min="14" max="22" width="12.63"/>
  </cols>
  <sheetData>
    <row r="1">
      <c r="A1" s="252" t="s">
        <v>448</v>
      </c>
      <c r="M1" s="253"/>
      <c r="N1" s="253"/>
      <c r="O1" s="253"/>
      <c r="P1" s="253"/>
      <c r="Q1" s="253"/>
      <c r="R1" s="253"/>
      <c r="S1" s="253"/>
      <c r="T1" s="253"/>
      <c r="U1" s="253"/>
      <c r="V1" s="253"/>
    </row>
    <row r="2">
      <c r="M2" s="253"/>
      <c r="N2" s="253"/>
      <c r="O2" s="253"/>
      <c r="P2" s="253"/>
      <c r="Q2" s="253"/>
      <c r="R2" s="253"/>
      <c r="S2" s="253"/>
      <c r="T2" s="253"/>
      <c r="U2" s="253"/>
      <c r="V2" s="253"/>
    </row>
    <row r="3">
      <c r="M3" s="253"/>
      <c r="N3" s="253"/>
      <c r="O3" s="253"/>
      <c r="P3" s="253"/>
      <c r="Q3" s="253"/>
      <c r="R3" s="253"/>
      <c r="S3" s="253"/>
      <c r="T3" s="253"/>
      <c r="U3" s="253"/>
      <c r="V3" s="253"/>
    </row>
    <row r="4">
      <c r="M4" s="253"/>
      <c r="N4" s="253"/>
      <c r="O4" s="253"/>
      <c r="P4" s="253"/>
      <c r="Q4" s="253"/>
      <c r="R4" s="253"/>
      <c r="S4" s="253"/>
      <c r="T4" s="253"/>
      <c r="U4" s="253"/>
      <c r="V4" s="253"/>
    </row>
    <row r="5">
      <c r="A5" s="254"/>
      <c r="B5" s="254"/>
      <c r="C5" s="254"/>
      <c r="D5" s="254"/>
      <c r="E5" s="254"/>
      <c r="F5" s="254"/>
      <c r="G5" s="254"/>
      <c r="H5" s="254"/>
      <c r="I5" s="254"/>
      <c r="J5" s="254"/>
      <c r="K5" s="254"/>
      <c r="L5" s="254"/>
      <c r="M5" s="254"/>
      <c r="N5" s="254"/>
      <c r="O5" s="254"/>
      <c r="P5" s="254"/>
      <c r="Q5" s="254"/>
      <c r="R5" s="254"/>
      <c r="S5" s="254"/>
      <c r="T5" s="254"/>
      <c r="U5" s="254"/>
      <c r="V5" s="254"/>
    </row>
    <row r="6">
      <c r="A6" s="254"/>
      <c r="B6" s="254"/>
      <c r="C6" s="255"/>
      <c r="D6" s="254"/>
      <c r="E6" s="254"/>
      <c r="F6" s="255"/>
      <c r="G6" s="254"/>
      <c r="H6" s="254"/>
      <c r="I6" s="255"/>
      <c r="J6" s="254"/>
      <c r="K6" s="254"/>
      <c r="L6" s="255"/>
      <c r="M6" s="254"/>
      <c r="N6" s="254"/>
      <c r="O6" s="255"/>
      <c r="P6" s="254"/>
      <c r="Q6" s="254"/>
      <c r="R6" s="255"/>
      <c r="S6" s="254"/>
      <c r="T6" s="254"/>
      <c r="U6" s="255"/>
      <c r="V6" s="254"/>
    </row>
    <row r="7">
      <c r="A7" s="254"/>
      <c r="B7" s="256" t="s">
        <v>44</v>
      </c>
      <c r="D7" s="254"/>
      <c r="E7" s="257" t="s">
        <v>116</v>
      </c>
      <c r="G7" s="254"/>
      <c r="H7" s="258" t="s">
        <v>187</v>
      </c>
      <c r="J7" s="254"/>
      <c r="K7" s="259" t="s">
        <v>36</v>
      </c>
      <c r="L7" s="260"/>
      <c r="M7" s="254"/>
      <c r="N7" s="261"/>
      <c r="O7" s="262"/>
      <c r="P7" s="254"/>
      <c r="Q7" s="261"/>
      <c r="R7" s="262"/>
      <c r="S7" s="254"/>
      <c r="T7" s="261"/>
      <c r="U7" s="262"/>
      <c r="V7" s="254"/>
    </row>
    <row r="8">
      <c r="A8" s="254"/>
      <c r="B8" s="263" t="s">
        <v>449</v>
      </c>
      <c r="C8" s="264">
        <f>SUM(C16:C22)</f>
        <v>1</v>
      </c>
      <c r="D8" s="254"/>
      <c r="E8" s="263" t="s">
        <v>449</v>
      </c>
      <c r="F8" s="264">
        <f>SUM(F16:F22)</f>
        <v>0</v>
      </c>
      <c r="G8" s="254"/>
      <c r="H8" s="263" t="s">
        <v>449</v>
      </c>
      <c r="I8" s="264">
        <f>SUM(I16:I22)</f>
        <v>1</v>
      </c>
      <c r="J8" s="254"/>
      <c r="K8" s="265" t="s">
        <v>449</v>
      </c>
      <c r="L8" s="266">
        <f>SUM(L16:L22)</f>
        <v>0</v>
      </c>
      <c r="M8" s="254"/>
      <c r="N8" s="267" t="s">
        <v>449</v>
      </c>
      <c r="O8" s="268">
        <f>SUM(O16:O21)</f>
        <v>0</v>
      </c>
      <c r="P8" s="254"/>
      <c r="Q8" s="267" t="s">
        <v>449</v>
      </c>
      <c r="R8" s="268">
        <f>SUM(R16:R21)</f>
        <v>0</v>
      </c>
      <c r="S8" s="254"/>
      <c r="T8" s="267" t="s">
        <v>449</v>
      </c>
      <c r="U8" s="268">
        <f>SUM(U16:U21)</f>
        <v>0</v>
      </c>
      <c r="V8" s="254"/>
    </row>
    <row r="9">
      <c r="A9" s="254"/>
      <c r="B9" s="269" t="s">
        <v>450</v>
      </c>
      <c r="C9" s="264">
        <f>SUM(C14:C15)</f>
        <v>2</v>
      </c>
      <c r="D9" s="254"/>
      <c r="E9" s="269" t="s">
        <v>450</v>
      </c>
      <c r="F9" s="264">
        <f>SUM(F14:F15)</f>
        <v>8</v>
      </c>
      <c r="G9" s="254"/>
      <c r="H9" s="269" t="s">
        <v>450</v>
      </c>
      <c r="I9" s="264">
        <f>SUM(I14:I15)</f>
        <v>6</v>
      </c>
      <c r="J9" s="254"/>
      <c r="K9" s="270" t="s">
        <v>450</v>
      </c>
      <c r="L9" s="266">
        <f>SUM(L14:L15)</f>
        <v>2</v>
      </c>
      <c r="M9" s="254"/>
      <c r="N9" s="271" t="s">
        <v>450</v>
      </c>
      <c r="O9" s="268">
        <f>SUM(O14:O15)</f>
        <v>0</v>
      </c>
      <c r="P9" s="254"/>
      <c r="Q9" s="271" t="s">
        <v>450</v>
      </c>
      <c r="R9" s="268">
        <f>SUM(R14:R15)</f>
        <v>0</v>
      </c>
      <c r="S9" s="254"/>
      <c r="T9" s="271" t="s">
        <v>450</v>
      </c>
      <c r="U9" s="268">
        <f>SUM(U14:U15)</f>
        <v>0</v>
      </c>
      <c r="V9" s="254"/>
    </row>
    <row r="10">
      <c r="A10" s="254"/>
      <c r="B10" s="272" t="s">
        <v>451</v>
      </c>
      <c r="C10" s="264">
        <f>SUM(C12:C13)</f>
        <v>6</v>
      </c>
      <c r="D10" s="254"/>
      <c r="E10" s="272" t="s">
        <v>451</v>
      </c>
      <c r="F10" s="264">
        <f>SUM(F12:F13)</f>
        <v>22</v>
      </c>
      <c r="G10" s="254"/>
      <c r="H10" s="272" t="s">
        <v>451</v>
      </c>
      <c r="I10" s="264">
        <f>SUM(I12:I13)</f>
        <v>14</v>
      </c>
      <c r="J10" s="254"/>
      <c r="K10" s="273" t="s">
        <v>451</v>
      </c>
      <c r="L10" s="266">
        <f>SUM(L12:L13)</f>
        <v>9</v>
      </c>
      <c r="M10" s="254"/>
      <c r="N10" s="274" t="s">
        <v>451</v>
      </c>
      <c r="O10" s="268">
        <f>SUM(O12:O13)</f>
        <v>0</v>
      </c>
      <c r="P10" s="254"/>
      <c r="Q10" s="274" t="s">
        <v>451</v>
      </c>
      <c r="R10" s="268">
        <f>SUM(R12:R13)</f>
        <v>0</v>
      </c>
      <c r="S10" s="254"/>
      <c r="T10" s="274" t="s">
        <v>451</v>
      </c>
      <c r="U10" s="268">
        <f>SUM(U12:U13)</f>
        <v>0</v>
      </c>
      <c r="V10" s="254"/>
    </row>
    <row r="11">
      <c r="A11" s="275"/>
      <c r="B11" s="276" t="s">
        <v>452</v>
      </c>
      <c r="C11" s="276" t="s">
        <v>453</v>
      </c>
      <c r="D11" s="277"/>
      <c r="E11" s="276" t="s">
        <v>452</v>
      </c>
      <c r="F11" s="276" t="s">
        <v>453</v>
      </c>
      <c r="G11" s="277"/>
      <c r="H11" s="276" t="s">
        <v>452</v>
      </c>
      <c r="I11" s="276" t="s">
        <v>453</v>
      </c>
      <c r="J11" s="277"/>
      <c r="K11" s="278" t="s">
        <v>452</v>
      </c>
      <c r="L11" s="278" t="s">
        <v>453</v>
      </c>
      <c r="M11" s="277"/>
      <c r="N11" s="279" t="s">
        <v>452</v>
      </c>
      <c r="O11" s="279" t="s">
        <v>453</v>
      </c>
      <c r="P11" s="277"/>
      <c r="Q11" s="279" t="s">
        <v>452</v>
      </c>
      <c r="R11" s="279" t="s">
        <v>453</v>
      </c>
      <c r="S11" s="277"/>
      <c r="T11" s="279" t="s">
        <v>452</v>
      </c>
      <c r="U11" s="279" t="s">
        <v>453</v>
      </c>
      <c r="V11" s="277"/>
    </row>
    <row r="12">
      <c r="A12" s="254"/>
      <c r="B12" s="264">
        <v>10.0</v>
      </c>
      <c r="C12" s="264">
        <f>COUNTIFS(Base!$S:$S,B12,Base!$B:$B,$B$7)</f>
        <v>2</v>
      </c>
      <c r="D12" s="254"/>
      <c r="E12" s="264">
        <v>10.0</v>
      </c>
      <c r="F12" s="264">
        <f>COUNTIFS(Base!$S:$S,E12,Base!$B:$B,$E$7)</f>
        <v>16</v>
      </c>
      <c r="G12" s="254"/>
      <c r="H12" s="264">
        <v>10.0</v>
      </c>
      <c r="I12" s="264">
        <f>COUNTIFS(Base!$S:$S,H12,Base!$B:$B,$H$7)</f>
        <v>8</v>
      </c>
      <c r="J12" s="254"/>
      <c r="K12" s="266">
        <v>10.0</v>
      </c>
      <c r="L12" s="266">
        <f>COUNTIFS(Base!$S:$S,K12,Base!$B:$B,$K$7) + COUNTIFS(Base!$AG:$AG,K12,Base!$B:$B,$K$7)</f>
        <v>7</v>
      </c>
      <c r="M12" s="254"/>
      <c r="N12" s="268">
        <v>10.0</v>
      </c>
      <c r="O12" s="268">
        <f t="shared" ref="O12:O21" si="1">COUNTIFS('NPS Final'!$H:$H,N12,'NPS Final'!$D:$D,$N$7)</f>
        <v>0</v>
      </c>
      <c r="P12" s="254"/>
      <c r="Q12" s="268">
        <v>10.0</v>
      </c>
      <c r="R12" s="268">
        <f t="shared" ref="R12:R21" si="2">COUNTIFS('NPS Final'!$H:$H,Q12,'NPS Final'!$D:$D,$Q$7)</f>
        <v>0</v>
      </c>
      <c r="S12" s="254"/>
      <c r="T12" s="268">
        <v>10.0</v>
      </c>
      <c r="U12" s="268">
        <f t="shared" ref="U12:U21" si="3">COUNTIFS('NPS Final'!$H:$H,T12,'NPS Final'!$D:$D,$T$7)</f>
        <v>0</v>
      </c>
      <c r="V12" s="254"/>
    </row>
    <row r="13">
      <c r="A13" s="254"/>
      <c r="B13" s="264">
        <v>9.0</v>
      </c>
      <c r="C13" s="264">
        <f>COUNTIFS(Base!$S:$S,B13,Base!$B:$B,$B$7)</f>
        <v>4</v>
      </c>
      <c r="D13" s="254"/>
      <c r="E13" s="264">
        <v>9.0</v>
      </c>
      <c r="F13" s="264">
        <f>COUNTIFS(Base!$S:$S,E13,Base!$B:$B,$E$7)</f>
        <v>6</v>
      </c>
      <c r="G13" s="254"/>
      <c r="H13" s="264">
        <v>9.0</v>
      </c>
      <c r="I13" s="264">
        <f>COUNTIFS(Base!$S:$S,H13,Base!$B:$B,$H$7)</f>
        <v>6</v>
      </c>
      <c r="J13" s="254"/>
      <c r="K13" s="266">
        <v>9.0</v>
      </c>
      <c r="L13" s="266">
        <f>COUNTIFS(Base!$S:$S,K13,Base!$B:$B,$K$7) + COUNTIFS(Base!$AG:$AG,K13,Base!$B:$B,$K$7)</f>
        <v>2</v>
      </c>
      <c r="M13" s="254"/>
      <c r="N13" s="268">
        <v>9.0</v>
      </c>
      <c r="O13" s="268">
        <f t="shared" si="1"/>
        <v>0</v>
      </c>
      <c r="P13" s="254"/>
      <c r="Q13" s="268">
        <v>9.0</v>
      </c>
      <c r="R13" s="268">
        <f t="shared" si="2"/>
        <v>0</v>
      </c>
      <c r="S13" s="254"/>
      <c r="T13" s="268">
        <v>9.0</v>
      </c>
      <c r="U13" s="268">
        <f t="shared" si="3"/>
        <v>0</v>
      </c>
      <c r="V13" s="254"/>
    </row>
    <row r="14">
      <c r="A14" s="254"/>
      <c r="B14" s="264">
        <v>8.0</v>
      </c>
      <c r="C14" s="264">
        <f>COUNTIFS(Base!$S:$S,B14,Base!$B:$B,$B$7)</f>
        <v>2</v>
      </c>
      <c r="D14" s="254"/>
      <c r="E14" s="264">
        <v>8.0</v>
      </c>
      <c r="F14" s="264">
        <f>COUNTIFS(Base!$S:$S,E14,Base!$B:$B,$E$7)</f>
        <v>7</v>
      </c>
      <c r="G14" s="254"/>
      <c r="H14" s="264">
        <v>8.0</v>
      </c>
      <c r="I14" s="264">
        <f>COUNTIFS(Base!$S:$S,H14,Base!$B:$B,$H$7)</f>
        <v>3</v>
      </c>
      <c r="J14" s="254"/>
      <c r="K14" s="266">
        <v>8.0</v>
      </c>
      <c r="L14" s="266">
        <f>COUNTIFS(Base!$S:$S,K14,Base!$B:$B,$K$7) + COUNTIFS(Base!$AG:$AG,K14,Base!$B:$B,$K$7)</f>
        <v>2</v>
      </c>
      <c r="M14" s="254"/>
      <c r="N14" s="268">
        <v>8.0</v>
      </c>
      <c r="O14" s="268">
        <f t="shared" si="1"/>
        <v>0</v>
      </c>
      <c r="P14" s="254"/>
      <c r="Q14" s="268">
        <v>8.0</v>
      </c>
      <c r="R14" s="268">
        <f t="shared" si="2"/>
        <v>0</v>
      </c>
      <c r="S14" s="254"/>
      <c r="T14" s="268">
        <v>8.0</v>
      </c>
      <c r="U14" s="268">
        <f t="shared" si="3"/>
        <v>0</v>
      </c>
      <c r="V14" s="254"/>
    </row>
    <row r="15" ht="21.75" customHeight="1">
      <c r="A15" s="254"/>
      <c r="B15" s="264">
        <v>7.0</v>
      </c>
      <c r="C15" s="264">
        <f>COUNTIFS(Base!$S:$S,B15,Base!$B:$B,$B$7)</f>
        <v>0</v>
      </c>
      <c r="D15" s="254"/>
      <c r="E15" s="264">
        <v>7.0</v>
      </c>
      <c r="F15" s="264">
        <f>COUNTIFS(Base!$S:$S,E15,Base!$B:$B,$E$7)</f>
        <v>1</v>
      </c>
      <c r="G15" s="254"/>
      <c r="H15" s="264">
        <v>7.0</v>
      </c>
      <c r="I15" s="264">
        <f>COUNTIFS(Base!$S:$S,H15,Base!$B:$B,$H$7)</f>
        <v>3</v>
      </c>
      <c r="J15" s="254"/>
      <c r="K15" s="266">
        <v>7.0</v>
      </c>
      <c r="L15" s="266">
        <f>COUNTIFS(Base!$S:$S,K15,Base!$B:$B,$K$7) + COUNTIFS(Base!$AG:$AG,K15,Base!$B:$B,$K$7)</f>
        <v>0</v>
      </c>
      <c r="M15" s="254"/>
      <c r="N15" s="268">
        <v>7.0</v>
      </c>
      <c r="O15" s="268">
        <f t="shared" si="1"/>
        <v>0</v>
      </c>
      <c r="P15" s="254"/>
      <c r="Q15" s="268">
        <v>7.0</v>
      </c>
      <c r="R15" s="268">
        <f t="shared" si="2"/>
        <v>0</v>
      </c>
      <c r="S15" s="254"/>
      <c r="T15" s="268">
        <v>7.0</v>
      </c>
      <c r="U15" s="268">
        <f t="shared" si="3"/>
        <v>0</v>
      </c>
      <c r="V15" s="254"/>
    </row>
    <row r="16" ht="21.75" customHeight="1">
      <c r="A16" s="254"/>
      <c r="B16" s="264">
        <v>6.0</v>
      </c>
      <c r="C16" s="264">
        <f>COUNTIFS(Base!$S:$S,B16,Base!$B:$B,$B$7)</f>
        <v>0</v>
      </c>
      <c r="D16" s="254"/>
      <c r="E16" s="264">
        <v>6.0</v>
      </c>
      <c r="F16" s="264">
        <f>COUNTIFS(Base!$S:$S,E16,Base!$B:$B,$E$7)</f>
        <v>0</v>
      </c>
      <c r="G16" s="254"/>
      <c r="H16" s="264">
        <v>6.0</v>
      </c>
      <c r="I16" s="264">
        <f>COUNTIFS(Base!$S:$S,H16,Base!$B:$B,$H$7)</f>
        <v>0</v>
      </c>
      <c r="J16" s="254"/>
      <c r="K16" s="266">
        <v>6.0</v>
      </c>
      <c r="L16" s="266">
        <f>COUNTIFS(Base!$S:$S,K16,Base!$B:$B,$K$7) + COUNTIFS(Base!$AG:$AG,K16,Base!$B:$B,$K$7)</f>
        <v>0</v>
      </c>
      <c r="M16" s="254"/>
      <c r="N16" s="268">
        <v>6.0</v>
      </c>
      <c r="O16" s="268">
        <f t="shared" si="1"/>
        <v>0</v>
      </c>
      <c r="P16" s="254"/>
      <c r="Q16" s="268">
        <v>6.0</v>
      </c>
      <c r="R16" s="268">
        <f t="shared" si="2"/>
        <v>0</v>
      </c>
      <c r="S16" s="254"/>
      <c r="T16" s="268">
        <v>6.0</v>
      </c>
      <c r="U16" s="268">
        <f t="shared" si="3"/>
        <v>0</v>
      </c>
      <c r="V16" s="254"/>
    </row>
    <row r="17">
      <c r="A17" s="254"/>
      <c r="B17" s="264">
        <v>5.0</v>
      </c>
      <c r="C17" s="264">
        <f>COUNTIFS(Base!$S:$S,B17,Base!$B:$B,$B$7)</f>
        <v>0</v>
      </c>
      <c r="D17" s="254"/>
      <c r="E17" s="264">
        <v>5.0</v>
      </c>
      <c r="F17" s="264">
        <f>COUNTIFS(Base!$S:$S,E17,Base!$B:$B,$E$7)</f>
        <v>0</v>
      </c>
      <c r="G17" s="254"/>
      <c r="H17" s="264">
        <v>5.0</v>
      </c>
      <c r="I17" s="264">
        <f>COUNTIFS(Base!$S:$S,H17,Base!$B:$B,$H$7)</f>
        <v>0</v>
      </c>
      <c r="J17" s="254"/>
      <c r="K17" s="266">
        <v>5.0</v>
      </c>
      <c r="L17" s="266">
        <f>COUNTIFS(Base!$S:$S,K17,Base!$B:$B,$K$7) + COUNTIFS(Base!$AG:$AG,K17,Base!$B:$B,$K$7)</f>
        <v>0</v>
      </c>
      <c r="M17" s="254"/>
      <c r="N17" s="268">
        <v>5.0</v>
      </c>
      <c r="O17" s="268">
        <f t="shared" si="1"/>
        <v>0</v>
      </c>
      <c r="P17" s="254"/>
      <c r="Q17" s="268">
        <v>5.0</v>
      </c>
      <c r="R17" s="268">
        <f t="shared" si="2"/>
        <v>0</v>
      </c>
      <c r="S17" s="254"/>
      <c r="T17" s="268">
        <v>5.0</v>
      </c>
      <c r="U17" s="268">
        <f t="shared" si="3"/>
        <v>0</v>
      </c>
      <c r="V17" s="254"/>
    </row>
    <row r="18">
      <c r="A18" s="254"/>
      <c r="B18" s="264">
        <v>4.0</v>
      </c>
      <c r="C18" s="264">
        <f>COUNTIFS(Base!$S:$S,B18,Base!$B:$B,$B$7)</f>
        <v>0</v>
      </c>
      <c r="D18" s="254"/>
      <c r="E18" s="264">
        <v>4.0</v>
      </c>
      <c r="F18" s="264">
        <f>COUNTIFS(Base!$S:$S,E18,Base!$B:$B,$E$7)</f>
        <v>0</v>
      </c>
      <c r="G18" s="254"/>
      <c r="H18" s="264">
        <v>4.0</v>
      </c>
      <c r="I18" s="264">
        <f>COUNTIFS(Base!$S:$S,H18,Base!$B:$B,$H$7)</f>
        <v>0</v>
      </c>
      <c r="J18" s="254"/>
      <c r="K18" s="266">
        <v>4.0</v>
      </c>
      <c r="L18" s="266">
        <f>COUNTIFS(Base!$S:$S,K18,Base!$B:$B,$K$7) + COUNTIFS(Base!$AG:$AG,K18,Base!$B:$B,$K$7)</f>
        <v>0</v>
      </c>
      <c r="M18" s="254"/>
      <c r="N18" s="268">
        <v>4.0</v>
      </c>
      <c r="O18" s="268">
        <f t="shared" si="1"/>
        <v>0</v>
      </c>
      <c r="P18" s="254"/>
      <c r="Q18" s="268">
        <v>4.0</v>
      </c>
      <c r="R18" s="268">
        <f t="shared" si="2"/>
        <v>0</v>
      </c>
      <c r="S18" s="254"/>
      <c r="T18" s="268">
        <v>4.0</v>
      </c>
      <c r="U18" s="268">
        <f t="shared" si="3"/>
        <v>0</v>
      </c>
      <c r="V18" s="254"/>
    </row>
    <row r="19">
      <c r="A19" s="254"/>
      <c r="B19" s="264">
        <v>3.0</v>
      </c>
      <c r="C19" s="264">
        <f>COUNTIFS(Base!$S:$S,B19,Base!$B:$B,$B$7)</f>
        <v>0</v>
      </c>
      <c r="D19" s="254"/>
      <c r="E19" s="264">
        <v>3.0</v>
      </c>
      <c r="F19" s="264">
        <f>COUNTIFS(Base!$S:$S,E19,Base!$B:$B,$E$7)</f>
        <v>0</v>
      </c>
      <c r="G19" s="254"/>
      <c r="H19" s="264">
        <v>3.0</v>
      </c>
      <c r="I19" s="264">
        <f>COUNTIFS(Base!$S:$S,H19,Base!$B:$B,$H$7)</f>
        <v>0</v>
      </c>
      <c r="J19" s="254"/>
      <c r="K19" s="266">
        <v>3.0</v>
      </c>
      <c r="L19" s="266">
        <f>COUNTIFS(Base!$S:$S,K19,Base!$B:$B,$K$7) + COUNTIFS(Base!$AG:$AG,K19,Base!$B:$B,$K$7)</f>
        <v>0</v>
      </c>
      <c r="M19" s="254"/>
      <c r="N19" s="268">
        <v>3.0</v>
      </c>
      <c r="O19" s="268">
        <f t="shared" si="1"/>
        <v>0</v>
      </c>
      <c r="P19" s="254"/>
      <c r="Q19" s="268">
        <v>3.0</v>
      </c>
      <c r="R19" s="268">
        <f t="shared" si="2"/>
        <v>0</v>
      </c>
      <c r="S19" s="254"/>
      <c r="T19" s="268">
        <v>3.0</v>
      </c>
      <c r="U19" s="268">
        <f t="shared" si="3"/>
        <v>0</v>
      </c>
      <c r="V19" s="254"/>
    </row>
    <row r="20">
      <c r="A20" s="254"/>
      <c r="B20" s="264">
        <v>2.0</v>
      </c>
      <c r="C20" s="264">
        <f>COUNTIFS(Base!$S:$S,B20,Base!$B:$B,$B$7)</f>
        <v>0</v>
      </c>
      <c r="D20" s="254"/>
      <c r="E20" s="264">
        <v>2.0</v>
      </c>
      <c r="F20" s="264">
        <f>COUNTIFS(Base!$S:$S,E20,Base!$B:$B,$E$7)</f>
        <v>0</v>
      </c>
      <c r="G20" s="254"/>
      <c r="H20" s="264">
        <v>2.0</v>
      </c>
      <c r="I20" s="264">
        <f>COUNTIFS(Base!$S:$S,H20,Base!$B:$B,$H$7)</f>
        <v>0</v>
      </c>
      <c r="J20" s="254"/>
      <c r="K20" s="266">
        <v>2.0</v>
      </c>
      <c r="L20" s="266">
        <f>COUNTIFS(Base!$S:$S,K20,Base!$B:$B,$K$7) + COUNTIFS(Base!$AG:$AG,K20,Base!$B:$B,$K$7)</f>
        <v>0</v>
      </c>
      <c r="M20" s="254"/>
      <c r="N20" s="268">
        <v>2.0</v>
      </c>
      <c r="O20" s="268">
        <f t="shared" si="1"/>
        <v>0</v>
      </c>
      <c r="P20" s="254"/>
      <c r="Q20" s="268">
        <v>2.0</v>
      </c>
      <c r="R20" s="268">
        <f t="shared" si="2"/>
        <v>0</v>
      </c>
      <c r="S20" s="254"/>
      <c r="T20" s="268">
        <v>2.0</v>
      </c>
      <c r="U20" s="268">
        <f t="shared" si="3"/>
        <v>0</v>
      </c>
      <c r="V20" s="254"/>
    </row>
    <row r="21">
      <c r="A21" s="254"/>
      <c r="B21" s="264">
        <v>1.0</v>
      </c>
      <c r="C21" s="264">
        <f>COUNTIFS(Base!$S:$S,B21,Base!$B:$B,$B$7)</f>
        <v>1</v>
      </c>
      <c r="D21" s="254"/>
      <c r="E21" s="264">
        <v>1.0</v>
      </c>
      <c r="F21" s="264">
        <f>COUNTIFS(Base!$S:$S,E21,Base!$B:$B,$E$7)</f>
        <v>0</v>
      </c>
      <c r="G21" s="254"/>
      <c r="H21" s="264">
        <v>1.0</v>
      </c>
      <c r="I21" s="264">
        <f>COUNTIFS(Base!$S:$S,H21,Base!$B:$B,$H$7)</f>
        <v>0</v>
      </c>
      <c r="J21" s="254"/>
      <c r="K21" s="266">
        <v>1.0</v>
      </c>
      <c r="L21" s="266">
        <f>COUNTIFS(Base!$S:$S,K21,Base!$B:$B,$K$7) + COUNTIFS(Base!$AG:$AG,K21,Base!$B:$B,$K$7)</f>
        <v>0</v>
      </c>
      <c r="M21" s="254"/>
      <c r="N21" s="268">
        <v>1.0</v>
      </c>
      <c r="O21" s="268">
        <f t="shared" si="1"/>
        <v>0</v>
      </c>
      <c r="P21" s="254"/>
      <c r="Q21" s="268">
        <v>1.0</v>
      </c>
      <c r="R21" s="268">
        <f t="shared" si="2"/>
        <v>0</v>
      </c>
      <c r="S21" s="254"/>
      <c r="T21" s="268">
        <v>1.0</v>
      </c>
      <c r="U21" s="268">
        <f t="shared" si="3"/>
        <v>0</v>
      </c>
      <c r="V21" s="254"/>
    </row>
    <row r="22">
      <c r="A22" s="254"/>
      <c r="B22" s="264">
        <v>0.0</v>
      </c>
      <c r="C22" s="264">
        <f>COUNTIFS(Base!$S:$S,B22,Base!$B:$B,$B$7)</f>
        <v>0</v>
      </c>
      <c r="D22" s="254"/>
      <c r="E22" s="264">
        <v>0.0</v>
      </c>
      <c r="F22" s="264">
        <f>COUNTIFS(Base!$S:$S,E22,Base!$B:$B,$E$7)</f>
        <v>0</v>
      </c>
      <c r="G22" s="254"/>
      <c r="H22" s="264">
        <v>0.0</v>
      </c>
      <c r="I22" s="264">
        <f>COUNTIFS(Base!$S:$S,H22,Base!$B:$B,$H$7)</f>
        <v>1</v>
      </c>
      <c r="J22" s="254"/>
      <c r="K22" s="266">
        <v>0.0</v>
      </c>
      <c r="L22" s="266">
        <f>COUNTIFS(Base!$S:$S,K22,Base!$B:$B,$K$7) + COUNTIFS(Base!$AG:$AG,K22,Base!$B:$B,$K$7)</f>
        <v>0</v>
      </c>
      <c r="M22" s="254"/>
      <c r="N22" s="254"/>
      <c r="O22" s="254"/>
      <c r="P22" s="254"/>
      <c r="Q22" s="254"/>
      <c r="R22" s="254"/>
      <c r="S22" s="254"/>
      <c r="T22" s="254"/>
      <c r="U22" s="254"/>
      <c r="V22" s="254"/>
    </row>
    <row r="23">
      <c r="A23" s="254"/>
      <c r="B23" s="254"/>
      <c r="C23" s="254"/>
      <c r="D23" s="254"/>
      <c r="E23" s="254"/>
      <c r="F23" s="254"/>
      <c r="G23" s="254"/>
      <c r="H23" s="254"/>
      <c r="I23" s="254"/>
      <c r="J23" s="254"/>
      <c r="K23" s="254"/>
      <c r="L23" s="254"/>
      <c r="M23" s="254"/>
      <c r="N23" s="254"/>
      <c r="O23" s="254"/>
      <c r="P23" s="254"/>
      <c r="Q23" s="254"/>
      <c r="R23" s="254"/>
      <c r="S23" s="254"/>
      <c r="T23" s="254"/>
      <c r="U23" s="254"/>
      <c r="V23" s="254"/>
    </row>
    <row r="24">
      <c r="A24" s="254"/>
      <c r="B24" s="254"/>
      <c r="C24" s="254"/>
      <c r="D24" s="254"/>
      <c r="E24" s="254"/>
      <c r="F24" s="254"/>
      <c r="G24" s="254"/>
      <c r="H24" s="254"/>
      <c r="I24" s="254"/>
      <c r="J24" s="254"/>
      <c r="K24" s="254"/>
      <c r="L24" s="254"/>
      <c r="M24" s="254"/>
      <c r="N24" s="254"/>
      <c r="O24" s="254"/>
      <c r="P24" s="254"/>
      <c r="Q24" s="254"/>
      <c r="R24" s="254"/>
      <c r="S24" s="254"/>
      <c r="T24" s="254"/>
      <c r="U24" s="254"/>
      <c r="V24" s="254"/>
    </row>
    <row r="25">
      <c r="A25" s="254"/>
      <c r="B25" s="254"/>
      <c r="C25" s="254"/>
      <c r="D25" s="254"/>
      <c r="E25" s="254"/>
      <c r="F25" s="254"/>
      <c r="G25" s="254"/>
      <c r="H25" s="254"/>
      <c r="I25" s="254"/>
      <c r="J25" s="254"/>
      <c r="K25" s="254"/>
      <c r="L25" s="254"/>
      <c r="M25" s="254"/>
      <c r="N25" s="254"/>
      <c r="O25" s="254"/>
      <c r="P25" s="254"/>
      <c r="Q25" s="254"/>
      <c r="R25" s="254"/>
      <c r="S25" s="254"/>
      <c r="T25" s="254"/>
      <c r="U25" s="254"/>
      <c r="V25" s="254"/>
    </row>
  </sheetData>
  <mergeCells count="8">
    <mergeCell ref="A1:L4"/>
    <mergeCell ref="B7:C7"/>
    <mergeCell ref="E7:F7"/>
    <mergeCell ref="H7:I7"/>
    <mergeCell ref="K7:L7"/>
    <mergeCell ref="N7:O7"/>
    <mergeCell ref="Q7:R7"/>
    <mergeCell ref="T7:U7"/>
  </mergeCells>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38"/>
  </cols>
  <sheetData>
    <row r="1">
      <c r="A1" s="280" t="s">
        <v>454</v>
      </c>
      <c r="B1" s="280" t="s">
        <v>3</v>
      </c>
      <c r="C1" s="281" t="s">
        <v>455</v>
      </c>
      <c r="D1" s="281" t="s">
        <v>456</v>
      </c>
      <c r="E1" s="282" t="s">
        <v>457</v>
      </c>
      <c r="F1" s="283"/>
      <c r="G1" s="283"/>
      <c r="H1" s="283"/>
      <c r="I1" s="284"/>
      <c r="J1" s="282" t="s">
        <v>458</v>
      </c>
      <c r="K1" s="283"/>
      <c r="L1" s="283"/>
      <c r="M1" s="284"/>
      <c r="N1" s="282" t="s">
        <v>459</v>
      </c>
      <c r="O1" s="283"/>
      <c r="P1" s="283"/>
      <c r="Q1" s="284"/>
      <c r="R1" s="282" t="s">
        <v>460</v>
      </c>
      <c r="S1" s="283"/>
      <c r="T1" s="283"/>
      <c r="U1" s="283"/>
      <c r="V1" s="284"/>
      <c r="W1" s="282" t="s">
        <v>461</v>
      </c>
      <c r="X1" s="283"/>
      <c r="Y1" s="283"/>
      <c r="Z1" s="284"/>
      <c r="AA1" s="282" t="s">
        <v>462</v>
      </c>
      <c r="AB1" s="283"/>
      <c r="AC1" s="283"/>
      <c r="AD1" s="284"/>
      <c r="AE1" s="282" t="s">
        <v>463</v>
      </c>
      <c r="AF1" s="283"/>
      <c r="AG1" s="283"/>
      <c r="AH1" s="283"/>
      <c r="AI1" s="284"/>
      <c r="AJ1" s="282" t="s">
        <v>464</v>
      </c>
      <c r="AK1" s="283"/>
      <c r="AL1" s="283"/>
      <c r="AM1" s="284"/>
      <c r="AN1" s="282" t="s">
        <v>465</v>
      </c>
      <c r="AO1" s="283"/>
      <c r="AP1" s="283"/>
      <c r="AQ1" s="283"/>
      <c r="AR1" s="284"/>
      <c r="AS1" s="282" t="s">
        <v>466</v>
      </c>
      <c r="AT1" s="283"/>
      <c r="AU1" s="283"/>
      <c r="AV1" s="284"/>
      <c r="AW1" s="282" t="s">
        <v>467</v>
      </c>
      <c r="AX1" s="283"/>
      <c r="AY1" s="283"/>
      <c r="AZ1" s="284"/>
      <c r="BA1" s="282" t="s">
        <v>468</v>
      </c>
      <c r="BB1" s="283"/>
      <c r="BC1" s="283"/>
      <c r="BD1" s="283"/>
      <c r="BE1" s="284"/>
      <c r="BF1" s="285"/>
      <c r="BG1" s="285"/>
      <c r="BH1" s="98"/>
    </row>
    <row r="2">
      <c r="A2" s="286"/>
      <c r="B2" s="286"/>
      <c r="C2" s="286"/>
      <c r="D2" s="286"/>
      <c r="E2" s="287">
        <v>45292.0</v>
      </c>
      <c r="F2" s="287">
        <v>45299.0</v>
      </c>
      <c r="G2" s="287">
        <v>45306.0</v>
      </c>
      <c r="H2" s="287">
        <v>45313.0</v>
      </c>
      <c r="I2" s="287">
        <v>45320.0</v>
      </c>
      <c r="J2" s="287">
        <v>45327.0</v>
      </c>
      <c r="K2" s="287">
        <v>45334.0</v>
      </c>
      <c r="L2" s="287">
        <v>45341.0</v>
      </c>
      <c r="M2" s="287">
        <v>45348.0</v>
      </c>
      <c r="N2" s="287">
        <v>45355.0</v>
      </c>
      <c r="O2" s="287">
        <v>45362.0</v>
      </c>
      <c r="P2" s="287">
        <v>45369.0</v>
      </c>
      <c r="Q2" s="287">
        <v>45376.0</v>
      </c>
      <c r="R2" s="287">
        <v>45383.0</v>
      </c>
      <c r="S2" s="287" t="s">
        <v>469</v>
      </c>
      <c r="T2" s="287">
        <v>45397.0</v>
      </c>
      <c r="U2" s="287">
        <v>45404.0</v>
      </c>
      <c r="V2" s="287">
        <v>45411.0</v>
      </c>
      <c r="W2" s="287">
        <v>45418.0</v>
      </c>
      <c r="X2" s="287">
        <v>45425.0</v>
      </c>
      <c r="Y2" s="287">
        <v>45432.0</v>
      </c>
      <c r="Z2" s="287">
        <v>45439.0</v>
      </c>
      <c r="AA2" s="287">
        <v>45446.0</v>
      </c>
      <c r="AB2" s="287">
        <v>45453.0</v>
      </c>
      <c r="AC2" s="287">
        <v>45429.0</v>
      </c>
      <c r="AD2" s="287">
        <v>45467.0</v>
      </c>
      <c r="AE2" s="287">
        <v>45474.0</v>
      </c>
      <c r="AF2" s="287">
        <v>45481.0</v>
      </c>
      <c r="AG2" s="287">
        <v>45488.0</v>
      </c>
      <c r="AH2" s="287">
        <v>45495.0</v>
      </c>
      <c r="AI2" s="287">
        <v>45502.0</v>
      </c>
      <c r="AJ2" s="287">
        <v>45509.0</v>
      </c>
      <c r="AK2" s="287">
        <v>45516.0</v>
      </c>
      <c r="AL2" s="287">
        <v>45523.0</v>
      </c>
      <c r="AM2" s="287">
        <v>45530.0</v>
      </c>
      <c r="AN2" s="287">
        <v>45537.0</v>
      </c>
      <c r="AO2" s="287">
        <v>45544.0</v>
      </c>
      <c r="AP2" s="287">
        <v>45551.0</v>
      </c>
      <c r="AQ2" s="287">
        <v>45558.0</v>
      </c>
      <c r="AR2" s="287">
        <v>45565.0</v>
      </c>
      <c r="AS2" s="287">
        <v>45572.0</v>
      </c>
      <c r="AT2" s="287">
        <v>45579.0</v>
      </c>
      <c r="AU2" s="287">
        <v>45586.0</v>
      </c>
      <c r="AV2" s="287">
        <v>45593.0</v>
      </c>
      <c r="AW2" s="287">
        <v>45600.0</v>
      </c>
      <c r="AX2" s="287">
        <v>45607.0</v>
      </c>
      <c r="AY2" s="287">
        <v>45614.0</v>
      </c>
      <c r="AZ2" s="287">
        <v>45621.0</v>
      </c>
      <c r="BA2" s="287">
        <v>45628.0</v>
      </c>
      <c r="BB2" s="287">
        <v>45635.0</v>
      </c>
      <c r="BC2" s="287">
        <v>45642.0</v>
      </c>
      <c r="BD2" s="287">
        <v>45649.0</v>
      </c>
      <c r="BE2" s="287">
        <v>45656.0</v>
      </c>
      <c r="BF2" s="288"/>
      <c r="BG2" s="288"/>
    </row>
    <row r="3">
      <c r="A3" s="289" t="str">
        <f>IFERROR(__xludf.DUMMYFUNCTION("IMPORTRANGE(""https://docs.google.com/spreadsheets/d/1WaXXcaC4eKnex1ET_BKg3DdoDDQffcNr7aAqdAcYd9Q/edit#gid=0"",""Quadro de Membros!E8:E"")"),"alan.monteiro")</f>
        <v>alan.monteiro</v>
      </c>
      <c r="B3" s="290" t="str">
        <f>IFERROR(__xludf.DUMMYFUNCTION("IMPORTRANGE(""https://docs.google.com/spreadsheets/d/1WaXXcaC4eKnex1ET_BKg3DdoDDQffcNr7aAqdAcYd9Q/edit#gid=0"",""Quadro de Membros!I8:I"")"),"NTec")</f>
        <v>NTec</v>
      </c>
    </row>
    <row r="4">
      <c r="A4" s="289" t="str">
        <f>IFERROR(__xludf.DUMMYFUNCTION("""COMPUTED_VALUE"""),"alan.zisman")</f>
        <v>alan.zisman</v>
      </c>
      <c r="B4" s="120" t="str">
        <f>IFERROR(__xludf.DUMMYFUNCTION("""COMPUTED_VALUE"""),"NTec")</f>
        <v>NTec</v>
      </c>
    </row>
    <row r="5">
      <c r="A5" s="289" t="str">
        <f>IFERROR(__xludf.DUMMYFUNCTION("""COMPUTED_VALUE"""),"alexandre.barsam")</f>
        <v>alexandre.barsam</v>
      </c>
      <c r="B5" s="120" t="str">
        <f>IFERROR(__xludf.DUMMYFUNCTION("""COMPUTED_VALUE"""),"NDados")</f>
        <v>NDados</v>
      </c>
    </row>
    <row r="6">
      <c r="A6" s="289" t="str">
        <f>IFERROR(__xludf.DUMMYFUNCTION("""COMPUTED_VALUE"""),"allan.doval")</f>
        <v>allan.doval</v>
      </c>
      <c r="B6" s="120" t="str">
        <f>IFERROR(__xludf.DUMMYFUNCTION("""COMPUTED_VALUE"""),"NI")</f>
        <v>NI</v>
      </c>
    </row>
    <row r="7">
      <c r="A7" s="289" t="str">
        <f>IFERROR(__xludf.DUMMYFUNCTION("""COMPUTED_VALUE"""),"amanda.puglia")</f>
        <v>amanda.puglia</v>
      </c>
      <c r="B7" s="120" t="str">
        <f>IFERROR(__xludf.DUMMYFUNCTION("""COMPUTED_VALUE"""),"NCiv")</f>
        <v>NCiv</v>
      </c>
    </row>
    <row r="8">
      <c r="A8" s="289" t="str">
        <f>IFERROR(__xludf.DUMMYFUNCTION("""COMPUTED_VALUE"""),"amanda.mendonca")</f>
        <v>amanda.mendonca</v>
      </c>
      <c r="B8" s="120" t="str">
        <f>IFERROR(__xludf.DUMMYFUNCTION("""COMPUTED_VALUE"""),"NTec")</f>
        <v>NTec</v>
      </c>
    </row>
    <row r="9">
      <c r="A9" s="289" t="str">
        <f>IFERROR(__xludf.DUMMYFUNCTION("""COMPUTED_VALUE"""),"ana.aguiar")</f>
        <v>ana.aguiar</v>
      </c>
      <c r="B9" s="120" t="str">
        <f>IFERROR(__xludf.DUMMYFUNCTION("""COMPUTED_VALUE"""),"NTec")</f>
        <v>NTec</v>
      </c>
    </row>
    <row r="10">
      <c r="A10" s="289" t="str">
        <f>IFERROR(__xludf.DUMMYFUNCTION("""COMPUTED_VALUE"""),"anaclara.pacifico")</f>
        <v>anaclara.pacifico</v>
      </c>
      <c r="B10" s="120" t="str">
        <f>IFERROR(__xludf.DUMMYFUNCTION("""COMPUTED_VALUE"""),"NCon")</f>
        <v>NCon</v>
      </c>
    </row>
    <row r="11">
      <c r="A11" s="289" t="str">
        <f>IFERROR(__xludf.DUMMYFUNCTION("""COMPUTED_VALUE"""),"ana.arejano")</f>
        <v>ana.arejano</v>
      </c>
      <c r="B11" s="120" t="str">
        <f>IFERROR(__xludf.DUMMYFUNCTION("""COMPUTED_VALUE"""),"NTec")</f>
        <v>NTec</v>
      </c>
    </row>
    <row r="12">
      <c r="A12" s="289" t="str">
        <f>IFERROR(__xludf.DUMMYFUNCTION("""COMPUTED_VALUE"""),"andre.helena")</f>
        <v>andre.helena</v>
      </c>
      <c r="B12" s="120" t="str">
        <f>IFERROR(__xludf.DUMMYFUNCTION("""COMPUTED_VALUE"""),"NDados")</f>
        <v>NDados</v>
      </c>
    </row>
    <row r="13">
      <c r="A13" s="289" t="str">
        <f>IFERROR(__xludf.DUMMYFUNCTION("""COMPUTED_VALUE"""),"antoniel.neves")</f>
        <v>antoniel.neves</v>
      </c>
      <c r="B13" s="120" t="str">
        <f>IFERROR(__xludf.DUMMYFUNCTION("""COMPUTED_VALUE"""),"NCiv")</f>
        <v>NCiv</v>
      </c>
    </row>
    <row r="14">
      <c r="A14" s="289" t="str">
        <f>IFERROR(__xludf.DUMMYFUNCTION("""COMPUTED_VALUE"""),"antonio.coelho")</f>
        <v>antonio.coelho</v>
      </c>
      <c r="B14" s="120" t="str">
        <f>IFERROR(__xludf.DUMMYFUNCTION("""COMPUTED_VALUE"""),"Anucleado")</f>
        <v>Anucleado</v>
      </c>
    </row>
    <row r="15">
      <c r="A15" s="289" t="str">
        <f>IFERROR(__xludf.DUMMYFUNCTION("""COMPUTED_VALUE"""),"antonio.rezende")</f>
        <v>antonio.rezende</v>
      </c>
      <c r="B15" s="120" t="str">
        <f>IFERROR(__xludf.DUMMYFUNCTION("""COMPUTED_VALUE"""),"NTec")</f>
        <v>NTec</v>
      </c>
    </row>
    <row r="16">
      <c r="A16" s="289" t="str">
        <f>IFERROR(__xludf.DUMMYFUNCTION("""COMPUTED_VALUE"""),"arthur.daisuke")</f>
        <v>arthur.daisuke</v>
      </c>
      <c r="B16" s="120" t="str">
        <f>IFERROR(__xludf.DUMMYFUNCTION("""COMPUTED_VALUE"""),"NDados")</f>
        <v>NDados</v>
      </c>
    </row>
    <row r="17">
      <c r="A17" s="289" t="str">
        <f>IFERROR(__xludf.DUMMYFUNCTION("""COMPUTED_VALUE"""),"arthur.mafra")</f>
        <v>arthur.mafra</v>
      </c>
      <c r="B17" s="120" t="str">
        <f>IFERROR(__xludf.DUMMYFUNCTION("""COMPUTED_VALUE"""),"NDados")</f>
        <v>NDados</v>
      </c>
    </row>
    <row r="18">
      <c r="A18" s="289" t="str">
        <f>IFERROR(__xludf.DUMMYFUNCTION("""COMPUTED_VALUE"""),"artur.dias")</f>
        <v>artur.dias</v>
      </c>
      <c r="B18" s="120" t="str">
        <f>IFERROR(__xludf.DUMMYFUNCTION("""COMPUTED_VALUE"""),"NDados")</f>
        <v>NDados</v>
      </c>
    </row>
    <row r="19">
      <c r="A19" s="289" t="str">
        <f>IFERROR(__xludf.DUMMYFUNCTION("""COMPUTED_VALUE"""),"augusto.mello")</f>
        <v>augusto.mello</v>
      </c>
      <c r="B19" s="120" t="str">
        <f>IFERROR(__xludf.DUMMYFUNCTION("""COMPUTED_VALUE"""),"NTec")</f>
        <v>NTec</v>
      </c>
    </row>
    <row r="20">
      <c r="A20" s="289" t="str">
        <f>IFERROR(__xludf.DUMMYFUNCTION("""COMPUTED_VALUE"""),"ayana.tanaka")</f>
        <v>ayana.tanaka</v>
      </c>
      <c r="B20" s="120" t="str">
        <f>IFERROR(__xludf.DUMMYFUNCTION("""COMPUTED_VALUE"""),"NDados")</f>
        <v>NDados</v>
      </c>
    </row>
    <row r="21">
      <c r="A21" s="289" t="str">
        <f>IFERROR(__xludf.DUMMYFUNCTION("""COMPUTED_VALUE"""),"beatriz.tavora")</f>
        <v>beatriz.tavora</v>
      </c>
      <c r="B21" s="120" t="str">
        <f>IFERROR(__xludf.DUMMYFUNCTION("""COMPUTED_VALUE"""),"WI")</f>
        <v>WI</v>
      </c>
    </row>
    <row r="22">
      <c r="A22" s="289" t="str">
        <f>IFERROR(__xludf.DUMMYFUNCTION("""COMPUTED_VALUE"""),"beatriz.durand")</f>
        <v>beatriz.durand</v>
      </c>
      <c r="B22" s="120" t="str">
        <f>IFERROR(__xludf.DUMMYFUNCTION("""COMPUTED_VALUE"""),"NCon")</f>
        <v>NCon</v>
      </c>
    </row>
    <row r="23">
      <c r="A23" s="289" t="str">
        <f>IFERROR(__xludf.DUMMYFUNCTION("""COMPUTED_VALUE"""),"beatriz.hirao")</f>
        <v>beatriz.hirao</v>
      </c>
      <c r="B23" s="120" t="str">
        <f>IFERROR(__xludf.DUMMYFUNCTION("""COMPUTED_VALUE"""),"Anucleado")</f>
        <v>Anucleado</v>
      </c>
    </row>
    <row r="24">
      <c r="A24" s="289" t="str">
        <f>IFERROR(__xludf.DUMMYFUNCTION("""COMPUTED_VALUE"""),"bernardo.leal")</f>
        <v>bernardo.leal</v>
      </c>
      <c r="B24" s="120" t="str">
        <f>IFERROR(__xludf.DUMMYFUNCTION("""COMPUTED_VALUE"""),"NDados")</f>
        <v>NDados</v>
      </c>
    </row>
    <row r="25">
      <c r="A25" s="289" t="str">
        <f>IFERROR(__xludf.DUMMYFUNCTION("""COMPUTED_VALUE"""),"brenda.moraes")</f>
        <v>brenda.moraes</v>
      </c>
      <c r="B25" s="120" t="str">
        <f>IFERROR(__xludf.DUMMYFUNCTION("""COMPUTED_VALUE"""),"WI")</f>
        <v>WI</v>
      </c>
    </row>
    <row r="26">
      <c r="A26" s="289" t="str">
        <f>IFERROR(__xludf.DUMMYFUNCTION("""COMPUTED_VALUE"""),"bruno.santos")</f>
        <v>bruno.santos</v>
      </c>
      <c r="B26" s="120" t="str">
        <f>IFERROR(__xludf.DUMMYFUNCTION("""COMPUTED_VALUE"""),"NTec")</f>
        <v>NTec</v>
      </c>
    </row>
    <row r="27">
      <c r="A27" s="289" t="str">
        <f>IFERROR(__xludf.DUMMYFUNCTION("""COMPUTED_VALUE"""),"bruno.chiqueto ")</f>
        <v>bruno.chiqueto </v>
      </c>
      <c r="B27" s="120" t="str">
        <f>IFERROR(__xludf.DUMMYFUNCTION("""COMPUTED_VALUE"""),"NCiv")</f>
        <v>NCiv</v>
      </c>
    </row>
    <row r="28">
      <c r="A28" s="289" t="str">
        <f>IFERROR(__xludf.DUMMYFUNCTION("""COMPUTED_VALUE"""),"bruno.barroso")</f>
        <v>bruno.barroso</v>
      </c>
      <c r="B28" s="120" t="str">
        <f>IFERROR(__xludf.DUMMYFUNCTION("""COMPUTED_VALUE"""),"NTec")</f>
        <v>NTec</v>
      </c>
    </row>
    <row r="29">
      <c r="A29" s="289" t="str">
        <f>IFERROR(__xludf.DUMMYFUNCTION("""COMPUTED_VALUE"""),"caio.poreto")</f>
        <v>caio.poreto</v>
      </c>
      <c r="B29" s="120" t="str">
        <f>IFERROR(__xludf.DUMMYFUNCTION("""COMPUTED_VALUE"""),"NTec")</f>
        <v>NTec</v>
      </c>
    </row>
    <row r="30">
      <c r="A30" s="289" t="str">
        <f>IFERROR(__xludf.DUMMYFUNCTION("""COMPUTED_VALUE"""),"caio.castro")</f>
        <v>caio.castro</v>
      </c>
      <c r="B30" s="120" t="str">
        <f>IFERROR(__xludf.DUMMYFUNCTION("""COMPUTED_VALUE"""),"NDados")</f>
        <v>NDados</v>
      </c>
    </row>
    <row r="31">
      <c r="A31" s="289" t="str">
        <f>IFERROR(__xludf.DUMMYFUNCTION("""COMPUTED_VALUE"""),"caio.bella")</f>
        <v>caio.bella</v>
      </c>
      <c r="B31" s="120" t="str">
        <f>IFERROR(__xludf.DUMMYFUNCTION("""COMPUTED_VALUE"""),"WI")</f>
        <v>WI</v>
      </c>
    </row>
    <row r="32">
      <c r="A32" s="289" t="str">
        <f>IFERROR(__xludf.DUMMYFUNCTION("""COMPUTED_VALUE"""),"caio.pereira")</f>
        <v>caio.pereira</v>
      </c>
      <c r="B32" s="120" t="str">
        <f>IFERROR(__xludf.DUMMYFUNCTION("""COMPUTED_VALUE"""),"NTec")</f>
        <v>NTec</v>
      </c>
    </row>
    <row r="33">
      <c r="A33" s="289" t="str">
        <f>IFERROR(__xludf.DUMMYFUNCTION("""COMPUTED_VALUE"""),"caio.arraes")</f>
        <v>caio.arraes</v>
      </c>
      <c r="B33" s="120" t="str">
        <f>IFERROR(__xludf.DUMMYFUNCTION("""COMPUTED_VALUE"""),"NCon")</f>
        <v>NCon</v>
      </c>
    </row>
    <row r="34">
      <c r="A34" s="289" t="str">
        <f>IFERROR(__xludf.DUMMYFUNCTION("""COMPUTED_VALUE"""),"carlos.rampelotti")</f>
        <v>carlos.rampelotti</v>
      </c>
      <c r="B34" s="120" t="str">
        <f>IFERROR(__xludf.DUMMYFUNCTION("""COMPUTED_VALUE"""),"NDados")</f>
        <v>NDados</v>
      </c>
    </row>
    <row r="35">
      <c r="A35" s="289" t="str">
        <f>IFERROR(__xludf.DUMMYFUNCTION("""COMPUTED_VALUE"""),"carlos.tavares")</f>
        <v>carlos.tavares</v>
      </c>
      <c r="B35" s="120" t="str">
        <f>IFERROR(__xludf.DUMMYFUNCTION("""COMPUTED_VALUE"""),"NTec")</f>
        <v>NTec</v>
      </c>
    </row>
    <row r="36">
      <c r="A36" s="289" t="str">
        <f>IFERROR(__xludf.DUMMYFUNCTION("""COMPUTED_VALUE"""),"cauan.kazama")</f>
        <v>cauan.kazama</v>
      </c>
      <c r="B36" s="120" t="str">
        <f>IFERROR(__xludf.DUMMYFUNCTION("""COMPUTED_VALUE"""),"Anucleado")</f>
        <v>Anucleado</v>
      </c>
    </row>
    <row r="37">
      <c r="A37" s="289" t="str">
        <f>IFERROR(__xludf.DUMMYFUNCTION("""COMPUTED_VALUE"""),"celso.sinoka")</f>
        <v>celso.sinoka</v>
      </c>
      <c r="B37" s="120" t="str">
        <f>IFERROR(__xludf.DUMMYFUNCTION("""COMPUTED_VALUE"""),"NDados")</f>
        <v>NDados</v>
      </c>
    </row>
    <row r="38">
      <c r="A38" s="289" t="str">
        <f>IFERROR(__xludf.DUMMYFUNCTION("""COMPUTED_VALUE"""),"clara.milagres")</f>
        <v>clara.milagres</v>
      </c>
      <c r="B38" s="120" t="str">
        <f>IFERROR(__xludf.DUMMYFUNCTION("""COMPUTED_VALUE"""),"WI")</f>
        <v>WI</v>
      </c>
    </row>
    <row r="39">
      <c r="A39" s="289" t="str">
        <f>IFERROR(__xludf.DUMMYFUNCTION("""COMPUTED_VALUE"""),"daniel.galdino")</f>
        <v>daniel.galdino</v>
      </c>
      <c r="B39" s="120" t="str">
        <f>IFERROR(__xludf.DUMMYFUNCTION("""COMPUTED_VALUE"""),"NTec")</f>
        <v>NTec</v>
      </c>
    </row>
    <row r="40">
      <c r="A40" s="289" t="str">
        <f>IFERROR(__xludf.DUMMYFUNCTION("""COMPUTED_VALUE"""),"daniela.brandao")</f>
        <v>daniela.brandao</v>
      </c>
      <c r="B40" s="120" t="str">
        <f>IFERROR(__xludf.DUMMYFUNCTION("""COMPUTED_VALUE"""),"NCon")</f>
        <v>NCon</v>
      </c>
    </row>
    <row r="41">
      <c r="A41" s="289" t="str">
        <f>IFERROR(__xludf.DUMMYFUNCTION("""COMPUTED_VALUE"""),"danteo.lira")</f>
        <v>danteo.lira</v>
      </c>
      <c r="B41" s="120" t="str">
        <f>IFERROR(__xludf.DUMMYFUNCTION("""COMPUTED_VALUE"""),"NTec")</f>
        <v>NTec</v>
      </c>
    </row>
    <row r="42">
      <c r="A42" s="289" t="str">
        <f>IFERROR(__xludf.DUMMYFUNCTION("""COMPUTED_VALUE"""),"david.choi")</f>
        <v>david.choi</v>
      </c>
      <c r="B42" s="120" t="str">
        <f>IFERROR(__xludf.DUMMYFUNCTION("""COMPUTED_VALUE"""),"NCon")</f>
        <v>NCon</v>
      </c>
    </row>
    <row r="43">
      <c r="A43" s="289" t="str">
        <f>IFERROR(__xludf.DUMMYFUNCTION("""COMPUTED_VALUE"""),"david.aguina")</f>
        <v>david.aguina</v>
      </c>
      <c r="B43" s="120" t="str">
        <f>IFERROR(__xludf.DUMMYFUNCTION("""COMPUTED_VALUE"""),"NDados")</f>
        <v>NDados</v>
      </c>
    </row>
    <row r="44">
      <c r="A44" s="289" t="str">
        <f>IFERROR(__xludf.DUMMYFUNCTION("""COMPUTED_VALUE"""),"diego.nozawa")</f>
        <v>diego.nozawa</v>
      </c>
      <c r="B44" s="120" t="str">
        <f>IFERROR(__xludf.DUMMYFUNCTION("""COMPUTED_VALUE"""),"NCon")</f>
        <v>NCon</v>
      </c>
    </row>
    <row r="45">
      <c r="A45" s="289" t="str">
        <f>IFERROR(__xludf.DUMMYFUNCTION("""COMPUTED_VALUE"""),"diogo.kenzo")</f>
        <v>diogo.kenzo</v>
      </c>
      <c r="B45" s="120" t="str">
        <f>IFERROR(__xludf.DUMMYFUNCTION("""COMPUTED_VALUE"""),"NDados")</f>
        <v>NDados</v>
      </c>
    </row>
    <row r="46">
      <c r="A46" s="289" t="str">
        <f>IFERROR(__xludf.DUMMYFUNCTION("""COMPUTED_VALUE"""),"eduardo.goncalves")</f>
        <v>eduardo.goncalves</v>
      </c>
      <c r="B46" s="120" t="str">
        <f>IFERROR(__xludf.DUMMYFUNCTION("""COMPUTED_VALUE"""),"WI")</f>
        <v>WI</v>
      </c>
    </row>
    <row r="47">
      <c r="A47" s="289" t="str">
        <f>IFERROR(__xludf.DUMMYFUNCTION("""COMPUTED_VALUE"""),"eduardo.lindenberg")</f>
        <v>eduardo.lindenberg</v>
      </c>
      <c r="B47" s="120" t="str">
        <f>IFERROR(__xludf.DUMMYFUNCTION("""COMPUTED_VALUE"""),"NCon")</f>
        <v>NCon</v>
      </c>
    </row>
    <row r="48">
      <c r="A48" s="289" t="str">
        <f>IFERROR(__xludf.DUMMYFUNCTION("""COMPUTED_VALUE"""),"eduardo.kishi")</f>
        <v>eduardo.kishi</v>
      </c>
      <c r="B48" s="120" t="str">
        <f>IFERROR(__xludf.DUMMYFUNCTION("""COMPUTED_VALUE"""),"NTec")</f>
        <v>NTec</v>
      </c>
    </row>
    <row r="49">
      <c r="A49" s="289" t="str">
        <f>IFERROR(__xludf.DUMMYFUNCTION("""COMPUTED_VALUE"""),"enzo.giannoni")</f>
        <v>enzo.giannoni</v>
      </c>
      <c r="B49" s="120" t="str">
        <f>IFERROR(__xludf.DUMMYFUNCTION("""COMPUTED_VALUE"""),"NDados")</f>
        <v>NDados</v>
      </c>
    </row>
    <row r="50">
      <c r="A50" s="289" t="str">
        <f>IFERROR(__xludf.DUMMYFUNCTION("""COMPUTED_VALUE"""),"felipe.tanabe")</f>
        <v>felipe.tanabe</v>
      </c>
      <c r="B50" s="120" t="str">
        <f>IFERROR(__xludf.DUMMYFUNCTION("""COMPUTED_VALUE"""),"NCon")</f>
        <v>NCon</v>
      </c>
    </row>
    <row r="51">
      <c r="A51" s="289" t="str">
        <f>IFERROR(__xludf.DUMMYFUNCTION("""COMPUTED_VALUE"""),"felipe.buttler")</f>
        <v>felipe.buttler</v>
      </c>
      <c r="B51" s="120" t="str">
        <f>IFERROR(__xludf.DUMMYFUNCTION("""COMPUTED_VALUE"""),"NCon")</f>
        <v>NCon</v>
      </c>
    </row>
    <row r="52">
      <c r="A52" s="289" t="str">
        <f>IFERROR(__xludf.DUMMYFUNCTION("""COMPUTED_VALUE"""),"fernanda.ortiz")</f>
        <v>fernanda.ortiz</v>
      </c>
      <c r="B52" s="120" t="str">
        <f>IFERROR(__xludf.DUMMYFUNCTION("""COMPUTED_VALUE"""),"NTec")</f>
        <v>NTec</v>
      </c>
    </row>
    <row r="53">
      <c r="A53" s="289" t="str">
        <f>IFERROR(__xludf.DUMMYFUNCTION("""COMPUTED_VALUE"""),"fernanda.sula")</f>
        <v>fernanda.sula</v>
      </c>
      <c r="B53" s="120" t="str">
        <f>IFERROR(__xludf.DUMMYFUNCTION("""COMPUTED_VALUE"""),"NCon")</f>
        <v>NCon</v>
      </c>
    </row>
    <row r="54">
      <c r="A54" s="289" t="str">
        <f>IFERROR(__xludf.DUMMYFUNCTION("""COMPUTED_VALUE"""),"fernando.seraco")</f>
        <v>fernando.seraco</v>
      </c>
      <c r="B54" s="120" t="str">
        <f>IFERROR(__xludf.DUMMYFUNCTION("""COMPUTED_VALUE"""),"NDados")</f>
        <v>NDados</v>
      </c>
    </row>
    <row r="55">
      <c r="A55" s="289" t="str">
        <f>IFERROR(__xludf.DUMMYFUNCTION("""COMPUTED_VALUE"""),"gabriel.agra")</f>
        <v>gabriel.agra</v>
      </c>
      <c r="B55" s="120" t="str">
        <f>IFERROR(__xludf.DUMMYFUNCTION("""COMPUTED_VALUE"""),"NDados")</f>
        <v>NDados</v>
      </c>
    </row>
    <row r="56">
      <c r="A56" s="289" t="str">
        <f>IFERROR(__xludf.DUMMYFUNCTION("""COMPUTED_VALUE"""),"gabriel.moraes")</f>
        <v>gabriel.moraes</v>
      </c>
      <c r="B56" s="120" t="str">
        <f>IFERROR(__xludf.DUMMYFUNCTION("""COMPUTED_VALUE"""),"NDados")</f>
        <v>NDados</v>
      </c>
    </row>
    <row r="57">
      <c r="A57" s="289" t="str">
        <f>IFERROR(__xludf.DUMMYFUNCTION("""COMPUTED_VALUE"""),"gabriel.baraldi")</f>
        <v>gabriel.baraldi</v>
      </c>
      <c r="B57" s="120" t="str">
        <f>IFERROR(__xludf.DUMMYFUNCTION("""COMPUTED_VALUE"""),"NTec")</f>
        <v>NTec</v>
      </c>
    </row>
    <row r="58">
      <c r="A58" s="289" t="str">
        <f>IFERROR(__xludf.DUMMYFUNCTION("""COMPUTED_VALUE"""),"Gabriel.araujo")</f>
        <v>Gabriel.araujo</v>
      </c>
      <c r="B58" s="120" t="str">
        <f>IFERROR(__xludf.DUMMYFUNCTION("""COMPUTED_VALUE"""),"NCon")</f>
        <v>NCon</v>
      </c>
    </row>
    <row r="59">
      <c r="A59" s="289" t="str">
        <f>IFERROR(__xludf.DUMMYFUNCTION("""COMPUTED_VALUE"""),"gabriel.margon")</f>
        <v>gabriel.margon</v>
      </c>
      <c r="B59" s="120" t="str">
        <f>IFERROR(__xludf.DUMMYFUNCTION("""COMPUTED_VALUE"""),"NDados")</f>
        <v>NDados</v>
      </c>
    </row>
    <row r="60">
      <c r="A60" s="289" t="str">
        <f>IFERROR(__xludf.DUMMYFUNCTION("""COMPUTED_VALUE"""),"gabriel.saad")</f>
        <v>gabriel.saad</v>
      </c>
      <c r="B60" s="120" t="str">
        <f>IFERROR(__xludf.DUMMYFUNCTION("""COMPUTED_VALUE"""),"NCiv")</f>
        <v>NCiv</v>
      </c>
    </row>
    <row r="61">
      <c r="A61" s="289" t="str">
        <f>IFERROR(__xludf.DUMMYFUNCTION("""COMPUTED_VALUE"""),"gabriela.fernandes")</f>
        <v>gabriela.fernandes</v>
      </c>
      <c r="B61" s="120" t="str">
        <f>IFERROR(__xludf.DUMMYFUNCTION("""COMPUTED_VALUE"""),"NCiv")</f>
        <v>NCiv</v>
      </c>
    </row>
    <row r="62">
      <c r="A62" s="289" t="str">
        <f>IFERROR(__xludf.DUMMYFUNCTION("""COMPUTED_VALUE"""),"gabriele.shimizu")</f>
        <v>gabriele.shimizu</v>
      </c>
      <c r="B62" s="120" t="str">
        <f>IFERROR(__xludf.DUMMYFUNCTION("""COMPUTED_VALUE"""),"NTec")</f>
        <v>NTec</v>
      </c>
    </row>
    <row r="63">
      <c r="A63" s="289" t="str">
        <f>IFERROR(__xludf.DUMMYFUNCTION("""COMPUTED_VALUE"""),"giovana.mattos")</f>
        <v>giovana.mattos</v>
      </c>
      <c r="B63" s="120" t="str">
        <f>IFERROR(__xludf.DUMMYFUNCTION("""COMPUTED_VALUE"""),"NCiv")</f>
        <v>NCiv</v>
      </c>
    </row>
    <row r="64">
      <c r="A64" s="289" t="str">
        <f>IFERROR(__xludf.DUMMYFUNCTION("""COMPUTED_VALUE"""),"giovane.azevedo")</f>
        <v>giovane.azevedo</v>
      </c>
      <c r="B64" s="120" t="str">
        <f>IFERROR(__xludf.DUMMYFUNCTION("""COMPUTED_VALUE"""),"NDados")</f>
        <v>NDados</v>
      </c>
    </row>
    <row r="65">
      <c r="A65" s="289" t="str">
        <f>IFERROR(__xludf.DUMMYFUNCTION("""COMPUTED_VALUE"""),"guilherme.jacule")</f>
        <v>guilherme.jacule</v>
      </c>
      <c r="B65" s="120" t="str">
        <f>IFERROR(__xludf.DUMMYFUNCTION("""COMPUTED_VALUE"""),"NTec")</f>
        <v>NTec</v>
      </c>
    </row>
    <row r="66">
      <c r="A66" s="289" t="str">
        <f>IFERROR(__xludf.DUMMYFUNCTION("""COMPUTED_VALUE"""),"guilherme.honda")</f>
        <v>guilherme.honda</v>
      </c>
      <c r="B66" s="120" t="str">
        <f>IFERROR(__xludf.DUMMYFUNCTION("""COMPUTED_VALUE"""),"NCiv")</f>
        <v>NCiv</v>
      </c>
    </row>
    <row r="67">
      <c r="A67" s="289" t="str">
        <f>IFERROR(__xludf.DUMMYFUNCTION("""COMPUTED_VALUE"""),"guilherme.mendes")</f>
        <v>guilherme.mendes</v>
      </c>
      <c r="B67" s="120" t="str">
        <f>IFERROR(__xludf.DUMMYFUNCTION("""COMPUTED_VALUE"""),"NCiv")</f>
        <v>NCiv</v>
      </c>
    </row>
    <row r="68">
      <c r="A68" s="289" t="str">
        <f>IFERROR(__xludf.DUMMYFUNCTION("""COMPUTED_VALUE"""),"guilherme.nunes")</f>
        <v>guilherme.nunes</v>
      </c>
      <c r="B68" s="120" t="str">
        <f>IFERROR(__xludf.DUMMYFUNCTION("""COMPUTED_VALUE"""),"NCiv")</f>
        <v>NCiv</v>
      </c>
    </row>
    <row r="69">
      <c r="A69" s="289" t="str">
        <f>IFERROR(__xludf.DUMMYFUNCTION("""COMPUTED_VALUE"""),"guilherme.rodrigues")</f>
        <v>guilherme.rodrigues</v>
      </c>
      <c r="B69" s="120" t="str">
        <f>IFERROR(__xludf.DUMMYFUNCTION("""COMPUTED_VALUE"""),"NCiv")</f>
        <v>NCiv</v>
      </c>
    </row>
    <row r="70">
      <c r="A70" s="289" t="str">
        <f>IFERROR(__xludf.DUMMYFUNCTION("""COMPUTED_VALUE"""),"guilherme.boen")</f>
        <v>guilherme.boen</v>
      </c>
      <c r="B70" s="120" t="str">
        <f>IFERROR(__xludf.DUMMYFUNCTION("""COMPUTED_VALUE"""),"NTec")</f>
        <v>NTec</v>
      </c>
    </row>
    <row r="71">
      <c r="A71" s="289" t="str">
        <f>IFERROR(__xludf.DUMMYFUNCTION("""COMPUTED_VALUE"""),"gustavo.teruya")</f>
        <v>gustavo.teruya</v>
      </c>
      <c r="B71" s="120" t="str">
        <f>IFERROR(__xludf.DUMMYFUNCTION("""COMPUTED_VALUE"""),"NCon")</f>
        <v>NCon</v>
      </c>
    </row>
    <row r="72">
      <c r="A72" s="289" t="str">
        <f>IFERROR(__xludf.DUMMYFUNCTION("""COMPUTED_VALUE"""),"gustavo.baeta")</f>
        <v>gustavo.baeta</v>
      </c>
      <c r="B72" s="120" t="str">
        <f>IFERROR(__xludf.DUMMYFUNCTION("""COMPUTED_VALUE"""),"NTec")</f>
        <v>NTec</v>
      </c>
    </row>
    <row r="73">
      <c r="A73" s="289" t="str">
        <f>IFERROR(__xludf.DUMMYFUNCTION("""COMPUTED_VALUE"""),"gustavo.generoso")</f>
        <v>gustavo.generoso</v>
      </c>
      <c r="B73" s="120" t="str">
        <f>IFERROR(__xludf.DUMMYFUNCTION("""COMPUTED_VALUE"""),"NTec")</f>
        <v>NTec</v>
      </c>
    </row>
    <row r="74">
      <c r="A74" s="289" t="str">
        <f>IFERROR(__xludf.DUMMYFUNCTION("""COMPUTED_VALUE"""),"gustavo.loiola")</f>
        <v>gustavo.loiola</v>
      </c>
      <c r="B74" s="120" t="str">
        <f>IFERROR(__xludf.DUMMYFUNCTION("""COMPUTED_VALUE"""),"NDados")</f>
        <v>NDados</v>
      </c>
    </row>
    <row r="75">
      <c r="A75" s="289" t="str">
        <f>IFERROR(__xludf.DUMMYFUNCTION("""COMPUTED_VALUE"""),"gustavo.barbosa")</f>
        <v>gustavo.barbosa</v>
      </c>
      <c r="B75" s="120" t="str">
        <f>IFERROR(__xludf.DUMMYFUNCTION("""COMPUTED_VALUE"""),"NCon")</f>
        <v>NCon</v>
      </c>
    </row>
    <row r="76">
      <c r="A76" s="289" t="str">
        <f>IFERROR(__xludf.DUMMYFUNCTION("""COMPUTED_VALUE"""),"gustavo.timbo")</f>
        <v>gustavo.timbo</v>
      </c>
      <c r="B76" s="120" t="str">
        <f>IFERROR(__xludf.DUMMYFUNCTION("""COMPUTED_VALUE"""),"NCiv")</f>
        <v>NCiv</v>
      </c>
    </row>
    <row r="77">
      <c r="A77" s="289" t="str">
        <f>IFERROR(__xludf.DUMMYFUNCTION("""COMPUTED_VALUE"""),"gustavo.trazzi")</f>
        <v>gustavo.trazzi</v>
      </c>
      <c r="B77" s="120" t="str">
        <f>IFERROR(__xludf.DUMMYFUNCTION("""COMPUTED_VALUE"""),"NDados")</f>
        <v>NDados</v>
      </c>
    </row>
    <row r="78">
      <c r="A78" s="289" t="str">
        <f>IFERROR(__xludf.DUMMYFUNCTION("""COMPUTED_VALUE"""),"helena.ferreira")</f>
        <v>helena.ferreira</v>
      </c>
      <c r="B78" s="120" t="str">
        <f>IFERROR(__xludf.DUMMYFUNCTION("""COMPUTED_VALUE"""),"NDados")</f>
        <v>NDados</v>
      </c>
    </row>
    <row r="79">
      <c r="A79" s="289" t="str">
        <f>IFERROR(__xludf.DUMMYFUNCTION("""COMPUTED_VALUE"""),"henrique.aguiar")</f>
        <v>henrique.aguiar</v>
      </c>
      <c r="B79" s="120" t="str">
        <f>IFERROR(__xludf.DUMMYFUNCTION("""COMPUTED_VALUE"""),"NDados")</f>
        <v>NDados</v>
      </c>
    </row>
    <row r="80">
      <c r="A80" s="289" t="str">
        <f>IFERROR(__xludf.DUMMYFUNCTION("""COMPUTED_VALUE"""),"hugo.reis")</f>
        <v>hugo.reis</v>
      </c>
      <c r="B80" s="120" t="str">
        <f>IFERROR(__xludf.DUMMYFUNCTION("""COMPUTED_VALUE"""),"Anucleado")</f>
        <v>Anucleado</v>
      </c>
    </row>
    <row r="81">
      <c r="A81" s="289" t="str">
        <f>IFERROR(__xludf.DUMMYFUNCTION("""COMPUTED_VALUE"""),"ian.silva")</f>
        <v>ian.silva</v>
      </c>
      <c r="B81" s="120" t="str">
        <f>IFERROR(__xludf.DUMMYFUNCTION("""COMPUTED_VALUE"""),"NCiv")</f>
        <v>NCiv</v>
      </c>
    </row>
    <row r="82">
      <c r="A82" s="289" t="str">
        <f>IFERROR(__xludf.DUMMYFUNCTION("""COMPUTED_VALUE"""),"isabela.gregio")</f>
        <v>isabela.gregio</v>
      </c>
      <c r="B82" s="120" t="str">
        <f>IFERROR(__xludf.DUMMYFUNCTION("""COMPUTED_VALUE"""),"NTec")</f>
        <v>NTec</v>
      </c>
    </row>
    <row r="83">
      <c r="A83" s="289" t="str">
        <f>IFERROR(__xludf.DUMMYFUNCTION("""COMPUTED_VALUE"""),"isabella.utida")</f>
        <v>isabella.utida</v>
      </c>
      <c r="B83" s="120" t="str">
        <f>IFERROR(__xludf.DUMMYFUNCTION("""COMPUTED_VALUE"""),"NCon")</f>
        <v>NCon</v>
      </c>
    </row>
    <row r="84">
      <c r="A84" s="289" t="str">
        <f>IFERROR(__xludf.DUMMYFUNCTION("""COMPUTED_VALUE"""),"isabella.hayashi")</f>
        <v>isabella.hayashi</v>
      </c>
      <c r="B84" s="120" t="str">
        <f>IFERROR(__xludf.DUMMYFUNCTION("""COMPUTED_VALUE"""),"NCiv")</f>
        <v>NCiv</v>
      </c>
    </row>
    <row r="85">
      <c r="A85" s="289" t="str">
        <f>IFERROR(__xludf.DUMMYFUNCTION("""COMPUTED_VALUE"""),"isabelle.rappaport")</f>
        <v>isabelle.rappaport</v>
      </c>
      <c r="B85" s="120" t="str">
        <f>IFERROR(__xludf.DUMMYFUNCTION("""COMPUTED_VALUE"""),"NCon")</f>
        <v>NCon</v>
      </c>
    </row>
    <row r="86">
      <c r="A86" s="289" t="str">
        <f>IFERROR(__xludf.DUMMYFUNCTION("""COMPUTED_VALUE"""),"isadora.peloso")</f>
        <v>isadora.peloso</v>
      </c>
      <c r="B86" s="120" t="str">
        <f>IFERROR(__xludf.DUMMYFUNCTION("""COMPUTED_VALUE"""),"NDados")</f>
        <v>NDados</v>
      </c>
    </row>
    <row r="87">
      <c r="A87" s="289" t="str">
        <f>IFERROR(__xludf.DUMMYFUNCTION("""COMPUTED_VALUE"""),"joao.cardoso")</f>
        <v>joao.cardoso</v>
      </c>
      <c r="B87" s="120" t="str">
        <f>IFERROR(__xludf.DUMMYFUNCTION("""COMPUTED_VALUE"""),"NCiv")</f>
        <v>NCiv</v>
      </c>
    </row>
    <row r="88">
      <c r="A88" s="289" t="str">
        <f>IFERROR(__xludf.DUMMYFUNCTION("""COMPUTED_VALUE"""),"joao.botelho")</f>
        <v>joao.botelho</v>
      </c>
      <c r="B88" s="120" t="str">
        <f>IFERROR(__xludf.DUMMYFUNCTION("""COMPUTED_VALUE"""),"NCon")</f>
        <v>NCon</v>
      </c>
    </row>
    <row r="89">
      <c r="A89" s="289" t="str">
        <f>IFERROR(__xludf.DUMMYFUNCTION("""COMPUTED_VALUE"""),"ji.piton")</f>
        <v>ji.piton</v>
      </c>
      <c r="B89" s="120" t="str">
        <f>IFERROR(__xludf.DUMMYFUNCTION("""COMPUTED_VALUE"""),"NCon")</f>
        <v>NCon</v>
      </c>
    </row>
    <row r="90">
      <c r="A90" s="289" t="str">
        <f>IFERROR(__xludf.DUMMYFUNCTION("""COMPUTED_VALUE"""),"joao.leal")</f>
        <v>joao.leal</v>
      </c>
      <c r="B90" s="120" t="str">
        <f>IFERROR(__xludf.DUMMYFUNCTION("""COMPUTED_VALUE"""),"NTec")</f>
        <v>NTec</v>
      </c>
    </row>
    <row r="91">
      <c r="A91" s="289" t="str">
        <f>IFERROR(__xludf.DUMMYFUNCTION("""COMPUTED_VALUE"""),"joaopaulo.ribeiro")</f>
        <v>joaopaulo.ribeiro</v>
      </c>
      <c r="B91" s="120" t="str">
        <f>IFERROR(__xludf.DUMMYFUNCTION("""COMPUTED_VALUE"""),"NDados")</f>
        <v>NDados</v>
      </c>
    </row>
    <row r="92">
      <c r="A92" s="289" t="str">
        <f>IFERROR(__xludf.DUMMYFUNCTION("""COMPUTED_VALUE"""),"joao.bassetti")</f>
        <v>joao.bassetti</v>
      </c>
      <c r="B92" s="120" t="str">
        <f>IFERROR(__xludf.DUMMYFUNCTION("""COMPUTED_VALUE"""),"NI")</f>
        <v>NI</v>
      </c>
    </row>
    <row r="93">
      <c r="A93" s="289" t="str">
        <f>IFERROR(__xludf.DUMMYFUNCTION("""COMPUTED_VALUE"""),"joao.gomes")</f>
        <v>joao.gomes</v>
      </c>
      <c r="B93" s="120" t="str">
        <f>IFERROR(__xludf.DUMMYFUNCTION("""COMPUTED_VALUE"""),"NCon")</f>
        <v>NCon</v>
      </c>
    </row>
    <row r="94">
      <c r="A94" s="289" t="str">
        <f>IFERROR(__xludf.DUMMYFUNCTION("""COMPUTED_VALUE"""),"joao.barros")</f>
        <v>joao.barros</v>
      </c>
      <c r="B94" s="120" t="str">
        <f>IFERROR(__xludf.DUMMYFUNCTION("""COMPUTED_VALUE"""),"NDados")</f>
        <v>NDados</v>
      </c>
    </row>
    <row r="95">
      <c r="A95" s="289" t="str">
        <f>IFERROR(__xludf.DUMMYFUNCTION("""COMPUTED_VALUE"""),"joaopedro.ribeiro")</f>
        <v>joaopedro.ribeiro</v>
      </c>
      <c r="B95" s="120" t="str">
        <f>IFERROR(__xludf.DUMMYFUNCTION("""COMPUTED_VALUE"""),"Anucleado")</f>
        <v>Anucleado</v>
      </c>
    </row>
    <row r="96">
      <c r="A96" s="289" t="str">
        <f>IFERROR(__xludf.DUMMYFUNCTION("""COMPUTED_VALUE"""),"joao.melo")</f>
        <v>joao.melo</v>
      </c>
      <c r="B96" s="120" t="str">
        <f>IFERROR(__xludf.DUMMYFUNCTION("""COMPUTED_VALUE"""),"NDados")</f>
        <v>NDados</v>
      </c>
    </row>
    <row r="97">
      <c r="A97" s="289" t="str">
        <f>IFERROR(__xludf.DUMMYFUNCTION("""COMPUTED_VALUE"""),"joao.dias")</f>
        <v>joao.dias</v>
      </c>
      <c r="B97" s="120" t="str">
        <f>IFERROR(__xludf.DUMMYFUNCTION("""COMPUTED_VALUE"""),"NCon")</f>
        <v>NCon</v>
      </c>
    </row>
    <row r="98">
      <c r="A98" s="289" t="str">
        <f>IFERROR(__xludf.DUMMYFUNCTION("""COMPUTED_VALUE"""),"jose.lyra")</f>
        <v>jose.lyra</v>
      </c>
      <c r="B98" s="120" t="str">
        <f>IFERROR(__xludf.DUMMYFUNCTION("""COMPUTED_VALUE"""),"NDados")</f>
        <v>NDados</v>
      </c>
    </row>
    <row r="99">
      <c r="A99" s="289" t="str">
        <f>IFERROR(__xludf.DUMMYFUNCTION("""COMPUTED_VALUE"""),"julia.terrigno")</f>
        <v>julia.terrigno</v>
      </c>
      <c r="B99" s="120" t="str">
        <f>IFERROR(__xludf.DUMMYFUNCTION("""COMPUTED_VALUE"""),"NI")</f>
        <v>NI</v>
      </c>
    </row>
    <row r="100">
      <c r="A100" s="289" t="str">
        <f>IFERROR(__xludf.DUMMYFUNCTION("""COMPUTED_VALUE"""),"julia.romero")</f>
        <v>julia.romero</v>
      </c>
      <c r="B100" s="120" t="str">
        <f>IFERROR(__xludf.DUMMYFUNCTION("""COMPUTED_VALUE"""),"NDados")</f>
        <v>NDados</v>
      </c>
    </row>
    <row r="101">
      <c r="A101" s="289" t="str">
        <f>IFERROR(__xludf.DUMMYFUNCTION("""COMPUTED_VALUE"""),"juliana.clark")</f>
        <v>juliana.clark</v>
      </c>
      <c r="B101" s="120" t="str">
        <f>IFERROR(__xludf.DUMMYFUNCTION("""COMPUTED_VALUE"""),"NCiv")</f>
        <v>NCiv</v>
      </c>
    </row>
    <row r="102">
      <c r="A102" s="289" t="str">
        <f>IFERROR(__xludf.DUMMYFUNCTION("""COMPUTED_VALUE"""),"kamila.freitas ")</f>
        <v>kamila.freitas </v>
      </c>
      <c r="B102" s="120" t="str">
        <f>IFERROR(__xludf.DUMMYFUNCTION("""COMPUTED_VALUE"""),"NCiv")</f>
        <v>NCiv</v>
      </c>
    </row>
    <row r="103">
      <c r="A103" s="289" t="str">
        <f>IFERROR(__xludf.DUMMYFUNCTION("""COMPUTED_VALUE"""),"kaua.bolonha")</f>
        <v>kaua.bolonha</v>
      </c>
      <c r="B103" s="120" t="str">
        <f>IFERROR(__xludf.DUMMYFUNCTION("""COMPUTED_VALUE"""),"NCiv")</f>
        <v>NCiv</v>
      </c>
    </row>
    <row r="104">
      <c r="A104" s="289" t="str">
        <f>IFERROR(__xludf.DUMMYFUNCTION("""COMPUTED_VALUE"""),"lara.couto")</f>
        <v>lara.couto</v>
      </c>
      <c r="B104" s="120" t="str">
        <f>IFERROR(__xludf.DUMMYFUNCTION("""COMPUTED_VALUE"""),"NCon")</f>
        <v>NCon</v>
      </c>
    </row>
    <row r="105">
      <c r="A105" s="289" t="str">
        <f>IFERROR(__xludf.DUMMYFUNCTION("""COMPUTED_VALUE"""),"larissa.oliveira")</f>
        <v>larissa.oliveira</v>
      </c>
      <c r="B105" s="120" t="str">
        <f>IFERROR(__xludf.DUMMYFUNCTION("""COMPUTED_VALUE"""),"NTec")</f>
        <v>NTec</v>
      </c>
    </row>
    <row r="106">
      <c r="A106" s="289" t="str">
        <f>IFERROR(__xludf.DUMMYFUNCTION("""COMPUTED_VALUE"""),"lays.zandomingos")</f>
        <v>lays.zandomingos</v>
      </c>
      <c r="B106" s="120" t="str">
        <f>IFERROR(__xludf.DUMMYFUNCTION("""COMPUTED_VALUE"""),"NDados")</f>
        <v>NDados</v>
      </c>
    </row>
    <row r="107">
      <c r="A107" s="289" t="str">
        <f>IFERROR(__xludf.DUMMYFUNCTION("""COMPUTED_VALUE"""),"leonardo.merkel")</f>
        <v>leonardo.merkel</v>
      </c>
      <c r="B107" s="120" t="str">
        <f>IFERROR(__xludf.DUMMYFUNCTION("""COMPUTED_VALUE"""),"NCiv")</f>
        <v>NCiv</v>
      </c>
    </row>
    <row r="108">
      <c r="A108" s="289" t="str">
        <f>IFERROR(__xludf.DUMMYFUNCTION("""COMPUTED_VALUE"""),"leonardo.varella")</f>
        <v>leonardo.varella</v>
      </c>
      <c r="B108" s="120" t="str">
        <f>IFERROR(__xludf.DUMMYFUNCTION("""COMPUTED_VALUE"""),"NTec")</f>
        <v>NTec</v>
      </c>
    </row>
    <row r="109">
      <c r="A109" s="289" t="str">
        <f>IFERROR(__xludf.DUMMYFUNCTION("""COMPUTED_VALUE"""),"ligia.pegorer")</f>
        <v>ligia.pegorer</v>
      </c>
      <c r="B109" s="120" t="str">
        <f>IFERROR(__xludf.DUMMYFUNCTION("""COMPUTED_VALUE"""),"NCiv")</f>
        <v>NCiv</v>
      </c>
    </row>
    <row r="110">
      <c r="A110" s="289" t="str">
        <f>IFERROR(__xludf.DUMMYFUNCTION("""COMPUTED_VALUE"""),"luana.santos")</f>
        <v>luana.santos</v>
      </c>
      <c r="B110" s="120" t="str">
        <f>IFERROR(__xludf.DUMMYFUNCTION("""COMPUTED_VALUE"""),"NCiv")</f>
        <v>NCiv</v>
      </c>
    </row>
    <row r="111">
      <c r="A111" s="289" t="str">
        <f>IFERROR(__xludf.DUMMYFUNCTION("""COMPUTED_VALUE"""),"lucas.aguiar")</f>
        <v>lucas.aguiar</v>
      </c>
      <c r="B111" s="120" t="str">
        <f>IFERROR(__xludf.DUMMYFUNCTION("""COMPUTED_VALUE"""),"NTec")</f>
        <v>NTec</v>
      </c>
    </row>
    <row r="112">
      <c r="A112" s="289" t="str">
        <f>IFERROR(__xludf.DUMMYFUNCTION("""COMPUTED_VALUE"""),"lucas.munerato")</f>
        <v>lucas.munerato</v>
      </c>
      <c r="B112" s="120" t="str">
        <f>IFERROR(__xludf.DUMMYFUNCTION("""COMPUTED_VALUE"""),"NTec")</f>
        <v>NTec</v>
      </c>
    </row>
    <row r="113">
      <c r="A113" s="289" t="str">
        <f>IFERROR(__xludf.DUMMYFUNCTION("""COMPUTED_VALUE"""),"lucas.cavalcante")</f>
        <v>lucas.cavalcante</v>
      </c>
      <c r="B113" s="120" t="str">
        <f>IFERROR(__xludf.DUMMYFUNCTION("""COMPUTED_VALUE"""),"NTec")</f>
        <v>NTec</v>
      </c>
    </row>
    <row r="114">
      <c r="A114" s="289" t="str">
        <f>IFERROR(__xludf.DUMMYFUNCTION("""COMPUTED_VALUE"""),"lucas.loureiro")</f>
        <v>lucas.loureiro</v>
      </c>
      <c r="B114" s="120" t="str">
        <f>IFERROR(__xludf.DUMMYFUNCTION("""COMPUTED_VALUE"""),"NCiv")</f>
        <v>NCiv</v>
      </c>
    </row>
    <row r="115">
      <c r="A115" s="289" t="str">
        <f>IFERROR(__xludf.DUMMYFUNCTION("""COMPUTED_VALUE"""),"lucas.siomi")</f>
        <v>lucas.siomi</v>
      </c>
      <c r="B115" s="120" t="str">
        <f>IFERROR(__xludf.DUMMYFUNCTION("""COMPUTED_VALUE"""),"NI")</f>
        <v>NI</v>
      </c>
    </row>
    <row r="116">
      <c r="A116" s="289" t="str">
        <f>IFERROR(__xludf.DUMMYFUNCTION("""COMPUTED_VALUE"""),"lucas.wu")</f>
        <v>lucas.wu</v>
      </c>
      <c r="B116" s="120" t="str">
        <f>IFERROR(__xludf.DUMMYFUNCTION("""COMPUTED_VALUE"""),"NCon")</f>
        <v>NCon</v>
      </c>
    </row>
    <row r="117">
      <c r="A117" s="289" t="str">
        <f>IFERROR(__xludf.DUMMYFUNCTION("""COMPUTED_VALUE"""),"Lucas.murat")</f>
        <v>Lucas.murat</v>
      </c>
      <c r="B117" s="120" t="str">
        <f>IFERROR(__xludf.DUMMYFUNCTION("""COMPUTED_VALUE"""),"NCon")</f>
        <v>NCon</v>
      </c>
    </row>
    <row r="118">
      <c r="A118" s="289" t="str">
        <f>IFERROR(__xludf.DUMMYFUNCTION("""COMPUTED_VALUE"""),"lucas.oliveira")</f>
        <v>lucas.oliveira</v>
      </c>
      <c r="B118" s="120" t="str">
        <f>IFERROR(__xludf.DUMMYFUNCTION("""COMPUTED_VALUE"""),"Anucleado")</f>
        <v>Anucleado</v>
      </c>
    </row>
    <row r="119">
      <c r="A119" s="289" t="str">
        <f>IFERROR(__xludf.DUMMYFUNCTION("""COMPUTED_VALUE"""),"lucas.godoy")</f>
        <v>lucas.godoy</v>
      </c>
      <c r="B119" s="120" t="str">
        <f>IFERROR(__xludf.DUMMYFUNCTION("""COMPUTED_VALUE"""),"NTec")</f>
        <v>NTec</v>
      </c>
    </row>
    <row r="120">
      <c r="A120" s="289" t="str">
        <f>IFERROR(__xludf.DUMMYFUNCTION("""COMPUTED_VALUE"""),"luis.ferreira")</f>
        <v>luis.ferreira</v>
      </c>
      <c r="B120" s="120" t="str">
        <f>IFERROR(__xludf.DUMMYFUNCTION("""COMPUTED_VALUE"""),"NCon")</f>
        <v>NCon</v>
      </c>
    </row>
    <row r="121">
      <c r="A121" s="289" t="str">
        <f>IFERROR(__xludf.DUMMYFUNCTION("""COMPUTED_VALUE"""),"luis.machado")</f>
        <v>luis.machado</v>
      </c>
      <c r="B121" s="120" t="str">
        <f>IFERROR(__xludf.DUMMYFUNCTION("""COMPUTED_VALUE"""),"NI")</f>
        <v>NI</v>
      </c>
    </row>
    <row r="122">
      <c r="A122" s="289" t="str">
        <f>IFERROR(__xludf.DUMMYFUNCTION("""COMPUTED_VALUE"""),"luis.cardoso")</f>
        <v>luis.cardoso</v>
      </c>
      <c r="B122" s="120" t="str">
        <f>IFERROR(__xludf.DUMMYFUNCTION("""COMPUTED_VALUE"""),"NCon")</f>
        <v>NCon</v>
      </c>
    </row>
    <row r="123">
      <c r="A123" s="289" t="str">
        <f>IFERROR(__xludf.DUMMYFUNCTION("""COMPUTED_VALUE"""),"luiz.reis")</f>
        <v>luiz.reis</v>
      </c>
      <c r="B123" s="120" t="str">
        <f>IFERROR(__xludf.DUMMYFUNCTION("""COMPUTED_VALUE"""),"NTec")</f>
        <v>NTec</v>
      </c>
    </row>
    <row r="124">
      <c r="A124" s="289" t="str">
        <f>IFERROR(__xludf.DUMMYFUNCTION("""COMPUTED_VALUE"""),"luiz.willets")</f>
        <v>luiz.willets</v>
      </c>
      <c r="B124" s="120" t="str">
        <f>IFERROR(__xludf.DUMMYFUNCTION("""COMPUTED_VALUE"""),"NCon")</f>
        <v>NCon</v>
      </c>
    </row>
    <row r="125">
      <c r="A125" s="289" t="str">
        <f>IFERROR(__xludf.DUMMYFUNCTION("""COMPUTED_VALUE"""),"luiz.silva")</f>
        <v>luiz.silva</v>
      </c>
      <c r="B125" s="120" t="str">
        <f>IFERROR(__xludf.DUMMYFUNCTION("""COMPUTED_VALUE"""),"NTec")</f>
        <v>NTec</v>
      </c>
    </row>
    <row r="126">
      <c r="A126" s="289" t="str">
        <f>IFERROR(__xludf.DUMMYFUNCTION("""COMPUTED_VALUE"""),"marcelo.olivetti")</f>
        <v>marcelo.olivetti</v>
      </c>
      <c r="B126" s="120" t="str">
        <f>IFERROR(__xludf.DUMMYFUNCTION("""COMPUTED_VALUE"""),"NI")</f>
        <v>NI</v>
      </c>
    </row>
    <row r="127">
      <c r="A127" s="289" t="str">
        <f>IFERROR(__xludf.DUMMYFUNCTION("""COMPUTED_VALUE"""),"marcelo.takayama")</f>
        <v>marcelo.takayama</v>
      </c>
      <c r="B127" s="120" t="str">
        <f>IFERROR(__xludf.DUMMYFUNCTION("""COMPUTED_VALUE"""),"NDados")</f>
        <v>NDados</v>
      </c>
    </row>
    <row r="128">
      <c r="A128" s="289" t="str">
        <f>IFERROR(__xludf.DUMMYFUNCTION("""COMPUTED_VALUE"""),"maria.caira")</f>
        <v>maria.caira</v>
      </c>
      <c r="B128" s="120" t="str">
        <f>IFERROR(__xludf.DUMMYFUNCTION("""COMPUTED_VALUE"""),"NDados")</f>
        <v>NDados</v>
      </c>
    </row>
    <row r="129">
      <c r="A129" s="289" t="str">
        <f>IFERROR(__xludf.DUMMYFUNCTION("""COMPUTED_VALUE"""),"mariana.watanabe")</f>
        <v>mariana.watanabe</v>
      </c>
      <c r="B129" s="120" t="str">
        <f>IFERROR(__xludf.DUMMYFUNCTION("""COMPUTED_VALUE"""),"NTec")</f>
        <v>NTec</v>
      </c>
    </row>
    <row r="130">
      <c r="A130" s="289" t="str">
        <f>IFERROR(__xludf.DUMMYFUNCTION("""COMPUTED_VALUE"""),"mariana.tsuzuki")</f>
        <v>mariana.tsuzuki</v>
      </c>
      <c r="B130" s="120" t="str">
        <f>IFERROR(__xludf.DUMMYFUNCTION("""COMPUTED_VALUE"""),"NCiv")</f>
        <v>NCiv</v>
      </c>
    </row>
    <row r="131">
      <c r="A131" s="289" t="str">
        <f>IFERROR(__xludf.DUMMYFUNCTION("""COMPUTED_VALUE"""),"mateus.dessimoni")</f>
        <v>mateus.dessimoni</v>
      </c>
      <c r="B131" s="120" t="str">
        <f>IFERROR(__xludf.DUMMYFUNCTION("""COMPUTED_VALUE"""),"NCon")</f>
        <v>NCon</v>
      </c>
    </row>
    <row r="132">
      <c r="A132" s="289" t="str">
        <f>IFERROR(__xludf.DUMMYFUNCTION("""COMPUTED_VALUE"""),"mateus.ramiro")</f>
        <v>mateus.ramiro</v>
      </c>
      <c r="B132" s="120" t="str">
        <f>IFERROR(__xludf.DUMMYFUNCTION("""COMPUTED_VALUE"""),"NCon")</f>
        <v>NCon</v>
      </c>
    </row>
    <row r="133">
      <c r="A133" s="289" t="str">
        <f>IFERROR(__xludf.DUMMYFUNCTION("""COMPUTED_VALUE"""),"mateus.gurza")</f>
        <v>mateus.gurza</v>
      </c>
      <c r="B133" s="120" t="str">
        <f>IFERROR(__xludf.DUMMYFUNCTION("""COMPUTED_VALUE"""),"NDados")</f>
        <v>NDados</v>
      </c>
    </row>
    <row r="134">
      <c r="A134" s="289" t="str">
        <f>IFERROR(__xludf.DUMMYFUNCTION("""COMPUTED_VALUE"""),"mateus.ono")</f>
        <v>mateus.ono</v>
      </c>
      <c r="B134" s="120" t="str">
        <f>IFERROR(__xludf.DUMMYFUNCTION("""COMPUTED_VALUE"""),"NDados")</f>
        <v>NDados</v>
      </c>
    </row>
    <row r="135">
      <c r="A135" s="289" t="str">
        <f>IFERROR(__xludf.DUMMYFUNCTION("""COMPUTED_VALUE"""),"mateus.araújo")</f>
        <v>mateus.araújo</v>
      </c>
      <c r="B135" s="120" t="str">
        <f>IFERROR(__xludf.DUMMYFUNCTION("""COMPUTED_VALUE"""),"NTec")</f>
        <v>NTec</v>
      </c>
    </row>
    <row r="136">
      <c r="A136" s="289" t="str">
        <f>IFERROR(__xludf.DUMMYFUNCTION("""COMPUTED_VALUE"""),"matheus.rodrigues")</f>
        <v>matheus.rodrigues</v>
      </c>
      <c r="B136" s="120" t="str">
        <f>IFERROR(__xludf.DUMMYFUNCTION("""COMPUTED_VALUE"""),"NDados")</f>
        <v>NDados</v>
      </c>
    </row>
    <row r="137">
      <c r="A137" s="289" t="str">
        <f>IFERROR(__xludf.DUMMYFUNCTION("""COMPUTED_VALUE"""),"matheus.santos")</f>
        <v>matheus.santos</v>
      </c>
      <c r="B137" s="120" t="str">
        <f>IFERROR(__xludf.DUMMYFUNCTION("""COMPUTED_VALUE"""),"NTec")</f>
        <v>NTec</v>
      </c>
    </row>
    <row r="138">
      <c r="A138" s="289" t="str">
        <f>IFERROR(__xludf.DUMMYFUNCTION("""COMPUTED_VALUE"""),"matheus.nascimento")</f>
        <v>matheus.nascimento</v>
      </c>
      <c r="B138" s="120" t="str">
        <f>IFERROR(__xludf.DUMMYFUNCTION("""COMPUTED_VALUE"""),"NTec")</f>
        <v>NTec</v>
      </c>
    </row>
    <row r="139">
      <c r="A139" s="289" t="str">
        <f>IFERROR(__xludf.DUMMYFUNCTION("""COMPUTED_VALUE"""),"matheus.romano")</f>
        <v>matheus.romano</v>
      </c>
      <c r="B139" s="120" t="str">
        <f>IFERROR(__xludf.DUMMYFUNCTION("""COMPUTED_VALUE"""),"NTec")</f>
        <v>NTec</v>
      </c>
    </row>
    <row r="140">
      <c r="A140" s="289" t="str">
        <f>IFERROR(__xludf.DUMMYFUNCTION("""COMPUTED_VALUE"""),"matheus.anvar")</f>
        <v>matheus.anvar</v>
      </c>
      <c r="B140" s="120" t="str">
        <f>IFERROR(__xludf.DUMMYFUNCTION("""COMPUTED_VALUE"""),"Anucleado")</f>
        <v>Anucleado</v>
      </c>
    </row>
    <row r="141">
      <c r="A141" s="289" t="str">
        <f>IFERROR(__xludf.DUMMYFUNCTION("""COMPUTED_VALUE"""),"maurilio.lago")</f>
        <v>maurilio.lago</v>
      </c>
      <c r="B141" s="120" t="str">
        <f>IFERROR(__xludf.DUMMYFUNCTION("""COMPUTED_VALUE"""),"NCiv")</f>
        <v>NCiv</v>
      </c>
    </row>
    <row r="142">
      <c r="A142" s="289" t="str">
        <f>IFERROR(__xludf.DUMMYFUNCTION("""COMPUTED_VALUE"""),"miguel.victor")</f>
        <v>miguel.victor</v>
      </c>
      <c r="B142" s="120" t="str">
        <f>IFERROR(__xludf.DUMMYFUNCTION("""COMPUTED_VALUE"""),"NCiv")</f>
        <v>NCiv</v>
      </c>
    </row>
    <row r="143">
      <c r="A143" s="289" t="str">
        <f>IFERROR(__xludf.DUMMYFUNCTION("""COMPUTED_VALUE"""),"milena.ramos")</f>
        <v>milena.ramos</v>
      </c>
      <c r="B143" s="120" t="str">
        <f>IFERROR(__xludf.DUMMYFUNCTION("""COMPUTED_VALUE"""),"NCiv")</f>
        <v>NCiv</v>
      </c>
    </row>
    <row r="144">
      <c r="A144" s="289" t="str">
        <f>IFERROR(__xludf.DUMMYFUNCTION("""COMPUTED_VALUE"""),"moizes.avila")</f>
        <v>moizes.avila</v>
      </c>
      <c r="B144" s="120" t="str">
        <f>IFERROR(__xludf.DUMMYFUNCTION("""COMPUTED_VALUE"""),"NTec")</f>
        <v>NTec</v>
      </c>
    </row>
    <row r="145">
      <c r="A145" s="289" t="str">
        <f>IFERROR(__xludf.DUMMYFUNCTION("""COMPUTED_VALUE"""),"natalia.martins")</f>
        <v>natalia.martins</v>
      </c>
      <c r="B145" s="120" t="str">
        <f>IFERROR(__xludf.DUMMYFUNCTION("""COMPUTED_VALUE"""),"NDados")</f>
        <v>NDados</v>
      </c>
    </row>
    <row r="146">
      <c r="A146" s="289" t="str">
        <f>IFERROR(__xludf.DUMMYFUNCTION("""COMPUTED_VALUE"""),"natan.palacio")</f>
        <v>natan.palacio</v>
      </c>
      <c r="B146" s="120" t="str">
        <f>IFERROR(__xludf.DUMMYFUNCTION("""COMPUTED_VALUE"""),"NDados")</f>
        <v>NDados</v>
      </c>
    </row>
    <row r="147">
      <c r="A147" s="289" t="str">
        <f>IFERROR(__xludf.DUMMYFUNCTION("""COMPUTED_VALUE"""),"nathalia.valle")</f>
        <v>nathalia.valle</v>
      </c>
      <c r="B147" s="120" t="str">
        <f>IFERROR(__xludf.DUMMYFUNCTION("""COMPUTED_VALUE"""),"NCiv")</f>
        <v>NCiv</v>
      </c>
    </row>
    <row r="148">
      <c r="A148" s="289" t="str">
        <f>IFERROR(__xludf.DUMMYFUNCTION("""COMPUTED_VALUE"""),"nicole.tomita")</f>
        <v>nicole.tomita</v>
      </c>
      <c r="B148" s="120" t="str">
        <f>IFERROR(__xludf.DUMMYFUNCTION("""COMPUTED_VALUE"""),"NCiv")</f>
        <v>NCiv</v>
      </c>
    </row>
    <row r="149">
      <c r="A149" s="289" t="str">
        <f>IFERROR(__xludf.DUMMYFUNCTION("""COMPUTED_VALUE"""),"nicolle.Vannuccini")</f>
        <v>nicolle.Vannuccini</v>
      </c>
      <c r="B149" s="120" t="str">
        <f>IFERROR(__xludf.DUMMYFUNCTION("""COMPUTED_VALUE"""),"NCiv")</f>
        <v>NCiv</v>
      </c>
    </row>
    <row r="150">
      <c r="A150" s="289" t="str">
        <f>IFERROR(__xludf.DUMMYFUNCTION("""COMPUTED_VALUE"""),"otto.takamura")</f>
        <v>otto.takamura</v>
      </c>
      <c r="B150" s="120" t="str">
        <f>IFERROR(__xludf.DUMMYFUNCTION("""COMPUTED_VALUE"""),"NTec")</f>
        <v>NTec</v>
      </c>
    </row>
    <row r="151">
      <c r="A151" s="289" t="str">
        <f>IFERROR(__xludf.DUMMYFUNCTION("""COMPUTED_VALUE"""),"paulo.oliveira")</f>
        <v>paulo.oliveira</v>
      </c>
      <c r="B151" s="120" t="str">
        <f>IFERROR(__xludf.DUMMYFUNCTION("""COMPUTED_VALUE"""),"NCon")</f>
        <v>NCon</v>
      </c>
    </row>
    <row r="152">
      <c r="A152" s="289" t="str">
        <f>IFERROR(__xludf.DUMMYFUNCTION("""COMPUTED_VALUE"""),"pedro.albuquerque")</f>
        <v>pedro.albuquerque</v>
      </c>
      <c r="B152" s="120" t="str">
        <f>IFERROR(__xludf.DUMMYFUNCTION("""COMPUTED_VALUE"""),"NCiv")</f>
        <v>NCiv</v>
      </c>
    </row>
    <row r="153">
      <c r="A153" s="289" t="str">
        <f>IFERROR(__xludf.DUMMYFUNCTION("""COMPUTED_VALUE"""),"pedro.amaral")</f>
        <v>pedro.amaral</v>
      </c>
      <c r="B153" s="120" t="str">
        <f>IFERROR(__xludf.DUMMYFUNCTION("""COMPUTED_VALUE"""),"NCon")</f>
        <v>NCon</v>
      </c>
    </row>
    <row r="154">
      <c r="A154" s="289" t="str">
        <f>IFERROR(__xludf.DUMMYFUNCTION("""COMPUTED_VALUE"""),"pedro.matusita")</f>
        <v>pedro.matusita</v>
      </c>
      <c r="B154" s="120" t="str">
        <f>IFERROR(__xludf.DUMMYFUNCTION("""COMPUTED_VALUE"""),"NDados")</f>
        <v>NDados</v>
      </c>
    </row>
    <row r="155">
      <c r="A155" s="289" t="str">
        <f>IFERROR(__xludf.DUMMYFUNCTION("""COMPUTED_VALUE"""),"pedro.ferraz")</f>
        <v>pedro.ferraz</v>
      </c>
      <c r="B155" s="120" t="str">
        <f>IFERROR(__xludf.DUMMYFUNCTION("""COMPUTED_VALUE"""),"NTec")</f>
        <v>NTec</v>
      </c>
    </row>
    <row r="156">
      <c r="A156" s="289" t="str">
        <f>IFERROR(__xludf.DUMMYFUNCTION("""COMPUTED_VALUE"""),"pedro.aires")</f>
        <v>pedro.aires</v>
      </c>
      <c r="B156" s="120" t="str">
        <f>IFERROR(__xludf.DUMMYFUNCTION("""COMPUTED_VALUE"""),"NDados")</f>
        <v>NDados</v>
      </c>
    </row>
    <row r="157">
      <c r="A157" s="289" t="str">
        <f>IFERROR(__xludf.DUMMYFUNCTION("""COMPUTED_VALUE"""),"pedro.gil")</f>
        <v>pedro.gil</v>
      </c>
      <c r="B157" s="120" t="str">
        <f>IFERROR(__xludf.DUMMYFUNCTION("""COMPUTED_VALUE"""),"NCon")</f>
        <v>NCon</v>
      </c>
    </row>
    <row r="158">
      <c r="A158" s="289" t="str">
        <f>IFERROR(__xludf.DUMMYFUNCTION("""COMPUTED_VALUE"""),"pedro.oliveira")</f>
        <v>pedro.oliveira</v>
      </c>
      <c r="B158" s="120" t="str">
        <f>IFERROR(__xludf.DUMMYFUNCTION("""COMPUTED_VALUE"""),"NTec")</f>
        <v>NTec</v>
      </c>
    </row>
    <row r="159">
      <c r="A159" s="289" t="str">
        <f>IFERROR(__xludf.DUMMYFUNCTION("""COMPUTED_VALUE"""),"pedro.kanakura")</f>
        <v>pedro.kanakura</v>
      </c>
      <c r="B159" s="120" t="str">
        <f>IFERROR(__xludf.DUMMYFUNCTION("""COMPUTED_VALUE"""),"WI")</f>
        <v>WI</v>
      </c>
    </row>
    <row r="160">
      <c r="A160" s="289" t="str">
        <f>IFERROR(__xludf.DUMMYFUNCTION("""COMPUTED_VALUE"""),"pedro.porto")</f>
        <v>pedro.porto</v>
      </c>
      <c r="B160" s="120" t="str">
        <f>IFERROR(__xludf.DUMMYFUNCTION("""COMPUTED_VALUE"""),"NDados")</f>
        <v>NDados</v>
      </c>
    </row>
    <row r="161">
      <c r="A161" s="289" t="str">
        <f>IFERROR(__xludf.DUMMYFUNCTION("""COMPUTED_VALUE"""),"pedro.tinoco")</f>
        <v>pedro.tinoco</v>
      </c>
      <c r="B161" s="120" t="str">
        <f>IFERROR(__xludf.DUMMYFUNCTION("""COMPUTED_VALUE"""),"NDados")</f>
        <v>NDados</v>
      </c>
    </row>
    <row r="162">
      <c r="A162" s="289" t="str">
        <f>IFERROR(__xludf.DUMMYFUNCTION("""COMPUTED_VALUE"""),"pedro.feitosa")</f>
        <v>pedro.feitosa</v>
      </c>
      <c r="B162" s="120" t="str">
        <f>IFERROR(__xludf.DUMMYFUNCTION("""COMPUTED_VALUE"""),"NCon")</f>
        <v>NCon</v>
      </c>
    </row>
    <row r="163">
      <c r="A163" s="289" t="str">
        <f>IFERROR(__xludf.DUMMYFUNCTION("""COMPUTED_VALUE"""),"rafael.junqueira")</f>
        <v>rafael.junqueira</v>
      </c>
      <c r="B163" s="120" t="str">
        <f>IFERROR(__xludf.DUMMYFUNCTION("""COMPUTED_VALUE"""),"NDados")</f>
        <v>NDados</v>
      </c>
    </row>
    <row r="164">
      <c r="A164" s="289" t="str">
        <f>IFERROR(__xludf.DUMMYFUNCTION("""COMPUTED_VALUE"""),"rafael.silva")</f>
        <v>rafael.silva</v>
      </c>
      <c r="B164" s="120" t="str">
        <f>IFERROR(__xludf.DUMMYFUNCTION("""COMPUTED_VALUE"""),"NCiv")</f>
        <v>NCiv</v>
      </c>
    </row>
    <row r="165">
      <c r="A165" s="289" t="str">
        <f>IFERROR(__xludf.DUMMYFUNCTION("""COMPUTED_VALUE"""),"rafael.maesano")</f>
        <v>rafael.maesano</v>
      </c>
      <c r="B165" s="120" t="str">
        <f>IFERROR(__xludf.DUMMYFUNCTION("""COMPUTED_VALUE"""),"NCon")</f>
        <v>NCon</v>
      </c>
    </row>
    <row r="166">
      <c r="A166" s="289" t="str">
        <f>IFERROR(__xludf.DUMMYFUNCTION("""COMPUTED_VALUE"""),"rafael.tamasi")</f>
        <v>rafael.tamasi</v>
      </c>
      <c r="B166" s="120" t="str">
        <f>IFERROR(__xludf.DUMMYFUNCTION("""COMPUTED_VALUE"""),"Anucleado")</f>
        <v>Anucleado</v>
      </c>
    </row>
    <row r="167">
      <c r="A167" s="289" t="str">
        <f>IFERROR(__xludf.DUMMYFUNCTION("""COMPUTED_VALUE"""),"renan.groto")</f>
        <v>renan.groto</v>
      </c>
      <c r="B167" s="120" t="str">
        <f>IFERROR(__xludf.DUMMYFUNCTION("""COMPUTED_VALUE"""),"NDados")</f>
        <v>NDados</v>
      </c>
    </row>
    <row r="168">
      <c r="A168" s="289" t="str">
        <f>IFERROR(__xludf.DUMMYFUNCTION("""COMPUTED_VALUE"""),"ricardo.rosebaum")</f>
        <v>ricardo.rosebaum</v>
      </c>
      <c r="B168" s="120" t="str">
        <f>IFERROR(__xludf.DUMMYFUNCTION("""COMPUTED_VALUE"""),"NTec")</f>
        <v>NTec</v>
      </c>
    </row>
    <row r="169">
      <c r="A169" s="289" t="str">
        <f>IFERROR(__xludf.DUMMYFUNCTION("""COMPUTED_VALUE"""),"sabrina.chui")</f>
        <v>sabrina.chui</v>
      </c>
      <c r="B169" s="120" t="str">
        <f>IFERROR(__xludf.DUMMYFUNCTION("""COMPUTED_VALUE"""),"NCon")</f>
        <v>NCon</v>
      </c>
    </row>
    <row r="170">
      <c r="A170" s="289" t="str">
        <f>IFERROR(__xludf.DUMMYFUNCTION("""COMPUTED_VALUE"""),"silvia.melo")</f>
        <v>silvia.melo</v>
      </c>
      <c r="B170" s="120" t="str">
        <f>IFERROR(__xludf.DUMMYFUNCTION("""COMPUTED_VALUE"""),"NCiv")</f>
        <v>NCiv</v>
      </c>
    </row>
    <row r="171">
      <c r="A171" s="289" t="str">
        <f>IFERROR(__xludf.DUMMYFUNCTION("""COMPUTED_VALUE"""),"sofia.yoshimura")</f>
        <v>sofia.yoshimura</v>
      </c>
      <c r="B171" s="120" t="str">
        <f>IFERROR(__xludf.DUMMYFUNCTION("""COMPUTED_VALUE"""),"NCon")</f>
        <v>NCon</v>
      </c>
    </row>
    <row r="172">
      <c r="A172" s="289" t="str">
        <f>IFERROR(__xludf.DUMMYFUNCTION("""COMPUTED_VALUE"""),"stephanie.grunwald")</f>
        <v>stephanie.grunwald</v>
      </c>
      <c r="B172" s="120" t="str">
        <f>IFERROR(__xludf.DUMMYFUNCTION("""COMPUTED_VALUE"""),"NTec")</f>
        <v>NTec</v>
      </c>
    </row>
    <row r="173">
      <c r="A173" s="289" t="str">
        <f>IFERROR(__xludf.DUMMYFUNCTION("""COMPUTED_VALUE"""),"susana.gonzales")</f>
        <v>susana.gonzales</v>
      </c>
      <c r="B173" s="120" t="str">
        <f>IFERROR(__xludf.DUMMYFUNCTION("""COMPUTED_VALUE"""),"NCiv")</f>
        <v>NCiv</v>
      </c>
    </row>
    <row r="174">
      <c r="A174" s="289" t="str">
        <f>IFERROR(__xludf.DUMMYFUNCTION("""COMPUTED_VALUE"""),"tassyla.lima")</f>
        <v>tassyla.lima</v>
      </c>
      <c r="B174" s="120" t="str">
        <f>IFERROR(__xludf.DUMMYFUNCTION("""COMPUTED_VALUE"""),"NTec")</f>
        <v>NTec</v>
      </c>
    </row>
    <row r="175">
      <c r="A175" s="289" t="str">
        <f>IFERROR(__xludf.DUMMYFUNCTION("""COMPUTED_VALUE"""),"thiago.velasquez")</f>
        <v>thiago.velasquez</v>
      </c>
      <c r="B175" s="120" t="str">
        <f>IFERROR(__xludf.DUMMYFUNCTION("""COMPUTED_VALUE"""),"NTec")</f>
        <v>NTec</v>
      </c>
    </row>
    <row r="176">
      <c r="A176" s="289" t="str">
        <f>IFERROR(__xludf.DUMMYFUNCTION("""COMPUTED_VALUE"""),"thiago.verdelli")</f>
        <v>thiago.verdelli</v>
      </c>
      <c r="B176" s="120" t="str">
        <f>IFERROR(__xludf.DUMMYFUNCTION("""COMPUTED_VALUE"""),"WI")</f>
        <v>WI</v>
      </c>
    </row>
    <row r="177">
      <c r="A177" s="289" t="str">
        <f>IFERROR(__xludf.DUMMYFUNCTION("""COMPUTED_VALUE"""),"tiemi.koza")</f>
        <v>tiemi.koza</v>
      </c>
      <c r="B177" s="120" t="str">
        <f>IFERROR(__xludf.DUMMYFUNCTION("""COMPUTED_VALUE"""),"NCon")</f>
        <v>NCon</v>
      </c>
    </row>
    <row r="178">
      <c r="A178" s="289" t="str">
        <f>IFERROR(__xludf.DUMMYFUNCTION("""COMPUTED_VALUE"""),"valentina.maia")</f>
        <v>valentina.maia</v>
      </c>
      <c r="B178" s="120" t="str">
        <f>IFERROR(__xludf.DUMMYFUNCTION("""COMPUTED_VALUE"""),"NDados")</f>
        <v>NDados</v>
      </c>
    </row>
    <row r="179">
      <c r="A179" s="289" t="str">
        <f>IFERROR(__xludf.DUMMYFUNCTION("""COMPUTED_VALUE"""),"victor.carvalho")</f>
        <v>victor.carvalho</v>
      </c>
      <c r="B179" s="120" t="str">
        <f>IFERROR(__xludf.DUMMYFUNCTION("""COMPUTED_VALUE"""),"NTec")</f>
        <v>NTec</v>
      </c>
    </row>
    <row r="180">
      <c r="A180" s="289" t="str">
        <f>IFERROR(__xludf.DUMMYFUNCTION("""COMPUTED_VALUE"""),"victor.ishizaki")</f>
        <v>victor.ishizaki</v>
      </c>
      <c r="B180" s="120" t="str">
        <f>IFERROR(__xludf.DUMMYFUNCTION("""COMPUTED_VALUE"""),"NTec")</f>
        <v>NTec</v>
      </c>
    </row>
    <row r="181">
      <c r="A181" s="289" t="str">
        <f>IFERROR(__xludf.DUMMYFUNCTION("""COMPUTED_VALUE"""),"victoria.hiriart")</f>
        <v>victoria.hiriart</v>
      </c>
      <c r="B181" s="120" t="str">
        <f>IFERROR(__xludf.DUMMYFUNCTION("""COMPUTED_VALUE"""),"NCiv")</f>
        <v>NCiv</v>
      </c>
    </row>
    <row r="182">
      <c r="A182" s="289" t="str">
        <f>IFERROR(__xludf.DUMMYFUNCTION("""COMPUTED_VALUE"""),"vinicius.sakima")</f>
        <v>vinicius.sakima</v>
      </c>
      <c r="B182" s="120" t="str">
        <f>IFERROR(__xludf.DUMMYFUNCTION("""COMPUTED_VALUE"""),"NCon")</f>
        <v>NCon</v>
      </c>
    </row>
    <row r="183">
      <c r="A183" s="289" t="str">
        <f>IFERROR(__xludf.DUMMYFUNCTION("""COMPUTED_VALUE"""),"vinicius.lorenzo")</f>
        <v>vinicius.lorenzo</v>
      </c>
      <c r="B183" s="120" t="str">
        <f>IFERROR(__xludf.DUMMYFUNCTION("""COMPUTED_VALUE"""),"NCon")</f>
        <v>NCon</v>
      </c>
    </row>
    <row r="184">
      <c r="A184" s="289" t="str">
        <f>IFERROR(__xludf.DUMMYFUNCTION("""COMPUTED_VALUE"""),"vinicius.giro")</f>
        <v>vinicius.giro</v>
      </c>
      <c r="B184" s="120" t="str">
        <f>IFERROR(__xludf.DUMMYFUNCTION("""COMPUTED_VALUE"""),"NCon")</f>
        <v>NCon</v>
      </c>
    </row>
    <row r="185">
      <c r="A185" s="289" t="str">
        <f>IFERROR(__xludf.DUMMYFUNCTION("""COMPUTED_VALUE"""),"vitor.costa")</f>
        <v>vitor.costa</v>
      </c>
      <c r="B185" s="120" t="str">
        <f>IFERROR(__xludf.DUMMYFUNCTION("""COMPUTED_VALUE"""),"NTec")</f>
        <v>NTec</v>
      </c>
    </row>
    <row r="186">
      <c r="A186" s="289" t="str">
        <f>IFERROR(__xludf.DUMMYFUNCTION("""COMPUTED_VALUE"""),"vitor.goncalves")</f>
        <v>vitor.goncalves</v>
      </c>
      <c r="B186" s="120" t="str">
        <f>IFERROR(__xludf.DUMMYFUNCTION("""COMPUTED_VALUE"""),"NCon")</f>
        <v>NCon</v>
      </c>
    </row>
    <row r="187">
      <c r="A187" s="289" t="str">
        <f>IFERROR(__xludf.DUMMYFUNCTION("""COMPUTED_VALUE"""),"vitor.iwasaki")</f>
        <v>vitor.iwasaki</v>
      </c>
      <c r="B187" s="120" t="str">
        <f>IFERROR(__xludf.DUMMYFUNCTION("""COMPUTED_VALUE"""),"NCon")</f>
        <v>NCon</v>
      </c>
    </row>
    <row r="188">
      <c r="A188" s="289" t="str">
        <f>IFERROR(__xludf.DUMMYFUNCTION("""COMPUTED_VALUE"""),"vitoria.morseli")</f>
        <v>vitoria.morseli</v>
      </c>
      <c r="B188" s="120" t="str">
        <f>IFERROR(__xludf.DUMMYFUNCTION("""COMPUTED_VALUE"""),"NCon")</f>
        <v>NCon</v>
      </c>
    </row>
    <row r="189">
      <c r="A189" s="289" t="str">
        <f>IFERROR(__xludf.DUMMYFUNCTION("""COMPUTED_VALUE"""),"william.luz")</f>
        <v>william.luz</v>
      </c>
      <c r="B189" s="120" t="str">
        <f>IFERROR(__xludf.DUMMYFUNCTION("""COMPUTED_VALUE"""),"NCiv")</f>
        <v>NCiv</v>
      </c>
    </row>
    <row r="190">
      <c r="A190" s="289"/>
      <c r="B190" s="120"/>
    </row>
    <row r="191">
      <c r="A191" s="289"/>
      <c r="B191" s="93"/>
    </row>
    <row r="192">
      <c r="A192" s="289"/>
      <c r="B192" s="93"/>
    </row>
    <row r="193">
      <c r="A193" s="289"/>
      <c r="B193" s="93"/>
    </row>
    <row r="194">
      <c r="A194" s="289"/>
      <c r="B194" s="93"/>
    </row>
    <row r="195">
      <c r="A195" s="289"/>
      <c r="B195" s="93"/>
    </row>
    <row r="196">
      <c r="A196" s="289"/>
      <c r="B196" s="93"/>
    </row>
    <row r="197">
      <c r="A197" s="289"/>
      <c r="B197" s="93"/>
    </row>
    <row r="198">
      <c r="A198" s="289"/>
      <c r="B198" s="93"/>
    </row>
    <row r="199">
      <c r="A199" s="289"/>
      <c r="B199" s="93"/>
    </row>
    <row r="200">
      <c r="A200" s="289"/>
      <c r="B200" s="93"/>
    </row>
    <row r="201">
      <c r="A201" s="289"/>
      <c r="B201" s="93"/>
    </row>
    <row r="202">
      <c r="A202" s="289"/>
      <c r="B202" s="93"/>
    </row>
    <row r="203">
      <c r="A203" s="289"/>
      <c r="B203" s="93"/>
    </row>
    <row r="204">
      <c r="A204" s="289"/>
      <c r="B204" s="93"/>
    </row>
    <row r="205">
      <c r="A205" s="289"/>
      <c r="B205" s="93"/>
    </row>
    <row r="206">
      <c r="A206" s="289"/>
      <c r="B206" s="93"/>
    </row>
    <row r="207">
      <c r="A207" s="289"/>
      <c r="B207" s="93"/>
    </row>
    <row r="208">
      <c r="A208" s="289"/>
      <c r="B208" s="93"/>
    </row>
    <row r="209">
      <c r="A209" s="289"/>
      <c r="B209" s="93"/>
    </row>
    <row r="210">
      <c r="A210" s="289"/>
      <c r="B210" s="93"/>
    </row>
    <row r="211">
      <c r="A211" s="289"/>
      <c r="B211" s="93"/>
    </row>
    <row r="212">
      <c r="A212" s="289"/>
      <c r="B212" s="93"/>
    </row>
    <row r="213">
      <c r="A213" s="289"/>
      <c r="B213" s="93"/>
    </row>
    <row r="214">
      <c r="A214" s="289"/>
      <c r="B214" s="93"/>
    </row>
    <row r="215">
      <c r="A215" s="289"/>
      <c r="B215" s="93"/>
    </row>
    <row r="216">
      <c r="A216" s="289"/>
      <c r="B216" s="93"/>
    </row>
    <row r="217">
      <c r="A217" s="289"/>
      <c r="B217" s="93"/>
    </row>
    <row r="218">
      <c r="A218" s="289"/>
      <c r="B218" s="93"/>
    </row>
    <row r="219">
      <c r="A219" s="289"/>
      <c r="B219" s="93"/>
    </row>
    <row r="220">
      <c r="A220" s="289"/>
      <c r="B220" s="93"/>
    </row>
    <row r="221">
      <c r="A221" s="289"/>
      <c r="B221" s="93"/>
    </row>
    <row r="222">
      <c r="A222" s="289"/>
      <c r="B222" s="93"/>
    </row>
    <row r="223">
      <c r="A223" s="289"/>
      <c r="B223" s="93"/>
    </row>
    <row r="224">
      <c r="A224" s="289"/>
      <c r="B224" s="93"/>
    </row>
    <row r="225">
      <c r="A225" s="289"/>
      <c r="B225" s="93"/>
    </row>
    <row r="226">
      <c r="A226" s="289"/>
      <c r="B226" s="93"/>
    </row>
    <row r="227">
      <c r="A227" s="289"/>
      <c r="B227" s="93"/>
    </row>
    <row r="228">
      <c r="A228" s="289"/>
      <c r="B228" s="93"/>
    </row>
    <row r="229">
      <c r="A229" s="289"/>
      <c r="B229" s="93"/>
    </row>
    <row r="230">
      <c r="A230" s="289"/>
      <c r="B230" s="93"/>
    </row>
    <row r="231">
      <c r="A231" s="289"/>
      <c r="B231" s="93"/>
    </row>
    <row r="232">
      <c r="A232" s="289"/>
      <c r="B232" s="93"/>
    </row>
    <row r="233">
      <c r="A233" s="289"/>
      <c r="B233" s="93"/>
    </row>
    <row r="234">
      <c r="A234" s="289"/>
      <c r="B234" s="93"/>
    </row>
    <row r="235">
      <c r="A235" s="289"/>
      <c r="B235" s="93"/>
    </row>
    <row r="236">
      <c r="A236" s="289"/>
      <c r="B236" s="93"/>
    </row>
    <row r="237">
      <c r="A237" s="289"/>
      <c r="B237" s="93"/>
    </row>
    <row r="238">
      <c r="A238" s="289"/>
      <c r="B238" s="93"/>
    </row>
    <row r="239">
      <c r="A239" s="289"/>
      <c r="B239" s="93"/>
    </row>
    <row r="240">
      <c r="A240" s="289"/>
      <c r="B240" s="93"/>
    </row>
    <row r="241">
      <c r="A241" s="289"/>
      <c r="B241" s="93"/>
    </row>
    <row r="242">
      <c r="A242" s="289"/>
      <c r="B242" s="93"/>
    </row>
    <row r="243">
      <c r="A243" s="289"/>
      <c r="B243" s="93"/>
    </row>
    <row r="244">
      <c r="A244" s="289"/>
      <c r="B244" s="93"/>
    </row>
    <row r="245">
      <c r="A245" s="289"/>
      <c r="B245" s="93"/>
    </row>
    <row r="246">
      <c r="A246" s="289"/>
      <c r="B246" s="93"/>
    </row>
    <row r="247">
      <c r="A247" s="289"/>
      <c r="B247" s="93"/>
    </row>
    <row r="248">
      <c r="A248" s="289"/>
      <c r="B248" s="93"/>
    </row>
    <row r="249">
      <c r="A249" s="289"/>
      <c r="B249" s="93"/>
    </row>
    <row r="250">
      <c r="A250" s="289"/>
      <c r="B250" s="93"/>
    </row>
    <row r="251">
      <c r="A251" s="289"/>
      <c r="B251" s="93"/>
    </row>
    <row r="252">
      <c r="A252" s="289"/>
      <c r="B252" s="93"/>
    </row>
    <row r="253">
      <c r="A253" s="289"/>
      <c r="B253" s="93"/>
    </row>
    <row r="254">
      <c r="A254" s="289"/>
      <c r="B254" s="93"/>
    </row>
    <row r="255">
      <c r="A255" s="289"/>
      <c r="B255" s="93"/>
    </row>
    <row r="256">
      <c r="A256" s="289"/>
      <c r="B256" s="93"/>
    </row>
    <row r="257">
      <c r="A257" s="289"/>
      <c r="B257" s="93"/>
    </row>
    <row r="258">
      <c r="A258" s="289"/>
      <c r="B258" s="93"/>
    </row>
    <row r="259">
      <c r="A259" s="289"/>
      <c r="B259" s="93"/>
    </row>
    <row r="260">
      <c r="A260" s="289"/>
      <c r="B260" s="93"/>
    </row>
    <row r="261">
      <c r="A261" s="289"/>
      <c r="B261" s="93"/>
    </row>
    <row r="262">
      <c r="A262" s="289"/>
      <c r="B262" s="93"/>
    </row>
    <row r="263">
      <c r="A263" s="289"/>
      <c r="B263" s="93"/>
    </row>
    <row r="264">
      <c r="A264" s="289"/>
      <c r="B264" s="93"/>
    </row>
    <row r="265">
      <c r="A265" s="289"/>
      <c r="B265" s="93"/>
    </row>
    <row r="266">
      <c r="A266" s="289"/>
      <c r="B266" s="93"/>
    </row>
    <row r="267">
      <c r="A267" s="289"/>
      <c r="B267" s="93"/>
    </row>
    <row r="268">
      <c r="A268" s="289"/>
      <c r="B268" s="93"/>
    </row>
    <row r="269">
      <c r="A269" s="289"/>
      <c r="B269" s="93"/>
    </row>
    <row r="270">
      <c r="A270" s="289"/>
      <c r="B270" s="93"/>
    </row>
    <row r="271">
      <c r="A271" s="289"/>
      <c r="B271" s="93"/>
    </row>
    <row r="272">
      <c r="A272" s="289"/>
      <c r="B272" s="93"/>
    </row>
    <row r="273">
      <c r="A273" s="289"/>
      <c r="B273" s="93"/>
    </row>
    <row r="274">
      <c r="A274" s="289"/>
      <c r="B274" s="93"/>
    </row>
    <row r="275">
      <c r="A275" s="289"/>
      <c r="B275" s="93"/>
    </row>
    <row r="276">
      <c r="A276" s="289"/>
      <c r="B276" s="93"/>
    </row>
    <row r="277">
      <c r="A277" s="289"/>
      <c r="B277" s="93"/>
    </row>
    <row r="278">
      <c r="A278" s="289"/>
      <c r="B278" s="93"/>
    </row>
    <row r="279">
      <c r="A279" s="289"/>
      <c r="B279" s="93"/>
    </row>
    <row r="280">
      <c r="A280" s="289"/>
      <c r="B280" s="93"/>
    </row>
    <row r="281">
      <c r="A281" s="289"/>
      <c r="B281" s="93"/>
    </row>
    <row r="282">
      <c r="A282" s="289"/>
      <c r="B282" s="93"/>
    </row>
    <row r="283">
      <c r="A283" s="289"/>
      <c r="B283" s="93"/>
    </row>
    <row r="284">
      <c r="A284" s="289"/>
      <c r="B284" s="93"/>
    </row>
    <row r="285">
      <c r="A285" s="289"/>
      <c r="B285" s="93"/>
    </row>
    <row r="286">
      <c r="A286" s="289"/>
      <c r="B286" s="93"/>
    </row>
    <row r="287">
      <c r="A287" s="289"/>
      <c r="B287" s="93"/>
    </row>
    <row r="288">
      <c r="A288" s="289"/>
      <c r="B288" s="93"/>
    </row>
    <row r="289">
      <c r="A289" s="289"/>
      <c r="B289" s="93"/>
    </row>
    <row r="290">
      <c r="A290" s="289"/>
      <c r="B290" s="93"/>
    </row>
    <row r="291">
      <c r="A291" s="289"/>
      <c r="B291" s="93"/>
    </row>
    <row r="292">
      <c r="A292" s="289"/>
      <c r="B292" s="93"/>
    </row>
    <row r="293">
      <c r="A293" s="289"/>
      <c r="B293" s="93"/>
    </row>
    <row r="294">
      <c r="A294" s="289"/>
      <c r="B294" s="93"/>
    </row>
    <row r="295">
      <c r="A295" s="289"/>
      <c r="B295" s="93"/>
    </row>
    <row r="296">
      <c r="A296" s="289"/>
      <c r="B296" s="93"/>
    </row>
    <row r="297">
      <c r="A297" s="289"/>
      <c r="B297" s="93"/>
    </row>
    <row r="298">
      <c r="A298" s="289"/>
      <c r="B298" s="93"/>
    </row>
    <row r="299">
      <c r="A299" s="289"/>
      <c r="B299" s="93"/>
    </row>
    <row r="300">
      <c r="A300" s="289"/>
      <c r="B300" s="93"/>
    </row>
    <row r="301">
      <c r="A301" s="289"/>
      <c r="B301" s="93"/>
    </row>
    <row r="302">
      <c r="A302" s="289"/>
      <c r="B302" s="93"/>
    </row>
    <row r="303">
      <c r="A303" s="289"/>
      <c r="B303" s="93"/>
    </row>
    <row r="304">
      <c r="A304" s="289"/>
      <c r="B304" s="93"/>
    </row>
    <row r="305">
      <c r="A305" s="289"/>
      <c r="B305" s="93"/>
    </row>
    <row r="306">
      <c r="A306" s="289"/>
      <c r="B306" s="93"/>
    </row>
    <row r="307">
      <c r="A307" s="289"/>
      <c r="B307" s="93"/>
    </row>
    <row r="308">
      <c r="A308" s="289"/>
      <c r="B308" s="93"/>
    </row>
    <row r="309">
      <c r="A309" s="289"/>
      <c r="B309" s="93"/>
    </row>
    <row r="310">
      <c r="A310" s="289"/>
      <c r="B310" s="93"/>
    </row>
    <row r="311">
      <c r="A311" s="289"/>
      <c r="B311" s="93"/>
    </row>
    <row r="312">
      <c r="A312" s="289"/>
      <c r="B312" s="93"/>
    </row>
    <row r="313">
      <c r="A313" s="289"/>
      <c r="B313" s="93"/>
    </row>
    <row r="314">
      <c r="A314" s="289"/>
      <c r="B314" s="93"/>
    </row>
    <row r="315">
      <c r="A315" s="289"/>
      <c r="B315" s="93"/>
    </row>
    <row r="316">
      <c r="A316" s="289"/>
      <c r="B316" s="93"/>
    </row>
    <row r="317">
      <c r="A317" s="289"/>
      <c r="B317" s="93"/>
    </row>
    <row r="318">
      <c r="A318" s="289"/>
      <c r="B318" s="93"/>
    </row>
    <row r="319">
      <c r="A319" s="289"/>
      <c r="B319" s="93"/>
    </row>
    <row r="320">
      <c r="A320" s="289"/>
      <c r="B320" s="93"/>
    </row>
    <row r="321">
      <c r="A321" s="289"/>
      <c r="B321" s="93"/>
    </row>
    <row r="322">
      <c r="A322" s="289"/>
      <c r="B322" s="93"/>
    </row>
    <row r="323">
      <c r="A323" s="289"/>
      <c r="B323" s="93"/>
    </row>
    <row r="324">
      <c r="A324" s="289"/>
      <c r="B324" s="93"/>
    </row>
    <row r="325">
      <c r="A325" s="289"/>
      <c r="B325" s="93"/>
    </row>
    <row r="326">
      <c r="A326" s="289"/>
      <c r="B326" s="93"/>
    </row>
    <row r="327">
      <c r="A327" s="289"/>
      <c r="B327" s="93"/>
    </row>
    <row r="328">
      <c r="A328" s="289"/>
      <c r="B328" s="93"/>
    </row>
    <row r="329">
      <c r="A329" s="289"/>
      <c r="B329" s="93"/>
    </row>
    <row r="330">
      <c r="A330" s="289"/>
      <c r="B330" s="93"/>
    </row>
    <row r="331">
      <c r="A331" s="289"/>
      <c r="B331" s="93"/>
    </row>
    <row r="332">
      <c r="A332" s="289"/>
      <c r="B332" s="93"/>
    </row>
    <row r="333">
      <c r="A333" s="289"/>
      <c r="B333" s="93"/>
    </row>
    <row r="334">
      <c r="A334" s="289"/>
      <c r="B334" s="93"/>
    </row>
    <row r="335">
      <c r="A335" s="289"/>
      <c r="B335" s="93"/>
    </row>
    <row r="336">
      <c r="A336" s="289"/>
      <c r="B336" s="93"/>
    </row>
    <row r="337">
      <c r="A337" s="289"/>
      <c r="B337" s="93"/>
    </row>
    <row r="338">
      <c r="A338" s="289"/>
      <c r="B338" s="93"/>
    </row>
    <row r="339">
      <c r="A339" s="289"/>
      <c r="B339" s="93"/>
    </row>
    <row r="340">
      <c r="A340" s="289"/>
      <c r="B340" s="93"/>
    </row>
    <row r="341">
      <c r="A341" s="289"/>
      <c r="B341" s="93"/>
    </row>
    <row r="342">
      <c r="A342" s="289"/>
      <c r="B342" s="93"/>
    </row>
    <row r="343">
      <c r="A343" s="289"/>
      <c r="B343" s="93"/>
    </row>
    <row r="344">
      <c r="A344" s="289"/>
      <c r="B344" s="93"/>
    </row>
    <row r="345">
      <c r="A345" s="289"/>
      <c r="B345" s="93"/>
    </row>
    <row r="346">
      <c r="A346" s="289"/>
      <c r="B346" s="93"/>
    </row>
    <row r="347">
      <c r="A347" s="289"/>
      <c r="B347" s="93"/>
    </row>
    <row r="348">
      <c r="A348" s="289"/>
      <c r="B348" s="93"/>
    </row>
    <row r="349">
      <c r="A349" s="289"/>
      <c r="B349" s="93"/>
    </row>
    <row r="350">
      <c r="A350" s="289"/>
      <c r="B350" s="93"/>
    </row>
    <row r="351">
      <c r="A351" s="289"/>
      <c r="B351" s="93"/>
    </row>
    <row r="352">
      <c r="A352" s="289"/>
      <c r="B352" s="93"/>
    </row>
    <row r="353">
      <c r="A353" s="289"/>
      <c r="B353" s="93"/>
    </row>
    <row r="354">
      <c r="A354" s="289"/>
      <c r="B354" s="93"/>
    </row>
    <row r="355">
      <c r="A355" s="289"/>
      <c r="B355" s="93"/>
    </row>
    <row r="356">
      <c r="A356" s="289"/>
      <c r="B356" s="93"/>
    </row>
    <row r="357">
      <c r="A357" s="289"/>
      <c r="B357" s="93"/>
    </row>
    <row r="358">
      <c r="A358" s="289"/>
      <c r="B358" s="93"/>
    </row>
    <row r="359">
      <c r="A359" s="289"/>
      <c r="B359" s="93"/>
    </row>
    <row r="360">
      <c r="A360" s="289"/>
      <c r="B360" s="93"/>
    </row>
    <row r="361">
      <c r="A361" s="289"/>
      <c r="B361" s="93"/>
    </row>
    <row r="362">
      <c r="A362" s="289"/>
      <c r="B362" s="93"/>
    </row>
    <row r="363">
      <c r="A363" s="289"/>
      <c r="B363" s="93"/>
    </row>
    <row r="364">
      <c r="A364" s="289"/>
      <c r="B364" s="93"/>
    </row>
    <row r="365">
      <c r="A365" s="289"/>
      <c r="B365" s="93"/>
    </row>
    <row r="366">
      <c r="A366" s="289"/>
      <c r="B366" s="93"/>
    </row>
    <row r="367">
      <c r="A367" s="289"/>
      <c r="B367" s="93"/>
    </row>
    <row r="368">
      <c r="A368" s="289"/>
      <c r="B368" s="93"/>
    </row>
    <row r="369">
      <c r="A369" s="289"/>
      <c r="B369" s="93"/>
    </row>
    <row r="370">
      <c r="A370" s="289"/>
      <c r="B370" s="93"/>
    </row>
    <row r="371">
      <c r="A371" s="289"/>
      <c r="B371" s="93"/>
    </row>
    <row r="372">
      <c r="A372" s="289"/>
      <c r="B372" s="93"/>
    </row>
    <row r="373">
      <c r="A373" s="289"/>
      <c r="B373" s="93"/>
    </row>
    <row r="374">
      <c r="A374" s="289"/>
      <c r="B374" s="93"/>
    </row>
    <row r="375">
      <c r="A375" s="289"/>
      <c r="B375" s="93"/>
    </row>
    <row r="376">
      <c r="A376" s="289"/>
      <c r="B376" s="93"/>
    </row>
    <row r="377">
      <c r="A377" s="289"/>
      <c r="B377" s="93"/>
    </row>
    <row r="378">
      <c r="A378" s="289"/>
      <c r="B378" s="93"/>
    </row>
    <row r="379">
      <c r="A379" s="289"/>
      <c r="B379" s="93"/>
    </row>
    <row r="380">
      <c r="A380" s="289"/>
      <c r="B380" s="93"/>
    </row>
    <row r="381">
      <c r="A381" s="289"/>
      <c r="B381" s="93"/>
    </row>
    <row r="382">
      <c r="A382" s="289"/>
      <c r="B382" s="93"/>
    </row>
    <row r="383">
      <c r="A383" s="289"/>
      <c r="B383" s="93"/>
    </row>
    <row r="384">
      <c r="A384" s="289"/>
      <c r="B384" s="93"/>
    </row>
    <row r="385">
      <c r="A385" s="289"/>
      <c r="B385" s="93"/>
    </row>
    <row r="386">
      <c r="A386" s="289"/>
      <c r="B386" s="93"/>
    </row>
    <row r="387">
      <c r="A387" s="289"/>
      <c r="B387" s="93"/>
    </row>
    <row r="388">
      <c r="A388" s="289"/>
      <c r="B388" s="93"/>
    </row>
    <row r="389">
      <c r="A389" s="289"/>
      <c r="B389" s="93"/>
    </row>
    <row r="390">
      <c r="A390" s="289"/>
      <c r="B390" s="93"/>
    </row>
    <row r="391">
      <c r="A391" s="289"/>
      <c r="B391" s="93"/>
    </row>
    <row r="392">
      <c r="A392" s="289"/>
      <c r="B392" s="93"/>
    </row>
    <row r="393">
      <c r="A393" s="289"/>
      <c r="B393" s="93"/>
    </row>
    <row r="394">
      <c r="A394" s="289"/>
      <c r="B394" s="93"/>
    </row>
    <row r="395">
      <c r="A395" s="289"/>
      <c r="B395" s="93"/>
    </row>
    <row r="396">
      <c r="A396" s="289"/>
      <c r="B396" s="93"/>
    </row>
    <row r="397">
      <c r="A397" s="289"/>
      <c r="B397" s="93"/>
    </row>
    <row r="398">
      <c r="A398" s="289"/>
      <c r="B398" s="93"/>
    </row>
    <row r="399">
      <c r="A399" s="289"/>
      <c r="B399" s="93"/>
    </row>
    <row r="400">
      <c r="A400" s="289"/>
      <c r="B400" s="93"/>
    </row>
    <row r="401">
      <c r="A401" s="289"/>
      <c r="B401" s="93"/>
    </row>
    <row r="402">
      <c r="A402" s="289"/>
      <c r="B402" s="93"/>
    </row>
    <row r="403">
      <c r="A403" s="289"/>
      <c r="B403" s="93"/>
    </row>
    <row r="404">
      <c r="A404" s="289"/>
      <c r="B404" s="93"/>
    </row>
    <row r="405">
      <c r="A405" s="289"/>
      <c r="B405" s="93"/>
    </row>
    <row r="406">
      <c r="A406" s="289"/>
      <c r="B406" s="93"/>
    </row>
    <row r="407">
      <c r="A407" s="289"/>
      <c r="B407" s="93"/>
    </row>
    <row r="408">
      <c r="A408" s="289"/>
      <c r="B408" s="93"/>
    </row>
    <row r="409">
      <c r="A409" s="289"/>
      <c r="B409" s="93"/>
    </row>
    <row r="410">
      <c r="A410" s="289"/>
      <c r="B410" s="93"/>
    </row>
    <row r="411">
      <c r="A411" s="289"/>
      <c r="B411" s="93"/>
    </row>
    <row r="412">
      <c r="A412" s="289"/>
      <c r="B412" s="93"/>
    </row>
    <row r="413">
      <c r="A413" s="289"/>
      <c r="B413" s="93"/>
    </row>
    <row r="414">
      <c r="A414" s="289"/>
      <c r="B414" s="93"/>
    </row>
    <row r="415">
      <c r="A415" s="289"/>
      <c r="B415" s="93"/>
    </row>
    <row r="416">
      <c r="A416" s="289"/>
      <c r="B416" s="93"/>
    </row>
    <row r="417">
      <c r="A417" s="289"/>
      <c r="B417" s="93"/>
    </row>
    <row r="418">
      <c r="A418" s="289"/>
      <c r="B418" s="93"/>
    </row>
    <row r="419">
      <c r="A419" s="289"/>
      <c r="B419" s="93"/>
    </row>
    <row r="420">
      <c r="A420" s="289"/>
      <c r="B420" s="93"/>
    </row>
    <row r="421">
      <c r="A421" s="289"/>
      <c r="B421" s="93"/>
    </row>
    <row r="422">
      <c r="A422" s="289"/>
      <c r="B422" s="93"/>
    </row>
    <row r="423">
      <c r="A423" s="289"/>
      <c r="B423" s="93"/>
    </row>
    <row r="424">
      <c r="A424" s="289"/>
      <c r="B424" s="93"/>
    </row>
    <row r="425">
      <c r="A425" s="289"/>
      <c r="B425" s="93"/>
    </row>
    <row r="426">
      <c r="A426" s="289"/>
      <c r="B426" s="93"/>
    </row>
    <row r="427">
      <c r="A427" s="289"/>
      <c r="B427" s="93"/>
    </row>
    <row r="428">
      <c r="A428" s="289"/>
      <c r="B428" s="93"/>
    </row>
    <row r="429">
      <c r="A429" s="289"/>
      <c r="B429" s="93"/>
    </row>
    <row r="430">
      <c r="A430" s="289"/>
      <c r="B430" s="93"/>
    </row>
    <row r="431">
      <c r="A431" s="289"/>
      <c r="B431" s="93"/>
    </row>
    <row r="432">
      <c r="A432" s="289"/>
      <c r="B432" s="93"/>
    </row>
    <row r="433">
      <c r="A433" s="289"/>
      <c r="B433" s="93"/>
    </row>
    <row r="434">
      <c r="A434" s="289"/>
      <c r="B434" s="93"/>
    </row>
    <row r="435">
      <c r="A435" s="289"/>
      <c r="B435" s="93"/>
    </row>
    <row r="436">
      <c r="A436" s="289"/>
      <c r="B436" s="93"/>
    </row>
    <row r="437">
      <c r="A437" s="289"/>
      <c r="B437" s="93"/>
    </row>
    <row r="438">
      <c r="A438" s="289"/>
      <c r="B438" s="93"/>
    </row>
    <row r="439">
      <c r="A439" s="289"/>
      <c r="B439" s="93"/>
    </row>
    <row r="440">
      <c r="A440" s="289"/>
      <c r="B440" s="93"/>
    </row>
    <row r="441">
      <c r="A441" s="289"/>
      <c r="B441" s="93"/>
    </row>
    <row r="442">
      <c r="A442" s="289"/>
      <c r="B442" s="93"/>
    </row>
    <row r="443">
      <c r="A443" s="289"/>
      <c r="B443" s="93"/>
    </row>
    <row r="444">
      <c r="A444" s="289"/>
      <c r="B444" s="93"/>
    </row>
    <row r="445">
      <c r="A445" s="289"/>
      <c r="B445" s="93"/>
    </row>
    <row r="446">
      <c r="A446" s="289"/>
      <c r="B446" s="93"/>
    </row>
    <row r="447">
      <c r="A447" s="289"/>
      <c r="B447" s="93"/>
    </row>
    <row r="448">
      <c r="A448" s="289"/>
      <c r="B448" s="93"/>
    </row>
    <row r="449">
      <c r="A449" s="289"/>
      <c r="B449" s="93"/>
    </row>
    <row r="450">
      <c r="A450" s="289"/>
      <c r="B450" s="93"/>
    </row>
    <row r="451">
      <c r="A451" s="289"/>
      <c r="B451" s="93"/>
    </row>
    <row r="452">
      <c r="A452" s="289"/>
      <c r="B452" s="93"/>
    </row>
    <row r="453">
      <c r="A453" s="289"/>
      <c r="B453" s="93"/>
    </row>
    <row r="454">
      <c r="A454" s="289"/>
      <c r="B454" s="93"/>
    </row>
    <row r="455">
      <c r="A455" s="289"/>
      <c r="B455" s="93"/>
    </row>
    <row r="456">
      <c r="A456" s="289"/>
      <c r="B456" s="93"/>
    </row>
    <row r="457">
      <c r="A457" s="289"/>
      <c r="B457" s="93"/>
    </row>
    <row r="458">
      <c r="A458" s="289"/>
      <c r="B458" s="93"/>
    </row>
    <row r="459">
      <c r="A459" s="289"/>
      <c r="B459" s="93"/>
    </row>
    <row r="460">
      <c r="A460" s="289"/>
      <c r="B460" s="93"/>
    </row>
    <row r="461">
      <c r="A461" s="289"/>
      <c r="B461" s="93"/>
    </row>
    <row r="462">
      <c r="A462" s="289"/>
      <c r="B462" s="93"/>
    </row>
    <row r="463">
      <c r="A463" s="289"/>
      <c r="B463" s="93"/>
    </row>
    <row r="464">
      <c r="A464" s="289"/>
      <c r="B464" s="93"/>
    </row>
    <row r="465">
      <c r="A465" s="289"/>
      <c r="B465" s="93"/>
    </row>
    <row r="466">
      <c r="A466" s="289"/>
      <c r="B466" s="93"/>
    </row>
    <row r="467">
      <c r="A467" s="289"/>
      <c r="B467" s="93"/>
    </row>
    <row r="468">
      <c r="A468" s="289"/>
      <c r="B468" s="93"/>
    </row>
    <row r="469">
      <c r="A469" s="289"/>
      <c r="B469" s="93"/>
    </row>
    <row r="470">
      <c r="A470" s="289"/>
      <c r="B470" s="93"/>
    </row>
    <row r="471">
      <c r="A471" s="289"/>
      <c r="B471" s="93"/>
    </row>
    <row r="472">
      <c r="A472" s="289"/>
      <c r="B472" s="93"/>
    </row>
    <row r="473">
      <c r="A473" s="289"/>
      <c r="B473" s="93"/>
    </row>
    <row r="474">
      <c r="A474" s="289"/>
      <c r="B474" s="93"/>
    </row>
    <row r="475">
      <c r="A475" s="289"/>
      <c r="B475" s="93"/>
    </row>
    <row r="476">
      <c r="A476" s="289"/>
      <c r="B476" s="93"/>
    </row>
    <row r="477">
      <c r="A477" s="289"/>
      <c r="B477" s="93"/>
    </row>
    <row r="478">
      <c r="A478" s="289"/>
      <c r="B478" s="93"/>
    </row>
    <row r="479">
      <c r="A479" s="289"/>
      <c r="B479" s="93"/>
    </row>
    <row r="480">
      <c r="A480" s="289"/>
      <c r="B480" s="93"/>
    </row>
    <row r="481">
      <c r="A481" s="289"/>
      <c r="B481" s="93"/>
    </row>
    <row r="482">
      <c r="A482" s="289"/>
      <c r="B482" s="93"/>
    </row>
    <row r="483">
      <c r="A483" s="289"/>
      <c r="B483" s="93"/>
    </row>
    <row r="484">
      <c r="A484" s="289"/>
      <c r="B484" s="93"/>
    </row>
    <row r="485">
      <c r="A485" s="289"/>
      <c r="B485" s="93"/>
    </row>
    <row r="486">
      <c r="A486" s="289"/>
      <c r="B486" s="93"/>
    </row>
    <row r="487">
      <c r="A487" s="289"/>
      <c r="B487" s="93"/>
    </row>
    <row r="488">
      <c r="A488" s="289"/>
      <c r="B488" s="93"/>
    </row>
    <row r="489">
      <c r="A489" s="289"/>
      <c r="B489" s="93"/>
    </row>
    <row r="490">
      <c r="A490" s="289"/>
      <c r="B490" s="93"/>
    </row>
    <row r="491">
      <c r="A491" s="289"/>
      <c r="B491" s="93"/>
    </row>
    <row r="492">
      <c r="A492" s="289"/>
      <c r="B492" s="93"/>
    </row>
    <row r="493">
      <c r="A493" s="289"/>
      <c r="B493" s="93"/>
    </row>
    <row r="494">
      <c r="A494" s="289"/>
      <c r="B494" s="93"/>
    </row>
    <row r="495">
      <c r="A495" s="289"/>
      <c r="B495" s="93"/>
    </row>
    <row r="496">
      <c r="A496" s="289"/>
      <c r="B496" s="93"/>
    </row>
    <row r="497">
      <c r="A497" s="289"/>
      <c r="B497" s="93"/>
    </row>
    <row r="498">
      <c r="A498" s="289"/>
      <c r="B498" s="93"/>
    </row>
    <row r="499">
      <c r="A499" s="289"/>
      <c r="B499" s="93"/>
    </row>
    <row r="500">
      <c r="A500" s="289"/>
      <c r="B500" s="93"/>
    </row>
    <row r="501">
      <c r="A501" s="289"/>
      <c r="B501" s="93"/>
    </row>
    <row r="502">
      <c r="A502" s="289"/>
      <c r="B502" s="93"/>
    </row>
    <row r="503">
      <c r="A503" s="289"/>
      <c r="B503" s="93"/>
    </row>
    <row r="504">
      <c r="A504" s="289"/>
      <c r="B504" s="93"/>
    </row>
    <row r="505">
      <c r="A505" s="289"/>
      <c r="B505" s="93"/>
    </row>
    <row r="506">
      <c r="A506" s="289"/>
      <c r="B506" s="93"/>
    </row>
    <row r="507">
      <c r="A507" s="289"/>
      <c r="B507" s="93"/>
    </row>
    <row r="508">
      <c r="A508" s="289"/>
      <c r="B508" s="93"/>
    </row>
    <row r="509">
      <c r="A509" s="289"/>
      <c r="B509" s="93"/>
    </row>
    <row r="510">
      <c r="A510" s="289"/>
      <c r="B510" s="93"/>
    </row>
    <row r="511">
      <c r="A511" s="289"/>
      <c r="B511" s="93"/>
    </row>
    <row r="512">
      <c r="A512" s="289"/>
      <c r="B512" s="93"/>
    </row>
    <row r="513">
      <c r="A513" s="289"/>
      <c r="B513" s="93"/>
    </row>
    <row r="514">
      <c r="A514" s="289"/>
      <c r="B514" s="93"/>
    </row>
    <row r="515">
      <c r="A515" s="289"/>
      <c r="B515" s="93"/>
    </row>
    <row r="516">
      <c r="A516" s="289"/>
      <c r="B516" s="93"/>
    </row>
    <row r="517">
      <c r="A517" s="289"/>
      <c r="B517" s="93"/>
    </row>
    <row r="518">
      <c r="A518" s="289"/>
      <c r="B518" s="93"/>
    </row>
    <row r="519">
      <c r="A519" s="289"/>
      <c r="B519" s="93"/>
    </row>
    <row r="520">
      <c r="A520" s="289"/>
      <c r="B520" s="93"/>
    </row>
    <row r="521">
      <c r="A521" s="289"/>
      <c r="B521" s="93"/>
    </row>
    <row r="522">
      <c r="A522" s="289"/>
      <c r="B522" s="93"/>
    </row>
    <row r="523">
      <c r="A523" s="289"/>
      <c r="B523" s="93"/>
    </row>
    <row r="524">
      <c r="A524" s="289"/>
      <c r="B524" s="93"/>
    </row>
    <row r="525">
      <c r="A525" s="289"/>
      <c r="B525" s="93"/>
    </row>
    <row r="526">
      <c r="A526" s="289"/>
      <c r="B526" s="93"/>
    </row>
    <row r="527">
      <c r="A527" s="289"/>
      <c r="B527" s="93"/>
    </row>
    <row r="528">
      <c r="A528" s="289"/>
      <c r="B528" s="93"/>
    </row>
    <row r="529">
      <c r="A529" s="289"/>
      <c r="B529" s="93"/>
    </row>
    <row r="530">
      <c r="A530" s="289"/>
      <c r="B530" s="93"/>
    </row>
    <row r="531">
      <c r="A531" s="289"/>
      <c r="B531" s="93"/>
    </row>
    <row r="532">
      <c r="A532" s="289"/>
      <c r="B532" s="93"/>
    </row>
    <row r="533">
      <c r="A533" s="289"/>
      <c r="B533" s="93"/>
    </row>
    <row r="534">
      <c r="A534" s="289"/>
      <c r="B534" s="93"/>
    </row>
    <row r="535">
      <c r="A535" s="289"/>
      <c r="B535" s="93"/>
    </row>
    <row r="536">
      <c r="A536" s="289"/>
      <c r="B536" s="93"/>
    </row>
    <row r="537">
      <c r="A537" s="289"/>
      <c r="B537" s="93"/>
    </row>
    <row r="538">
      <c r="A538" s="289"/>
      <c r="B538" s="93"/>
    </row>
    <row r="539">
      <c r="A539" s="289"/>
      <c r="B539" s="93"/>
    </row>
    <row r="540">
      <c r="A540" s="289"/>
      <c r="B540" s="93"/>
    </row>
    <row r="541">
      <c r="A541" s="289"/>
      <c r="B541" s="93"/>
    </row>
    <row r="542">
      <c r="A542" s="289"/>
      <c r="B542" s="93"/>
    </row>
    <row r="543">
      <c r="A543" s="289"/>
      <c r="B543" s="93"/>
    </row>
    <row r="544">
      <c r="A544" s="289"/>
      <c r="B544" s="93"/>
    </row>
    <row r="545">
      <c r="A545" s="289"/>
      <c r="B545" s="93"/>
    </row>
    <row r="546">
      <c r="A546" s="289"/>
      <c r="B546" s="93"/>
    </row>
    <row r="547">
      <c r="A547" s="289"/>
      <c r="B547" s="93"/>
    </row>
    <row r="548">
      <c r="A548" s="289"/>
      <c r="B548" s="93"/>
    </row>
    <row r="549">
      <c r="A549" s="289"/>
      <c r="B549" s="93"/>
    </row>
    <row r="550">
      <c r="A550" s="289"/>
      <c r="B550" s="93"/>
    </row>
    <row r="551">
      <c r="A551" s="289"/>
      <c r="B551" s="93"/>
    </row>
    <row r="552">
      <c r="A552" s="289"/>
      <c r="B552" s="93"/>
    </row>
    <row r="553">
      <c r="A553" s="289"/>
      <c r="B553" s="93"/>
    </row>
    <row r="554">
      <c r="A554" s="289"/>
      <c r="B554" s="93"/>
    </row>
    <row r="555">
      <c r="A555" s="289"/>
      <c r="B555" s="93"/>
    </row>
    <row r="556">
      <c r="A556" s="289"/>
      <c r="B556" s="93"/>
    </row>
    <row r="557">
      <c r="A557" s="289"/>
      <c r="B557" s="93"/>
    </row>
    <row r="558">
      <c r="A558" s="289"/>
      <c r="B558" s="93"/>
    </row>
    <row r="559">
      <c r="A559" s="289"/>
      <c r="B559" s="93"/>
    </row>
    <row r="560">
      <c r="A560" s="289"/>
      <c r="B560" s="93"/>
    </row>
    <row r="561">
      <c r="A561" s="289"/>
      <c r="B561" s="93"/>
    </row>
    <row r="562">
      <c r="A562" s="289"/>
      <c r="B562" s="93"/>
    </row>
    <row r="563">
      <c r="A563" s="289"/>
      <c r="B563" s="93"/>
    </row>
    <row r="564">
      <c r="A564" s="289"/>
      <c r="B564" s="93"/>
    </row>
    <row r="565">
      <c r="A565" s="289"/>
      <c r="B565" s="93"/>
    </row>
    <row r="566">
      <c r="A566" s="289"/>
      <c r="B566" s="93"/>
    </row>
    <row r="567">
      <c r="A567" s="289"/>
      <c r="B567" s="93"/>
    </row>
    <row r="568">
      <c r="A568" s="289"/>
      <c r="B568" s="93"/>
    </row>
    <row r="569">
      <c r="A569" s="289"/>
      <c r="B569" s="93"/>
    </row>
    <row r="570">
      <c r="A570" s="289"/>
      <c r="B570" s="93"/>
    </row>
    <row r="571">
      <c r="A571" s="289"/>
      <c r="B571" s="93"/>
    </row>
    <row r="572">
      <c r="A572" s="289"/>
      <c r="B572" s="93"/>
    </row>
    <row r="573">
      <c r="A573" s="289"/>
      <c r="B573" s="93"/>
    </row>
    <row r="574">
      <c r="A574" s="289"/>
      <c r="B574" s="93"/>
    </row>
    <row r="575">
      <c r="A575" s="289"/>
      <c r="B575" s="93"/>
    </row>
    <row r="576">
      <c r="A576" s="289"/>
      <c r="B576" s="93"/>
    </row>
    <row r="577">
      <c r="A577" s="289"/>
      <c r="B577" s="93"/>
    </row>
    <row r="578">
      <c r="A578" s="289"/>
      <c r="B578" s="93"/>
    </row>
    <row r="579">
      <c r="A579" s="289"/>
      <c r="B579" s="93"/>
    </row>
    <row r="580">
      <c r="A580" s="289"/>
      <c r="B580" s="93"/>
    </row>
    <row r="581">
      <c r="A581" s="289"/>
      <c r="B581" s="93"/>
    </row>
    <row r="582">
      <c r="A582" s="289"/>
      <c r="B582" s="93"/>
    </row>
    <row r="583">
      <c r="A583" s="289"/>
      <c r="B583" s="93"/>
    </row>
    <row r="584">
      <c r="A584" s="289"/>
      <c r="B584" s="93"/>
    </row>
    <row r="585">
      <c r="A585" s="289"/>
      <c r="B585" s="93"/>
    </row>
    <row r="586">
      <c r="A586" s="289"/>
      <c r="B586" s="93"/>
    </row>
    <row r="587">
      <c r="A587" s="289"/>
      <c r="B587" s="93"/>
    </row>
    <row r="588">
      <c r="A588" s="289"/>
      <c r="B588" s="93"/>
    </row>
    <row r="589">
      <c r="A589" s="289"/>
      <c r="B589" s="93"/>
    </row>
    <row r="590">
      <c r="A590" s="289"/>
      <c r="B590" s="93"/>
    </row>
    <row r="591">
      <c r="A591" s="289"/>
      <c r="B591" s="93"/>
    </row>
    <row r="592">
      <c r="A592" s="289"/>
      <c r="B592" s="93"/>
    </row>
    <row r="593">
      <c r="A593" s="289"/>
      <c r="B593" s="93"/>
    </row>
    <row r="594">
      <c r="A594" s="289"/>
      <c r="B594" s="93"/>
    </row>
    <row r="595">
      <c r="A595" s="289"/>
      <c r="B595" s="93"/>
    </row>
    <row r="596">
      <c r="A596" s="289"/>
      <c r="B596" s="93"/>
    </row>
    <row r="597">
      <c r="A597" s="289"/>
      <c r="B597" s="93"/>
    </row>
    <row r="598">
      <c r="A598" s="289"/>
      <c r="B598" s="93"/>
    </row>
    <row r="599">
      <c r="A599" s="289"/>
      <c r="B599" s="93"/>
    </row>
    <row r="600">
      <c r="A600" s="289"/>
      <c r="B600" s="93"/>
    </row>
    <row r="601">
      <c r="A601" s="289"/>
      <c r="B601" s="93"/>
    </row>
    <row r="602">
      <c r="A602" s="289"/>
      <c r="B602" s="93"/>
    </row>
    <row r="603">
      <c r="A603" s="289"/>
      <c r="B603" s="93"/>
    </row>
    <row r="604">
      <c r="A604" s="289"/>
      <c r="B604" s="93"/>
    </row>
    <row r="605">
      <c r="A605" s="289"/>
      <c r="B605" s="93"/>
    </row>
    <row r="606">
      <c r="A606" s="289"/>
      <c r="B606" s="93"/>
    </row>
    <row r="607">
      <c r="A607" s="289"/>
      <c r="B607" s="93"/>
    </row>
    <row r="608">
      <c r="A608" s="289"/>
      <c r="B608" s="93"/>
    </row>
    <row r="609">
      <c r="A609" s="289"/>
      <c r="B609" s="93"/>
    </row>
    <row r="610">
      <c r="A610" s="289"/>
      <c r="B610" s="93"/>
    </row>
    <row r="611">
      <c r="A611" s="289"/>
      <c r="B611" s="93"/>
    </row>
    <row r="612">
      <c r="A612" s="289"/>
      <c r="B612" s="93"/>
    </row>
    <row r="613">
      <c r="A613" s="289"/>
      <c r="B613" s="93"/>
    </row>
    <row r="614">
      <c r="A614" s="289"/>
      <c r="B614" s="93"/>
    </row>
    <row r="615">
      <c r="A615" s="289"/>
      <c r="B615" s="93"/>
    </row>
    <row r="616">
      <c r="A616" s="289"/>
      <c r="B616" s="93"/>
    </row>
    <row r="617">
      <c r="A617" s="289"/>
      <c r="B617" s="93"/>
    </row>
    <row r="618">
      <c r="A618" s="289"/>
      <c r="B618" s="93"/>
    </row>
    <row r="619">
      <c r="A619" s="289"/>
      <c r="B619" s="93"/>
    </row>
    <row r="620">
      <c r="A620" s="289"/>
      <c r="B620" s="93"/>
    </row>
    <row r="621">
      <c r="A621" s="289"/>
      <c r="B621" s="93"/>
    </row>
    <row r="622">
      <c r="A622" s="289"/>
      <c r="B622" s="93"/>
    </row>
    <row r="623">
      <c r="A623" s="289"/>
      <c r="B623" s="93"/>
    </row>
    <row r="624">
      <c r="A624" s="289"/>
      <c r="B624" s="93"/>
    </row>
    <row r="625">
      <c r="A625" s="289"/>
      <c r="B625" s="93"/>
    </row>
    <row r="626">
      <c r="A626" s="289"/>
      <c r="B626" s="93"/>
    </row>
    <row r="627">
      <c r="A627" s="289"/>
      <c r="B627" s="93"/>
    </row>
    <row r="628">
      <c r="A628" s="289"/>
      <c r="B628" s="93"/>
    </row>
    <row r="629">
      <c r="A629" s="289"/>
      <c r="B629" s="93"/>
    </row>
    <row r="630">
      <c r="A630" s="289"/>
      <c r="B630" s="93"/>
    </row>
    <row r="631">
      <c r="A631" s="289"/>
      <c r="B631" s="93"/>
    </row>
    <row r="632">
      <c r="A632" s="289"/>
      <c r="B632" s="93"/>
    </row>
    <row r="633">
      <c r="A633" s="289"/>
      <c r="B633" s="93"/>
    </row>
    <row r="634">
      <c r="A634" s="289"/>
      <c r="B634" s="93"/>
    </row>
    <row r="635">
      <c r="A635" s="289"/>
      <c r="B635" s="93"/>
    </row>
    <row r="636">
      <c r="A636" s="289"/>
      <c r="B636" s="93"/>
    </row>
    <row r="637">
      <c r="A637" s="289"/>
      <c r="B637" s="93"/>
    </row>
    <row r="638">
      <c r="A638" s="289"/>
      <c r="B638" s="93"/>
    </row>
    <row r="639">
      <c r="A639" s="289"/>
      <c r="B639" s="93"/>
    </row>
    <row r="640">
      <c r="A640" s="289"/>
      <c r="B640" s="93"/>
    </row>
    <row r="641">
      <c r="A641" s="289"/>
      <c r="B641" s="93"/>
    </row>
    <row r="642">
      <c r="A642" s="289"/>
      <c r="B642" s="93"/>
    </row>
    <row r="643">
      <c r="A643" s="289"/>
      <c r="B643" s="93"/>
    </row>
    <row r="644">
      <c r="A644" s="289"/>
      <c r="B644" s="93"/>
    </row>
    <row r="645">
      <c r="A645" s="289"/>
      <c r="B645" s="93"/>
    </row>
    <row r="646">
      <c r="A646" s="289"/>
      <c r="B646" s="93"/>
    </row>
    <row r="647">
      <c r="A647" s="289"/>
      <c r="B647" s="93"/>
    </row>
    <row r="648">
      <c r="A648" s="289"/>
      <c r="B648" s="93"/>
    </row>
    <row r="649">
      <c r="A649" s="289"/>
      <c r="B649" s="93"/>
    </row>
    <row r="650">
      <c r="A650" s="289"/>
      <c r="B650" s="93"/>
    </row>
    <row r="651">
      <c r="A651" s="289"/>
      <c r="B651" s="93"/>
    </row>
    <row r="652">
      <c r="A652" s="289"/>
      <c r="B652" s="93"/>
    </row>
    <row r="653">
      <c r="A653" s="289"/>
      <c r="B653" s="93"/>
    </row>
    <row r="654">
      <c r="A654" s="289"/>
      <c r="B654" s="93"/>
    </row>
    <row r="655">
      <c r="A655" s="289"/>
      <c r="B655" s="93"/>
    </row>
    <row r="656">
      <c r="A656" s="289"/>
      <c r="B656" s="93"/>
    </row>
    <row r="657">
      <c r="A657" s="289"/>
      <c r="B657" s="93"/>
    </row>
    <row r="658">
      <c r="A658" s="289"/>
      <c r="B658" s="93"/>
    </row>
    <row r="659">
      <c r="A659" s="289"/>
      <c r="B659" s="93"/>
    </row>
    <row r="660">
      <c r="A660" s="289"/>
      <c r="B660" s="93"/>
    </row>
    <row r="661">
      <c r="A661" s="289"/>
      <c r="B661" s="93"/>
    </row>
    <row r="662">
      <c r="A662" s="289"/>
      <c r="B662" s="93"/>
    </row>
    <row r="663">
      <c r="A663" s="289"/>
      <c r="B663" s="93"/>
    </row>
    <row r="664">
      <c r="A664" s="289"/>
      <c r="B664" s="93"/>
    </row>
    <row r="665">
      <c r="A665" s="289"/>
      <c r="B665" s="93"/>
    </row>
    <row r="666">
      <c r="A666" s="289"/>
      <c r="B666" s="93"/>
    </row>
    <row r="667">
      <c r="A667" s="289"/>
      <c r="B667" s="93"/>
    </row>
    <row r="668">
      <c r="A668" s="289"/>
      <c r="B668" s="93"/>
    </row>
    <row r="669">
      <c r="A669" s="289"/>
      <c r="B669" s="93"/>
    </row>
    <row r="670">
      <c r="A670" s="289"/>
      <c r="B670" s="93"/>
    </row>
    <row r="671">
      <c r="A671" s="289"/>
      <c r="B671" s="93"/>
    </row>
    <row r="672">
      <c r="A672" s="289"/>
      <c r="B672" s="93"/>
    </row>
    <row r="673">
      <c r="A673" s="289"/>
      <c r="B673" s="93"/>
    </row>
    <row r="674">
      <c r="A674" s="289"/>
      <c r="B674" s="93"/>
    </row>
    <row r="675">
      <c r="A675" s="289"/>
      <c r="B675" s="93"/>
    </row>
    <row r="676">
      <c r="A676" s="289"/>
      <c r="B676" s="93"/>
    </row>
    <row r="677">
      <c r="A677" s="289"/>
      <c r="B677" s="93"/>
    </row>
    <row r="678">
      <c r="A678" s="289"/>
      <c r="B678" s="93"/>
    </row>
    <row r="679">
      <c r="A679" s="289"/>
      <c r="B679" s="93"/>
    </row>
    <row r="680">
      <c r="A680" s="289"/>
      <c r="B680" s="93"/>
    </row>
    <row r="681">
      <c r="A681" s="289"/>
      <c r="B681" s="93"/>
    </row>
    <row r="682">
      <c r="A682" s="289"/>
      <c r="B682" s="93"/>
    </row>
    <row r="683">
      <c r="A683" s="289"/>
      <c r="B683" s="93"/>
    </row>
    <row r="684">
      <c r="A684" s="289"/>
      <c r="B684" s="93"/>
    </row>
    <row r="685">
      <c r="A685" s="289"/>
      <c r="B685" s="93"/>
    </row>
    <row r="686">
      <c r="A686" s="289"/>
      <c r="B686" s="93"/>
    </row>
    <row r="687">
      <c r="A687" s="289"/>
      <c r="B687" s="93"/>
    </row>
    <row r="688">
      <c r="A688" s="289"/>
      <c r="B688" s="93"/>
    </row>
    <row r="689">
      <c r="A689" s="289"/>
      <c r="B689" s="93"/>
    </row>
    <row r="690">
      <c r="A690" s="289"/>
      <c r="B690" s="93"/>
    </row>
    <row r="691">
      <c r="A691" s="289"/>
      <c r="B691" s="93"/>
    </row>
    <row r="692">
      <c r="A692" s="289"/>
      <c r="B692" s="93"/>
    </row>
    <row r="693">
      <c r="A693" s="289"/>
      <c r="B693" s="93"/>
    </row>
    <row r="694">
      <c r="A694" s="289"/>
      <c r="B694" s="93"/>
    </row>
    <row r="695">
      <c r="A695" s="289"/>
      <c r="B695" s="93"/>
    </row>
    <row r="696">
      <c r="A696" s="289"/>
      <c r="B696" s="93"/>
    </row>
    <row r="697">
      <c r="A697" s="289"/>
      <c r="B697" s="93"/>
    </row>
    <row r="698">
      <c r="A698" s="289"/>
      <c r="B698" s="93"/>
    </row>
    <row r="699">
      <c r="A699" s="289"/>
      <c r="B699" s="93"/>
    </row>
    <row r="700">
      <c r="A700" s="289"/>
      <c r="B700" s="93"/>
    </row>
    <row r="701">
      <c r="A701" s="289"/>
      <c r="B701" s="93"/>
    </row>
    <row r="702">
      <c r="A702" s="289"/>
      <c r="B702" s="93"/>
    </row>
    <row r="703">
      <c r="A703" s="289"/>
      <c r="B703" s="93"/>
    </row>
    <row r="704">
      <c r="A704" s="289"/>
      <c r="B704" s="93"/>
    </row>
    <row r="705">
      <c r="A705" s="289"/>
      <c r="B705" s="93"/>
    </row>
    <row r="706">
      <c r="A706" s="289"/>
      <c r="B706" s="93"/>
    </row>
    <row r="707">
      <c r="A707" s="289"/>
      <c r="B707" s="93"/>
    </row>
    <row r="708">
      <c r="A708" s="289"/>
      <c r="B708" s="93"/>
    </row>
    <row r="709">
      <c r="A709" s="289"/>
      <c r="B709" s="93"/>
    </row>
    <row r="710">
      <c r="A710" s="289"/>
      <c r="B710" s="93"/>
    </row>
    <row r="711">
      <c r="A711" s="289"/>
      <c r="B711" s="93"/>
    </row>
    <row r="712">
      <c r="A712" s="289"/>
      <c r="B712" s="93"/>
    </row>
    <row r="713">
      <c r="A713" s="289"/>
      <c r="B713" s="93"/>
    </row>
    <row r="714">
      <c r="A714" s="289"/>
      <c r="B714" s="93"/>
    </row>
    <row r="715">
      <c r="A715" s="289"/>
      <c r="B715" s="93"/>
    </row>
    <row r="716">
      <c r="A716" s="289"/>
      <c r="B716" s="93"/>
    </row>
    <row r="717">
      <c r="A717" s="289"/>
      <c r="B717" s="93"/>
    </row>
    <row r="718">
      <c r="A718" s="289"/>
      <c r="B718" s="93"/>
    </row>
    <row r="719">
      <c r="A719" s="289"/>
      <c r="B719" s="93"/>
    </row>
    <row r="720">
      <c r="A720" s="289"/>
      <c r="B720" s="93"/>
    </row>
    <row r="721">
      <c r="A721" s="289"/>
      <c r="B721" s="93"/>
    </row>
    <row r="722">
      <c r="A722" s="289"/>
      <c r="B722" s="93"/>
    </row>
    <row r="723">
      <c r="A723" s="289"/>
      <c r="B723" s="93"/>
    </row>
    <row r="724">
      <c r="A724" s="289"/>
      <c r="B724" s="93"/>
    </row>
    <row r="725">
      <c r="A725" s="289"/>
      <c r="B725" s="93"/>
    </row>
    <row r="726">
      <c r="A726" s="289"/>
      <c r="B726" s="93"/>
    </row>
    <row r="727">
      <c r="A727" s="289"/>
      <c r="B727" s="93"/>
    </row>
    <row r="728">
      <c r="A728" s="289"/>
      <c r="B728" s="93"/>
    </row>
    <row r="729">
      <c r="A729" s="289"/>
      <c r="B729" s="93"/>
    </row>
    <row r="730">
      <c r="A730" s="289"/>
      <c r="B730" s="93"/>
    </row>
    <row r="731">
      <c r="A731" s="289"/>
      <c r="B731" s="93"/>
    </row>
    <row r="732">
      <c r="A732" s="289"/>
      <c r="B732" s="93"/>
    </row>
    <row r="733">
      <c r="A733" s="289"/>
      <c r="B733" s="93"/>
    </row>
    <row r="734">
      <c r="A734" s="289"/>
      <c r="B734" s="93"/>
    </row>
    <row r="735">
      <c r="A735" s="289"/>
      <c r="B735" s="93"/>
    </row>
    <row r="736">
      <c r="A736" s="289"/>
      <c r="B736" s="93"/>
    </row>
    <row r="737">
      <c r="A737" s="289"/>
      <c r="B737" s="93"/>
    </row>
    <row r="738">
      <c r="A738" s="289"/>
      <c r="B738" s="93"/>
    </row>
    <row r="739">
      <c r="A739" s="289"/>
      <c r="B739" s="93"/>
    </row>
    <row r="740">
      <c r="A740" s="289"/>
      <c r="B740" s="93"/>
    </row>
    <row r="741">
      <c r="A741" s="289"/>
      <c r="B741" s="93"/>
    </row>
    <row r="742">
      <c r="A742" s="289"/>
      <c r="B742" s="93"/>
    </row>
    <row r="743">
      <c r="A743" s="289"/>
      <c r="B743" s="93"/>
    </row>
    <row r="744">
      <c r="A744" s="289"/>
      <c r="B744" s="93"/>
    </row>
    <row r="745">
      <c r="A745" s="289"/>
      <c r="B745" s="93"/>
    </row>
    <row r="746">
      <c r="A746" s="289"/>
      <c r="B746" s="93"/>
    </row>
    <row r="747">
      <c r="A747" s="289"/>
      <c r="B747" s="93"/>
    </row>
    <row r="748">
      <c r="A748" s="289"/>
      <c r="B748" s="93"/>
    </row>
    <row r="749">
      <c r="A749" s="289"/>
      <c r="B749" s="93"/>
    </row>
    <row r="750">
      <c r="A750" s="289"/>
      <c r="B750" s="93"/>
    </row>
    <row r="751">
      <c r="A751" s="289"/>
      <c r="B751" s="93"/>
    </row>
    <row r="752">
      <c r="A752" s="289"/>
      <c r="B752" s="93"/>
    </row>
    <row r="753">
      <c r="A753" s="289"/>
      <c r="B753" s="93"/>
    </row>
    <row r="754">
      <c r="A754" s="289"/>
      <c r="B754" s="93"/>
    </row>
    <row r="755">
      <c r="A755" s="289"/>
      <c r="B755" s="93"/>
    </row>
    <row r="756">
      <c r="A756" s="289"/>
      <c r="B756" s="93"/>
    </row>
    <row r="757">
      <c r="A757" s="289"/>
      <c r="B757" s="93"/>
    </row>
    <row r="758">
      <c r="A758" s="289"/>
      <c r="B758" s="93"/>
    </row>
    <row r="759">
      <c r="A759" s="289"/>
      <c r="B759" s="93"/>
    </row>
    <row r="760">
      <c r="A760" s="289"/>
      <c r="B760" s="93"/>
    </row>
    <row r="761">
      <c r="A761" s="289"/>
      <c r="B761" s="93"/>
    </row>
    <row r="762">
      <c r="A762" s="289"/>
      <c r="B762" s="93"/>
    </row>
    <row r="763">
      <c r="A763" s="289"/>
      <c r="B763" s="93"/>
    </row>
    <row r="764">
      <c r="A764" s="289"/>
      <c r="B764" s="93"/>
    </row>
    <row r="765">
      <c r="A765" s="289"/>
      <c r="B765" s="93"/>
    </row>
    <row r="766">
      <c r="A766" s="289"/>
      <c r="B766" s="93"/>
    </row>
    <row r="767">
      <c r="A767" s="289"/>
      <c r="B767" s="93"/>
    </row>
    <row r="768">
      <c r="A768" s="289"/>
      <c r="B768" s="93"/>
    </row>
    <row r="769">
      <c r="A769" s="289"/>
      <c r="B769" s="93"/>
    </row>
    <row r="770">
      <c r="A770" s="289"/>
      <c r="B770" s="93"/>
    </row>
    <row r="771">
      <c r="A771" s="289"/>
      <c r="B771" s="93"/>
    </row>
    <row r="772">
      <c r="A772" s="289"/>
      <c r="B772" s="93"/>
    </row>
    <row r="773">
      <c r="A773" s="289"/>
      <c r="B773" s="93"/>
    </row>
    <row r="774">
      <c r="A774" s="289"/>
      <c r="B774" s="93"/>
    </row>
    <row r="775">
      <c r="A775" s="289"/>
      <c r="B775" s="93"/>
    </row>
    <row r="776">
      <c r="A776" s="289"/>
      <c r="B776" s="93"/>
    </row>
    <row r="777">
      <c r="A777" s="289"/>
      <c r="B777" s="93"/>
    </row>
    <row r="778">
      <c r="A778" s="289"/>
      <c r="B778" s="93"/>
    </row>
    <row r="779">
      <c r="A779" s="289"/>
      <c r="B779" s="93"/>
    </row>
    <row r="780">
      <c r="A780" s="289"/>
      <c r="B780" s="93"/>
    </row>
    <row r="781">
      <c r="A781" s="289"/>
      <c r="B781" s="93"/>
    </row>
    <row r="782">
      <c r="A782" s="289"/>
      <c r="B782" s="93"/>
    </row>
    <row r="783">
      <c r="A783" s="289"/>
      <c r="B783" s="93"/>
    </row>
    <row r="784">
      <c r="A784" s="289"/>
      <c r="B784" s="93"/>
    </row>
    <row r="785">
      <c r="A785" s="289"/>
      <c r="B785" s="93"/>
    </row>
    <row r="786">
      <c r="A786" s="289"/>
      <c r="B786" s="93"/>
    </row>
    <row r="787">
      <c r="A787" s="289"/>
      <c r="B787" s="93"/>
    </row>
    <row r="788">
      <c r="A788" s="289"/>
      <c r="B788" s="93"/>
    </row>
    <row r="789">
      <c r="A789" s="289"/>
      <c r="B789" s="93"/>
    </row>
    <row r="790">
      <c r="A790" s="289"/>
      <c r="B790" s="93"/>
    </row>
    <row r="791">
      <c r="A791" s="289"/>
      <c r="B791" s="93"/>
    </row>
    <row r="792">
      <c r="A792" s="289"/>
      <c r="B792" s="93"/>
    </row>
    <row r="793">
      <c r="A793" s="289"/>
      <c r="B793" s="93"/>
    </row>
    <row r="794">
      <c r="A794" s="289"/>
      <c r="B794" s="93"/>
    </row>
    <row r="795">
      <c r="A795" s="289"/>
      <c r="B795" s="93"/>
    </row>
    <row r="796">
      <c r="A796" s="289"/>
      <c r="B796" s="93"/>
    </row>
    <row r="797">
      <c r="A797" s="289"/>
      <c r="B797" s="93"/>
    </row>
    <row r="798">
      <c r="A798" s="289"/>
      <c r="B798" s="93"/>
    </row>
    <row r="799">
      <c r="A799" s="289"/>
      <c r="B799" s="93"/>
    </row>
    <row r="800">
      <c r="A800" s="289"/>
      <c r="B800" s="93"/>
    </row>
    <row r="801">
      <c r="A801" s="289"/>
      <c r="B801" s="93"/>
    </row>
    <row r="802">
      <c r="A802" s="289"/>
      <c r="B802" s="93"/>
    </row>
    <row r="803">
      <c r="A803" s="289"/>
      <c r="B803" s="93"/>
    </row>
    <row r="804">
      <c r="A804" s="289"/>
      <c r="B804" s="93"/>
    </row>
    <row r="805">
      <c r="A805" s="289"/>
      <c r="B805" s="93"/>
    </row>
    <row r="806">
      <c r="A806" s="289"/>
      <c r="B806" s="93"/>
    </row>
    <row r="807">
      <c r="A807" s="289"/>
      <c r="B807" s="93"/>
    </row>
    <row r="808">
      <c r="A808" s="289"/>
      <c r="B808" s="93"/>
    </row>
    <row r="809">
      <c r="A809" s="289"/>
      <c r="B809" s="93"/>
    </row>
    <row r="810">
      <c r="A810" s="289"/>
      <c r="B810" s="93"/>
    </row>
    <row r="811">
      <c r="A811" s="289"/>
      <c r="B811" s="93"/>
    </row>
    <row r="812">
      <c r="A812" s="289"/>
      <c r="B812" s="93"/>
    </row>
    <row r="813">
      <c r="A813" s="289"/>
      <c r="B813" s="93"/>
    </row>
    <row r="814">
      <c r="A814" s="289"/>
      <c r="B814" s="93"/>
    </row>
    <row r="815">
      <c r="A815" s="289"/>
      <c r="B815" s="93"/>
    </row>
    <row r="816">
      <c r="A816" s="289"/>
      <c r="B816" s="93"/>
    </row>
    <row r="817">
      <c r="A817" s="289"/>
      <c r="B817" s="93"/>
    </row>
    <row r="818">
      <c r="A818" s="289"/>
      <c r="B818" s="93"/>
    </row>
    <row r="819">
      <c r="A819" s="289"/>
      <c r="B819" s="93"/>
    </row>
    <row r="820">
      <c r="A820" s="289"/>
      <c r="B820" s="93"/>
    </row>
    <row r="821">
      <c r="A821" s="289"/>
      <c r="B821" s="93"/>
    </row>
    <row r="822">
      <c r="A822" s="289"/>
      <c r="B822" s="93"/>
    </row>
    <row r="823">
      <c r="A823" s="289"/>
      <c r="B823" s="93"/>
    </row>
    <row r="824">
      <c r="A824" s="289"/>
      <c r="B824" s="93"/>
    </row>
    <row r="825">
      <c r="A825" s="289"/>
      <c r="B825" s="93"/>
    </row>
    <row r="826">
      <c r="A826" s="289"/>
      <c r="B826" s="93"/>
    </row>
    <row r="827">
      <c r="A827" s="289"/>
      <c r="B827" s="93"/>
    </row>
    <row r="828">
      <c r="A828" s="289"/>
      <c r="B828" s="93"/>
    </row>
    <row r="829">
      <c r="A829" s="289"/>
      <c r="B829" s="93"/>
    </row>
    <row r="830">
      <c r="A830" s="289"/>
      <c r="B830" s="93"/>
    </row>
    <row r="831">
      <c r="A831" s="289"/>
      <c r="B831" s="93"/>
    </row>
    <row r="832">
      <c r="A832" s="289"/>
      <c r="B832" s="93"/>
    </row>
    <row r="833">
      <c r="A833" s="289"/>
      <c r="B833" s="93"/>
    </row>
    <row r="834">
      <c r="A834" s="289"/>
      <c r="B834" s="93"/>
    </row>
    <row r="835">
      <c r="A835" s="289"/>
      <c r="B835" s="93"/>
    </row>
    <row r="836">
      <c r="A836" s="289"/>
      <c r="B836" s="93"/>
    </row>
    <row r="837">
      <c r="A837" s="289"/>
      <c r="B837" s="93"/>
    </row>
    <row r="838">
      <c r="A838" s="289"/>
      <c r="B838" s="93"/>
    </row>
    <row r="839">
      <c r="A839" s="289"/>
      <c r="B839" s="93"/>
    </row>
    <row r="840">
      <c r="A840" s="289"/>
      <c r="B840" s="93"/>
    </row>
    <row r="841">
      <c r="A841" s="289"/>
      <c r="B841" s="93"/>
    </row>
    <row r="842">
      <c r="A842" s="289"/>
      <c r="B842" s="93"/>
    </row>
    <row r="843">
      <c r="A843" s="289"/>
      <c r="B843" s="93"/>
    </row>
    <row r="844">
      <c r="A844" s="289"/>
      <c r="B844" s="93"/>
    </row>
    <row r="845">
      <c r="A845" s="289"/>
      <c r="B845" s="93"/>
    </row>
    <row r="846">
      <c r="A846" s="289"/>
      <c r="B846" s="93"/>
    </row>
    <row r="847">
      <c r="A847" s="289"/>
      <c r="B847" s="93"/>
    </row>
    <row r="848">
      <c r="A848" s="289"/>
      <c r="B848" s="93"/>
    </row>
    <row r="849">
      <c r="A849" s="289"/>
      <c r="B849" s="93"/>
    </row>
    <row r="850">
      <c r="A850" s="289"/>
      <c r="B850" s="93"/>
    </row>
    <row r="851">
      <c r="A851" s="289"/>
      <c r="B851" s="93"/>
    </row>
    <row r="852">
      <c r="A852" s="289"/>
      <c r="B852" s="93"/>
    </row>
    <row r="853">
      <c r="A853" s="289"/>
      <c r="B853" s="93"/>
    </row>
    <row r="854">
      <c r="A854" s="289"/>
      <c r="B854" s="93"/>
    </row>
    <row r="855">
      <c r="A855" s="289"/>
      <c r="B855" s="93"/>
    </row>
    <row r="856">
      <c r="A856" s="289"/>
      <c r="B856" s="93"/>
    </row>
    <row r="857">
      <c r="A857" s="289"/>
      <c r="B857" s="93"/>
    </row>
    <row r="858">
      <c r="A858" s="289"/>
      <c r="B858" s="93"/>
    </row>
    <row r="859">
      <c r="A859" s="289"/>
      <c r="B859" s="93"/>
    </row>
    <row r="860">
      <c r="A860" s="289"/>
      <c r="B860" s="93"/>
    </row>
    <row r="861">
      <c r="A861" s="289"/>
      <c r="B861" s="93"/>
    </row>
    <row r="862">
      <c r="A862" s="289"/>
      <c r="B862" s="93"/>
    </row>
    <row r="863">
      <c r="A863" s="289"/>
      <c r="B863" s="93"/>
    </row>
    <row r="864">
      <c r="A864" s="289"/>
      <c r="B864" s="93"/>
    </row>
    <row r="865">
      <c r="A865" s="289"/>
      <c r="B865" s="93"/>
    </row>
    <row r="866">
      <c r="A866" s="289"/>
      <c r="B866" s="93"/>
    </row>
    <row r="867">
      <c r="A867" s="289"/>
      <c r="B867" s="93"/>
    </row>
    <row r="868">
      <c r="A868" s="289"/>
      <c r="B868" s="93"/>
    </row>
    <row r="869">
      <c r="A869" s="289"/>
      <c r="B869" s="93"/>
    </row>
    <row r="870">
      <c r="A870" s="289"/>
      <c r="B870" s="93"/>
    </row>
    <row r="871">
      <c r="A871" s="289"/>
      <c r="B871" s="93"/>
    </row>
    <row r="872">
      <c r="A872" s="289"/>
      <c r="B872" s="93"/>
    </row>
    <row r="873">
      <c r="A873" s="289"/>
      <c r="B873" s="93"/>
    </row>
    <row r="874">
      <c r="A874" s="289"/>
      <c r="B874" s="93"/>
    </row>
    <row r="875">
      <c r="A875" s="289"/>
      <c r="B875" s="93"/>
    </row>
    <row r="876">
      <c r="A876" s="289"/>
      <c r="B876" s="93"/>
    </row>
    <row r="877">
      <c r="A877" s="289"/>
      <c r="B877" s="93"/>
    </row>
    <row r="878">
      <c r="A878" s="289"/>
      <c r="B878" s="93"/>
    </row>
    <row r="879">
      <c r="A879" s="289"/>
      <c r="B879" s="93"/>
    </row>
    <row r="880">
      <c r="A880" s="289"/>
      <c r="B880" s="93"/>
    </row>
    <row r="881">
      <c r="A881" s="289"/>
      <c r="B881" s="93"/>
    </row>
    <row r="882">
      <c r="A882" s="289"/>
      <c r="B882" s="93"/>
    </row>
    <row r="883">
      <c r="A883" s="289"/>
      <c r="B883" s="93"/>
    </row>
    <row r="884">
      <c r="A884" s="289"/>
      <c r="B884" s="93"/>
    </row>
    <row r="885">
      <c r="A885" s="289"/>
      <c r="B885" s="93"/>
    </row>
    <row r="886">
      <c r="A886" s="289"/>
      <c r="B886" s="93"/>
    </row>
    <row r="887">
      <c r="A887" s="289"/>
      <c r="B887" s="93"/>
    </row>
    <row r="888">
      <c r="A888" s="289"/>
      <c r="B888" s="93"/>
    </row>
    <row r="889">
      <c r="A889" s="289"/>
      <c r="B889" s="93"/>
    </row>
    <row r="890">
      <c r="A890" s="289"/>
      <c r="B890" s="93"/>
    </row>
    <row r="891">
      <c r="A891" s="289"/>
      <c r="B891" s="93"/>
    </row>
    <row r="892">
      <c r="A892" s="289"/>
      <c r="B892" s="93"/>
    </row>
    <row r="893">
      <c r="A893" s="289"/>
      <c r="B893" s="93"/>
    </row>
    <row r="894">
      <c r="A894" s="289"/>
      <c r="B894" s="93"/>
    </row>
    <row r="895">
      <c r="A895" s="289"/>
      <c r="B895" s="93"/>
    </row>
    <row r="896">
      <c r="A896" s="289"/>
      <c r="B896" s="93"/>
    </row>
    <row r="897">
      <c r="A897" s="289"/>
      <c r="B897" s="93"/>
    </row>
    <row r="898">
      <c r="A898" s="289"/>
      <c r="B898" s="93"/>
    </row>
    <row r="899">
      <c r="A899" s="289"/>
      <c r="B899" s="93"/>
    </row>
    <row r="900">
      <c r="A900" s="289"/>
      <c r="B900" s="93"/>
    </row>
    <row r="901">
      <c r="A901" s="289"/>
      <c r="B901" s="93"/>
    </row>
    <row r="902">
      <c r="A902" s="289"/>
      <c r="B902" s="93"/>
    </row>
    <row r="903">
      <c r="A903" s="289"/>
      <c r="B903" s="93"/>
    </row>
    <row r="904">
      <c r="A904" s="289"/>
      <c r="B904" s="93"/>
    </row>
    <row r="905">
      <c r="A905" s="289"/>
      <c r="B905" s="93"/>
    </row>
    <row r="906">
      <c r="A906" s="289"/>
      <c r="B906" s="93"/>
    </row>
    <row r="907">
      <c r="A907" s="289"/>
      <c r="B907" s="93"/>
    </row>
    <row r="908">
      <c r="A908" s="289"/>
      <c r="B908" s="93"/>
    </row>
    <row r="909">
      <c r="A909" s="289"/>
      <c r="B909" s="93"/>
    </row>
    <row r="910">
      <c r="A910" s="289"/>
      <c r="B910" s="93"/>
    </row>
    <row r="911">
      <c r="A911" s="289"/>
      <c r="B911" s="93"/>
    </row>
    <row r="912">
      <c r="A912" s="289"/>
      <c r="B912" s="93"/>
    </row>
    <row r="913">
      <c r="A913" s="289"/>
      <c r="B913" s="93"/>
    </row>
    <row r="914">
      <c r="A914" s="289"/>
      <c r="B914" s="93"/>
    </row>
    <row r="915">
      <c r="A915" s="289"/>
      <c r="B915" s="93"/>
    </row>
    <row r="916">
      <c r="A916" s="289"/>
      <c r="B916" s="93"/>
    </row>
    <row r="917">
      <c r="A917" s="289"/>
      <c r="B917" s="93"/>
    </row>
    <row r="918">
      <c r="A918" s="289"/>
      <c r="B918" s="93"/>
    </row>
    <row r="919">
      <c r="A919" s="289"/>
      <c r="B919" s="93"/>
    </row>
    <row r="920">
      <c r="A920" s="289"/>
      <c r="B920" s="93"/>
    </row>
    <row r="921">
      <c r="A921" s="289"/>
      <c r="B921" s="93"/>
    </row>
    <row r="922">
      <c r="A922" s="289"/>
      <c r="B922" s="93"/>
    </row>
    <row r="923">
      <c r="A923" s="289"/>
      <c r="B923" s="93"/>
    </row>
    <row r="924">
      <c r="A924" s="289"/>
      <c r="B924" s="93"/>
    </row>
    <row r="925">
      <c r="A925" s="289"/>
      <c r="B925" s="93"/>
    </row>
    <row r="926">
      <c r="A926" s="289"/>
      <c r="B926" s="93"/>
    </row>
    <row r="927">
      <c r="A927" s="289"/>
      <c r="B927" s="93"/>
    </row>
    <row r="928">
      <c r="A928" s="289"/>
      <c r="B928" s="93"/>
    </row>
    <row r="929">
      <c r="A929" s="289"/>
      <c r="B929" s="93"/>
    </row>
    <row r="930">
      <c r="A930" s="289"/>
      <c r="B930" s="93"/>
    </row>
    <row r="931">
      <c r="A931" s="289"/>
      <c r="B931" s="93"/>
    </row>
    <row r="932">
      <c r="A932" s="289"/>
      <c r="B932" s="93"/>
    </row>
    <row r="933">
      <c r="A933" s="289"/>
      <c r="B933" s="93"/>
    </row>
    <row r="934">
      <c r="A934" s="289"/>
      <c r="B934" s="93"/>
    </row>
    <row r="935">
      <c r="A935" s="289"/>
      <c r="B935" s="93"/>
    </row>
    <row r="936">
      <c r="A936" s="289"/>
      <c r="B936" s="93"/>
    </row>
    <row r="937">
      <c r="A937" s="289"/>
      <c r="B937" s="93"/>
    </row>
    <row r="938">
      <c r="A938" s="289"/>
      <c r="B938" s="93"/>
    </row>
    <row r="939">
      <c r="A939" s="289"/>
      <c r="B939" s="93"/>
    </row>
    <row r="940">
      <c r="A940" s="289"/>
      <c r="B940" s="93"/>
    </row>
    <row r="941">
      <c r="A941" s="289"/>
      <c r="B941" s="93"/>
    </row>
    <row r="942">
      <c r="A942" s="289"/>
      <c r="B942" s="93"/>
    </row>
    <row r="943">
      <c r="A943" s="289"/>
      <c r="B943" s="93"/>
    </row>
    <row r="944">
      <c r="A944" s="289"/>
      <c r="B944" s="93"/>
    </row>
    <row r="945">
      <c r="A945" s="289"/>
      <c r="B945" s="93"/>
    </row>
    <row r="946">
      <c r="A946" s="289"/>
      <c r="B946" s="93"/>
    </row>
    <row r="947">
      <c r="A947" s="289"/>
      <c r="B947" s="93"/>
    </row>
    <row r="948">
      <c r="A948" s="289"/>
      <c r="B948" s="93"/>
    </row>
    <row r="949">
      <c r="A949" s="289"/>
      <c r="B949" s="93"/>
    </row>
    <row r="950">
      <c r="A950" s="289"/>
      <c r="B950" s="93"/>
    </row>
    <row r="951">
      <c r="A951" s="289"/>
      <c r="B951" s="93"/>
    </row>
    <row r="952">
      <c r="A952" s="289"/>
      <c r="B952" s="93"/>
    </row>
    <row r="953">
      <c r="A953" s="289"/>
      <c r="B953" s="93"/>
    </row>
    <row r="954">
      <c r="A954" s="289"/>
      <c r="B954" s="93"/>
    </row>
    <row r="955">
      <c r="A955" s="289"/>
      <c r="B955" s="93"/>
    </row>
    <row r="956">
      <c r="A956" s="289"/>
      <c r="B956" s="93"/>
    </row>
    <row r="957">
      <c r="A957" s="289"/>
      <c r="B957" s="93"/>
    </row>
    <row r="958">
      <c r="A958" s="289"/>
      <c r="B958" s="93"/>
    </row>
    <row r="959">
      <c r="A959" s="289"/>
      <c r="B959" s="93"/>
    </row>
    <row r="960">
      <c r="A960" s="289"/>
      <c r="B960" s="93"/>
    </row>
    <row r="961">
      <c r="A961" s="289"/>
      <c r="B961" s="93"/>
    </row>
    <row r="962">
      <c r="A962" s="289"/>
      <c r="B962" s="93"/>
    </row>
    <row r="963">
      <c r="A963" s="289"/>
      <c r="B963" s="93"/>
    </row>
    <row r="964">
      <c r="A964" s="289"/>
      <c r="B964" s="93"/>
    </row>
    <row r="965">
      <c r="A965" s="289"/>
      <c r="B965" s="93"/>
    </row>
    <row r="966">
      <c r="A966" s="289"/>
      <c r="B966" s="93"/>
    </row>
    <row r="967">
      <c r="A967" s="289"/>
      <c r="B967" s="93"/>
    </row>
    <row r="968">
      <c r="A968" s="289"/>
      <c r="B968" s="93"/>
    </row>
    <row r="969">
      <c r="A969" s="289"/>
      <c r="B969" s="93"/>
    </row>
    <row r="970">
      <c r="A970" s="289"/>
      <c r="B970" s="93"/>
    </row>
    <row r="971">
      <c r="A971" s="289"/>
      <c r="B971" s="93"/>
    </row>
    <row r="972">
      <c r="A972" s="289"/>
      <c r="B972" s="93"/>
    </row>
    <row r="973">
      <c r="A973" s="289"/>
      <c r="B973" s="93"/>
    </row>
    <row r="974">
      <c r="A974" s="289"/>
      <c r="B974" s="93"/>
    </row>
    <row r="975">
      <c r="A975" s="289"/>
      <c r="B975" s="93"/>
    </row>
    <row r="976">
      <c r="A976" s="289"/>
      <c r="B976" s="93"/>
    </row>
    <row r="977">
      <c r="A977" s="289"/>
      <c r="B977" s="93"/>
    </row>
    <row r="978">
      <c r="A978" s="289"/>
      <c r="B978" s="93"/>
    </row>
    <row r="979">
      <c r="A979" s="289"/>
      <c r="B979" s="93"/>
    </row>
    <row r="980">
      <c r="A980" s="289"/>
      <c r="B980" s="93"/>
    </row>
    <row r="981">
      <c r="A981" s="289"/>
      <c r="B981" s="93"/>
    </row>
    <row r="982">
      <c r="A982" s="289"/>
      <c r="B982" s="93"/>
    </row>
    <row r="983">
      <c r="A983" s="289"/>
      <c r="B983" s="93"/>
    </row>
    <row r="984">
      <c r="A984" s="289"/>
      <c r="B984" s="93"/>
    </row>
    <row r="985">
      <c r="A985" s="289"/>
      <c r="B985" s="93"/>
    </row>
    <row r="986">
      <c r="A986" s="289"/>
      <c r="B986" s="93"/>
    </row>
    <row r="987">
      <c r="A987" s="289"/>
      <c r="B987" s="93"/>
    </row>
    <row r="988">
      <c r="A988" s="289"/>
      <c r="B988" s="93"/>
    </row>
    <row r="989">
      <c r="A989" s="289"/>
      <c r="B989" s="93"/>
    </row>
    <row r="990">
      <c r="A990" s="289"/>
      <c r="B990" s="93"/>
    </row>
    <row r="991">
      <c r="A991" s="289"/>
      <c r="B991" s="93"/>
    </row>
    <row r="992">
      <c r="A992" s="289"/>
      <c r="B992" s="93"/>
    </row>
    <row r="993">
      <c r="A993" s="289"/>
      <c r="B993" s="93"/>
    </row>
    <row r="994">
      <c r="A994" s="289"/>
      <c r="B994" s="93"/>
    </row>
    <row r="995">
      <c r="A995" s="289"/>
      <c r="B995" s="93"/>
    </row>
    <row r="996">
      <c r="A996" s="289"/>
      <c r="B996" s="93"/>
    </row>
    <row r="997">
      <c r="A997" s="289"/>
      <c r="B997" s="93"/>
    </row>
    <row r="998">
      <c r="A998" s="289"/>
      <c r="B998" s="93"/>
    </row>
    <row r="999">
      <c r="A999" s="289"/>
      <c r="B999" s="93"/>
    </row>
    <row r="1000">
      <c r="A1000" s="289"/>
      <c r="B1000" s="93"/>
    </row>
  </sheetData>
  <customSheetViews>
    <customSheetView guid="{2848D221-72C3-4DA4-A82A-7E2643CE4265}" filter="1" showAutoFilter="1">
      <autoFilter ref="$A$1:$BH$1000">
        <filterColumn colId="1">
          <filters>
            <filter val="NTec"/>
          </filters>
        </filterColumn>
      </autoFilter>
    </customSheetView>
  </customSheetViews>
  <mergeCells count="16">
    <mergeCell ref="A1:A2"/>
    <mergeCell ref="B1:B2"/>
    <mergeCell ref="C1:C2"/>
    <mergeCell ref="D1:D2"/>
    <mergeCell ref="E1:I1"/>
    <mergeCell ref="J1:M1"/>
    <mergeCell ref="N1:Q1"/>
    <mergeCell ref="AW1:AZ1"/>
    <mergeCell ref="BA1:BE1"/>
    <mergeCell ref="R1:V1"/>
    <mergeCell ref="W1:Z1"/>
    <mergeCell ref="AA1:AD1"/>
    <mergeCell ref="AE1:AI1"/>
    <mergeCell ref="AJ1:AM1"/>
    <mergeCell ref="AN1:AR1"/>
    <mergeCell ref="AS1:AV1"/>
  </mergeCells>
  <conditionalFormatting sqref="B3:B190">
    <cfRule type="cellIs" dxfId="8" priority="1" operator="equal">
      <formula>"NTec"</formula>
    </cfRule>
  </conditionalFormatting>
  <conditionalFormatting sqref="B3:B190">
    <cfRule type="cellIs" dxfId="9" priority="2" operator="equal">
      <formula>"NDados"</formula>
    </cfRule>
  </conditionalFormatting>
  <conditionalFormatting sqref="B3:B190">
    <cfRule type="cellIs" dxfId="10" priority="3" operator="equal">
      <formula>"NI"</formula>
    </cfRule>
  </conditionalFormatting>
  <conditionalFormatting sqref="B3:B190">
    <cfRule type="cellIs" dxfId="11" priority="4" operator="equal">
      <formula>"NCiv"</formula>
    </cfRule>
  </conditionalFormatting>
  <conditionalFormatting sqref="B3:B190">
    <cfRule type="cellIs" dxfId="12" priority="5" operator="equal">
      <formula>"NCon"</formula>
    </cfRule>
  </conditionalFormatting>
  <conditionalFormatting sqref="B3:B190">
    <cfRule type="cellIs" dxfId="13" priority="6" operator="equal">
      <formula>"WI"</formula>
    </cfRule>
  </conditionalFormatting>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8C01"/>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5.0"/>
    <col customWidth="1" min="4" max="4" width="16.0"/>
    <col customWidth="1" min="5" max="5" width="15.88"/>
    <col customWidth="1" hidden="1" min="6" max="7" width="16.5"/>
    <col hidden="1" min="8" max="9" width="12.63"/>
    <col customWidth="1" min="10" max="11" width="15.63"/>
    <col customWidth="1" min="14" max="14" width="19.75"/>
    <col customWidth="1" hidden="1" min="15" max="19" width="19.75"/>
    <col customWidth="1" min="20" max="21" width="19.75"/>
    <col customWidth="1" min="24" max="24" width="13.5"/>
    <col customWidth="1" min="25" max="25" width="17.5"/>
  </cols>
  <sheetData>
    <row r="1">
      <c r="A1" s="5" t="s">
        <v>470</v>
      </c>
      <c r="B1" s="5" t="s">
        <v>455</v>
      </c>
      <c r="C1" s="5" t="s">
        <v>471</v>
      </c>
      <c r="D1" s="5" t="s">
        <v>472</v>
      </c>
      <c r="E1" s="5" t="s">
        <v>473</v>
      </c>
      <c r="F1" s="5" t="s">
        <v>392</v>
      </c>
      <c r="G1" s="5" t="s">
        <v>474</v>
      </c>
      <c r="H1" s="5" t="s">
        <v>475</v>
      </c>
      <c r="I1" s="5" t="s">
        <v>476</v>
      </c>
      <c r="J1" s="5" t="s">
        <v>477</v>
      </c>
      <c r="K1" s="5" t="s">
        <v>478</v>
      </c>
      <c r="L1" s="5" t="s">
        <v>479</v>
      </c>
      <c r="M1" s="5" t="s">
        <v>480</v>
      </c>
      <c r="N1" s="5" t="s">
        <v>481</v>
      </c>
      <c r="O1" s="5" t="s">
        <v>482</v>
      </c>
      <c r="P1" s="5" t="s">
        <v>483</v>
      </c>
      <c r="Q1" s="5" t="s">
        <v>484</v>
      </c>
      <c r="R1" s="5" t="s">
        <v>485</v>
      </c>
      <c r="S1" s="5" t="s">
        <v>486</v>
      </c>
      <c r="T1" s="5" t="s">
        <v>487</v>
      </c>
      <c r="U1" s="5" t="s">
        <v>488</v>
      </c>
      <c r="V1" s="5" t="s">
        <v>489</v>
      </c>
      <c r="W1" s="5" t="s">
        <v>490</v>
      </c>
      <c r="X1" s="5" t="s">
        <v>491</v>
      </c>
      <c r="Y1" s="5" t="s">
        <v>492</v>
      </c>
    </row>
    <row r="2" hidden="1">
      <c r="A2" s="291" t="str">
        <f>IFERROR(__xludf.DUMMYFUNCTION("IMPORTRANGE(""https://docs.google.com/spreadsheets/d/1WaXXcaC4eKnex1ET_BKg3DdoDDQffcNr7aAqdAcYd9Q/edit#gid=0"",""Quadro de Membros!E8:E"")"),"alan.monteiro")</f>
        <v>alan.monteiro</v>
      </c>
      <c r="B2" s="120" t="str">
        <f>IFERROR(__xludf.DUMMYFUNCTION("IMPORTRANGE(""https://docs.google.com/spreadsheets/d/1WaXXcaC4eKnex1ET_BKg3DdoDDQffcNr7aAqdAcYd9Q/edit#gid=0"",""Quadro de Membros!H8:H"")"),"Trainee")</f>
        <v>Trainee</v>
      </c>
      <c r="C2" s="120" t="str">
        <f>IFERROR(__xludf.DUMMYFUNCTION("IMPORTRANGE(""https://docs.google.com/spreadsheets/d/1WaXXcaC4eKnex1ET_BKg3DdoDDQffcNr7aAqdAcYd9Q/edit#gid=0"",""Quadro de Membros!I8:I"")"),"NTec")</f>
        <v>NTec</v>
      </c>
      <c r="D2" s="292" t="str">
        <f>IFERROR((COUNTIFS(Base!$V:$V,A2,Base!$S:$S,"&gt;8") - COUNTIFS(Base!$V:$V,A2,Base!$S:$S,"&lt;7"))/COUNTIFS(Base!$V:$V,A2,Base!$S:$S,"&lt;&gt;"),"-")</f>
        <v>-</v>
      </c>
      <c r="E2" s="292" t="str">
        <f>IF(
  (
    COUNTIFS(Base!$W:$W, A2, Base!$S:$S, "&lt;&gt;") +
    COUNTIFS(Base!$X:$X, A2, Base!$S:$S, "&lt;&gt;") +
    COUNTIFS(Base!$Y:$Y, A2, Base!$S:$S, "&lt;&gt;") +
    COUNTIFS(Base!$Z:$Z, A2, Base!$S:$S, "&lt;&gt;")
  ) = 0,
  "-",
  (
    COUNTIFS(Base!$W:$W, A2, Base!$S:$S, "&gt;8") - COUNTIFS(Base!$W:$W, A2, Base!$S:$S, "&lt;7") +
    COUNTIFS(Base!$X:$X, A2, Base!$S:$S, "&gt;8") - COUNTIFS(Base!$X:$X, A2, Base!$S:$S, "&lt;7") +
    COUNTIFS(Base!$Y:$Y, A2, Base!$S:$S, "&gt;8") - COUNTIFS(Base!$Y:$Y, A2, Base!$S:$S, "&lt;7") +
    COUNTIFS(Base!$Z:$Z, A2, Base!$S:$S, "&gt;8") - COUNTIFS(Base!$Z:$Z, A2, Base!$S:$S, "&lt;7")
  ) /
  (
    COUNTIFS(Base!$W:$W, A2, Base!$S:$S, "&lt;&gt;") +
    COUNTIFS(Base!$X:$X, A2, Base!$S:$S, "&lt;&gt;") +
    COUNTIFS(Base!$Y:$Y, A2, Base!$S:$S, "&lt;&gt;") +
    COUNTIFS(Base!$Z:$Z, A2, Base!$S:$S, "&lt;&gt;")
  )
)
</f>
        <v>-</v>
      </c>
      <c r="F2" s="290">
        <f>SUMIFS(Base!$N:$N,Base!$V:$V,A2,Base!$N:$N,"&lt;&gt;")-SUMIFS(Base!$K:$K,Base!$V:$V,A2,Base!$N:$N,"&lt;&gt;")-(SUMIFS(Base!$L:$L,Base!$V:$V,A2,Base!$N:$N,"&lt;&gt;")*7)</f>
        <v>0</v>
      </c>
      <c r="G2" s="290"/>
      <c r="H2" s="290">
        <f>SUMIFS(Base!$F:$F,Base!$V:$V,A2,Base!$N:$N,"&lt;&gt;")*7</f>
        <v>0</v>
      </c>
      <c r="I2" s="290"/>
      <c r="J2" s="292" t="str">
        <f t="shared" ref="J2:K2" si="1">IFERROR(F2/H2,"-")</f>
        <v>-</v>
      </c>
      <c r="K2" s="292" t="str">
        <f t="shared" si="1"/>
        <v>-</v>
      </c>
      <c r="L2" s="292" t="str">
        <f>IFERROR((COUNTIFS(Base!$V:$V,A2,Base!$U:$U,TRUE))/(COUNTIFS(Base!$V:$V,A2,Base!$O:$O,"Finalizado")+COUNTIFS(Base!$V:$V,A2,Base!$O:$O,"Concluído")),"-")</f>
        <v>-</v>
      </c>
      <c r="M2" s="292" t="str">
        <f>IF(
  (
    IFERROR(COUNTIF(Base!$W:$W, A2), 0) +
    IFERROR(COUNTIF(Base!$X:$X, A2), 0) +
    IFERROR(COUNTIF(Base!$Y:$Y, A2), 0) +
    IFERROR(COUNTIF(Base!$Z:$Z, A2), 0)
  ) = 0,
  "-",
  IF(
    (
      IFERROR(COUNTIFS(Base!$W:$W, A2, Base!$O:$O, "Finalizado"), 0) +
      IFERROR(COUNTIFS(Base!$W:$W, A2, Base!$O:$O, "Concluído"), 0) +
      IFERROR(COUNTIFS(Base!$X:$X, A2, Base!$O:$O, "Finalizado"), 0) +
      IFERROR(COUNTIFS(Base!$X:$X, A2, Base!$O:$O, "Concluído"), 0) +
      IFERROR(COUNTIFS(Base!$Y:$Y, A2, Base!$O:$O, "Finalizado"), 0) +
      IFERROR(COUNTIFS(Base!$Y:$Y, A2, Base!$O:$O, "Concluído"), 0) +
      IFERROR(COUNTIFS(Base!$Z:$Z, A2, Base!$O:$O, "Finalizado"), 0) +
      IFERROR(COUNTIFS(Base!$Z:$Z, A2, Base!$O:$O, "Concluído"), 0)
    ) = 0,
    "-",
    (
      IFERROR(COUNTIFS(Base!$W:$W, A2, Base!$U:$U, TRUE), 0) +
      IFERROR(COUNTIFS(Base!$X:$X, A2, Base!$U:$U, TRUE), 0) +
      IFERROR(COUNTIFS(Base!$Y:$Y, A2, Base!$U:$U, TRUE), 0) +
      IFERROR(COUNTIFS(Base!$Z:$Z, A2, Base!$U:$U, TRUE), 0)
    ) /
    (
      IFERROR(COUNTIFS(Base!$W:$W, A2, Base!$O:$O, "Finalizado"), 0) +
      IFERROR(COUNTIFS(Base!$W:$W, A2, Base!$O:$O, "Concluído"), 0) +
      IFERROR(COUNTIFS(Base!$X:$X, A2, Base!$O:$O, "Finalizado"), 0) +
      IFERROR(COUNTIFS(Base!$X:$X, A2, Base!$O:$O, "Concluído"), 0) +
      IFERROR(COUNTIFS(Base!$Y:$Y, A2, Base!$O:$O, "Finalizado"), 0) +
      IFERROR(COUNTIFS(Base!$Y:$Y, A2, Base!$O:$O, "Concluído"), 0) +
      IFERROR(COUNTIFS(Base!$Z:$Z, A2, Base!$O:$O, "Finalizado"), 0) +
      IFERROR(COUNTIFS(Base!$Z:$Z, A2, Base!$O:$O, "Concluído"), 0)
    )
  )
)
</f>
        <v>-</v>
      </c>
      <c r="N2" s="120">
        <f>COUNTIF(Base!V:V,$A2)</f>
        <v>0</v>
      </c>
      <c r="O2" s="120">
        <f>COUNTIF(Base!W:W,$A2)</f>
        <v>0</v>
      </c>
      <c r="P2" s="120">
        <f>COUNTIF(Base!X:X,$A2)</f>
        <v>0</v>
      </c>
      <c r="Q2" s="120">
        <f>COUNTIF(Base!Y:Y,$A2)</f>
        <v>0</v>
      </c>
      <c r="R2" s="120">
        <f>COUNTIF(Base!Z:Z,$A2)</f>
        <v>0</v>
      </c>
      <c r="S2" s="120">
        <f t="shared" ref="S2:S167" si="3">SUM(N2:R2)</f>
        <v>0</v>
      </c>
      <c r="T2" s="120">
        <f t="shared" ref="T2:T217" si="4">SUM(O2:R2)</f>
        <v>0</v>
      </c>
      <c r="V2" s="293" t="str">
        <f>IF(
  (
    COUNTIF('Acompanhamento quinzenal'!$N:$N, A2) +
    COUNTIF('Acompanhamento quinzenal'!$T:$T, A2) +
    COUNTIF('Acompanhamento quinzenal'!$Z:$Z, A2) +
    COUNTIF('Acompanhamento quinzenal'!$AF:$AF, A2)
  ) = 0,
  "-",
  (
    IFERROR(SUMIFS('Acompanhamento quinzenal'!$S:$S, 'Acompanhamento quinzenal'!$N:$N, A2), 0) +
    IFERROR(SUMIFS('Acompanhamento quinzenal'!$Y:$Y, 'Acompanhamento quinzenal'!$T:$T, A2), 0) +
    IFERROR(SUMIFS('Acompanhamento quinzenal'!$AE:$AE, 'Acompanhamento quinzenal'!$Z:$Z, A2), 0) +
    IFERROR(SUMIFS('Acompanhamento quinzenal'!$AK:$AK, 'Acompanhamento quinzenal'!$AF:$AF, A2), 0)
  ) /
  (
    COUNTIF('Acompanhamento quinzenal'!$N:$N, A2) +
    COUNTIF('Acompanhamento quinzenal'!$T:$T, A2) +
    COUNTIF('Acompanhamento quinzenal'!$Z:$Z, A2) +
    COUNTIF('Acompanhamento quinzenal'!$AF:$AF, A2)
  )
)
</f>
        <v>-</v>
      </c>
      <c r="W2" s="149" t="str">
        <f>IF(
  (
    COUNTIF('Acompanhamento quinzenal'!$N:$N, A2) +
    COUNTIF('Acompanhamento quinzenal'!$T:$T, A2) +
    COUNTIF('Acompanhamento quinzenal'!$Z:$Z, A2) +
    COUNTIF('Acompanhamento quinzenal'!$AF:$AF, A2)
  ) = 0,
  "-",
  (
    IFERROR(SUMIFS('Acompanhamento quinzenal'!$O:$O, 'Acompanhamento quinzenal'!$N:$N, A2), 0) +
    IFERROR(SUMIFS('Acompanhamento quinzenal'!$U:$U, 'Acompanhamento quinzenal'!$T:$T, A2), 0) +
    IFERROR(SUMIFS('Acompanhamento quinzenal'!$AA:$AA, 'Acompanhamento quinzenal'!$Z:$Z, A2), 0) +
    IFERROR(SUMIFS('Acompanhamento quinzenal'!$AG:$AG, 'Acompanhamento quinzenal'!$AF:$AF, A2), 0)
  ) /
  (
    COUNTIF('Acompanhamento quinzenal'!$N:$N, A2) +
    COUNTIF('Acompanhamento quinzenal'!$T:$T, A2) +
    COUNTIF('Acompanhamento quinzenal'!$Z:$Z, A2) +
    COUNTIF('Acompanhamento quinzenal'!$AF:$AF, A2)
  )
)
</f>
        <v>-</v>
      </c>
      <c r="X2" s="149" t="str">
        <f>IF(
  (
    COUNTIF('Acompanhamento quinzenal'!$N:$N, A2) +
    COUNTIF('Acompanhamento quinzenal'!$T:$T, A2) +
    COUNTIF('Acompanhamento quinzenal'!$Z:$Z, A2) +
    COUNTIF('Acompanhamento quinzenal'!$AF:$AF, A2)
  ) = 0,
  "-",
  (
    IFERROR(SUMIFS('Acompanhamento quinzenal'!$P:$P, 'Acompanhamento quinzenal'!$N:$N, A2), 0) +
    IFERROR(SUMIFS('Acompanhamento quinzenal'!$V:$V, 'Acompanhamento quinzenal'!$T:$T, A2), 0) +
    IFERROR(SUMIFS('Acompanhamento quinzenal'!$AB:$AB, 'Acompanhamento quinzenal'!$Z:$Z, A2), 0) +
    IFERROR(SUMIFS('Acompanhamento quinzenal'!$AH:$AH, 'Acompanhamento quinzenal'!$AF:$AF, A2), 0)
  ) /
  (
    COUNTIF('Acompanhamento quinzenal'!$N:$N, A2) +
    COUNTIF('Acompanhamento quinzenal'!$T:$T, A2) +
    COUNTIF('Acompanhamento quinzenal'!$Z:$Z, A2) +
    COUNTIF('Acompanhamento quinzenal'!$AF:$AF, A2)
  )
)
</f>
        <v>-</v>
      </c>
      <c r="Y2" s="293" t="str">
        <f>IF(
  (
    COUNTIF('Acompanhamento quinzenal'!$N:$N, A2) +
    COUNTIF('Acompanhamento quinzenal'!$T:$T, A2) +
    COUNTIF('Acompanhamento quinzenal'!$Z:$Z, A2) +
    COUNTIF('Acompanhamento quinzenal'!$AF:$AF, A2)
  ) = 0,
  "-",
  (
    IFERROR(SUMIFS('Acompanhamento quinzenal'!$Q:$Q, 'Acompanhamento quinzenal'!$N:$N, A2), 0) +
    IFERROR(SUMIFS('Acompanhamento quinzenal'!$W:$W, 'Acompanhamento quinzenal'!$T:$T, A2), 0) +
    IFERROR(SUMIFS('Acompanhamento quinzenal'!$AC:$AC, 'Acompanhamento quinzenal'!$Z:$Z, A2), 0) +
    IFERROR(SUMIFS('Acompanhamento quinzenal'!$AI:$AI, 'Acompanhamento quinzenal'!$AF:$AF, A2), 0)
  ) /
  (
    COUNTIF('Acompanhamento quinzenal'!$N:$N, A2) +
    COUNTIF('Acompanhamento quinzenal'!$T:$T, A2) +
    COUNTIF('Acompanhamento quinzenal'!$Z:$Z, A2) +
    COUNTIF('Acompanhamento quinzenal'!$AF:$AF, A2)
  )
)
</f>
        <v>-</v>
      </c>
    </row>
    <row r="3" hidden="1">
      <c r="A3" s="291" t="str">
        <f>IFERROR(__xludf.DUMMYFUNCTION("""COMPUTED_VALUE"""),"alan.zisman")</f>
        <v>alan.zisman</v>
      </c>
      <c r="B3" s="120" t="str">
        <f>IFERROR(__xludf.DUMMYFUNCTION("""COMPUTED_VALUE"""),"Trainee")</f>
        <v>Trainee</v>
      </c>
      <c r="C3" s="120" t="str">
        <f>IFERROR(__xludf.DUMMYFUNCTION("""COMPUTED_VALUE"""),"NTec")</f>
        <v>NTec</v>
      </c>
      <c r="D3" s="292" t="str">
        <f>IFERROR((COUNTIFS(Base!$V:$V,A3,Base!$S:$S,"&gt;8") - COUNTIFS(Base!$V:$V,A3,Base!$S:$S,"&lt;7"))/COUNTIFS(Base!$V:$V,A3,Base!$S:$S,"&lt;&gt;"),"-")</f>
        <v>-</v>
      </c>
      <c r="E3" s="292" t="str">
        <f>IF(
  (
    COUNTIFS(Base!$W:$W, A3, Base!$S:$S, "&lt;&gt;") +
    COUNTIFS(Base!$X:$X, A3, Base!$S:$S, "&lt;&gt;") +
    COUNTIFS(Base!$Y:$Y, A3, Base!$S:$S, "&lt;&gt;") +
    COUNTIFS(Base!$Z:$Z, A3, Base!$S:$S, "&lt;&gt;")
  ) = 0,
  "-",
  (
    COUNTIFS(Base!$W:$W, A3, Base!$S:$S, "&gt;8") - COUNTIFS(Base!$W:$W, A3, Base!$S:$S, "&lt;7") +
    COUNTIFS(Base!$X:$X, A3, Base!$S:$S, "&gt;8") - COUNTIFS(Base!$X:$X, A3, Base!$S:$S, "&lt;7") +
    COUNTIFS(Base!$Y:$Y, A3, Base!$S:$S, "&gt;8") - COUNTIFS(Base!$Y:$Y, A3, Base!$S:$S, "&lt;7") +
    COUNTIFS(Base!$Z:$Z, A3, Base!$S:$S, "&gt;8") - COUNTIFS(Base!$Z:$Z, A3, Base!$S:$S, "&lt;7")
  ) /
  (
    COUNTIFS(Base!$W:$W, A3, Base!$S:$S, "&lt;&gt;") +
    COUNTIFS(Base!$X:$X, A3, Base!$S:$S, "&lt;&gt;") +
    COUNTIFS(Base!$Y:$Y, A3, Base!$S:$S, "&lt;&gt;") +
    COUNTIFS(Base!$Z:$Z, A3, Base!$S:$S, "&lt;&gt;")
  )
)
</f>
        <v>-</v>
      </c>
      <c r="F3" s="290">
        <f>SUMIFS(Base!$N:$N,Base!$V:$V,A3,Base!$N:$N,"&lt;&gt;")-SUMIFS(Base!$K:$K,Base!$V:$V,A3,Base!$N:$N,"&lt;&gt;")-(SUMIFS(Base!$L:$L,Base!$V:$V,A3,Base!$N:$N,"&lt;&gt;")*7)</f>
        <v>0</v>
      </c>
      <c r="G3" s="290"/>
      <c r="H3" s="290">
        <f>SUMIFS(Base!$F:$F,Base!$V:$V,A3,Base!$N:$N,"&lt;&gt;")*7</f>
        <v>0</v>
      </c>
      <c r="I3" s="290"/>
      <c r="J3" s="292" t="str">
        <f t="shared" ref="J3:K3" si="2">IFERROR(F3/H3,"-")</f>
        <v>-</v>
      </c>
      <c r="K3" s="292" t="str">
        <f t="shared" si="2"/>
        <v>-</v>
      </c>
      <c r="L3" s="292" t="str">
        <f>IFERROR((COUNTIFS(Base!$V:$V,A3,Base!$U:$U,TRUE))/(COUNTIFS(Base!$V:$V,A3,Base!$O:$O,"Finalizado")+COUNTIFS(Base!$V:$V,A3,Base!$O:$O,"Concluído")),"-")</f>
        <v>-</v>
      </c>
      <c r="M3" s="292" t="str">
        <f>IF(
  (
    IFERROR(COUNTIF(Base!$W:$W, A3), 0) +
    IFERROR(COUNTIF(Base!$X:$X, A3), 0) +
    IFERROR(COUNTIF(Base!$Y:$Y, A3), 0) +
    IFERROR(COUNTIF(Base!$Z:$Z, A3), 0)
  ) = 0,
  "-",
  IF(
    (
      IFERROR(COUNTIFS(Base!$W:$W, A3, Base!$O:$O, "Finalizado"), 0) +
      IFERROR(COUNTIFS(Base!$W:$W, A3, Base!$O:$O, "Concluído"), 0) +
      IFERROR(COUNTIFS(Base!$X:$X, A3, Base!$O:$O, "Finalizado"), 0) +
      IFERROR(COUNTIFS(Base!$X:$X, A3, Base!$O:$O, "Concluído"), 0) +
      IFERROR(COUNTIFS(Base!$Y:$Y, A3, Base!$O:$O, "Finalizado"), 0) +
      IFERROR(COUNTIFS(Base!$Y:$Y, A3, Base!$O:$O, "Concluído"), 0) +
      IFERROR(COUNTIFS(Base!$Z:$Z, A3, Base!$O:$O, "Finalizado"), 0) +
      IFERROR(COUNTIFS(Base!$Z:$Z, A3, Base!$O:$O, "Concluído"), 0)
    ) = 0,
    "-",
    (
      IFERROR(COUNTIFS(Base!$W:$W, A3, Base!$U:$U, TRUE), 0) +
      IFERROR(COUNTIFS(Base!$X:$X, A3, Base!$U:$U, TRUE), 0) +
      IFERROR(COUNTIFS(Base!$Y:$Y, A3, Base!$U:$U, TRUE), 0) +
      IFERROR(COUNTIFS(Base!$Z:$Z, A3, Base!$U:$U, TRUE), 0)
    ) /
    (
      IFERROR(COUNTIFS(Base!$W:$W, A3, Base!$O:$O, "Finalizado"), 0) +
      IFERROR(COUNTIFS(Base!$W:$W, A3, Base!$O:$O, "Concluído"), 0) +
      IFERROR(COUNTIFS(Base!$X:$X, A3, Base!$O:$O, "Finalizado"), 0) +
      IFERROR(COUNTIFS(Base!$X:$X, A3, Base!$O:$O, "Concluído"), 0) +
      IFERROR(COUNTIFS(Base!$Y:$Y, A3, Base!$O:$O, "Finalizado"), 0) +
      IFERROR(COUNTIFS(Base!$Y:$Y, A3, Base!$O:$O, "Concluído"), 0) +
      IFERROR(COUNTIFS(Base!$Z:$Z, A3, Base!$O:$O, "Finalizado"), 0) +
      IFERROR(COUNTIFS(Base!$Z:$Z, A3, Base!$O:$O, "Concluído"), 0)
    )
  )
)
</f>
        <v>-</v>
      </c>
      <c r="N3" s="120">
        <f>COUNTIF(Base!V:V,$A3)</f>
        <v>0</v>
      </c>
      <c r="O3" s="120">
        <f>COUNTIF(Base!W:W,$A3)</f>
        <v>0</v>
      </c>
      <c r="P3" s="120">
        <f>COUNTIF(Base!X:X,$A3)</f>
        <v>0</v>
      </c>
      <c r="Q3" s="120">
        <f>COUNTIF(Base!Y:Y,$A3)</f>
        <v>0</v>
      </c>
      <c r="R3" s="120">
        <f>COUNTIF(Base!Z:Z,$A3)</f>
        <v>1</v>
      </c>
      <c r="S3" s="120">
        <f t="shared" si="3"/>
        <v>1</v>
      </c>
      <c r="T3" s="120">
        <f t="shared" si="4"/>
        <v>1</v>
      </c>
      <c r="V3" s="293" t="str">
        <f>IF(
  (
    COUNTIF('Acompanhamento quinzenal'!$N:$N, A3) +
    COUNTIF('Acompanhamento quinzenal'!$T:$T, A3) +
    COUNTIF('Acompanhamento quinzenal'!$Z:$Z, A3) +
    COUNTIF('Acompanhamento quinzenal'!$AF:$AF, A3)
  ) = 0,
  "-",
  (
    IFERROR(SUMIFS('Acompanhamento quinzenal'!$S:$S, 'Acompanhamento quinzenal'!$N:$N, A3), 0) +
    IFERROR(SUMIFS('Acompanhamento quinzenal'!$Y:$Y, 'Acompanhamento quinzenal'!$T:$T, A3), 0) +
    IFERROR(SUMIFS('Acompanhamento quinzenal'!$AE:$AE, 'Acompanhamento quinzenal'!$Z:$Z, A3), 0) +
    IFERROR(SUMIFS('Acompanhamento quinzenal'!$AK:$AK, 'Acompanhamento quinzenal'!$AF:$AF, A3), 0)
  ) /
  (
    COUNTIF('Acompanhamento quinzenal'!$N:$N, A3) +
    COUNTIF('Acompanhamento quinzenal'!$T:$T, A3) +
    COUNTIF('Acompanhamento quinzenal'!$Z:$Z, A3) +
    COUNTIF('Acompanhamento quinzenal'!$AF:$AF, A3)
  )
)
</f>
        <v>-</v>
      </c>
      <c r="W3" s="293" t="str">
        <f>IF(
  (
    COUNTIF('Acompanhamento quinzenal'!$N:$N, A3) +
    COUNTIF('Acompanhamento quinzenal'!$T:$T, A3) +
    COUNTIF('Acompanhamento quinzenal'!$Z:$Z, A3) +
    COUNTIF('Acompanhamento quinzenal'!$AF:$AF, A3)
  ) = 0,
  "-",
  (
    IFERROR(SUMIFS('Acompanhamento quinzenal'!$O:$O, 'Acompanhamento quinzenal'!$N:$N, A3), 0) +
    IFERROR(SUMIFS('Acompanhamento quinzenal'!$U:$U, 'Acompanhamento quinzenal'!$T:$T, A3), 0) +
    IFERROR(SUMIFS('Acompanhamento quinzenal'!$AA:$AA, 'Acompanhamento quinzenal'!$Z:$Z, A3), 0) +
    IFERROR(SUMIFS('Acompanhamento quinzenal'!$AG:$AG, 'Acompanhamento quinzenal'!$AF:$AF, A3), 0)
  ) /
  (
    COUNTIF('Acompanhamento quinzenal'!$N:$N, A3) +
    COUNTIF('Acompanhamento quinzenal'!$T:$T, A3) +
    COUNTIF('Acompanhamento quinzenal'!$Z:$Z, A3) +
    COUNTIF('Acompanhamento quinzenal'!$AF:$AF, A3)
  )
)
</f>
        <v>-</v>
      </c>
      <c r="X3" s="294" t="str">
        <f>IF(
  (
    COUNTIF('Acompanhamento quinzenal'!$N:$N, A3) +
    COUNTIF('Acompanhamento quinzenal'!$T:$T, A3) +
    COUNTIF('Acompanhamento quinzenal'!$Z:$Z, A3) +
    COUNTIF('Acompanhamento quinzenal'!$AF:$AF, A3)
  ) = 0,
  "-",
  (
    IFERROR(SUMIFS('Acompanhamento quinzenal'!$P:$P, 'Acompanhamento quinzenal'!$N:$N, A3), 0) +
    IFERROR(SUMIFS('Acompanhamento quinzenal'!$V:$V, 'Acompanhamento quinzenal'!$T:$T, A3), 0) +
    IFERROR(SUMIFS('Acompanhamento quinzenal'!$AB:$AB, 'Acompanhamento quinzenal'!$Z:$Z, A3), 0) +
    IFERROR(SUMIFS('Acompanhamento quinzenal'!$AH:$AH, 'Acompanhamento quinzenal'!$AF:$AF, A3), 0)
  ) /
  (
    COUNTIF('Acompanhamento quinzenal'!$N:$N, A3) +
    COUNTIF('Acompanhamento quinzenal'!$T:$T, A3) +
    COUNTIF('Acompanhamento quinzenal'!$Z:$Z, A3) +
    COUNTIF('Acompanhamento quinzenal'!$AF:$AF, A3)
  )
)
</f>
        <v>-</v>
      </c>
      <c r="Y3" s="293" t="str">
        <f>IF(
  (
    COUNTIF('Acompanhamento quinzenal'!$N:$N, A3) +
    COUNTIF('Acompanhamento quinzenal'!$T:$T, A3) +
    COUNTIF('Acompanhamento quinzenal'!$Z:$Z, A3) +
    COUNTIF('Acompanhamento quinzenal'!$AF:$AF, A3)
  ) = 0,
  "-",
  (
    IFERROR(SUMIFS('Acompanhamento quinzenal'!$Q:$Q, 'Acompanhamento quinzenal'!$N:$N, A3), 0) +
    IFERROR(SUMIFS('Acompanhamento quinzenal'!$W:$W, 'Acompanhamento quinzenal'!$T:$T, A3), 0) +
    IFERROR(SUMIFS('Acompanhamento quinzenal'!$AC:$AC, 'Acompanhamento quinzenal'!$Z:$Z, A3), 0) +
    IFERROR(SUMIFS('Acompanhamento quinzenal'!$AI:$AI, 'Acompanhamento quinzenal'!$AF:$AF, A3), 0)
  ) /
  (
    COUNTIF('Acompanhamento quinzenal'!$N:$N, A3) +
    COUNTIF('Acompanhamento quinzenal'!$T:$T, A3) +
    COUNTIF('Acompanhamento quinzenal'!$Z:$Z, A3) +
    COUNTIF('Acompanhamento quinzenal'!$AF:$AF, A3)
  )
)
</f>
        <v>-</v>
      </c>
    </row>
    <row r="4">
      <c r="A4" s="291" t="str">
        <f>IFERROR(__xludf.DUMMYFUNCTION("""COMPUTED_VALUE"""),"alexandre.barsam")</f>
        <v>alexandre.barsam</v>
      </c>
      <c r="B4" s="120" t="str">
        <f>IFERROR(__xludf.DUMMYFUNCTION("""COMPUTED_VALUE"""),"Coordenador")</f>
        <v>Coordenador</v>
      </c>
      <c r="C4" s="120" t="str">
        <f>IFERROR(__xludf.DUMMYFUNCTION("""COMPUTED_VALUE"""),"NDados")</f>
        <v>NDados</v>
      </c>
      <c r="D4" s="292" t="str">
        <f>IFERROR((COUNTIFS(Base!$V:$V,A4,Base!$S:$S,"&gt;8") - COUNTIFS(Base!$V:$V,A4,Base!$S:$S,"&lt;7"))/COUNTIFS(Base!$V:$V,A4,Base!$S:$S,"&lt;&gt;"),"-")</f>
        <v>-</v>
      </c>
      <c r="E4" s="292">
        <f>IF(
  (
    COUNTIFS(Base!$W:$W, A4, Base!$S:$S, "&lt;&gt;") +
    COUNTIFS(Base!$X:$X, A4, Base!$S:$S, "&lt;&gt;") +
    COUNTIFS(Base!$Y:$Y, A4, Base!$S:$S, "&lt;&gt;") +
    COUNTIFS(Base!$Z:$Z, A4, Base!$S:$S, "&lt;&gt;")
  ) = 0,
  "-",
  (
    COUNTIFS(Base!$W:$W, A4, Base!$S:$S, "&gt;8") - COUNTIFS(Base!$W:$W, A4, Base!$S:$S, "&lt;7") +
    COUNTIFS(Base!$X:$X, A4, Base!$S:$S, "&gt;8") - COUNTIFS(Base!$X:$X, A4, Base!$S:$S, "&lt;7") +
    COUNTIFS(Base!$Y:$Y, A4, Base!$S:$S, "&gt;8") - COUNTIFS(Base!$Y:$Y, A4, Base!$S:$S, "&lt;7") +
    COUNTIFS(Base!$Z:$Z, A4, Base!$S:$S, "&gt;8") - COUNTIFS(Base!$Z:$Z, A4, Base!$S:$S, "&lt;7")
  ) /
  (
    COUNTIFS(Base!$W:$W, A4, Base!$S:$S, "&lt;&gt;") +
    COUNTIFS(Base!$X:$X, A4, Base!$S:$S, "&lt;&gt;") +
    COUNTIFS(Base!$Y:$Y, A4, Base!$S:$S, "&lt;&gt;") +
    COUNTIFS(Base!$Z:$Z, A4, Base!$S:$S, "&lt;&gt;")
  )
)
</f>
        <v>0.5</v>
      </c>
      <c r="F4" s="290">
        <f>SUMIFS(Base!$N:$N,Base!$V:$V,A4,Base!$N:$N,"&lt;&gt;")-SUMIFS(Base!$K:$K,Base!$V:$V,A4,Base!$N:$N,"&lt;&gt;")-(SUMIFS(Base!$L:$L,Base!$V:$V,A4,Base!$N:$N,"&lt;&gt;")*7)</f>
        <v>0</v>
      </c>
      <c r="G4" s="290"/>
      <c r="H4" s="290">
        <f>SUMIFS(Base!$F:$F,Base!$V:$V,A4,Base!$N:$N,"&lt;&gt;")*7</f>
        <v>0</v>
      </c>
      <c r="I4" s="290"/>
      <c r="J4" s="292" t="str">
        <f t="shared" ref="J4:K4" si="5">IFERROR(F4/H4,"-")</f>
        <v>-</v>
      </c>
      <c r="K4" s="292" t="str">
        <f t="shared" si="5"/>
        <v>-</v>
      </c>
      <c r="L4" s="292" t="str">
        <f>IFERROR((COUNTIFS(Base!$V:$V,A4,Base!$U:$U,TRUE))/(COUNTIFS(Base!$V:$V,A4,Base!$O:$O,"Finalizado")+COUNTIFS(Base!$V:$V,A4,Base!$O:$O,"Concluído")),"-")</f>
        <v>-</v>
      </c>
      <c r="M4" s="292">
        <f>IF(
  (
    IFERROR(COUNTIF(Base!$W:$W, A4), 0) +
    IFERROR(COUNTIF(Base!$X:$X, A4), 0) +
    IFERROR(COUNTIF(Base!$Y:$Y, A4), 0) +
    IFERROR(COUNTIF(Base!$Z:$Z, A4), 0)
  ) = 0,
  "-",
  IF(
    (
      IFERROR(COUNTIFS(Base!$W:$W, A4, Base!$O:$O, "Finalizado"), 0) +
      IFERROR(COUNTIFS(Base!$W:$W, A4, Base!$O:$O, "Concluído"), 0) +
      IFERROR(COUNTIFS(Base!$X:$X, A4, Base!$O:$O, "Finalizado"), 0) +
      IFERROR(COUNTIFS(Base!$X:$X, A4, Base!$O:$O, "Concluído"), 0) +
      IFERROR(COUNTIFS(Base!$Y:$Y, A4, Base!$O:$O, "Finalizado"), 0) +
      IFERROR(COUNTIFS(Base!$Y:$Y, A4, Base!$O:$O, "Concluído"), 0) +
      IFERROR(COUNTIFS(Base!$Z:$Z, A4, Base!$O:$O, "Finalizado"), 0) +
      IFERROR(COUNTIFS(Base!$Z:$Z, A4, Base!$O:$O, "Concluído"), 0)
    ) = 0,
    "-",
    (
      IFERROR(COUNTIFS(Base!$W:$W, A4, Base!$U:$U, TRUE), 0) +
      IFERROR(COUNTIFS(Base!$X:$X, A4, Base!$U:$U, TRUE), 0) +
      IFERROR(COUNTIFS(Base!$Y:$Y, A4, Base!$U:$U, TRUE), 0) +
      IFERROR(COUNTIFS(Base!$Z:$Z, A4, Base!$U:$U, TRUE), 0)
    ) /
    (
      IFERROR(COUNTIFS(Base!$W:$W, A4, Base!$O:$O, "Finalizado"), 0) +
      IFERROR(COUNTIFS(Base!$W:$W, A4, Base!$O:$O, "Concluído"), 0) +
      IFERROR(COUNTIFS(Base!$X:$X, A4, Base!$O:$O, "Finalizado"), 0) +
      IFERROR(COUNTIFS(Base!$X:$X, A4, Base!$O:$O, "Concluído"), 0) +
      IFERROR(COUNTIFS(Base!$Y:$Y, A4, Base!$O:$O, "Finalizado"), 0) +
      IFERROR(COUNTIFS(Base!$Y:$Y, A4, Base!$O:$O, "Concluído"), 0) +
      IFERROR(COUNTIFS(Base!$Z:$Z, A4, Base!$O:$O, "Finalizado"), 0) +
      IFERROR(COUNTIFS(Base!$Z:$Z, A4, Base!$O:$O, "Concluído"), 0)
    )
  )
)
</f>
        <v>0.5</v>
      </c>
      <c r="N4" s="120">
        <f>COUNTIF(Base!V:V,$A4)</f>
        <v>1</v>
      </c>
      <c r="O4" s="120">
        <f>COUNTIF(Base!W:W,$A4)</f>
        <v>1</v>
      </c>
      <c r="P4" s="120">
        <f>COUNTIF(Base!X:X,$A4)</f>
        <v>1</v>
      </c>
      <c r="Q4" s="120">
        <f>COUNTIF(Base!Y:Y,$A4)</f>
        <v>0</v>
      </c>
      <c r="R4" s="120">
        <f>COUNTIF(Base!Z:Z,$A4)</f>
        <v>0</v>
      </c>
      <c r="S4" s="120">
        <f t="shared" si="3"/>
        <v>3</v>
      </c>
      <c r="T4" s="120">
        <f t="shared" si="4"/>
        <v>2</v>
      </c>
      <c r="V4" s="293" t="str">
        <f>IF(
  (
    COUNTIF('Acompanhamento quinzenal'!$N:$N, A4) +
    COUNTIF('Acompanhamento quinzenal'!$T:$T, A4) +
    COUNTIF('Acompanhamento quinzenal'!$Z:$Z, A4) +
    COUNTIF('Acompanhamento quinzenal'!$AF:$AF, A4)
  ) = 0,
  "-",
  (
    IFERROR(SUMIFS('Acompanhamento quinzenal'!$S:$S, 'Acompanhamento quinzenal'!$N:$N, A4), 0) +
    IFERROR(SUMIFS('Acompanhamento quinzenal'!$Y:$Y, 'Acompanhamento quinzenal'!$T:$T, A4), 0) +
    IFERROR(SUMIFS('Acompanhamento quinzenal'!$AE:$AE, 'Acompanhamento quinzenal'!$Z:$Z, A4), 0) +
    IFERROR(SUMIFS('Acompanhamento quinzenal'!$AK:$AK, 'Acompanhamento quinzenal'!$AF:$AF, A4), 0)
  ) /
  (
    COUNTIF('Acompanhamento quinzenal'!$N:$N, A4) +
    COUNTIF('Acompanhamento quinzenal'!$T:$T, A4) +
    COUNTIF('Acompanhamento quinzenal'!$Z:$Z, A4) +
    COUNTIF('Acompanhamento quinzenal'!$AF:$AF, A4)
  )
)
</f>
        <v>-</v>
      </c>
      <c r="W4" s="293" t="str">
        <f>IF(
  (
    COUNTIF('Acompanhamento quinzenal'!$N:$N, A4) +
    COUNTIF('Acompanhamento quinzenal'!$T:$T, A4) +
    COUNTIF('Acompanhamento quinzenal'!$Z:$Z, A4) +
    COUNTIF('Acompanhamento quinzenal'!$AF:$AF, A4)
  ) = 0,
  "-",
  (
    IFERROR(SUMIFS('Acompanhamento quinzenal'!$O:$O, 'Acompanhamento quinzenal'!$N:$N, A4), 0) +
    IFERROR(SUMIFS('Acompanhamento quinzenal'!$U:$U, 'Acompanhamento quinzenal'!$T:$T, A4), 0) +
    IFERROR(SUMIFS('Acompanhamento quinzenal'!$AA:$AA, 'Acompanhamento quinzenal'!$Z:$Z, A4), 0) +
    IFERROR(SUMIFS('Acompanhamento quinzenal'!$AG:$AG, 'Acompanhamento quinzenal'!$AF:$AF, A4), 0)
  ) /
  (
    COUNTIF('Acompanhamento quinzenal'!$N:$N, A4) +
    COUNTIF('Acompanhamento quinzenal'!$T:$T, A4) +
    COUNTIF('Acompanhamento quinzenal'!$Z:$Z, A4) +
    COUNTIF('Acompanhamento quinzenal'!$AF:$AF, A4)
  )
)
</f>
        <v>-</v>
      </c>
      <c r="X4" s="294" t="str">
        <f>IF(
  (
    COUNTIF('Acompanhamento quinzenal'!$N:$N, A4) +
    COUNTIF('Acompanhamento quinzenal'!$T:$T, A4) +
    COUNTIF('Acompanhamento quinzenal'!$Z:$Z, A4) +
    COUNTIF('Acompanhamento quinzenal'!$AF:$AF, A4)
  ) = 0,
  "-",
  (
    IFERROR(SUMIFS('Acompanhamento quinzenal'!$P:$P, 'Acompanhamento quinzenal'!$N:$N, A4), 0) +
    IFERROR(SUMIFS('Acompanhamento quinzenal'!$V:$V, 'Acompanhamento quinzenal'!$T:$T, A4), 0) +
    IFERROR(SUMIFS('Acompanhamento quinzenal'!$AB:$AB, 'Acompanhamento quinzenal'!$Z:$Z, A4), 0) +
    IFERROR(SUMIFS('Acompanhamento quinzenal'!$AH:$AH, 'Acompanhamento quinzenal'!$AF:$AF, A4), 0)
  ) /
  (
    COUNTIF('Acompanhamento quinzenal'!$N:$N, A4) +
    COUNTIF('Acompanhamento quinzenal'!$T:$T, A4) +
    COUNTIF('Acompanhamento quinzenal'!$Z:$Z, A4) +
    COUNTIF('Acompanhamento quinzenal'!$AF:$AF, A4)
  )
)
</f>
        <v>-</v>
      </c>
      <c r="Y4" s="293" t="str">
        <f>IF(
  (
    COUNTIF('Acompanhamento quinzenal'!$N:$N, A4) +
    COUNTIF('Acompanhamento quinzenal'!$T:$T, A4) +
    COUNTIF('Acompanhamento quinzenal'!$Z:$Z, A4) +
    COUNTIF('Acompanhamento quinzenal'!$AF:$AF, A4)
  ) = 0,
  "-",
  (
    IFERROR(SUMIFS('Acompanhamento quinzenal'!$Q:$Q, 'Acompanhamento quinzenal'!$N:$N, A4), 0) +
    IFERROR(SUMIFS('Acompanhamento quinzenal'!$W:$W, 'Acompanhamento quinzenal'!$T:$T, A4), 0) +
    IFERROR(SUMIFS('Acompanhamento quinzenal'!$AC:$AC, 'Acompanhamento quinzenal'!$Z:$Z, A4), 0) +
    IFERROR(SUMIFS('Acompanhamento quinzenal'!$AI:$AI, 'Acompanhamento quinzenal'!$AF:$AF, A4), 0)
  ) /
  (
    COUNTIF('Acompanhamento quinzenal'!$N:$N, A4) +
    COUNTIF('Acompanhamento quinzenal'!$T:$T, A4) +
    COUNTIF('Acompanhamento quinzenal'!$Z:$Z, A4) +
    COUNTIF('Acompanhamento quinzenal'!$AF:$AF, A4)
  )
)
</f>
        <v>-</v>
      </c>
    </row>
    <row r="5" hidden="1">
      <c r="A5" s="291" t="str">
        <f>IFERROR(__xludf.DUMMYFUNCTION("""COMPUTED_VALUE"""),"allan.doval")</f>
        <v>allan.doval</v>
      </c>
      <c r="B5" s="120" t="str">
        <f>IFERROR(__xludf.DUMMYFUNCTION("""COMPUTED_VALUE"""),"Trainee")</f>
        <v>Trainee</v>
      </c>
      <c r="C5" s="120" t="str">
        <f>IFERROR(__xludf.DUMMYFUNCTION("""COMPUTED_VALUE"""),"NI")</f>
        <v>NI</v>
      </c>
      <c r="D5" s="292" t="str">
        <f>IFERROR((COUNTIFS(Base!$V:$V,A5,Base!$S:$S,"&gt;8") - COUNTIFS(Base!$V:$V,A5,Base!$S:$S,"&lt;7"))/COUNTIFS(Base!$V:$V,A5,Base!$S:$S,"&lt;&gt;"),"-")</f>
        <v>-</v>
      </c>
      <c r="E5" s="292" t="str">
        <f>IF(
  (
    COUNTIFS(Base!$W:$W, A5, Base!$S:$S, "&lt;&gt;") +
    COUNTIFS(Base!$X:$X, A5, Base!$S:$S, "&lt;&gt;") +
    COUNTIFS(Base!$Y:$Y, A5, Base!$S:$S, "&lt;&gt;") +
    COUNTIFS(Base!$Z:$Z, A5, Base!$S:$S, "&lt;&gt;")
  ) = 0,
  "-",
  (
    COUNTIFS(Base!$W:$W, A5, Base!$S:$S, "&gt;8") - COUNTIFS(Base!$W:$W, A5, Base!$S:$S, "&lt;7") +
    COUNTIFS(Base!$X:$X, A5, Base!$S:$S, "&gt;8") - COUNTIFS(Base!$X:$X, A5, Base!$S:$S, "&lt;7") +
    COUNTIFS(Base!$Y:$Y, A5, Base!$S:$S, "&gt;8") - COUNTIFS(Base!$Y:$Y, A5, Base!$S:$S, "&lt;7") +
    COUNTIFS(Base!$Z:$Z, A5, Base!$S:$S, "&gt;8") - COUNTIFS(Base!$Z:$Z, A5, Base!$S:$S, "&lt;7")
  ) /
  (
    COUNTIFS(Base!$W:$W, A5, Base!$S:$S, "&lt;&gt;") +
    COUNTIFS(Base!$X:$X, A5, Base!$S:$S, "&lt;&gt;") +
    COUNTIFS(Base!$Y:$Y, A5, Base!$S:$S, "&lt;&gt;") +
    COUNTIFS(Base!$Z:$Z, A5, Base!$S:$S, "&lt;&gt;")
  )
)
</f>
        <v>-</v>
      </c>
      <c r="F5" s="290">
        <f>SUMIFS(Base!$N:$N,Base!$V:$V,A5,Base!$N:$N,"&lt;&gt;")-SUMIFS(Base!$K:$K,Base!$V:$V,A5,Base!$N:$N,"&lt;&gt;")-(SUMIFS(Base!$L:$L,Base!$V:$V,A5,Base!$N:$N,"&lt;&gt;")*7)</f>
        <v>0</v>
      </c>
      <c r="G5" s="290"/>
      <c r="H5" s="290">
        <f>SUMIFS(Base!$F:$F,Base!$V:$V,A5,Base!$N:$N,"&lt;&gt;")*7</f>
        <v>0</v>
      </c>
      <c r="I5" s="290"/>
      <c r="J5" s="292" t="str">
        <f t="shared" ref="J5:K5" si="6">IFERROR(F5/H5,"-")</f>
        <v>-</v>
      </c>
      <c r="K5" s="292" t="str">
        <f t="shared" si="6"/>
        <v>-</v>
      </c>
      <c r="L5" s="292" t="str">
        <f>IFERROR((COUNTIFS(Base!$V:$V,A5,Base!$U:$U,TRUE))/(COUNTIFS(Base!$V:$V,A5,Base!$O:$O,"Finalizado")+COUNTIFS(Base!$V:$V,A5,Base!$O:$O,"Concluído")),"-")</f>
        <v>-</v>
      </c>
      <c r="M5" s="292" t="str">
        <f>IF(
  (
    IFERROR(COUNTIF(Base!$W:$W, A5), 0) +
    IFERROR(COUNTIF(Base!$X:$X, A5), 0) +
    IFERROR(COUNTIF(Base!$Y:$Y, A5), 0) +
    IFERROR(COUNTIF(Base!$Z:$Z, A5), 0)
  ) = 0,
  "-",
  IF(
    (
      IFERROR(COUNTIFS(Base!$W:$W, A5, Base!$O:$O, "Finalizado"), 0) +
      IFERROR(COUNTIFS(Base!$W:$W, A5, Base!$O:$O, "Concluído"), 0) +
      IFERROR(COUNTIFS(Base!$X:$X, A5, Base!$O:$O, "Finalizado"), 0) +
      IFERROR(COUNTIFS(Base!$X:$X, A5, Base!$O:$O, "Concluído"), 0) +
      IFERROR(COUNTIFS(Base!$Y:$Y, A5, Base!$O:$O, "Finalizado"), 0) +
      IFERROR(COUNTIFS(Base!$Y:$Y, A5, Base!$O:$O, "Concluído"), 0) +
      IFERROR(COUNTIFS(Base!$Z:$Z, A5, Base!$O:$O, "Finalizado"), 0) +
      IFERROR(COUNTIFS(Base!$Z:$Z, A5, Base!$O:$O, "Concluído"), 0)
    ) = 0,
    "-",
    (
      IFERROR(COUNTIFS(Base!$W:$W, A5, Base!$U:$U, TRUE), 0) +
      IFERROR(COUNTIFS(Base!$X:$X, A5, Base!$U:$U, TRUE), 0) +
      IFERROR(COUNTIFS(Base!$Y:$Y, A5, Base!$U:$U, TRUE), 0) +
      IFERROR(COUNTIFS(Base!$Z:$Z, A5, Base!$U:$U, TRUE), 0)
    ) /
    (
      IFERROR(COUNTIFS(Base!$W:$W, A5, Base!$O:$O, "Finalizado"), 0) +
      IFERROR(COUNTIFS(Base!$W:$W, A5, Base!$O:$O, "Concluído"), 0) +
      IFERROR(COUNTIFS(Base!$X:$X, A5, Base!$O:$O, "Finalizado"), 0) +
      IFERROR(COUNTIFS(Base!$X:$X, A5, Base!$O:$O, "Concluído"), 0) +
      IFERROR(COUNTIFS(Base!$Y:$Y, A5, Base!$O:$O, "Finalizado"), 0) +
      IFERROR(COUNTIFS(Base!$Y:$Y, A5, Base!$O:$O, "Concluído"), 0) +
      IFERROR(COUNTIFS(Base!$Z:$Z, A5, Base!$O:$O, "Finalizado"), 0) +
      IFERROR(COUNTIFS(Base!$Z:$Z, A5, Base!$O:$O, "Concluído"), 0)
    )
  )
)
</f>
        <v>-</v>
      </c>
      <c r="N5" s="120">
        <f>COUNTIF(Base!V:V,$A5)</f>
        <v>0</v>
      </c>
      <c r="O5" s="120">
        <f>COUNTIF(Base!W:W,$A5)</f>
        <v>0</v>
      </c>
      <c r="P5" s="120">
        <f>COUNTIF(Base!X:X,$A5)</f>
        <v>0</v>
      </c>
      <c r="Q5" s="120">
        <f>COUNTIF(Base!Y:Y,$A5)</f>
        <v>0</v>
      </c>
      <c r="R5" s="120">
        <f>COUNTIF(Base!Z:Z,$A5)</f>
        <v>0</v>
      </c>
      <c r="S5" s="120">
        <f t="shared" si="3"/>
        <v>0</v>
      </c>
      <c r="T5" s="120">
        <f t="shared" si="4"/>
        <v>0</v>
      </c>
      <c r="V5" s="293" t="str">
        <f>IF(
  (
    COUNTIF('Acompanhamento quinzenal'!$N:$N, A5) +
    COUNTIF('Acompanhamento quinzenal'!$T:$T, A5) +
    COUNTIF('Acompanhamento quinzenal'!$Z:$Z, A5) +
    COUNTIF('Acompanhamento quinzenal'!$AF:$AF, A5)
  ) = 0,
  "-",
  (
    IFERROR(SUMIFS('Acompanhamento quinzenal'!$S:$S, 'Acompanhamento quinzenal'!$N:$N, A5), 0) +
    IFERROR(SUMIFS('Acompanhamento quinzenal'!$Y:$Y, 'Acompanhamento quinzenal'!$T:$T, A5), 0) +
    IFERROR(SUMIFS('Acompanhamento quinzenal'!$AE:$AE, 'Acompanhamento quinzenal'!$Z:$Z, A5), 0) +
    IFERROR(SUMIFS('Acompanhamento quinzenal'!$AK:$AK, 'Acompanhamento quinzenal'!$AF:$AF, A5), 0)
  ) /
  (
    COUNTIF('Acompanhamento quinzenal'!$N:$N, A5) +
    COUNTIF('Acompanhamento quinzenal'!$T:$T, A5) +
    COUNTIF('Acompanhamento quinzenal'!$Z:$Z, A5) +
    COUNTIF('Acompanhamento quinzenal'!$AF:$AF, A5)
  )
)
</f>
        <v>-</v>
      </c>
      <c r="W5" s="293" t="str">
        <f>IF(
  (
    COUNTIF('Acompanhamento quinzenal'!$N:$N, A5) +
    COUNTIF('Acompanhamento quinzenal'!$T:$T, A5) +
    COUNTIF('Acompanhamento quinzenal'!$Z:$Z, A5) +
    COUNTIF('Acompanhamento quinzenal'!$AF:$AF, A5)
  ) = 0,
  "-",
  (
    IFERROR(SUMIFS('Acompanhamento quinzenal'!$O:$O, 'Acompanhamento quinzenal'!$N:$N, A5), 0) +
    IFERROR(SUMIFS('Acompanhamento quinzenal'!$U:$U, 'Acompanhamento quinzenal'!$T:$T, A5), 0) +
    IFERROR(SUMIFS('Acompanhamento quinzenal'!$AA:$AA, 'Acompanhamento quinzenal'!$Z:$Z, A5), 0) +
    IFERROR(SUMIFS('Acompanhamento quinzenal'!$AG:$AG, 'Acompanhamento quinzenal'!$AF:$AF, A5), 0)
  ) /
  (
    COUNTIF('Acompanhamento quinzenal'!$N:$N, A5) +
    COUNTIF('Acompanhamento quinzenal'!$T:$T, A5) +
    COUNTIF('Acompanhamento quinzenal'!$Z:$Z, A5) +
    COUNTIF('Acompanhamento quinzenal'!$AF:$AF, A5)
  )
)
</f>
        <v>-</v>
      </c>
      <c r="X5" s="294" t="str">
        <f>IF(
  (
    COUNTIF('Acompanhamento quinzenal'!$N:$N, A5) +
    COUNTIF('Acompanhamento quinzenal'!$T:$T, A5) +
    COUNTIF('Acompanhamento quinzenal'!$Z:$Z, A5) +
    COUNTIF('Acompanhamento quinzenal'!$AF:$AF, A5)
  ) = 0,
  "-",
  (
    IFERROR(SUMIFS('Acompanhamento quinzenal'!$P:$P, 'Acompanhamento quinzenal'!$N:$N, A5), 0) +
    IFERROR(SUMIFS('Acompanhamento quinzenal'!$V:$V, 'Acompanhamento quinzenal'!$T:$T, A5), 0) +
    IFERROR(SUMIFS('Acompanhamento quinzenal'!$AB:$AB, 'Acompanhamento quinzenal'!$Z:$Z, A5), 0) +
    IFERROR(SUMIFS('Acompanhamento quinzenal'!$AH:$AH, 'Acompanhamento quinzenal'!$AF:$AF, A5), 0)
  ) /
  (
    COUNTIF('Acompanhamento quinzenal'!$N:$N, A5) +
    COUNTIF('Acompanhamento quinzenal'!$T:$T, A5) +
    COUNTIF('Acompanhamento quinzenal'!$Z:$Z, A5) +
    COUNTIF('Acompanhamento quinzenal'!$AF:$AF, A5)
  )
)
</f>
        <v>-</v>
      </c>
      <c r="Y5" s="293" t="str">
        <f>IF(
  (
    COUNTIF('Acompanhamento quinzenal'!$N:$N, A5) +
    COUNTIF('Acompanhamento quinzenal'!$T:$T, A5) +
    COUNTIF('Acompanhamento quinzenal'!$Z:$Z, A5) +
    COUNTIF('Acompanhamento quinzenal'!$AF:$AF, A5)
  ) = 0,
  "-",
  (
    IFERROR(SUMIFS('Acompanhamento quinzenal'!$Q:$Q, 'Acompanhamento quinzenal'!$N:$N, A5), 0) +
    IFERROR(SUMIFS('Acompanhamento quinzenal'!$W:$W, 'Acompanhamento quinzenal'!$T:$T, A5), 0) +
    IFERROR(SUMIFS('Acompanhamento quinzenal'!$AC:$AC, 'Acompanhamento quinzenal'!$Z:$Z, A5), 0) +
    IFERROR(SUMIFS('Acompanhamento quinzenal'!$AI:$AI, 'Acompanhamento quinzenal'!$AF:$AF, A5), 0)
  ) /
  (
    COUNTIF('Acompanhamento quinzenal'!$N:$N, A5) +
    COUNTIF('Acompanhamento quinzenal'!$T:$T, A5) +
    COUNTIF('Acompanhamento quinzenal'!$Z:$Z, A5) +
    COUNTIF('Acompanhamento quinzenal'!$AF:$AF, A5)
  )
)
</f>
        <v>-</v>
      </c>
    </row>
    <row r="6" hidden="1">
      <c r="A6" s="291" t="str">
        <f>IFERROR(__xludf.DUMMYFUNCTION("""COMPUTED_VALUE"""),"amanda.puglia")</f>
        <v>amanda.puglia</v>
      </c>
      <c r="B6" s="120" t="str">
        <f>IFERROR(__xludf.DUMMYFUNCTION("""COMPUTED_VALUE"""),"Gerente")</f>
        <v>Gerente</v>
      </c>
      <c r="C6" s="120" t="str">
        <f>IFERROR(__xludf.DUMMYFUNCTION("""COMPUTED_VALUE"""),"NCiv")</f>
        <v>NCiv</v>
      </c>
      <c r="D6" s="292">
        <f>IFERROR((COUNTIFS(Base!$V:$V,A6,Base!$S:$S,"&gt;8") - COUNTIFS(Base!$V:$V,A6,Base!$S:$S,"&lt;7"))/COUNTIFS(Base!$V:$V,A6,Base!$S:$S,"&lt;&gt;"),"-")</f>
        <v>0.3333333333</v>
      </c>
      <c r="E6" s="292" t="str">
        <f>IF(
  (
    COUNTIFS(Base!$W:$W, A6, Base!$S:$S, "&lt;&gt;") +
    COUNTIFS(Base!$X:$X, A6, Base!$S:$S, "&lt;&gt;") +
    COUNTIFS(Base!$Y:$Y, A6, Base!$S:$S, "&lt;&gt;") +
    COUNTIFS(Base!$Z:$Z, A6, Base!$S:$S, "&lt;&gt;")
  ) = 0,
  "-",
  (
    COUNTIFS(Base!$W:$W, A6, Base!$S:$S, "&gt;8") - COUNTIFS(Base!$W:$W, A6, Base!$S:$S, "&lt;7") +
    COUNTIFS(Base!$X:$X, A6, Base!$S:$S, "&gt;8") - COUNTIFS(Base!$X:$X, A6, Base!$S:$S, "&lt;7") +
    COUNTIFS(Base!$Y:$Y, A6, Base!$S:$S, "&gt;8") - COUNTIFS(Base!$Y:$Y, A6, Base!$S:$S, "&lt;7") +
    COUNTIFS(Base!$Z:$Z, A6, Base!$S:$S, "&gt;8") - COUNTIFS(Base!$Z:$Z, A6, Base!$S:$S, "&lt;7")
  ) /
  (
    COUNTIFS(Base!$W:$W, A6, Base!$S:$S, "&lt;&gt;") +
    COUNTIFS(Base!$X:$X, A6, Base!$S:$S, "&lt;&gt;") +
    COUNTIFS(Base!$Y:$Y, A6, Base!$S:$S, "&lt;&gt;") +
    COUNTIFS(Base!$Z:$Z, A6, Base!$S:$S, "&lt;&gt;")
  )
)
</f>
        <v>-</v>
      </c>
      <c r="F6" s="290">
        <f>SUMIFS(Base!$N:$N,Base!$V:$V,A6,Base!$N:$N,"&lt;&gt;")-SUMIFS(Base!$K:$K,Base!$V:$V,A6,Base!$N:$N,"&lt;&gt;")-(SUMIFS(Base!$L:$L,Base!$V:$V,A6,Base!$N:$N,"&lt;&gt;")*7)</f>
        <v>322</v>
      </c>
      <c r="G6" s="290"/>
      <c r="H6" s="290">
        <f>SUMIFS(Base!$F:$F,Base!$V:$V,A6,Base!$N:$N,"&lt;&gt;")*7</f>
        <v>252</v>
      </c>
      <c r="I6" s="290"/>
      <c r="J6" s="292">
        <f t="shared" ref="J6:K6" si="7">IFERROR(F6/H6,"-")</f>
        <v>1.277777778</v>
      </c>
      <c r="K6" s="292" t="str">
        <f t="shared" si="7"/>
        <v>-</v>
      </c>
      <c r="L6" s="292">
        <f>IFERROR((COUNTIFS(Base!$V:$V,A6,Base!$U:$U,TRUE))/(COUNTIFS(Base!$V:$V,A6,Base!$O:$O,"Finalizado")+COUNTIFS(Base!$V:$V,A6,Base!$O:$O,"Concluído")),"-")</f>
        <v>0.375</v>
      </c>
      <c r="M6" s="292" t="str">
        <f>IF(
  (
    IFERROR(COUNTIF(Base!$W:$W, A6), 0) +
    IFERROR(COUNTIF(Base!$X:$X, A6), 0) +
    IFERROR(COUNTIF(Base!$Y:$Y, A6), 0) +
    IFERROR(COUNTIF(Base!$Z:$Z, A6), 0)
  ) = 0,
  "-",
  IF(
    (
      IFERROR(COUNTIFS(Base!$W:$W, A6, Base!$O:$O, "Finalizado"), 0) +
      IFERROR(COUNTIFS(Base!$W:$W, A6, Base!$O:$O, "Concluído"), 0) +
      IFERROR(COUNTIFS(Base!$X:$X, A6, Base!$O:$O, "Finalizado"), 0) +
      IFERROR(COUNTIFS(Base!$X:$X, A6, Base!$O:$O, "Concluído"), 0) +
      IFERROR(COUNTIFS(Base!$Y:$Y, A6, Base!$O:$O, "Finalizado"), 0) +
      IFERROR(COUNTIFS(Base!$Y:$Y, A6, Base!$O:$O, "Concluído"), 0) +
      IFERROR(COUNTIFS(Base!$Z:$Z, A6, Base!$O:$O, "Finalizado"), 0) +
      IFERROR(COUNTIFS(Base!$Z:$Z, A6, Base!$O:$O, "Concluído"), 0)
    ) = 0,
    "-",
    (
      IFERROR(COUNTIFS(Base!$W:$W, A6, Base!$U:$U, TRUE), 0) +
      IFERROR(COUNTIFS(Base!$X:$X, A6, Base!$U:$U, TRUE), 0) +
      IFERROR(COUNTIFS(Base!$Y:$Y, A6, Base!$U:$U, TRUE), 0) +
      IFERROR(COUNTIFS(Base!$Z:$Z, A6, Base!$U:$U, TRUE), 0)
    ) /
    (
      IFERROR(COUNTIFS(Base!$W:$W, A6, Base!$O:$O, "Finalizado"), 0) +
      IFERROR(COUNTIFS(Base!$W:$W, A6, Base!$O:$O, "Concluído"), 0) +
      IFERROR(COUNTIFS(Base!$X:$X, A6, Base!$O:$O, "Finalizado"), 0) +
      IFERROR(COUNTIFS(Base!$X:$X, A6, Base!$O:$O, "Concluído"), 0) +
      IFERROR(COUNTIFS(Base!$Y:$Y, A6, Base!$O:$O, "Finalizado"), 0) +
      IFERROR(COUNTIFS(Base!$Y:$Y, A6, Base!$O:$O, "Concluído"), 0) +
      IFERROR(COUNTIFS(Base!$Z:$Z, A6, Base!$O:$O, "Finalizado"), 0) +
      IFERROR(COUNTIFS(Base!$Z:$Z, A6, Base!$O:$O, "Concluído"), 0)
    )
  )
)
</f>
        <v>-</v>
      </c>
      <c r="N6" s="120">
        <f>COUNTIF(Base!V:V,$A6)</f>
        <v>12</v>
      </c>
      <c r="O6" s="120">
        <f>COUNTIF(Base!W:W,$A6)</f>
        <v>0</v>
      </c>
      <c r="P6" s="120">
        <f>COUNTIF(Base!X:X,$A6)</f>
        <v>0</v>
      </c>
      <c r="Q6" s="120">
        <f>COUNTIF(Base!Y:Y,$A6)</f>
        <v>0</v>
      </c>
      <c r="R6" s="120">
        <f>COUNTIF(Base!Z:Z,$A6)</f>
        <v>0</v>
      </c>
      <c r="S6" s="120">
        <f t="shared" si="3"/>
        <v>12</v>
      </c>
      <c r="T6" s="120">
        <f t="shared" si="4"/>
        <v>0</v>
      </c>
      <c r="V6" s="293" t="str">
        <f>IF(
  (
    COUNTIF('Acompanhamento quinzenal'!$N:$N, A6) +
    COUNTIF('Acompanhamento quinzenal'!$T:$T, A6) +
    COUNTIF('Acompanhamento quinzenal'!$Z:$Z, A6) +
    COUNTIF('Acompanhamento quinzenal'!$AF:$AF, A6)
  ) = 0,
  "-",
  (
    IFERROR(SUMIFS('Acompanhamento quinzenal'!$S:$S, 'Acompanhamento quinzenal'!$N:$N, A6), 0) +
    IFERROR(SUMIFS('Acompanhamento quinzenal'!$Y:$Y, 'Acompanhamento quinzenal'!$T:$T, A6), 0) +
    IFERROR(SUMIFS('Acompanhamento quinzenal'!$AE:$AE, 'Acompanhamento quinzenal'!$Z:$Z, A6), 0) +
    IFERROR(SUMIFS('Acompanhamento quinzenal'!$AK:$AK, 'Acompanhamento quinzenal'!$AF:$AF, A6), 0)
  ) /
  (
    COUNTIF('Acompanhamento quinzenal'!$N:$N, A6) +
    COUNTIF('Acompanhamento quinzenal'!$T:$T, A6) +
    COUNTIF('Acompanhamento quinzenal'!$Z:$Z, A6) +
    COUNTIF('Acompanhamento quinzenal'!$AF:$AF, A6)
  )
)
</f>
        <v>-</v>
      </c>
      <c r="W6" s="293" t="str">
        <f>IF(
  (
    COUNTIF('Acompanhamento quinzenal'!$N:$N, A6) +
    COUNTIF('Acompanhamento quinzenal'!$T:$T, A6) +
    COUNTIF('Acompanhamento quinzenal'!$Z:$Z, A6) +
    COUNTIF('Acompanhamento quinzenal'!$AF:$AF, A6)
  ) = 0,
  "-",
  (
    IFERROR(SUMIFS('Acompanhamento quinzenal'!$O:$O, 'Acompanhamento quinzenal'!$N:$N, A6), 0) +
    IFERROR(SUMIFS('Acompanhamento quinzenal'!$U:$U, 'Acompanhamento quinzenal'!$T:$T, A6), 0) +
    IFERROR(SUMIFS('Acompanhamento quinzenal'!$AA:$AA, 'Acompanhamento quinzenal'!$Z:$Z, A6), 0) +
    IFERROR(SUMIFS('Acompanhamento quinzenal'!$AG:$AG, 'Acompanhamento quinzenal'!$AF:$AF, A6), 0)
  ) /
  (
    COUNTIF('Acompanhamento quinzenal'!$N:$N, A6) +
    COUNTIF('Acompanhamento quinzenal'!$T:$T, A6) +
    COUNTIF('Acompanhamento quinzenal'!$Z:$Z, A6) +
    COUNTIF('Acompanhamento quinzenal'!$AF:$AF, A6)
  )
)
</f>
        <v>-</v>
      </c>
      <c r="X6" s="294" t="str">
        <f>IF(
  (
    COUNTIF('Acompanhamento quinzenal'!$N:$N, A6) +
    COUNTIF('Acompanhamento quinzenal'!$T:$T, A6) +
    COUNTIF('Acompanhamento quinzenal'!$Z:$Z, A6) +
    COUNTIF('Acompanhamento quinzenal'!$AF:$AF, A6)
  ) = 0,
  "-",
  (
    IFERROR(SUMIFS('Acompanhamento quinzenal'!$P:$P, 'Acompanhamento quinzenal'!$N:$N, A6), 0) +
    IFERROR(SUMIFS('Acompanhamento quinzenal'!$V:$V, 'Acompanhamento quinzenal'!$T:$T, A6), 0) +
    IFERROR(SUMIFS('Acompanhamento quinzenal'!$AB:$AB, 'Acompanhamento quinzenal'!$Z:$Z, A6), 0) +
    IFERROR(SUMIFS('Acompanhamento quinzenal'!$AH:$AH, 'Acompanhamento quinzenal'!$AF:$AF, A6), 0)
  ) /
  (
    COUNTIF('Acompanhamento quinzenal'!$N:$N, A6) +
    COUNTIF('Acompanhamento quinzenal'!$T:$T, A6) +
    COUNTIF('Acompanhamento quinzenal'!$Z:$Z, A6) +
    COUNTIF('Acompanhamento quinzenal'!$AF:$AF, A6)
  )
)
</f>
        <v>-</v>
      </c>
      <c r="Y6" s="293" t="str">
        <f>IF(
  (
    COUNTIF('Acompanhamento quinzenal'!$N:$N, A6) +
    COUNTIF('Acompanhamento quinzenal'!$T:$T, A6) +
    COUNTIF('Acompanhamento quinzenal'!$Z:$Z, A6) +
    COUNTIF('Acompanhamento quinzenal'!$AF:$AF, A6)
  ) = 0,
  "-",
  (
    IFERROR(SUMIFS('Acompanhamento quinzenal'!$Q:$Q, 'Acompanhamento quinzenal'!$N:$N, A6), 0) +
    IFERROR(SUMIFS('Acompanhamento quinzenal'!$W:$W, 'Acompanhamento quinzenal'!$T:$T, A6), 0) +
    IFERROR(SUMIFS('Acompanhamento quinzenal'!$AC:$AC, 'Acompanhamento quinzenal'!$Z:$Z, A6), 0) +
    IFERROR(SUMIFS('Acompanhamento quinzenal'!$AI:$AI, 'Acompanhamento quinzenal'!$AF:$AF, A6), 0)
  ) /
  (
    COUNTIF('Acompanhamento quinzenal'!$N:$N, A6) +
    COUNTIF('Acompanhamento quinzenal'!$T:$T, A6) +
    COUNTIF('Acompanhamento quinzenal'!$Z:$Z, A6) +
    COUNTIF('Acompanhamento quinzenal'!$AF:$AF, A6)
  )
)
</f>
        <v>-</v>
      </c>
    </row>
    <row r="7" hidden="1">
      <c r="A7" s="291" t="str">
        <f>IFERROR(__xludf.DUMMYFUNCTION("""COMPUTED_VALUE"""),"amanda.mendonca")</f>
        <v>amanda.mendonca</v>
      </c>
      <c r="B7" s="120" t="str">
        <f>IFERROR(__xludf.DUMMYFUNCTION("""COMPUTED_VALUE"""),"Consultor")</f>
        <v>Consultor</v>
      </c>
      <c r="C7" s="120" t="str">
        <f>IFERROR(__xludf.DUMMYFUNCTION("""COMPUTED_VALUE"""),"NTec")</f>
        <v>NTec</v>
      </c>
      <c r="D7" s="292" t="str">
        <f>IFERROR((COUNTIFS(Base!$V:$V,A7,Base!$S:$S,"&gt;8") - COUNTIFS(Base!$V:$V,A7,Base!$S:$S,"&lt;7"))/COUNTIFS(Base!$V:$V,A7,Base!$S:$S,"&lt;&gt;"),"-")</f>
        <v>-</v>
      </c>
      <c r="E7" s="292" t="str">
        <f>IF(
  (
    COUNTIFS(Base!$W:$W, A7, Base!$S:$S, "&lt;&gt;") +
    COUNTIFS(Base!$X:$X, A7, Base!$S:$S, "&lt;&gt;") +
    COUNTIFS(Base!$Y:$Y, A7, Base!$S:$S, "&lt;&gt;") +
    COUNTIFS(Base!$Z:$Z, A7, Base!$S:$S, "&lt;&gt;")
  ) = 0,
  "-",
  (
    COUNTIFS(Base!$W:$W, A7, Base!$S:$S, "&gt;8") - COUNTIFS(Base!$W:$W, A7, Base!$S:$S, "&lt;7") +
    COUNTIFS(Base!$X:$X, A7, Base!$S:$S, "&gt;8") - COUNTIFS(Base!$X:$X, A7, Base!$S:$S, "&lt;7") +
    COUNTIFS(Base!$Y:$Y, A7, Base!$S:$S, "&gt;8") - COUNTIFS(Base!$Y:$Y, A7, Base!$S:$S, "&lt;7") +
    COUNTIFS(Base!$Z:$Z, A7, Base!$S:$S, "&gt;8") - COUNTIFS(Base!$Z:$Z, A7, Base!$S:$S, "&lt;7")
  ) /
  (
    COUNTIFS(Base!$W:$W, A7, Base!$S:$S, "&lt;&gt;") +
    COUNTIFS(Base!$X:$X, A7, Base!$S:$S, "&lt;&gt;") +
    COUNTIFS(Base!$Y:$Y, A7, Base!$S:$S, "&lt;&gt;") +
    COUNTIFS(Base!$Z:$Z, A7, Base!$S:$S, "&lt;&gt;")
  )
)
</f>
        <v>-</v>
      </c>
      <c r="F7" s="290">
        <f>SUMIFS(Base!$N:$N,Base!$V:$V,A7,Base!$N:$N,"&lt;&gt;")-SUMIFS(Base!$K:$K,Base!$V:$V,A7,Base!$N:$N,"&lt;&gt;")-(SUMIFS(Base!$L:$L,Base!$V:$V,A7,Base!$N:$N,"&lt;&gt;")*7)</f>
        <v>35</v>
      </c>
      <c r="G7" s="290"/>
      <c r="H7" s="290">
        <f>SUMIFS(Base!$F:$F,Base!$V:$V,A7,Base!$N:$N,"&lt;&gt;")*7</f>
        <v>28</v>
      </c>
      <c r="I7" s="290"/>
      <c r="J7" s="292">
        <f t="shared" ref="J7:K7" si="8">IFERROR(F7/H7,"-")</f>
        <v>1.25</v>
      </c>
      <c r="K7" s="292" t="str">
        <f t="shared" si="8"/>
        <v>-</v>
      </c>
      <c r="L7" s="292">
        <f>IFERROR((COUNTIFS(Base!$V:$V,A7,Base!$U:$U,TRUE))/(COUNTIFS(Base!$V:$V,A7,Base!$O:$O,"Finalizado")+COUNTIFS(Base!$V:$V,A7,Base!$O:$O,"Concluído")),"-")</f>
        <v>0</v>
      </c>
      <c r="M7" s="292" t="str">
        <f>IF(
  (
    IFERROR(COUNTIF(Base!$W:$W, A7), 0) +
    IFERROR(COUNTIF(Base!$X:$X, A7), 0) +
    IFERROR(COUNTIF(Base!$Y:$Y, A7), 0) +
    IFERROR(COUNTIF(Base!$Z:$Z, A7), 0)
  ) = 0,
  "-",
  IF(
    (
      IFERROR(COUNTIFS(Base!$W:$W, A7, Base!$O:$O, "Finalizado"), 0) +
      IFERROR(COUNTIFS(Base!$W:$W, A7, Base!$O:$O, "Concluído"), 0) +
      IFERROR(COUNTIFS(Base!$X:$X, A7, Base!$O:$O, "Finalizado"), 0) +
      IFERROR(COUNTIFS(Base!$X:$X, A7, Base!$O:$O, "Concluído"), 0) +
      IFERROR(COUNTIFS(Base!$Y:$Y, A7, Base!$O:$O, "Finalizado"), 0) +
      IFERROR(COUNTIFS(Base!$Y:$Y, A7, Base!$O:$O, "Concluído"), 0) +
      IFERROR(COUNTIFS(Base!$Z:$Z, A7, Base!$O:$O, "Finalizado"), 0) +
      IFERROR(COUNTIFS(Base!$Z:$Z, A7, Base!$O:$O, "Concluído"), 0)
    ) = 0,
    "-",
    (
      IFERROR(COUNTIFS(Base!$W:$W, A7, Base!$U:$U, TRUE), 0) +
      IFERROR(COUNTIFS(Base!$X:$X, A7, Base!$U:$U, TRUE), 0) +
      IFERROR(COUNTIFS(Base!$Y:$Y, A7, Base!$U:$U, TRUE), 0) +
      IFERROR(COUNTIFS(Base!$Z:$Z, A7, Base!$U:$U, TRUE), 0)
    ) /
    (
      IFERROR(COUNTIFS(Base!$W:$W, A7, Base!$O:$O, "Finalizado"), 0) +
      IFERROR(COUNTIFS(Base!$W:$W, A7, Base!$O:$O, "Concluído"), 0) +
      IFERROR(COUNTIFS(Base!$X:$X, A7, Base!$O:$O, "Finalizado"), 0) +
      IFERROR(COUNTIFS(Base!$X:$X, A7, Base!$O:$O, "Concluído"), 0) +
      IFERROR(COUNTIFS(Base!$Y:$Y, A7, Base!$O:$O, "Finalizado"), 0) +
      IFERROR(COUNTIFS(Base!$Y:$Y, A7, Base!$O:$O, "Concluído"), 0) +
      IFERROR(COUNTIFS(Base!$Z:$Z, A7, Base!$O:$O, "Finalizado"), 0) +
      IFERROR(COUNTIFS(Base!$Z:$Z, A7, Base!$O:$O, "Concluído"), 0)
    )
  )
)
</f>
        <v>-</v>
      </c>
      <c r="N7" s="120">
        <f>COUNTIF(Base!V:V,$A7)</f>
        <v>4</v>
      </c>
      <c r="O7" s="120">
        <f>COUNTIF(Base!W:W,$A7)</f>
        <v>0</v>
      </c>
      <c r="P7" s="120">
        <f>COUNTIF(Base!X:X,$A7)</f>
        <v>0</v>
      </c>
      <c r="Q7" s="120">
        <f>COUNTIF(Base!Y:Y,$A7)</f>
        <v>0</v>
      </c>
      <c r="R7" s="120">
        <f>COUNTIF(Base!Z:Z,$A7)</f>
        <v>0</v>
      </c>
      <c r="S7" s="120">
        <f t="shared" si="3"/>
        <v>4</v>
      </c>
      <c r="T7" s="120">
        <f t="shared" si="4"/>
        <v>0</v>
      </c>
      <c r="V7" s="293" t="str">
        <f>IF(
  (
    COUNTIF('Acompanhamento quinzenal'!$N:$N, A7) +
    COUNTIF('Acompanhamento quinzenal'!$T:$T, A7) +
    COUNTIF('Acompanhamento quinzenal'!$Z:$Z, A7) +
    COUNTIF('Acompanhamento quinzenal'!$AF:$AF, A7)
  ) = 0,
  "-",
  (
    IFERROR(SUMIFS('Acompanhamento quinzenal'!$S:$S, 'Acompanhamento quinzenal'!$N:$N, A7), 0) +
    IFERROR(SUMIFS('Acompanhamento quinzenal'!$Y:$Y, 'Acompanhamento quinzenal'!$T:$T, A7), 0) +
    IFERROR(SUMIFS('Acompanhamento quinzenal'!$AE:$AE, 'Acompanhamento quinzenal'!$Z:$Z, A7), 0) +
    IFERROR(SUMIFS('Acompanhamento quinzenal'!$AK:$AK, 'Acompanhamento quinzenal'!$AF:$AF, A7), 0)
  ) /
  (
    COUNTIF('Acompanhamento quinzenal'!$N:$N, A7) +
    COUNTIF('Acompanhamento quinzenal'!$T:$T, A7) +
    COUNTIF('Acompanhamento quinzenal'!$Z:$Z, A7) +
    COUNTIF('Acompanhamento quinzenal'!$AF:$AF, A7)
  )
)
</f>
        <v>-</v>
      </c>
      <c r="W7" s="293" t="str">
        <f>IF(
  (
    COUNTIF('Acompanhamento quinzenal'!$N:$N, A7) +
    COUNTIF('Acompanhamento quinzenal'!$T:$T, A7) +
    COUNTIF('Acompanhamento quinzenal'!$Z:$Z, A7) +
    COUNTIF('Acompanhamento quinzenal'!$AF:$AF, A7)
  ) = 0,
  "-",
  (
    IFERROR(SUMIFS('Acompanhamento quinzenal'!$O:$O, 'Acompanhamento quinzenal'!$N:$N, A7), 0) +
    IFERROR(SUMIFS('Acompanhamento quinzenal'!$U:$U, 'Acompanhamento quinzenal'!$T:$T, A7), 0) +
    IFERROR(SUMIFS('Acompanhamento quinzenal'!$AA:$AA, 'Acompanhamento quinzenal'!$Z:$Z, A7), 0) +
    IFERROR(SUMIFS('Acompanhamento quinzenal'!$AG:$AG, 'Acompanhamento quinzenal'!$AF:$AF, A7), 0)
  ) /
  (
    COUNTIF('Acompanhamento quinzenal'!$N:$N, A7) +
    COUNTIF('Acompanhamento quinzenal'!$T:$T, A7) +
    COUNTIF('Acompanhamento quinzenal'!$Z:$Z, A7) +
    COUNTIF('Acompanhamento quinzenal'!$AF:$AF, A7)
  )
)
</f>
        <v>-</v>
      </c>
      <c r="X7" s="294" t="str">
        <f>IF(
  (
    COUNTIF('Acompanhamento quinzenal'!$N:$N, A7) +
    COUNTIF('Acompanhamento quinzenal'!$T:$T, A7) +
    COUNTIF('Acompanhamento quinzenal'!$Z:$Z, A7) +
    COUNTIF('Acompanhamento quinzenal'!$AF:$AF, A7)
  ) = 0,
  "-",
  (
    IFERROR(SUMIFS('Acompanhamento quinzenal'!$P:$P, 'Acompanhamento quinzenal'!$N:$N, A7), 0) +
    IFERROR(SUMIFS('Acompanhamento quinzenal'!$V:$V, 'Acompanhamento quinzenal'!$T:$T, A7), 0) +
    IFERROR(SUMIFS('Acompanhamento quinzenal'!$AB:$AB, 'Acompanhamento quinzenal'!$Z:$Z, A7), 0) +
    IFERROR(SUMIFS('Acompanhamento quinzenal'!$AH:$AH, 'Acompanhamento quinzenal'!$AF:$AF, A7), 0)
  ) /
  (
    COUNTIF('Acompanhamento quinzenal'!$N:$N, A7) +
    COUNTIF('Acompanhamento quinzenal'!$T:$T, A7) +
    COUNTIF('Acompanhamento quinzenal'!$Z:$Z, A7) +
    COUNTIF('Acompanhamento quinzenal'!$AF:$AF, A7)
  )
)
</f>
        <v>-</v>
      </c>
      <c r="Y7" s="293" t="str">
        <f>IF(
  (
    COUNTIF('Acompanhamento quinzenal'!$N:$N, A7) +
    COUNTIF('Acompanhamento quinzenal'!$T:$T, A7) +
    COUNTIF('Acompanhamento quinzenal'!$Z:$Z, A7) +
    COUNTIF('Acompanhamento quinzenal'!$AF:$AF, A7)
  ) = 0,
  "-",
  (
    IFERROR(SUMIFS('Acompanhamento quinzenal'!$Q:$Q, 'Acompanhamento quinzenal'!$N:$N, A7), 0) +
    IFERROR(SUMIFS('Acompanhamento quinzenal'!$W:$W, 'Acompanhamento quinzenal'!$T:$T, A7), 0) +
    IFERROR(SUMIFS('Acompanhamento quinzenal'!$AC:$AC, 'Acompanhamento quinzenal'!$Z:$Z, A7), 0) +
    IFERROR(SUMIFS('Acompanhamento quinzenal'!$AI:$AI, 'Acompanhamento quinzenal'!$AF:$AF, A7), 0)
  ) /
  (
    COUNTIF('Acompanhamento quinzenal'!$N:$N, A7) +
    COUNTIF('Acompanhamento quinzenal'!$T:$T, A7) +
    COUNTIF('Acompanhamento quinzenal'!$Z:$Z, A7) +
    COUNTIF('Acompanhamento quinzenal'!$AF:$AF, A7)
  )
)
</f>
        <v>-</v>
      </c>
    </row>
    <row r="8" hidden="1">
      <c r="A8" s="291" t="str">
        <f>IFERROR(__xludf.DUMMYFUNCTION("""COMPUTED_VALUE"""),"ana.aguiar")</f>
        <v>ana.aguiar</v>
      </c>
      <c r="B8" s="120" t="str">
        <f>IFERROR(__xludf.DUMMYFUNCTION("""COMPUTED_VALUE"""),"Trainee")</f>
        <v>Trainee</v>
      </c>
      <c r="C8" s="120" t="str">
        <f>IFERROR(__xludf.DUMMYFUNCTION("""COMPUTED_VALUE"""),"NTec")</f>
        <v>NTec</v>
      </c>
      <c r="D8" s="292" t="str">
        <f>IFERROR((COUNTIFS(Base!$V:$V,A8,Base!$S:$S,"&gt;8") - COUNTIFS(Base!$V:$V,A8,Base!$S:$S,"&lt;7"))/COUNTIFS(Base!$V:$V,A8,Base!$S:$S,"&lt;&gt;"),"-")</f>
        <v>-</v>
      </c>
      <c r="E8" s="292" t="str">
        <f>IF(
  (
    COUNTIFS(Base!$W:$W, A8, Base!$S:$S, "&lt;&gt;") +
    COUNTIFS(Base!$X:$X, A8, Base!$S:$S, "&lt;&gt;") +
    COUNTIFS(Base!$Y:$Y, A8, Base!$S:$S, "&lt;&gt;") +
    COUNTIFS(Base!$Z:$Z, A8, Base!$S:$S, "&lt;&gt;")
  ) = 0,
  "-",
  (
    COUNTIFS(Base!$W:$W, A8, Base!$S:$S, "&gt;8") - COUNTIFS(Base!$W:$W, A8, Base!$S:$S, "&lt;7") +
    COUNTIFS(Base!$X:$X, A8, Base!$S:$S, "&gt;8") - COUNTIFS(Base!$X:$X, A8, Base!$S:$S, "&lt;7") +
    COUNTIFS(Base!$Y:$Y, A8, Base!$S:$S, "&gt;8") - COUNTIFS(Base!$Y:$Y, A8, Base!$S:$S, "&lt;7") +
    COUNTIFS(Base!$Z:$Z, A8, Base!$S:$S, "&gt;8") - COUNTIFS(Base!$Z:$Z, A8, Base!$S:$S, "&lt;7")
  ) /
  (
    COUNTIFS(Base!$W:$W, A8, Base!$S:$S, "&lt;&gt;") +
    COUNTIFS(Base!$X:$X, A8, Base!$S:$S, "&lt;&gt;") +
    COUNTIFS(Base!$Y:$Y, A8, Base!$S:$S, "&lt;&gt;") +
    COUNTIFS(Base!$Z:$Z, A8, Base!$S:$S, "&lt;&gt;")
  )
)
</f>
        <v>-</v>
      </c>
      <c r="F8" s="290">
        <f>SUMIFS(Base!$N:$N,Base!$V:$V,A8,Base!$N:$N,"&lt;&gt;")-SUMIFS(Base!$K:$K,Base!$V:$V,A8,Base!$N:$N,"&lt;&gt;")-(SUMIFS(Base!$L:$L,Base!$V:$V,A8,Base!$N:$N,"&lt;&gt;")*7)</f>
        <v>0</v>
      </c>
      <c r="G8" s="290"/>
      <c r="H8" s="290">
        <f>SUMIFS(Base!$F:$F,Base!$V:$V,A8,Base!$N:$N,"&lt;&gt;")*7</f>
        <v>0</v>
      </c>
      <c r="I8" s="290"/>
      <c r="J8" s="292" t="str">
        <f t="shared" ref="J8:K8" si="9">IFERROR(F8/H8,"-")</f>
        <v>-</v>
      </c>
      <c r="K8" s="292" t="str">
        <f t="shared" si="9"/>
        <v>-</v>
      </c>
      <c r="L8" s="292" t="str">
        <f>IFERROR((COUNTIFS(Base!$V:$V,A8,Base!$U:$U,TRUE))/(COUNTIFS(Base!$V:$V,A8,Base!$O:$O,"Finalizado")+COUNTIFS(Base!$V:$V,A8,Base!$O:$O,"Concluído")),"-")</f>
        <v>-</v>
      </c>
      <c r="M8" s="292" t="str">
        <f>IF(
  (
    IFERROR(COUNTIF(Base!$W:$W, A8), 0) +
    IFERROR(COUNTIF(Base!$X:$X, A8), 0) +
    IFERROR(COUNTIF(Base!$Y:$Y, A8), 0) +
    IFERROR(COUNTIF(Base!$Z:$Z, A8), 0)
  ) = 0,
  "-",
  IF(
    (
      IFERROR(COUNTIFS(Base!$W:$W, A8, Base!$O:$O, "Finalizado"), 0) +
      IFERROR(COUNTIFS(Base!$W:$W, A8, Base!$O:$O, "Concluído"), 0) +
      IFERROR(COUNTIFS(Base!$X:$X, A8, Base!$O:$O, "Finalizado"), 0) +
      IFERROR(COUNTIFS(Base!$X:$X, A8, Base!$O:$O, "Concluído"), 0) +
      IFERROR(COUNTIFS(Base!$Y:$Y, A8, Base!$O:$O, "Finalizado"), 0) +
      IFERROR(COUNTIFS(Base!$Y:$Y, A8, Base!$O:$O, "Concluído"), 0) +
      IFERROR(COUNTIFS(Base!$Z:$Z, A8, Base!$O:$O, "Finalizado"), 0) +
      IFERROR(COUNTIFS(Base!$Z:$Z, A8, Base!$O:$O, "Concluído"), 0)
    ) = 0,
    "-",
    (
      IFERROR(COUNTIFS(Base!$W:$W, A8, Base!$U:$U, TRUE), 0) +
      IFERROR(COUNTIFS(Base!$X:$X, A8, Base!$U:$U, TRUE), 0) +
      IFERROR(COUNTIFS(Base!$Y:$Y, A8, Base!$U:$U, TRUE), 0) +
      IFERROR(COUNTIFS(Base!$Z:$Z, A8, Base!$U:$U, TRUE), 0)
    ) /
    (
      IFERROR(COUNTIFS(Base!$W:$W, A8, Base!$O:$O, "Finalizado"), 0) +
      IFERROR(COUNTIFS(Base!$W:$W, A8, Base!$O:$O, "Concluído"), 0) +
      IFERROR(COUNTIFS(Base!$X:$X, A8, Base!$O:$O, "Finalizado"), 0) +
      IFERROR(COUNTIFS(Base!$X:$X, A8, Base!$O:$O, "Concluído"), 0) +
      IFERROR(COUNTIFS(Base!$Y:$Y, A8, Base!$O:$O, "Finalizado"), 0) +
      IFERROR(COUNTIFS(Base!$Y:$Y, A8, Base!$O:$O, "Concluído"), 0) +
      IFERROR(COUNTIFS(Base!$Z:$Z, A8, Base!$O:$O, "Finalizado"), 0) +
      IFERROR(COUNTIFS(Base!$Z:$Z, A8, Base!$O:$O, "Concluído"), 0)
    )
  )
)
</f>
        <v>-</v>
      </c>
      <c r="N8" s="120">
        <f>COUNTIF(Base!V:V,$A8)</f>
        <v>0</v>
      </c>
      <c r="O8" s="120">
        <f>COUNTIF(Base!W:W,$A8)</f>
        <v>0</v>
      </c>
      <c r="P8" s="120">
        <f>COUNTIF(Base!X:X,$A8)</f>
        <v>0</v>
      </c>
      <c r="Q8" s="120">
        <f>COUNTIF(Base!Y:Y,$A8)</f>
        <v>0</v>
      </c>
      <c r="R8" s="120">
        <f>COUNTIF(Base!Z:Z,$A8)</f>
        <v>0</v>
      </c>
      <c r="S8" s="120">
        <f t="shared" si="3"/>
        <v>0</v>
      </c>
      <c r="T8" s="120">
        <f t="shared" si="4"/>
        <v>0</v>
      </c>
      <c r="V8" s="293" t="str">
        <f>IF(
  (
    COUNTIF('Acompanhamento quinzenal'!$N:$N, A8) +
    COUNTIF('Acompanhamento quinzenal'!$T:$T, A8) +
    COUNTIF('Acompanhamento quinzenal'!$Z:$Z, A8) +
    COUNTIF('Acompanhamento quinzenal'!$AF:$AF, A8)
  ) = 0,
  "-",
  (
    IFERROR(SUMIFS('Acompanhamento quinzenal'!$S:$S, 'Acompanhamento quinzenal'!$N:$N, A8), 0) +
    IFERROR(SUMIFS('Acompanhamento quinzenal'!$Y:$Y, 'Acompanhamento quinzenal'!$T:$T, A8), 0) +
    IFERROR(SUMIFS('Acompanhamento quinzenal'!$AE:$AE, 'Acompanhamento quinzenal'!$Z:$Z, A8), 0) +
    IFERROR(SUMIFS('Acompanhamento quinzenal'!$AK:$AK, 'Acompanhamento quinzenal'!$AF:$AF, A8), 0)
  ) /
  (
    COUNTIF('Acompanhamento quinzenal'!$N:$N, A8) +
    COUNTIF('Acompanhamento quinzenal'!$T:$T, A8) +
    COUNTIF('Acompanhamento quinzenal'!$Z:$Z, A8) +
    COUNTIF('Acompanhamento quinzenal'!$AF:$AF, A8)
  )
)
</f>
        <v>-</v>
      </c>
      <c r="W8" s="293" t="str">
        <f>IF(
  (
    COUNTIF('Acompanhamento quinzenal'!$N:$N, A8) +
    COUNTIF('Acompanhamento quinzenal'!$T:$T, A8) +
    COUNTIF('Acompanhamento quinzenal'!$Z:$Z, A8) +
    COUNTIF('Acompanhamento quinzenal'!$AF:$AF, A8)
  ) = 0,
  "-",
  (
    IFERROR(SUMIFS('Acompanhamento quinzenal'!$O:$O, 'Acompanhamento quinzenal'!$N:$N, A8), 0) +
    IFERROR(SUMIFS('Acompanhamento quinzenal'!$U:$U, 'Acompanhamento quinzenal'!$T:$T, A8), 0) +
    IFERROR(SUMIFS('Acompanhamento quinzenal'!$AA:$AA, 'Acompanhamento quinzenal'!$Z:$Z, A8), 0) +
    IFERROR(SUMIFS('Acompanhamento quinzenal'!$AG:$AG, 'Acompanhamento quinzenal'!$AF:$AF, A8), 0)
  ) /
  (
    COUNTIF('Acompanhamento quinzenal'!$N:$N, A8) +
    COUNTIF('Acompanhamento quinzenal'!$T:$T, A8) +
    COUNTIF('Acompanhamento quinzenal'!$Z:$Z, A8) +
    COUNTIF('Acompanhamento quinzenal'!$AF:$AF, A8)
  )
)
</f>
        <v>-</v>
      </c>
      <c r="X8" s="294" t="str">
        <f>IF(
  (
    COUNTIF('Acompanhamento quinzenal'!$N:$N, A8) +
    COUNTIF('Acompanhamento quinzenal'!$T:$T, A8) +
    COUNTIF('Acompanhamento quinzenal'!$Z:$Z, A8) +
    COUNTIF('Acompanhamento quinzenal'!$AF:$AF, A8)
  ) = 0,
  "-",
  (
    IFERROR(SUMIFS('Acompanhamento quinzenal'!$P:$P, 'Acompanhamento quinzenal'!$N:$N, A8), 0) +
    IFERROR(SUMIFS('Acompanhamento quinzenal'!$V:$V, 'Acompanhamento quinzenal'!$T:$T, A8), 0) +
    IFERROR(SUMIFS('Acompanhamento quinzenal'!$AB:$AB, 'Acompanhamento quinzenal'!$Z:$Z, A8), 0) +
    IFERROR(SUMIFS('Acompanhamento quinzenal'!$AH:$AH, 'Acompanhamento quinzenal'!$AF:$AF, A8), 0)
  ) /
  (
    COUNTIF('Acompanhamento quinzenal'!$N:$N, A8) +
    COUNTIF('Acompanhamento quinzenal'!$T:$T, A8) +
    COUNTIF('Acompanhamento quinzenal'!$Z:$Z, A8) +
    COUNTIF('Acompanhamento quinzenal'!$AF:$AF, A8)
  )
)
</f>
        <v>-</v>
      </c>
      <c r="Y8" s="293" t="str">
        <f>IF(
  (
    COUNTIF('Acompanhamento quinzenal'!$N:$N, A8) +
    COUNTIF('Acompanhamento quinzenal'!$T:$T, A8) +
    COUNTIF('Acompanhamento quinzenal'!$Z:$Z, A8) +
    COUNTIF('Acompanhamento quinzenal'!$AF:$AF, A8)
  ) = 0,
  "-",
  (
    IFERROR(SUMIFS('Acompanhamento quinzenal'!$Q:$Q, 'Acompanhamento quinzenal'!$N:$N, A8), 0) +
    IFERROR(SUMIFS('Acompanhamento quinzenal'!$W:$W, 'Acompanhamento quinzenal'!$T:$T, A8), 0) +
    IFERROR(SUMIFS('Acompanhamento quinzenal'!$AC:$AC, 'Acompanhamento quinzenal'!$Z:$Z, A8), 0) +
    IFERROR(SUMIFS('Acompanhamento quinzenal'!$AI:$AI, 'Acompanhamento quinzenal'!$AF:$AF, A8), 0)
  ) /
  (
    COUNTIF('Acompanhamento quinzenal'!$N:$N, A8) +
    COUNTIF('Acompanhamento quinzenal'!$T:$T, A8) +
    COUNTIF('Acompanhamento quinzenal'!$Z:$Z, A8) +
    COUNTIF('Acompanhamento quinzenal'!$AF:$AF, A8)
  )
)
</f>
        <v>-</v>
      </c>
    </row>
    <row r="9" hidden="1">
      <c r="A9" s="291" t="str">
        <f>IFERROR(__xludf.DUMMYFUNCTION("""COMPUTED_VALUE"""),"anaclara.pacifico")</f>
        <v>anaclara.pacifico</v>
      </c>
      <c r="B9" s="120" t="str">
        <f>IFERROR(__xludf.DUMMYFUNCTION("""COMPUTED_VALUE"""),"Coordenador")</f>
        <v>Coordenador</v>
      </c>
      <c r="C9" s="120" t="str">
        <f>IFERROR(__xludf.DUMMYFUNCTION("""COMPUTED_VALUE"""),"NCon")</f>
        <v>NCon</v>
      </c>
      <c r="D9" s="292">
        <f>IFERROR((COUNTIFS(Base!$V:$V,A9,Base!$S:$S,"&gt;8") - COUNTIFS(Base!$V:$V,A9,Base!$S:$S,"&lt;7"))/COUNTIFS(Base!$V:$V,A9,Base!$S:$S,"&lt;&gt;"),"-")</f>
        <v>0.875</v>
      </c>
      <c r="E9" s="292">
        <f>IF(
  (
    COUNTIFS(Base!$W:$W, A9, Base!$S:$S, "&lt;&gt;") +
    COUNTIFS(Base!$X:$X, A9, Base!$S:$S, "&lt;&gt;") +
    COUNTIFS(Base!$Y:$Y, A9, Base!$S:$S, "&lt;&gt;") +
    COUNTIFS(Base!$Z:$Z, A9, Base!$S:$S, "&lt;&gt;")
  ) = 0,
  "-",
  (
    COUNTIFS(Base!$W:$W, A9, Base!$S:$S, "&gt;8") - COUNTIFS(Base!$W:$W, A9, Base!$S:$S, "&lt;7") +
    COUNTIFS(Base!$X:$X, A9, Base!$S:$S, "&gt;8") - COUNTIFS(Base!$X:$X, A9, Base!$S:$S, "&lt;7") +
    COUNTIFS(Base!$Y:$Y, A9, Base!$S:$S, "&gt;8") - COUNTIFS(Base!$Y:$Y, A9, Base!$S:$S, "&lt;7") +
    COUNTIFS(Base!$Z:$Z, A9, Base!$S:$S, "&gt;8") - COUNTIFS(Base!$Z:$Z, A9, Base!$S:$S, "&lt;7")
  ) /
  (
    COUNTIFS(Base!$W:$W, A9, Base!$S:$S, "&lt;&gt;") +
    COUNTIFS(Base!$X:$X, A9, Base!$S:$S, "&lt;&gt;") +
    COUNTIFS(Base!$Y:$Y, A9, Base!$S:$S, "&lt;&gt;") +
    COUNTIFS(Base!$Z:$Z, A9, Base!$S:$S, "&lt;&gt;")
  )
)
</f>
        <v>1</v>
      </c>
      <c r="F9" s="290">
        <f>SUMIFS(Base!$N:$N,Base!$V:$V,A9,Base!$N:$N,"&lt;&gt;")-SUMIFS(Base!$K:$K,Base!$V:$V,A9,Base!$N:$N,"&lt;&gt;")-(SUMIFS(Base!$L:$L,Base!$V:$V,A9,Base!$N:$N,"&lt;&gt;")*7)</f>
        <v>633</v>
      </c>
      <c r="G9" s="290"/>
      <c r="H9" s="290">
        <f>SUMIFS(Base!$F:$F,Base!$V:$V,A9,Base!$N:$N,"&lt;&gt;")*7</f>
        <v>483</v>
      </c>
      <c r="I9" s="290"/>
      <c r="J9" s="292">
        <f t="shared" ref="J9:K9" si="10">IFERROR(F9/H9,"-")</f>
        <v>1.310559006</v>
      </c>
      <c r="K9" s="292" t="str">
        <f t="shared" si="10"/>
        <v>-</v>
      </c>
      <c r="L9" s="292">
        <f>IFERROR((COUNTIFS(Base!$V:$V,A9,Base!$U:$U,TRUE))/(COUNTIFS(Base!$V:$V,A9,Base!$O:$O,"Finalizado")+COUNTIFS(Base!$V:$V,A9,Base!$O:$O,"Concluído")),"-")</f>
        <v>0.5</v>
      </c>
      <c r="M9" s="292">
        <f>IF(
  (
    IFERROR(COUNTIF(Base!$W:$W, A9), 0) +
    IFERROR(COUNTIF(Base!$X:$X, A9), 0) +
    IFERROR(COUNTIF(Base!$Y:$Y, A9), 0) +
    IFERROR(COUNTIF(Base!$Z:$Z, A9), 0)
  ) = 0,
  "-",
  IF(
    (
      IFERROR(COUNTIFS(Base!$W:$W, A9, Base!$O:$O, "Finalizado"), 0) +
      IFERROR(COUNTIFS(Base!$W:$W, A9, Base!$O:$O, "Concluído"), 0) +
      IFERROR(COUNTIFS(Base!$X:$X, A9, Base!$O:$O, "Finalizado"), 0) +
      IFERROR(COUNTIFS(Base!$X:$X, A9, Base!$O:$O, "Concluído"), 0) +
      IFERROR(COUNTIFS(Base!$Y:$Y, A9, Base!$O:$O, "Finalizado"), 0) +
      IFERROR(COUNTIFS(Base!$Y:$Y, A9, Base!$O:$O, "Concluído"), 0) +
      IFERROR(COUNTIFS(Base!$Z:$Z, A9, Base!$O:$O, "Finalizado"), 0) +
      IFERROR(COUNTIFS(Base!$Z:$Z, A9, Base!$O:$O, "Concluído"), 0)
    ) = 0,
    "-",
    (
      IFERROR(COUNTIFS(Base!$W:$W, A9, Base!$U:$U, TRUE), 0) +
      IFERROR(COUNTIFS(Base!$X:$X, A9, Base!$U:$U, TRUE), 0) +
      IFERROR(COUNTIFS(Base!$Y:$Y, A9, Base!$U:$U, TRUE), 0) +
      IFERROR(COUNTIFS(Base!$Z:$Z, A9, Base!$U:$U, TRUE), 0)
    ) /
    (
      IFERROR(COUNTIFS(Base!$W:$W, A9, Base!$O:$O, "Finalizado"), 0) +
      IFERROR(COUNTIFS(Base!$W:$W, A9, Base!$O:$O, "Concluído"), 0) +
      IFERROR(COUNTIFS(Base!$X:$X, A9, Base!$O:$O, "Finalizado"), 0) +
      IFERROR(COUNTIFS(Base!$X:$X, A9, Base!$O:$O, "Concluído"), 0) +
      IFERROR(COUNTIFS(Base!$Y:$Y, A9, Base!$O:$O, "Finalizado"), 0) +
      IFERROR(COUNTIFS(Base!$Y:$Y, A9, Base!$O:$O, "Concluído"), 0) +
      IFERROR(COUNTIFS(Base!$Z:$Z, A9, Base!$O:$O, "Finalizado"), 0) +
      IFERROR(COUNTIFS(Base!$Z:$Z, A9, Base!$O:$O, "Concluído"), 0)
    )
  )
)
</f>
        <v>0.3333333333</v>
      </c>
      <c r="N9" s="120">
        <f>COUNTIF(Base!V:V,$A9)</f>
        <v>17</v>
      </c>
      <c r="O9" s="120">
        <f>COUNTIF(Base!W:W,$A9)</f>
        <v>2</v>
      </c>
      <c r="P9" s="120">
        <f>COUNTIF(Base!X:X,$A9)</f>
        <v>1</v>
      </c>
      <c r="Q9" s="120">
        <f>COUNTIF(Base!Y:Y,$A9)</f>
        <v>0</v>
      </c>
      <c r="R9" s="120">
        <f>COUNTIF(Base!Z:Z,$A9)</f>
        <v>0</v>
      </c>
      <c r="S9" s="120">
        <f t="shared" si="3"/>
        <v>20</v>
      </c>
      <c r="T9" s="120">
        <f t="shared" si="4"/>
        <v>3</v>
      </c>
      <c r="V9" s="293" t="str">
        <f>IF(
  (
    COUNTIF('Acompanhamento quinzenal'!$N:$N, A9) +
    COUNTIF('Acompanhamento quinzenal'!$T:$T, A9) +
    COUNTIF('Acompanhamento quinzenal'!$Z:$Z, A9) +
    COUNTIF('Acompanhamento quinzenal'!$AF:$AF, A9)
  ) = 0,
  "-",
  (
    IFERROR(SUMIFS('Acompanhamento quinzenal'!$S:$S, 'Acompanhamento quinzenal'!$N:$N, A9), 0) +
    IFERROR(SUMIFS('Acompanhamento quinzenal'!$Y:$Y, 'Acompanhamento quinzenal'!$T:$T, A9), 0) +
    IFERROR(SUMIFS('Acompanhamento quinzenal'!$AE:$AE, 'Acompanhamento quinzenal'!$Z:$Z, A9), 0) +
    IFERROR(SUMIFS('Acompanhamento quinzenal'!$AK:$AK, 'Acompanhamento quinzenal'!$AF:$AF, A9), 0)
  ) /
  (
    COUNTIF('Acompanhamento quinzenal'!$N:$N, A9) +
    COUNTIF('Acompanhamento quinzenal'!$T:$T, A9) +
    COUNTIF('Acompanhamento quinzenal'!$Z:$Z, A9) +
    COUNTIF('Acompanhamento quinzenal'!$AF:$AF, A9)
  )
)
</f>
        <v>-</v>
      </c>
      <c r="W9" s="293" t="str">
        <f>IF(
  (
    COUNTIF('Acompanhamento quinzenal'!$N:$N, A9) +
    COUNTIF('Acompanhamento quinzenal'!$T:$T, A9) +
    COUNTIF('Acompanhamento quinzenal'!$Z:$Z, A9) +
    COUNTIF('Acompanhamento quinzenal'!$AF:$AF, A9)
  ) = 0,
  "-",
  (
    IFERROR(SUMIFS('Acompanhamento quinzenal'!$O:$O, 'Acompanhamento quinzenal'!$N:$N, A9), 0) +
    IFERROR(SUMIFS('Acompanhamento quinzenal'!$U:$U, 'Acompanhamento quinzenal'!$T:$T, A9), 0) +
    IFERROR(SUMIFS('Acompanhamento quinzenal'!$AA:$AA, 'Acompanhamento quinzenal'!$Z:$Z, A9), 0) +
    IFERROR(SUMIFS('Acompanhamento quinzenal'!$AG:$AG, 'Acompanhamento quinzenal'!$AF:$AF, A9), 0)
  ) /
  (
    COUNTIF('Acompanhamento quinzenal'!$N:$N, A9) +
    COUNTIF('Acompanhamento quinzenal'!$T:$T, A9) +
    COUNTIF('Acompanhamento quinzenal'!$Z:$Z, A9) +
    COUNTIF('Acompanhamento quinzenal'!$AF:$AF, A9)
  )
)
</f>
        <v>-</v>
      </c>
      <c r="X9" s="294" t="str">
        <f>IF(
  (
    COUNTIF('Acompanhamento quinzenal'!$N:$N, A9) +
    COUNTIF('Acompanhamento quinzenal'!$T:$T, A9) +
    COUNTIF('Acompanhamento quinzenal'!$Z:$Z, A9) +
    COUNTIF('Acompanhamento quinzenal'!$AF:$AF, A9)
  ) = 0,
  "-",
  (
    IFERROR(SUMIFS('Acompanhamento quinzenal'!$P:$P, 'Acompanhamento quinzenal'!$N:$N, A9), 0) +
    IFERROR(SUMIFS('Acompanhamento quinzenal'!$V:$V, 'Acompanhamento quinzenal'!$T:$T, A9), 0) +
    IFERROR(SUMIFS('Acompanhamento quinzenal'!$AB:$AB, 'Acompanhamento quinzenal'!$Z:$Z, A9), 0) +
    IFERROR(SUMIFS('Acompanhamento quinzenal'!$AH:$AH, 'Acompanhamento quinzenal'!$AF:$AF, A9), 0)
  ) /
  (
    COUNTIF('Acompanhamento quinzenal'!$N:$N, A9) +
    COUNTIF('Acompanhamento quinzenal'!$T:$T, A9) +
    COUNTIF('Acompanhamento quinzenal'!$Z:$Z, A9) +
    COUNTIF('Acompanhamento quinzenal'!$AF:$AF, A9)
  )
)
</f>
        <v>-</v>
      </c>
      <c r="Y9" s="293" t="str">
        <f>IF(
  (
    COUNTIF('Acompanhamento quinzenal'!$N:$N, A9) +
    COUNTIF('Acompanhamento quinzenal'!$T:$T, A9) +
    COUNTIF('Acompanhamento quinzenal'!$Z:$Z, A9) +
    COUNTIF('Acompanhamento quinzenal'!$AF:$AF, A9)
  ) = 0,
  "-",
  (
    IFERROR(SUMIFS('Acompanhamento quinzenal'!$Q:$Q, 'Acompanhamento quinzenal'!$N:$N, A9), 0) +
    IFERROR(SUMIFS('Acompanhamento quinzenal'!$W:$W, 'Acompanhamento quinzenal'!$T:$T, A9), 0) +
    IFERROR(SUMIFS('Acompanhamento quinzenal'!$AC:$AC, 'Acompanhamento quinzenal'!$Z:$Z, A9), 0) +
    IFERROR(SUMIFS('Acompanhamento quinzenal'!$AI:$AI, 'Acompanhamento quinzenal'!$AF:$AF, A9), 0)
  ) /
  (
    COUNTIF('Acompanhamento quinzenal'!$N:$N, A9) +
    COUNTIF('Acompanhamento quinzenal'!$T:$T, A9) +
    COUNTIF('Acompanhamento quinzenal'!$Z:$Z, A9) +
    COUNTIF('Acompanhamento quinzenal'!$AF:$AF, A9)
  )
)
</f>
        <v>-</v>
      </c>
    </row>
    <row r="10" hidden="1">
      <c r="A10" s="291" t="str">
        <f>IFERROR(__xludf.DUMMYFUNCTION("""COMPUTED_VALUE"""),"ana.arejano")</f>
        <v>ana.arejano</v>
      </c>
      <c r="B10" s="120" t="str">
        <f>IFERROR(__xludf.DUMMYFUNCTION("""COMPUTED_VALUE"""),"Consultor")</f>
        <v>Consultor</v>
      </c>
      <c r="C10" s="120" t="str">
        <f>IFERROR(__xludf.DUMMYFUNCTION("""COMPUTED_VALUE"""),"NTec")</f>
        <v>NTec</v>
      </c>
      <c r="D10" s="292">
        <f>IFERROR((COUNTIFS(Base!$V:$V,A10,Base!$S:$S,"&gt;8") - COUNTIFS(Base!$V:$V,A10,Base!$S:$S,"&lt;7"))/COUNTIFS(Base!$V:$V,A10,Base!$S:$S,"&lt;&gt;"),"-")</f>
        <v>1</v>
      </c>
      <c r="E10" s="292">
        <f>IF(
  (
    COUNTIFS(Base!$W:$W, A10, Base!$S:$S, "&lt;&gt;") +
    COUNTIFS(Base!$X:$X, A10, Base!$S:$S, "&lt;&gt;") +
    COUNTIFS(Base!$Y:$Y, A10, Base!$S:$S, "&lt;&gt;") +
    COUNTIFS(Base!$Z:$Z, A10, Base!$S:$S, "&lt;&gt;")
  ) = 0,
  "-",
  (
    COUNTIFS(Base!$W:$W, A10, Base!$S:$S, "&gt;8") - COUNTIFS(Base!$W:$W, A10, Base!$S:$S, "&lt;7") +
    COUNTIFS(Base!$X:$X, A10, Base!$S:$S, "&gt;8") - COUNTIFS(Base!$X:$X, A10, Base!$S:$S, "&lt;7") +
    COUNTIFS(Base!$Y:$Y, A10, Base!$S:$S, "&gt;8") - COUNTIFS(Base!$Y:$Y, A10, Base!$S:$S, "&lt;7") +
    COUNTIFS(Base!$Z:$Z, A10, Base!$S:$S, "&gt;8") - COUNTIFS(Base!$Z:$Z, A10, Base!$S:$S, "&lt;7")
  ) /
  (
    COUNTIFS(Base!$W:$W, A10, Base!$S:$S, "&lt;&gt;") +
    COUNTIFS(Base!$X:$X, A10, Base!$S:$S, "&lt;&gt;") +
    COUNTIFS(Base!$Y:$Y, A10, Base!$S:$S, "&lt;&gt;") +
    COUNTIFS(Base!$Z:$Z, A10, Base!$S:$S, "&lt;&gt;")
  )
)
</f>
        <v>1</v>
      </c>
      <c r="F10" s="290">
        <f>SUMIFS(Base!$N:$N,Base!$V:$V,A10,Base!$N:$N,"&lt;&gt;")-SUMIFS(Base!$K:$K,Base!$V:$V,A10,Base!$N:$N,"&lt;&gt;")-(SUMIFS(Base!$L:$L,Base!$V:$V,A10,Base!$N:$N,"&lt;&gt;")*7)</f>
        <v>0</v>
      </c>
      <c r="G10" s="290"/>
      <c r="H10" s="290">
        <f>SUMIFS(Base!$F:$F,Base!$V:$V,A10,Base!$N:$N,"&lt;&gt;")*7</f>
        <v>0</v>
      </c>
      <c r="I10" s="290"/>
      <c r="J10" s="292" t="str">
        <f t="shared" ref="J10:K10" si="11">IFERROR(F10/H10,"-")</f>
        <v>-</v>
      </c>
      <c r="K10" s="292" t="str">
        <f t="shared" si="11"/>
        <v>-</v>
      </c>
      <c r="L10" s="292" t="str">
        <f>IFERROR((COUNTIFS(Base!$V:$V,A10,Base!$U:$U,TRUE))/(COUNTIFS(Base!$V:$V,A10,Base!$O:$O,"Finalizado")+COUNTIFS(Base!$V:$V,A10,Base!$O:$O,"Concluído")),"-")</f>
        <v>-</v>
      </c>
      <c r="M10" s="292">
        <f>IF(
  (
    IFERROR(COUNTIF(Base!$W:$W, A10), 0) +
    IFERROR(COUNTIF(Base!$X:$X, A10), 0) +
    IFERROR(COUNTIF(Base!$Y:$Y, A10), 0) +
    IFERROR(COUNTIF(Base!$Z:$Z, A10), 0)
  ) = 0,
  "-",
  IF(
    (
      IFERROR(COUNTIFS(Base!$W:$W, A10, Base!$O:$O, "Finalizado"), 0) +
      IFERROR(COUNTIFS(Base!$W:$W, A10, Base!$O:$O, "Concluído"), 0) +
      IFERROR(COUNTIFS(Base!$X:$X, A10, Base!$O:$O, "Finalizado"), 0) +
      IFERROR(COUNTIFS(Base!$X:$X, A10, Base!$O:$O, "Concluído"), 0) +
      IFERROR(COUNTIFS(Base!$Y:$Y, A10, Base!$O:$O, "Finalizado"), 0) +
      IFERROR(COUNTIFS(Base!$Y:$Y, A10, Base!$O:$O, "Concluído"), 0) +
      IFERROR(COUNTIFS(Base!$Z:$Z, A10, Base!$O:$O, "Finalizado"), 0) +
      IFERROR(COUNTIFS(Base!$Z:$Z, A10, Base!$O:$O, "Concluído"), 0)
    ) = 0,
    "-",
    (
      IFERROR(COUNTIFS(Base!$W:$W, A10, Base!$U:$U, TRUE), 0) +
      IFERROR(COUNTIFS(Base!$X:$X, A10, Base!$U:$U, TRUE), 0) +
      IFERROR(COUNTIFS(Base!$Y:$Y, A10, Base!$U:$U, TRUE), 0) +
      IFERROR(COUNTIFS(Base!$Z:$Z, A10, Base!$U:$U, TRUE), 0)
    ) /
    (
      IFERROR(COUNTIFS(Base!$W:$W, A10, Base!$O:$O, "Finalizado"), 0) +
      IFERROR(COUNTIFS(Base!$W:$W, A10, Base!$O:$O, "Concluído"), 0) +
      IFERROR(COUNTIFS(Base!$X:$X, A10, Base!$O:$O, "Finalizado"), 0) +
      IFERROR(COUNTIFS(Base!$X:$X, A10, Base!$O:$O, "Concluído"), 0) +
      IFERROR(COUNTIFS(Base!$Y:$Y, A10, Base!$O:$O, "Finalizado"), 0) +
      IFERROR(COUNTIFS(Base!$Y:$Y, A10, Base!$O:$O, "Concluído"), 0) +
      IFERROR(COUNTIFS(Base!$Z:$Z, A10, Base!$O:$O, "Finalizado"), 0) +
      IFERROR(COUNTIFS(Base!$Z:$Z, A10, Base!$O:$O, "Concluído"), 0)
    )
  )
)
</f>
        <v>0</v>
      </c>
      <c r="N10" s="120">
        <f>COUNTIF(Base!V:V,$A10)</f>
        <v>3</v>
      </c>
      <c r="O10" s="120">
        <f>COUNTIF(Base!W:W,$A10)</f>
        <v>1</v>
      </c>
      <c r="P10" s="120">
        <f>COUNTIF(Base!X:X,$A10)</f>
        <v>0</v>
      </c>
      <c r="Q10" s="120">
        <f>COUNTIF(Base!Y:Y,$A10)</f>
        <v>0</v>
      </c>
      <c r="R10" s="120">
        <f>COUNTIF(Base!Z:Z,$A10)</f>
        <v>0</v>
      </c>
      <c r="S10" s="120">
        <f t="shared" si="3"/>
        <v>4</v>
      </c>
      <c r="T10" s="120">
        <f t="shared" si="4"/>
        <v>1</v>
      </c>
      <c r="V10" s="293" t="str">
        <f>IF(
  (
    COUNTIF('Acompanhamento quinzenal'!$N:$N, A10) +
    COUNTIF('Acompanhamento quinzenal'!$T:$T, A10) +
    COUNTIF('Acompanhamento quinzenal'!$Z:$Z, A10) +
    COUNTIF('Acompanhamento quinzenal'!$AF:$AF, A10)
  ) = 0,
  "-",
  (
    IFERROR(SUMIFS('Acompanhamento quinzenal'!$S:$S, 'Acompanhamento quinzenal'!$N:$N, A10), 0) +
    IFERROR(SUMIFS('Acompanhamento quinzenal'!$Y:$Y, 'Acompanhamento quinzenal'!$T:$T, A10), 0) +
    IFERROR(SUMIFS('Acompanhamento quinzenal'!$AE:$AE, 'Acompanhamento quinzenal'!$Z:$Z, A10), 0) +
    IFERROR(SUMIFS('Acompanhamento quinzenal'!$AK:$AK, 'Acompanhamento quinzenal'!$AF:$AF, A10), 0)
  ) /
  (
    COUNTIF('Acompanhamento quinzenal'!$N:$N, A10) +
    COUNTIF('Acompanhamento quinzenal'!$T:$T, A10) +
    COUNTIF('Acompanhamento quinzenal'!$Z:$Z, A10) +
    COUNTIF('Acompanhamento quinzenal'!$AF:$AF, A10)
  )
)
</f>
        <v>-</v>
      </c>
      <c r="W10" s="293" t="str">
        <f>IF(
  (
    COUNTIF('Acompanhamento quinzenal'!$N:$N, A10) +
    COUNTIF('Acompanhamento quinzenal'!$T:$T, A10) +
    COUNTIF('Acompanhamento quinzenal'!$Z:$Z, A10) +
    COUNTIF('Acompanhamento quinzenal'!$AF:$AF, A10)
  ) = 0,
  "-",
  (
    IFERROR(SUMIFS('Acompanhamento quinzenal'!$O:$O, 'Acompanhamento quinzenal'!$N:$N, A10), 0) +
    IFERROR(SUMIFS('Acompanhamento quinzenal'!$U:$U, 'Acompanhamento quinzenal'!$T:$T, A10), 0) +
    IFERROR(SUMIFS('Acompanhamento quinzenal'!$AA:$AA, 'Acompanhamento quinzenal'!$Z:$Z, A10), 0) +
    IFERROR(SUMIFS('Acompanhamento quinzenal'!$AG:$AG, 'Acompanhamento quinzenal'!$AF:$AF, A10), 0)
  ) /
  (
    COUNTIF('Acompanhamento quinzenal'!$N:$N, A10) +
    COUNTIF('Acompanhamento quinzenal'!$T:$T, A10) +
    COUNTIF('Acompanhamento quinzenal'!$Z:$Z, A10) +
    COUNTIF('Acompanhamento quinzenal'!$AF:$AF, A10)
  )
)
</f>
        <v>-</v>
      </c>
      <c r="X10" s="294" t="str">
        <f>IF(
  (
    COUNTIF('Acompanhamento quinzenal'!$N:$N, A10) +
    COUNTIF('Acompanhamento quinzenal'!$T:$T, A10) +
    COUNTIF('Acompanhamento quinzenal'!$Z:$Z, A10) +
    COUNTIF('Acompanhamento quinzenal'!$AF:$AF, A10)
  ) = 0,
  "-",
  (
    IFERROR(SUMIFS('Acompanhamento quinzenal'!$P:$P, 'Acompanhamento quinzenal'!$N:$N, A10), 0) +
    IFERROR(SUMIFS('Acompanhamento quinzenal'!$V:$V, 'Acompanhamento quinzenal'!$T:$T, A10), 0) +
    IFERROR(SUMIFS('Acompanhamento quinzenal'!$AB:$AB, 'Acompanhamento quinzenal'!$Z:$Z, A10), 0) +
    IFERROR(SUMIFS('Acompanhamento quinzenal'!$AH:$AH, 'Acompanhamento quinzenal'!$AF:$AF, A10), 0)
  ) /
  (
    COUNTIF('Acompanhamento quinzenal'!$N:$N, A10) +
    COUNTIF('Acompanhamento quinzenal'!$T:$T, A10) +
    COUNTIF('Acompanhamento quinzenal'!$Z:$Z, A10) +
    COUNTIF('Acompanhamento quinzenal'!$AF:$AF, A10)
  )
)
</f>
        <v>-</v>
      </c>
      <c r="Y10" s="293" t="str">
        <f>IF(
  (
    COUNTIF('Acompanhamento quinzenal'!$N:$N, A10) +
    COUNTIF('Acompanhamento quinzenal'!$T:$T, A10) +
    COUNTIF('Acompanhamento quinzenal'!$Z:$Z, A10) +
    COUNTIF('Acompanhamento quinzenal'!$AF:$AF, A10)
  ) = 0,
  "-",
  (
    IFERROR(SUMIFS('Acompanhamento quinzenal'!$Q:$Q, 'Acompanhamento quinzenal'!$N:$N, A10), 0) +
    IFERROR(SUMIFS('Acompanhamento quinzenal'!$W:$W, 'Acompanhamento quinzenal'!$T:$T, A10), 0) +
    IFERROR(SUMIFS('Acompanhamento quinzenal'!$AC:$AC, 'Acompanhamento quinzenal'!$Z:$Z, A10), 0) +
    IFERROR(SUMIFS('Acompanhamento quinzenal'!$AI:$AI, 'Acompanhamento quinzenal'!$AF:$AF, A10), 0)
  ) /
  (
    COUNTIF('Acompanhamento quinzenal'!$N:$N, A10) +
    COUNTIF('Acompanhamento quinzenal'!$T:$T, A10) +
    COUNTIF('Acompanhamento quinzenal'!$Z:$Z, A10) +
    COUNTIF('Acompanhamento quinzenal'!$AF:$AF, A10)
  )
)
</f>
        <v>-</v>
      </c>
    </row>
    <row r="11">
      <c r="A11" s="291" t="str">
        <f>IFERROR(__xludf.DUMMYFUNCTION("""COMPUTED_VALUE"""),"andre.helena")</f>
        <v>andre.helena</v>
      </c>
      <c r="B11" s="120" t="str">
        <f>IFERROR(__xludf.DUMMYFUNCTION("""COMPUTED_VALUE"""),"Coordenador")</f>
        <v>Coordenador</v>
      </c>
      <c r="C11" s="120" t="str">
        <f>IFERROR(__xludf.DUMMYFUNCTION("""COMPUTED_VALUE"""),"NDados")</f>
        <v>NDados</v>
      </c>
      <c r="D11" s="292">
        <f>IFERROR((COUNTIFS(Base!$V:$V,A11,Base!$S:$S,"&gt;8") - COUNTIFS(Base!$V:$V,A11,Base!$S:$S,"&lt;7"))/COUNTIFS(Base!$V:$V,A11,Base!$S:$S,"&lt;&gt;"),"-")</f>
        <v>0.25</v>
      </c>
      <c r="E11" s="292">
        <f>IF(
  (
    COUNTIFS(Base!$W:$W, A11, Base!$S:$S, "&lt;&gt;") +
    COUNTIFS(Base!$X:$X, A11, Base!$S:$S, "&lt;&gt;") +
    COUNTIFS(Base!$Y:$Y, A11, Base!$S:$S, "&lt;&gt;") +
    COUNTIFS(Base!$Z:$Z, A11, Base!$S:$S, "&lt;&gt;")
  ) = 0,
  "-",
  (
    COUNTIFS(Base!$W:$W, A11, Base!$S:$S, "&gt;8") - COUNTIFS(Base!$W:$W, A11, Base!$S:$S, "&lt;7") +
    COUNTIFS(Base!$X:$X, A11, Base!$S:$S, "&gt;8") - COUNTIFS(Base!$X:$X, A11, Base!$S:$S, "&lt;7") +
    COUNTIFS(Base!$Y:$Y, A11, Base!$S:$S, "&gt;8") - COUNTIFS(Base!$Y:$Y, A11, Base!$S:$S, "&lt;7") +
    COUNTIFS(Base!$Z:$Z, A11, Base!$S:$S, "&gt;8") - COUNTIFS(Base!$Z:$Z, A11, Base!$S:$S, "&lt;7")
  ) /
  (
    COUNTIFS(Base!$W:$W, A11, Base!$S:$S, "&lt;&gt;") +
    COUNTIFS(Base!$X:$X, A11, Base!$S:$S, "&lt;&gt;") +
    COUNTIFS(Base!$Y:$Y, A11, Base!$S:$S, "&lt;&gt;") +
    COUNTIFS(Base!$Z:$Z, A11, Base!$S:$S, "&lt;&gt;")
  )
)
</f>
        <v>1</v>
      </c>
      <c r="F11" s="290">
        <f>SUMIFS(Base!$N:$N,Base!$V:$V,A11,Base!$N:$N,"&lt;&gt;")-SUMIFS(Base!$K:$K,Base!$V:$V,A11,Base!$N:$N,"&lt;&gt;")-(SUMIFS(Base!$L:$L,Base!$V:$V,A11,Base!$N:$N,"&lt;&gt;")*7)</f>
        <v>342</v>
      </c>
      <c r="G11" s="290"/>
      <c r="H11" s="290">
        <f>SUMIFS(Base!$F:$F,Base!$V:$V,A11,Base!$N:$N,"&lt;&gt;")*7</f>
        <v>231</v>
      </c>
      <c r="I11" s="290"/>
      <c r="J11" s="292">
        <f t="shared" ref="J11:K11" si="12">IFERROR(F11/H11,"-")</f>
        <v>1.480519481</v>
      </c>
      <c r="K11" s="292" t="str">
        <f t="shared" si="12"/>
        <v>-</v>
      </c>
      <c r="L11" s="292">
        <f>IFERROR((COUNTIFS(Base!$V:$V,A11,Base!$U:$U,TRUE))/(COUNTIFS(Base!$V:$V,A11,Base!$O:$O,"Finalizado")+COUNTIFS(Base!$V:$V,A11,Base!$O:$O,"Concluído")),"-")</f>
        <v>0.2</v>
      </c>
      <c r="M11" s="292">
        <f>IF(
  (
    IFERROR(COUNTIF(Base!$W:$W, A11), 0) +
    IFERROR(COUNTIF(Base!$X:$X, A11), 0) +
    IFERROR(COUNTIF(Base!$Y:$Y, A11), 0) +
    IFERROR(COUNTIF(Base!$Z:$Z, A11), 0)
  ) = 0,
  "-",
  IF(
    (
      IFERROR(COUNTIFS(Base!$W:$W, A11, Base!$O:$O, "Finalizado"), 0) +
      IFERROR(COUNTIFS(Base!$W:$W, A11, Base!$O:$O, "Concluído"), 0) +
      IFERROR(COUNTIFS(Base!$X:$X, A11, Base!$O:$O, "Finalizado"), 0) +
      IFERROR(COUNTIFS(Base!$X:$X, A11, Base!$O:$O, "Concluído"), 0) +
      IFERROR(COUNTIFS(Base!$Y:$Y, A11, Base!$O:$O, "Finalizado"), 0) +
      IFERROR(COUNTIFS(Base!$Y:$Y, A11, Base!$O:$O, "Concluído"), 0) +
      IFERROR(COUNTIFS(Base!$Z:$Z, A11, Base!$O:$O, "Finalizado"), 0) +
      IFERROR(COUNTIFS(Base!$Z:$Z, A11, Base!$O:$O, "Concluído"), 0)
    ) = 0,
    "-",
    (
      IFERROR(COUNTIFS(Base!$W:$W, A11, Base!$U:$U, TRUE), 0) +
      IFERROR(COUNTIFS(Base!$X:$X, A11, Base!$U:$U, TRUE), 0) +
      IFERROR(COUNTIFS(Base!$Y:$Y, A11, Base!$U:$U, TRUE), 0) +
      IFERROR(COUNTIFS(Base!$Z:$Z, A11, Base!$U:$U, TRUE), 0)
    ) /
    (
      IFERROR(COUNTIFS(Base!$W:$W, A11, Base!$O:$O, "Finalizado"), 0) +
      IFERROR(COUNTIFS(Base!$W:$W, A11, Base!$O:$O, "Concluído"), 0) +
      IFERROR(COUNTIFS(Base!$X:$X, A11, Base!$O:$O, "Finalizado"), 0) +
      IFERROR(COUNTIFS(Base!$X:$X, A11, Base!$O:$O, "Concluído"), 0) +
      IFERROR(COUNTIFS(Base!$Y:$Y, A11, Base!$O:$O, "Finalizado"), 0) +
      IFERROR(COUNTIFS(Base!$Y:$Y, A11, Base!$O:$O, "Concluído"), 0) +
      IFERROR(COUNTIFS(Base!$Z:$Z, A11, Base!$O:$O, "Finalizado"), 0) +
      IFERROR(COUNTIFS(Base!$Z:$Z, A11, Base!$O:$O, "Concluído"), 0)
    )
  )
)
</f>
        <v>1</v>
      </c>
      <c r="N11" s="120">
        <f>COUNTIF(Base!V:V,$A11)</f>
        <v>9</v>
      </c>
      <c r="O11" s="120">
        <f>COUNTIF(Base!W:W,$A11)</f>
        <v>1</v>
      </c>
      <c r="P11" s="120">
        <f>COUNTIF(Base!X:X,$A11)</f>
        <v>0</v>
      </c>
      <c r="Q11" s="120">
        <f>COUNTIF(Base!Y:Y,$A11)</f>
        <v>0</v>
      </c>
      <c r="R11" s="120">
        <f>COUNTIF(Base!Z:Z,$A11)</f>
        <v>0</v>
      </c>
      <c r="S11" s="120">
        <f t="shared" si="3"/>
        <v>10</v>
      </c>
      <c r="T11" s="120">
        <f t="shared" si="4"/>
        <v>1</v>
      </c>
      <c r="V11" s="293" t="str">
        <f>IF(
  (
    COUNTIF('Acompanhamento quinzenal'!$N:$N, A11) +
    COUNTIF('Acompanhamento quinzenal'!$T:$T, A11) +
    COUNTIF('Acompanhamento quinzenal'!$Z:$Z, A11) +
    COUNTIF('Acompanhamento quinzenal'!$AF:$AF, A11)
  ) = 0,
  "-",
  (
    IFERROR(SUMIFS('Acompanhamento quinzenal'!$S:$S, 'Acompanhamento quinzenal'!$N:$N, A11), 0) +
    IFERROR(SUMIFS('Acompanhamento quinzenal'!$Y:$Y, 'Acompanhamento quinzenal'!$T:$T, A11), 0) +
    IFERROR(SUMIFS('Acompanhamento quinzenal'!$AE:$AE, 'Acompanhamento quinzenal'!$Z:$Z, A11), 0) +
    IFERROR(SUMIFS('Acompanhamento quinzenal'!$AK:$AK, 'Acompanhamento quinzenal'!$AF:$AF, A11), 0)
  ) /
  (
    COUNTIF('Acompanhamento quinzenal'!$N:$N, A11) +
    COUNTIF('Acompanhamento quinzenal'!$T:$T, A11) +
    COUNTIF('Acompanhamento quinzenal'!$Z:$Z, A11) +
    COUNTIF('Acompanhamento quinzenal'!$AF:$AF, A11)
  )
)
</f>
        <v>-</v>
      </c>
      <c r="W11" s="293" t="str">
        <f>IF(
  (
    COUNTIF('Acompanhamento quinzenal'!$N:$N, A11) +
    COUNTIF('Acompanhamento quinzenal'!$T:$T, A11) +
    COUNTIF('Acompanhamento quinzenal'!$Z:$Z, A11) +
    COUNTIF('Acompanhamento quinzenal'!$AF:$AF, A11)
  ) = 0,
  "-",
  (
    IFERROR(SUMIFS('Acompanhamento quinzenal'!$O:$O, 'Acompanhamento quinzenal'!$N:$N, A11), 0) +
    IFERROR(SUMIFS('Acompanhamento quinzenal'!$U:$U, 'Acompanhamento quinzenal'!$T:$T, A11), 0) +
    IFERROR(SUMIFS('Acompanhamento quinzenal'!$AA:$AA, 'Acompanhamento quinzenal'!$Z:$Z, A11), 0) +
    IFERROR(SUMIFS('Acompanhamento quinzenal'!$AG:$AG, 'Acompanhamento quinzenal'!$AF:$AF, A11), 0)
  ) /
  (
    COUNTIF('Acompanhamento quinzenal'!$N:$N, A11) +
    COUNTIF('Acompanhamento quinzenal'!$T:$T, A11) +
    COUNTIF('Acompanhamento quinzenal'!$Z:$Z, A11) +
    COUNTIF('Acompanhamento quinzenal'!$AF:$AF, A11)
  )
)
</f>
        <v>-</v>
      </c>
      <c r="X11" s="294" t="str">
        <f>IF(
  (
    COUNTIF('Acompanhamento quinzenal'!$N:$N, A11) +
    COUNTIF('Acompanhamento quinzenal'!$T:$T, A11) +
    COUNTIF('Acompanhamento quinzenal'!$Z:$Z, A11) +
    COUNTIF('Acompanhamento quinzenal'!$AF:$AF, A11)
  ) = 0,
  "-",
  (
    IFERROR(SUMIFS('Acompanhamento quinzenal'!$P:$P, 'Acompanhamento quinzenal'!$N:$N, A11), 0) +
    IFERROR(SUMIFS('Acompanhamento quinzenal'!$V:$V, 'Acompanhamento quinzenal'!$T:$T, A11), 0) +
    IFERROR(SUMIFS('Acompanhamento quinzenal'!$AB:$AB, 'Acompanhamento quinzenal'!$Z:$Z, A11), 0) +
    IFERROR(SUMIFS('Acompanhamento quinzenal'!$AH:$AH, 'Acompanhamento quinzenal'!$AF:$AF, A11), 0)
  ) /
  (
    COUNTIF('Acompanhamento quinzenal'!$N:$N, A11) +
    COUNTIF('Acompanhamento quinzenal'!$T:$T, A11) +
    COUNTIF('Acompanhamento quinzenal'!$Z:$Z, A11) +
    COUNTIF('Acompanhamento quinzenal'!$AF:$AF, A11)
  )
)
</f>
        <v>-</v>
      </c>
      <c r="Y11" s="293" t="str">
        <f>IF(
  (
    COUNTIF('Acompanhamento quinzenal'!$N:$N, A11) +
    COUNTIF('Acompanhamento quinzenal'!$T:$T, A11) +
    COUNTIF('Acompanhamento quinzenal'!$Z:$Z, A11) +
    COUNTIF('Acompanhamento quinzenal'!$AF:$AF, A11)
  ) = 0,
  "-",
  (
    IFERROR(SUMIFS('Acompanhamento quinzenal'!$Q:$Q, 'Acompanhamento quinzenal'!$N:$N, A11), 0) +
    IFERROR(SUMIFS('Acompanhamento quinzenal'!$W:$W, 'Acompanhamento quinzenal'!$T:$T, A11), 0) +
    IFERROR(SUMIFS('Acompanhamento quinzenal'!$AC:$AC, 'Acompanhamento quinzenal'!$Z:$Z, A11), 0) +
    IFERROR(SUMIFS('Acompanhamento quinzenal'!$AI:$AI, 'Acompanhamento quinzenal'!$AF:$AF, A11), 0)
  ) /
  (
    COUNTIF('Acompanhamento quinzenal'!$N:$N, A11) +
    COUNTIF('Acompanhamento quinzenal'!$T:$T, A11) +
    COUNTIF('Acompanhamento quinzenal'!$Z:$Z, A11) +
    COUNTIF('Acompanhamento quinzenal'!$AF:$AF, A11)
  )
)
</f>
        <v>-</v>
      </c>
    </row>
    <row r="12" hidden="1">
      <c r="A12" s="291" t="str">
        <f>IFERROR(__xludf.DUMMYFUNCTION("""COMPUTED_VALUE"""),"antoniel.neves")</f>
        <v>antoniel.neves</v>
      </c>
      <c r="B12" s="120" t="str">
        <f>IFERROR(__xludf.DUMMYFUNCTION("""COMPUTED_VALUE"""),"Trainee")</f>
        <v>Trainee</v>
      </c>
      <c r="C12" s="120" t="str">
        <f>IFERROR(__xludf.DUMMYFUNCTION("""COMPUTED_VALUE"""),"NCiv")</f>
        <v>NCiv</v>
      </c>
      <c r="D12" s="292" t="str">
        <f>IFERROR((COUNTIFS(Base!$V:$V,A12,Base!$S:$S,"&gt;8") - COUNTIFS(Base!$V:$V,A12,Base!$S:$S,"&lt;7"))/COUNTIFS(Base!$V:$V,A12,Base!$S:$S,"&lt;&gt;"),"-")</f>
        <v>-</v>
      </c>
      <c r="E12" s="292" t="str">
        <f>IF(
  (
    COUNTIFS(Base!$W:$W, A12, Base!$S:$S, "&lt;&gt;") +
    COUNTIFS(Base!$X:$X, A12, Base!$S:$S, "&lt;&gt;") +
    COUNTIFS(Base!$Y:$Y, A12, Base!$S:$S, "&lt;&gt;") +
    COUNTIFS(Base!$Z:$Z, A12, Base!$S:$S, "&lt;&gt;")
  ) = 0,
  "-",
  (
    COUNTIFS(Base!$W:$W, A12, Base!$S:$S, "&gt;8") - COUNTIFS(Base!$W:$W, A12, Base!$S:$S, "&lt;7") +
    COUNTIFS(Base!$X:$X, A12, Base!$S:$S, "&gt;8") - COUNTIFS(Base!$X:$X, A12, Base!$S:$S, "&lt;7") +
    COUNTIFS(Base!$Y:$Y, A12, Base!$S:$S, "&gt;8") - COUNTIFS(Base!$Y:$Y, A12, Base!$S:$S, "&lt;7") +
    COUNTIFS(Base!$Z:$Z, A12, Base!$S:$S, "&gt;8") - COUNTIFS(Base!$Z:$Z, A12, Base!$S:$S, "&lt;7")
  ) /
  (
    COUNTIFS(Base!$W:$W, A12, Base!$S:$S, "&lt;&gt;") +
    COUNTIFS(Base!$X:$X, A12, Base!$S:$S, "&lt;&gt;") +
    COUNTIFS(Base!$Y:$Y, A12, Base!$S:$S, "&lt;&gt;") +
    COUNTIFS(Base!$Z:$Z, A12, Base!$S:$S, "&lt;&gt;")
  )
)
</f>
        <v>-</v>
      </c>
      <c r="F12" s="290">
        <f>SUMIFS(Base!$N:$N,Base!$V:$V,A12,Base!$N:$N,"&lt;&gt;")-SUMIFS(Base!$K:$K,Base!$V:$V,A12,Base!$N:$N,"&lt;&gt;")-(SUMIFS(Base!$L:$L,Base!$V:$V,A12,Base!$N:$N,"&lt;&gt;")*7)</f>
        <v>0</v>
      </c>
      <c r="G12" s="290"/>
      <c r="H12" s="290">
        <f>SUMIFS(Base!$F:$F,Base!$V:$V,A12,Base!$N:$N,"&lt;&gt;")*7</f>
        <v>0</v>
      </c>
      <c r="I12" s="290"/>
      <c r="J12" s="292" t="str">
        <f t="shared" ref="J12:K12" si="13">IFERROR(F12/H12,"-")</f>
        <v>-</v>
      </c>
      <c r="K12" s="292" t="str">
        <f t="shared" si="13"/>
        <v>-</v>
      </c>
      <c r="L12" s="292" t="str">
        <f>IFERROR((COUNTIFS(Base!$V:$V,A12,Base!$U:$U,TRUE))/(COUNTIFS(Base!$V:$V,A12,Base!$O:$O,"Finalizado")+COUNTIFS(Base!$V:$V,A12,Base!$O:$O,"Concluído")),"-")</f>
        <v>-</v>
      </c>
      <c r="M12" s="292" t="str">
        <f>IF(
  (
    IFERROR(COUNTIF(Base!$W:$W, A12), 0) +
    IFERROR(COUNTIF(Base!$X:$X, A12), 0) +
    IFERROR(COUNTIF(Base!$Y:$Y, A12), 0) +
    IFERROR(COUNTIF(Base!$Z:$Z, A12), 0)
  ) = 0,
  "-",
  IF(
    (
      IFERROR(COUNTIFS(Base!$W:$W, A12, Base!$O:$O, "Finalizado"), 0) +
      IFERROR(COUNTIFS(Base!$W:$W, A12, Base!$O:$O, "Concluído"), 0) +
      IFERROR(COUNTIFS(Base!$X:$X, A12, Base!$O:$O, "Finalizado"), 0) +
      IFERROR(COUNTIFS(Base!$X:$X, A12, Base!$O:$O, "Concluído"), 0) +
      IFERROR(COUNTIFS(Base!$Y:$Y, A12, Base!$O:$O, "Finalizado"), 0) +
      IFERROR(COUNTIFS(Base!$Y:$Y, A12, Base!$O:$O, "Concluído"), 0) +
      IFERROR(COUNTIFS(Base!$Z:$Z, A12, Base!$O:$O, "Finalizado"), 0) +
      IFERROR(COUNTIFS(Base!$Z:$Z, A12, Base!$O:$O, "Concluído"), 0)
    ) = 0,
    "-",
    (
      IFERROR(COUNTIFS(Base!$W:$W, A12, Base!$U:$U, TRUE), 0) +
      IFERROR(COUNTIFS(Base!$X:$X, A12, Base!$U:$U, TRUE), 0) +
      IFERROR(COUNTIFS(Base!$Y:$Y, A12, Base!$U:$U, TRUE), 0) +
      IFERROR(COUNTIFS(Base!$Z:$Z, A12, Base!$U:$U, TRUE), 0)
    ) /
    (
      IFERROR(COUNTIFS(Base!$W:$W, A12, Base!$O:$O, "Finalizado"), 0) +
      IFERROR(COUNTIFS(Base!$W:$W, A12, Base!$O:$O, "Concluído"), 0) +
      IFERROR(COUNTIFS(Base!$X:$X, A12, Base!$O:$O, "Finalizado"), 0) +
      IFERROR(COUNTIFS(Base!$X:$X, A12, Base!$O:$O, "Concluído"), 0) +
      IFERROR(COUNTIFS(Base!$Y:$Y, A12, Base!$O:$O, "Finalizado"), 0) +
      IFERROR(COUNTIFS(Base!$Y:$Y, A12, Base!$O:$O, "Concluído"), 0) +
      IFERROR(COUNTIFS(Base!$Z:$Z, A12, Base!$O:$O, "Finalizado"), 0) +
      IFERROR(COUNTIFS(Base!$Z:$Z, A12, Base!$O:$O, "Concluído"), 0)
    )
  )
)
</f>
        <v>-</v>
      </c>
      <c r="N12" s="120">
        <f>COUNTIF(Base!V:V,$A12)</f>
        <v>0</v>
      </c>
      <c r="O12" s="120">
        <f>COUNTIF(Base!W:W,$A12)</f>
        <v>0</v>
      </c>
      <c r="P12" s="120">
        <f>COUNTIF(Base!X:X,$A12)</f>
        <v>0</v>
      </c>
      <c r="Q12" s="120">
        <f>COUNTIF(Base!Y:Y,$A12)</f>
        <v>0</v>
      </c>
      <c r="R12" s="120">
        <f>COUNTIF(Base!Z:Z,$A12)</f>
        <v>0</v>
      </c>
      <c r="S12" s="120">
        <f t="shared" si="3"/>
        <v>0</v>
      </c>
      <c r="T12" s="120">
        <f t="shared" si="4"/>
        <v>0</v>
      </c>
      <c r="V12" s="293" t="str">
        <f>IF(
  (
    COUNTIF('Acompanhamento quinzenal'!$N:$N, A12) +
    COUNTIF('Acompanhamento quinzenal'!$T:$T, A12) +
    COUNTIF('Acompanhamento quinzenal'!$Z:$Z, A12) +
    COUNTIF('Acompanhamento quinzenal'!$AF:$AF, A12)
  ) = 0,
  "-",
  (
    IFERROR(SUMIFS('Acompanhamento quinzenal'!$S:$S, 'Acompanhamento quinzenal'!$N:$N, A12), 0) +
    IFERROR(SUMIFS('Acompanhamento quinzenal'!$Y:$Y, 'Acompanhamento quinzenal'!$T:$T, A12), 0) +
    IFERROR(SUMIFS('Acompanhamento quinzenal'!$AE:$AE, 'Acompanhamento quinzenal'!$Z:$Z, A12), 0) +
    IFERROR(SUMIFS('Acompanhamento quinzenal'!$AK:$AK, 'Acompanhamento quinzenal'!$AF:$AF, A12), 0)
  ) /
  (
    COUNTIF('Acompanhamento quinzenal'!$N:$N, A12) +
    COUNTIF('Acompanhamento quinzenal'!$T:$T, A12) +
    COUNTIF('Acompanhamento quinzenal'!$Z:$Z, A12) +
    COUNTIF('Acompanhamento quinzenal'!$AF:$AF, A12)
  )
)
</f>
        <v>-</v>
      </c>
      <c r="W12" s="293" t="str">
        <f>IF(
  (
    COUNTIF('Acompanhamento quinzenal'!$N:$N, A12) +
    COUNTIF('Acompanhamento quinzenal'!$T:$T, A12) +
    COUNTIF('Acompanhamento quinzenal'!$Z:$Z, A12) +
    COUNTIF('Acompanhamento quinzenal'!$AF:$AF, A12)
  ) = 0,
  "-",
  (
    IFERROR(SUMIFS('Acompanhamento quinzenal'!$O:$O, 'Acompanhamento quinzenal'!$N:$N, A12), 0) +
    IFERROR(SUMIFS('Acompanhamento quinzenal'!$U:$U, 'Acompanhamento quinzenal'!$T:$T, A12), 0) +
    IFERROR(SUMIFS('Acompanhamento quinzenal'!$AA:$AA, 'Acompanhamento quinzenal'!$Z:$Z, A12), 0) +
    IFERROR(SUMIFS('Acompanhamento quinzenal'!$AG:$AG, 'Acompanhamento quinzenal'!$AF:$AF, A12), 0)
  ) /
  (
    COUNTIF('Acompanhamento quinzenal'!$N:$N, A12) +
    COUNTIF('Acompanhamento quinzenal'!$T:$T, A12) +
    COUNTIF('Acompanhamento quinzenal'!$Z:$Z, A12) +
    COUNTIF('Acompanhamento quinzenal'!$AF:$AF, A12)
  )
)
</f>
        <v>-</v>
      </c>
      <c r="X12" s="294" t="str">
        <f>IF(
  (
    COUNTIF('Acompanhamento quinzenal'!$N:$N, A12) +
    COUNTIF('Acompanhamento quinzenal'!$T:$T, A12) +
    COUNTIF('Acompanhamento quinzenal'!$Z:$Z, A12) +
    COUNTIF('Acompanhamento quinzenal'!$AF:$AF, A12)
  ) = 0,
  "-",
  (
    IFERROR(SUMIFS('Acompanhamento quinzenal'!$P:$P, 'Acompanhamento quinzenal'!$N:$N, A12), 0) +
    IFERROR(SUMIFS('Acompanhamento quinzenal'!$V:$V, 'Acompanhamento quinzenal'!$T:$T, A12), 0) +
    IFERROR(SUMIFS('Acompanhamento quinzenal'!$AB:$AB, 'Acompanhamento quinzenal'!$Z:$Z, A12), 0) +
    IFERROR(SUMIFS('Acompanhamento quinzenal'!$AH:$AH, 'Acompanhamento quinzenal'!$AF:$AF, A12), 0)
  ) /
  (
    COUNTIF('Acompanhamento quinzenal'!$N:$N, A12) +
    COUNTIF('Acompanhamento quinzenal'!$T:$T, A12) +
    COUNTIF('Acompanhamento quinzenal'!$Z:$Z, A12) +
    COUNTIF('Acompanhamento quinzenal'!$AF:$AF, A12)
  )
)
</f>
        <v>-</v>
      </c>
      <c r="Y12" s="293" t="str">
        <f>IF(
  (
    COUNTIF('Acompanhamento quinzenal'!$N:$N, A12) +
    COUNTIF('Acompanhamento quinzenal'!$T:$T, A12) +
    COUNTIF('Acompanhamento quinzenal'!$Z:$Z, A12) +
    COUNTIF('Acompanhamento quinzenal'!$AF:$AF, A12)
  ) = 0,
  "-",
  (
    IFERROR(SUMIFS('Acompanhamento quinzenal'!$Q:$Q, 'Acompanhamento quinzenal'!$N:$N, A12), 0) +
    IFERROR(SUMIFS('Acompanhamento quinzenal'!$W:$W, 'Acompanhamento quinzenal'!$T:$T, A12), 0) +
    IFERROR(SUMIFS('Acompanhamento quinzenal'!$AC:$AC, 'Acompanhamento quinzenal'!$Z:$Z, A12), 0) +
    IFERROR(SUMIFS('Acompanhamento quinzenal'!$AI:$AI, 'Acompanhamento quinzenal'!$AF:$AF, A12), 0)
  ) /
  (
    COUNTIF('Acompanhamento quinzenal'!$N:$N, A12) +
    COUNTIF('Acompanhamento quinzenal'!$T:$T, A12) +
    COUNTIF('Acompanhamento quinzenal'!$Z:$Z, A12) +
    COUNTIF('Acompanhamento quinzenal'!$AF:$AF, A12)
  )
)
</f>
        <v>-</v>
      </c>
    </row>
    <row r="13" hidden="1">
      <c r="A13" s="291" t="str">
        <f>IFERROR(__xludf.DUMMYFUNCTION("""COMPUTED_VALUE"""),"antonio.coelho")</f>
        <v>antonio.coelho</v>
      </c>
      <c r="B13" s="120" t="str">
        <f>IFERROR(__xludf.DUMMYFUNCTION("""COMPUTED_VALUE"""),"Diretor")</f>
        <v>Diretor</v>
      </c>
      <c r="C13" s="120" t="str">
        <f>IFERROR(__xludf.DUMMYFUNCTION("""COMPUTED_VALUE"""),"Anucleado")</f>
        <v>Anucleado</v>
      </c>
      <c r="D13" s="292">
        <f>IFERROR((COUNTIFS(Base!$V:$V,A13,Base!$S:$S,"&gt;8") - COUNTIFS(Base!$V:$V,A13,Base!$S:$S,"&lt;7"))/COUNTIFS(Base!$V:$V,A13,Base!$S:$S,"&lt;&gt;"),"-")</f>
        <v>1</v>
      </c>
      <c r="E13" s="292" t="str">
        <f>IF(
  (
    COUNTIFS(Base!$W:$W, A13, Base!$S:$S, "&lt;&gt;") +
    COUNTIFS(Base!$X:$X, A13, Base!$S:$S, "&lt;&gt;") +
    COUNTIFS(Base!$Y:$Y, A13, Base!$S:$S, "&lt;&gt;") +
    COUNTIFS(Base!$Z:$Z, A13, Base!$S:$S, "&lt;&gt;")
  ) = 0,
  "-",
  (
    COUNTIFS(Base!$W:$W, A13, Base!$S:$S, "&gt;8") - COUNTIFS(Base!$W:$W, A13, Base!$S:$S, "&lt;7") +
    COUNTIFS(Base!$X:$X, A13, Base!$S:$S, "&gt;8") - COUNTIFS(Base!$X:$X, A13, Base!$S:$S, "&lt;7") +
    COUNTIFS(Base!$Y:$Y, A13, Base!$S:$S, "&gt;8") - COUNTIFS(Base!$Y:$Y, A13, Base!$S:$S, "&lt;7") +
    COUNTIFS(Base!$Z:$Z, A13, Base!$S:$S, "&gt;8") - COUNTIFS(Base!$Z:$Z, A13, Base!$S:$S, "&lt;7")
  ) /
  (
    COUNTIFS(Base!$W:$W, A13, Base!$S:$S, "&lt;&gt;") +
    COUNTIFS(Base!$X:$X, A13, Base!$S:$S, "&lt;&gt;") +
    COUNTIFS(Base!$Y:$Y, A13, Base!$S:$S, "&lt;&gt;") +
    COUNTIFS(Base!$Z:$Z, A13, Base!$S:$S, "&lt;&gt;")
  )
)
</f>
        <v>-</v>
      </c>
      <c r="F13" s="290">
        <f>SUMIFS(Base!$N:$N,Base!$V:$V,A13,Base!$N:$N,"&lt;&gt;")-SUMIFS(Base!$K:$K,Base!$V:$V,A13,Base!$N:$N,"&lt;&gt;")-(SUMIFS(Base!$L:$L,Base!$V:$V,A13,Base!$N:$N,"&lt;&gt;")*7)</f>
        <v>61</v>
      </c>
      <c r="G13" s="290"/>
      <c r="H13" s="290">
        <f>SUMIFS(Base!$F:$F,Base!$V:$V,A13,Base!$N:$N,"&lt;&gt;")*7</f>
        <v>63</v>
      </c>
      <c r="I13" s="290"/>
      <c r="J13" s="292">
        <f t="shared" ref="J13:K13" si="14">IFERROR(F13/H13,"-")</f>
        <v>0.9682539683</v>
      </c>
      <c r="K13" s="292" t="str">
        <f t="shared" si="14"/>
        <v>-</v>
      </c>
      <c r="L13" s="292">
        <f>IFERROR((COUNTIFS(Base!$V:$V,A13,Base!$U:$U,TRUE))/(COUNTIFS(Base!$V:$V,A13,Base!$O:$O,"Finalizado")+COUNTIFS(Base!$V:$V,A13,Base!$O:$O,"Concluído")),"-")</f>
        <v>1</v>
      </c>
      <c r="M13" s="292" t="str">
        <f>IF(
  (
    IFERROR(COUNTIF(Base!$W:$W, A13), 0) +
    IFERROR(COUNTIF(Base!$X:$X, A13), 0) +
    IFERROR(COUNTIF(Base!$Y:$Y, A13), 0) +
    IFERROR(COUNTIF(Base!$Z:$Z, A13), 0)
  ) = 0,
  "-",
  IF(
    (
      IFERROR(COUNTIFS(Base!$W:$W, A13, Base!$O:$O, "Finalizado"), 0) +
      IFERROR(COUNTIFS(Base!$W:$W, A13, Base!$O:$O, "Concluído"), 0) +
      IFERROR(COUNTIFS(Base!$X:$X, A13, Base!$O:$O, "Finalizado"), 0) +
      IFERROR(COUNTIFS(Base!$X:$X, A13, Base!$O:$O, "Concluído"), 0) +
      IFERROR(COUNTIFS(Base!$Y:$Y, A13, Base!$O:$O, "Finalizado"), 0) +
      IFERROR(COUNTIFS(Base!$Y:$Y, A13, Base!$O:$O, "Concluído"), 0) +
      IFERROR(COUNTIFS(Base!$Z:$Z, A13, Base!$O:$O, "Finalizado"), 0) +
      IFERROR(COUNTIFS(Base!$Z:$Z, A13, Base!$O:$O, "Concluído"), 0)
    ) = 0,
    "-",
    (
      IFERROR(COUNTIFS(Base!$W:$W, A13, Base!$U:$U, TRUE), 0) +
      IFERROR(COUNTIFS(Base!$X:$X, A13, Base!$U:$U, TRUE), 0) +
      IFERROR(COUNTIFS(Base!$Y:$Y, A13, Base!$U:$U, TRUE), 0) +
      IFERROR(COUNTIFS(Base!$Z:$Z, A13, Base!$U:$U, TRUE), 0)
    ) /
    (
      IFERROR(COUNTIFS(Base!$W:$W, A13, Base!$O:$O, "Finalizado"), 0) +
      IFERROR(COUNTIFS(Base!$W:$W, A13, Base!$O:$O, "Concluído"), 0) +
      IFERROR(COUNTIFS(Base!$X:$X, A13, Base!$O:$O, "Finalizado"), 0) +
      IFERROR(COUNTIFS(Base!$X:$X, A13, Base!$O:$O, "Concluído"), 0) +
      IFERROR(COUNTIFS(Base!$Y:$Y, A13, Base!$O:$O, "Finalizado"), 0) +
      IFERROR(COUNTIFS(Base!$Y:$Y, A13, Base!$O:$O, "Concluído"), 0) +
      IFERROR(COUNTIFS(Base!$Z:$Z, A13, Base!$O:$O, "Finalizado"), 0) +
      IFERROR(COUNTIFS(Base!$Z:$Z, A13, Base!$O:$O, "Concluído"), 0)
    )
  )
)
</f>
        <v>-</v>
      </c>
      <c r="N13" s="120">
        <f>COUNTIF(Base!V:V,$A13)</f>
        <v>1</v>
      </c>
      <c r="O13" s="120">
        <f>COUNTIF(Base!W:W,$A13)</f>
        <v>0</v>
      </c>
      <c r="P13" s="120">
        <f>COUNTIF(Base!X:X,$A13)</f>
        <v>0</v>
      </c>
      <c r="Q13" s="120">
        <f>COUNTIF(Base!Y:Y,$A13)</f>
        <v>0</v>
      </c>
      <c r="R13" s="120">
        <f>COUNTIF(Base!Z:Z,$A13)</f>
        <v>0</v>
      </c>
      <c r="S13" s="120">
        <f t="shared" si="3"/>
        <v>1</v>
      </c>
      <c r="T13" s="120">
        <f t="shared" si="4"/>
        <v>0</v>
      </c>
      <c r="V13" s="293" t="str">
        <f>IF(
  (
    COUNTIF('Acompanhamento quinzenal'!$N:$N, A13) +
    COUNTIF('Acompanhamento quinzenal'!$T:$T, A13) +
    COUNTIF('Acompanhamento quinzenal'!$Z:$Z, A13) +
    COUNTIF('Acompanhamento quinzenal'!$AF:$AF, A13)
  ) = 0,
  "-",
  (
    IFERROR(SUMIFS('Acompanhamento quinzenal'!$S:$S, 'Acompanhamento quinzenal'!$N:$N, A13), 0) +
    IFERROR(SUMIFS('Acompanhamento quinzenal'!$Y:$Y, 'Acompanhamento quinzenal'!$T:$T, A13), 0) +
    IFERROR(SUMIFS('Acompanhamento quinzenal'!$AE:$AE, 'Acompanhamento quinzenal'!$Z:$Z, A13), 0) +
    IFERROR(SUMIFS('Acompanhamento quinzenal'!$AK:$AK, 'Acompanhamento quinzenal'!$AF:$AF, A13), 0)
  ) /
  (
    COUNTIF('Acompanhamento quinzenal'!$N:$N, A13) +
    COUNTIF('Acompanhamento quinzenal'!$T:$T, A13) +
    COUNTIF('Acompanhamento quinzenal'!$Z:$Z, A13) +
    COUNTIF('Acompanhamento quinzenal'!$AF:$AF, A13)
  )
)
</f>
        <v>-</v>
      </c>
      <c r="W13" s="293" t="str">
        <f>IF(
  (
    COUNTIF('Acompanhamento quinzenal'!$N:$N, A13) +
    COUNTIF('Acompanhamento quinzenal'!$T:$T, A13) +
    COUNTIF('Acompanhamento quinzenal'!$Z:$Z, A13) +
    COUNTIF('Acompanhamento quinzenal'!$AF:$AF, A13)
  ) = 0,
  "-",
  (
    IFERROR(SUMIFS('Acompanhamento quinzenal'!$O:$O, 'Acompanhamento quinzenal'!$N:$N, A13), 0) +
    IFERROR(SUMIFS('Acompanhamento quinzenal'!$U:$U, 'Acompanhamento quinzenal'!$T:$T, A13), 0) +
    IFERROR(SUMIFS('Acompanhamento quinzenal'!$AA:$AA, 'Acompanhamento quinzenal'!$Z:$Z, A13), 0) +
    IFERROR(SUMIFS('Acompanhamento quinzenal'!$AG:$AG, 'Acompanhamento quinzenal'!$AF:$AF, A13), 0)
  ) /
  (
    COUNTIF('Acompanhamento quinzenal'!$N:$N, A13) +
    COUNTIF('Acompanhamento quinzenal'!$T:$T, A13) +
    COUNTIF('Acompanhamento quinzenal'!$Z:$Z, A13) +
    COUNTIF('Acompanhamento quinzenal'!$AF:$AF, A13)
  )
)
</f>
        <v>-</v>
      </c>
      <c r="X13" s="294" t="str">
        <f>IF(
  (
    COUNTIF('Acompanhamento quinzenal'!$N:$N, A13) +
    COUNTIF('Acompanhamento quinzenal'!$T:$T, A13) +
    COUNTIF('Acompanhamento quinzenal'!$Z:$Z, A13) +
    COUNTIF('Acompanhamento quinzenal'!$AF:$AF, A13)
  ) = 0,
  "-",
  (
    IFERROR(SUMIFS('Acompanhamento quinzenal'!$P:$P, 'Acompanhamento quinzenal'!$N:$N, A13), 0) +
    IFERROR(SUMIFS('Acompanhamento quinzenal'!$V:$V, 'Acompanhamento quinzenal'!$T:$T, A13), 0) +
    IFERROR(SUMIFS('Acompanhamento quinzenal'!$AB:$AB, 'Acompanhamento quinzenal'!$Z:$Z, A13), 0) +
    IFERROR(SUMIFS('Acompanhamento quinzenal'!$AH:$AH, 'Acompanhamento quinzenal'!$AF:$AF, A13), 0)
  ) /
  (
    COUNTIF('Acompanhamento quinzenal'!$N:$N, A13) +
    COUNTIF('Acompanhamento quinzenal'!$T:$T, A13) +
    COUNTIF('Acompanhamento quinzenal'!$Z:$Z, A13) +
    COUNTIF('Acompanhamento quinzenal'!$AF:$AF, A13)
  )
)
</f>
        <v>-</v>
      </c>
      <c r="Y13" s="293" t="str">
        <f>IF(
  (
    COUNTIF('Acompanhamento quinzenal'!$N:$N, A13) +
    COUNTIF('Acompanhamento quinzenal'!$T:$T, A13) +
    COUNTIF('Acompanhamento quinzenal'!$Z:$Z, A13) +
    COUNTIF('Acompanhamento quinzenal'!$AF:$AF, A13)
  ) = 0,
  "-",
  (
    IFERROR(SUMIFS('Acompanhamento quinzenal'!$Q:$Q, 'Acompanhamento quinzenal'!$N:$N, A13), 0) +
    IFERROR(SUMIFS('Acompanhamento quinzenal'!$W:$W, 'Acompanhamento quinzenal'!$T:$T, A13), 0) +
    IFERROR(SUMIFS('Acompanhamento quinzenal'!$AC:$AC, 'Acompanhamento quinzenal'!$Z:$Z, A13), 0) +
    IFERROR(SUMIFS('Acompanhamento quinzenal'!$AI:$AI, 'Acompanhamento quinzenal'!$AF:$AF, A13), 0)
  ) /
  (
    COUNTIF('Acompanhamento quinzenal'!$N:$N, A13) +
    COUNTIF('Acompanhamento quinzenal'!$T:$T, A13) +
    COUNTIF('Acompanhamento quinzenal'!$Z:$Z, A13) +
    COUNTIF('Acompanhamento quinzenal'!$AF:$AF, A13)
  )
)
</f>
        <v>-</v>
      </c>
      <c r="AA13" s="295" t="s">
        <v>493</v>
      </c>
    </row>
    <row r="14" hidden="1">
      <c r="A14" s="291" t="str">
        <f>IFERROR(__xludf.DUMMYFUNCTION("""COMPUTED_VALUE"""),"antonio.rezende")</f>
        <v>antonio.rezende</v>
      </c>
      <c r="B14" s="120" t="str">
        <f>IFERROR(__xludf.DUMMYFUNCTION("""COMPUTED_VALUE"""),"Trainee")</f>
        <v>Trainee</v>
      </c>
      <c r="C14" s="120" t="str">
        <f>IFERROR(__xludf.DUMMYFUNCTION("""COMPUTED_VALUE"""),"NTec")</f>
        <v>NTec</v>
      </c>
      <c r="D14" s="292" t="str">
        <f>IFERROR((COUNTIFS(Base!$V:$V,A14,Base!$S:$S,"&gt;8") - COUNTIFS(Base!$V:$V,A14,Base!$S:$S,"&lt;7"))/COUNTIFS(Base!$V:$V,A14,Base!$S:$S,"&lt;&gt;"),"-")</f>
        <v>-</v>
      </c>
      <c r="E14" s="292" t="str">
        <f>IF(
  (
    COUNTIFS(Base!$W:$W, A14, Base!$S:$S, "&lt;&gt;") +
    COUNTIFS(Base!$X:$X, A14, Base!$S:$S, "&lt;&gt;") +
    COUNTIFS(Base!$Y:$Y, A14, Base!$S:$S, "&lt;&gt;") +
    COUNTIFS(Base!$Z:$Z, A14, Base!$S:$S, "&lt;&gt;")
  ) = 0,
  "-",
  (
    COUNTIFS(Base!$W:$W, A14, Base!$S:$S, "&gt;8") - COUNTIFS(Base!$W:$W, A14, Base!$S:$S, "&lt;7") +
    COUNTIFS(Base!$X:$X, A14, Base!$S:$S, "&gt;8") - COUNTIFS(Base!$X:$X, A14, Base!$S:$S, "&lt;7") +
    COUNTIFS(Base!$Y:$Y, A14, Base!$S:$S, "&gt;8") - COUNTIFS(Base!$Y:$Y, A14, Base!$S:$S, "&lt;7") +
    COUNTIFS(Base!$Z:$Z, A14, Base!$S:$S, "&gt;8") - COUNTIFS(Base!$Z:$Z, A14, Base!$S:$S, "&lt;7")
  ) /
  (
    COUNTIFS(Base!$W:$W, A14, Base!$S:$S, "&lt;&gt;") +
    COUNTIFS(Base!$X:$X, A14, Base!$S:$S, "&lt;&gt;") +
    COUNTIFS(Base!$Y:$Y, A14, Base!$S:$S, "&lt;&gt;") +
    COUNTIFS(Base!$Z:$Z, A14, Base!$S:$S, "&lt;&gt;")
  )
)
</f>
        <v>-</v>
      </c>
      <c r="F14" s="290">
        <f>SUMIFS(Base!$N:$N,Base!$V:$V,A14,Base!$N:$N,"&lt;&gt;")-SUMIFS(Base!$K:$K,Base!$V:$V,A14,Base!$N:$N,"&lt;&gt;")-(SUMIFS(Base!$L:$L,Base!$V:$V,A14,Base!$N:$N,"&lt;&gt;")*7)</f>
        <v>0</v>
      </c>
      <c r="G14" s="290"/>
      <c r="H14" s="290">
        <f>SUMIFS(Base!$F:$F,Base!$V:$V,A14,Base!$N:$N,"&lt;&gt;")*7</f>
        <v>0</v>
      </c>
      <c r="I14" s="290"/>
      <c r="J14" s="292" t="str">
        <f t="shared" ref="J14:K14" si="15">IFERROR(F14/H14,"-")</f>
        <v>-</v>
      </c>
      <c r="K14" s="292" t="str">
        <f t="shared" si="15"/>
        <v>-</v>
      </c>
      <c r="L14" s="292" t="str">
        <f>IFERROR((COUNTIFS(Base!$V:$V,A14,Base!$U:$U,TRUE))/(COUNTIFS(Base!$V:$V,A14,Base!$O:$O,"Finalizado")+COUNTIFS(Base!$V:$V,A14,Base!$O:$O,"Concluído")),"-")</f>
        <v>-</v>
      </c>
      <c r="M14" s="292" t="str">
        <f>IF(
  (
    IFERROR(COUNTIF(Base!$W:$W, A14), 0) +
    IFERROR(COUNTIF(Base!$X:$X, A14), 0) +
    IFERROR(COUNTIF(Base!$Y:$Y, A14), 0) +
    IFERROR(COUNTIF(Base!$Z:$Z, A14), 0)
  ) = 0,
  "-",
  IF(
    (
      IFERROR(COUNTIFS(Base!$W:$W, A14, Base!$O:$O, "Finalizado"), 0) +
      IFERROR(COUNTIFS(Base!$W:$W, A14, Base!$O:$O, "Concluído"), 0) +
      IFERROR(COUNTIFS(Base!$X:$X, A14, Base!$O:$O, "Finalizado"), 0) +
      IFERROR(COUNTIFS(Base!$X:$X, A14, Base!$O:$O, "Concluído"), 0) +
      IFERROR(COUNTIFS(Base!$Y:$Y, A14, Base!$O:$O, "Finalizado"), 0) +
      IFERROR(COUNTIFS(Base!$Y:$Y, A14, Base!$O:$O, "Concluído"), 0) +
      IFERROR(COUNTIFS(Base!$Z:$Z, A14, Base!$O:$O, "Finalizado"), 0) +
      IFERROR(COUNTIFS(Base!$Z:$Z, A14, Base!$O:$O, "Concluído"), 0)
    ) = 0,
    "-",
    (
      IFERROR(COUNTIFS(Base!$W:$W, A14, Base!$U:$U, TRUE), 0) +
      IFERROR(COUNTIFS(Base!$X:$X, A14, Base!$U:$U, TRUE), 0) +
      IFERROR(COUNTIFS(Base!$Y:$Y, A14, Base!$U:$U, TRUE), 0) +
      IFERROR(COUNTIFS(Base!$Z:$Z, A14, Base!$U:$U, TRUE), 0)
    ) /
    (
      IFERROR(COUNTIFS(Base!$W:$W, A14, Base!$O:$O, "Finalizado"), 0) +
      IFERROR(COUNTIFS(Base!$W:$W, A14, Base!$O:$O, "Concluído"), 0) +
      IFERROR(COUNTIFS(Base!$X:$X, A14, Base!$O:$O, "Finalizado"), 0) +
      IFERROR(COUNTIFS(Base!$X:$X, A14, Base!$O:$O, "Concluído"), 0) +
      IFERROR(COUNTIFS(Base!$Y:$Y, A14, Base!$O:$O, "Finalizado"), 0) +
      IFERROR(COUNTIFS(Base!$Y:$Y, A14, Base!$O:$O, "Concluído"), 0) +
      IFERROR(COUNTIFS(Base!$Z:$Z, A14, Base!$O:$O, "Finalizado"), 0) +
      IFERROR(COUNTIFS(Base!$Z:$Z, A14, Base!$O:$O, "Concluído"), 0)
    )
  )
)
</f>
        <v>-</v>
      </c>
      <c r="N14" s="120">
        <f>COUNTIF(Base!V:V,$A14)</f>
        <v>0</v>
      </c>
      <c r="O14" s="120">
        <f>COUNTIF(Base!W:W,$A14)</f>
        <v>0</v>
      </c>
      <c r="P14" s="120">
        <f>COUNTIF(Base!X:X,$A14)</f>
        <v>0</v>
      </c>
      <c r="Q14" s="120">
        <f>COUNTIF(Base!Y:Y,$A14)</f>
        <v>0</v>
      </c>
      <c r="R14" s="120">
        <f>COUNTIF(Base!Z:Z,$A14)</f>
        <v>0</v>
      </c>
      <c r="S14" s="120">
        <f t="shared" si="3"/>
        <v>0</v>
      </c>
      <c r="T14" s="120">
        <f t="shared" si="4"/>
        <v>0</v>
      </c>
      <c r="V14" s="293" t="str">
        <f>IF(
  (
    COUNTIF('Acompanhamento quinzenal'!$N:$N, A14) +
    COUNTIF('Acompanhamento quinzenal'!$T:$T, A14) +
    COUNTIF('Acompanhamento quinzenal'!$Z:$Z, A14) +
    COUNTIF('Acompanhamento quinzenal'!$AF:$AF, A14)
  ) = 0,
  "-",
  (
    IFERROR(SUMIFS('Acompanhamento quinzenal'!$S:$S, 'Acompanhamento quinzenal'!$N:$N, A14), 0) +
    IFERROR(SUMIFS('Acompanhamento quinzenal'!$Y:$Y, 'Acompanhamento quinzenal'!$T:$T, A14), 0) +
    IFERROR(SUMIFS('Acompanhamento quinzenal'!$AE:$AE, 'Acompanhamento quinzenal'!$Z:$Z, A14), 0) +
    IFERROR(SUMIFS('Acompanhamento quinzenal'!$AK:$AK, 'Acompanhamento quinzenal'!$AF:$AF, A14), 0)
  ) /
  (
    COUNTIF('Acompanhamento quinzenal'!$N:$N, A14) +
    COUNTIF('Acompanhamento quinzenal'!$T:$T, A14) +
    COUNTIF('Acompanhamento quinzenal'!$Z:$Z, A14) +
    COUNTIF('Acompanhamento quinzenal'!$AF:$AF, A14)
  )
)
</f>
        <v>-</v>
      </c>
      <c r="W14" s="293" t="str">
        <f>IF(
  (
    COUNTIF('Acompanhamento quinzenal'!$N:$N, A14) +
    COUNTIF('Acompanhamento quinzenal'!$T:$T, A14) +
    COUNTIF('Acompanhamento quinzenal'!$Z:$Z, A14) +
    COUNTIF('Acompanhamento quinzenal'!$AF:$AF, A14)
  ) = 0,
  "-",
  (
    IFERROR(SUMIFS('Acompanhamento quinzenal'!$O:$O, 'Acompanhamento quinzenal'!$N:$N, A14), 0) +
    IFERROR(SUMIFS('Acompanhamento quinzenal'!$U:$U, 'Acompanhamento quinzenal'!$T:$T, A14), 0) +
    IFERROR(SUMIFS('Acompanhamento quinzenal'!$AA:$AA, 'Acompanhamento quinzenal'!$Z:$Z, A14), 0) +
    IFERROR(SUMIFS('Acompanhamento quinzenal'!$AG:$AG, 'Acompanhamento quinzenal'!$AF:$AF, A14), 0)
  ) /
  (
    COUNTIF('Acompanhamento quinzenal'!$N:$N, A14) +
    COUNTIF('Acompanhamento quinzenal'!$T:$T, A14) +
    COUNTIF('Acompanhamento quinzenal'!$Z:$Z, A14) +
    COUNTIF('Acompanhamento quinzenal'!$AF:$AF, A14)
  )
)
</f>
        <v>-</v>
      </c>
      <c r="X14" s="294" t="str">
        <f>IF(
  (
    COUNTIF('Acompanhamento quinzenal'!$N:$N, A14) +
    COUNTIF('Acompanhamento quinzenal'!$T:$T, A14) +
    COUNTIF('Acompanhamento quinzenal'!$Z:$Z, A14) +
    COUNTIF('Acompanhamento quinzenal'!$AF:$AF, A14)
  ) = 0,
  "-",
  (
    IFERROR(SUMIFS('Acompanhamento quinzenal'!$P:$P, 'Acompanhamento quinzenal'!$N:$N, A14), 0) +
    IFERROR(SUMIFS('Acompanhamento quinzenal'!$V:$V, 'Acompanhamento quinzenal'!$T:$T, A14), 0) +
    IFERROR(SUMIFS('Acompanhamento quinzenal'!$AB:$AB, 'Acompanhamento quinzenal'!$Z:$Z, A14), 0) +
    IFERROR(SUMIFS('Acompanhamento quinzenal'!$AH:$AH, 'Acompanhamento quinzenal'!$AF:$AF, A14), 0)
  ) /
  (
    COUNTIF('Acompanhamento quinzenal'!$N:$N, A14) +
    COUNTIF('Acompanhamento quinzenal'!$T:$T, A14) +
    COUNTIF('Acompanhamento quinzenal'!$Z:$Z, A14) +
    COUNTIF('Acompanhamento quinzenal'!$AF:$AF, A14)
  )
)
</f>
        <v>-</v>
      </c>
      <c r="Y14" s="293" t="str">
        <f>IF(
  (
    COUNTIF('Acompanhamento quinzenal'!$N:$N, A14) +
    COUNTIF('Acompanhamento quinzenal'!$T:$T, A14) +
    COUNTIF('Acompanhamento quinzenal'!$Z:$Z, A14) +
    COUNTIF('Acompanhamento quinzenal'!$AF:$AF, A14)
  ) = 0,
  "-",
  (
    IFERROR(SUMIFS('Acompanhamento quinzenal'!$Q:$Q, 'Acompanhamento quinzenal'!$N:$N, A14), 0) +
    IFERROR(SUMIFS('Acompanhamento quinzenal'!$W:$W, 'Acompanhamento quinzenal'!$T:$T, A14), 0) +
    IFERROR(SUMIFS('Acompanhamento quinzenal'!$AC:$AC, 'Acompanhamento quinzenal'!$Z:$Z, A14), 0) +
    IFERROR(SUMIFS('Acompanhamento quinzenal'!$AI:$AI, 'Acompanhamento quinzenal'!$AF:$AF, A14), 0)
  ) /
  (
    COUNTIF('Acompanhamento quinzenal'!$N:$N, A14) +
    COUNTIF('Acompanhamento quinzenal'!$T:$T, A14) +
    COUNTIF('Acompanhamento quinzenal'!$Z:$Z, A14) +
    COUNTIF('Acompanhamento quinzenal'!$AF:$AF, A14)
  )
)
</f>
        <v>-</v>
      </c>
      <c r="AA14" s="96" t="s">
        <v>44</v>
      </c>
      <c r="AB14" s="96">
        <v>3.0</v>
      </c>
    </row>
    <row r="15">
      <c r="A15" s="291" t="str">
        <f>IFERROR(__xludf.DUMMYFUNCTION("""COMPUTED_VALUE"""),"arthur.daisuke")</f>
        <v>arthur.daisuke</v>
      </c>
      <c r="B15" s="120" t="str">
        <f>IFERROR(__xludf.DUMMYFUNCTION("""COMPUTED_VALUE"""),"Consultor")</f>
        <v>Consultor</v>
      </c>
      <c r="C15" s="120" t="str">
        <f>IFERROR(__xludf.DUMMYFUNCTION("""COMPUTED_VALUE"""),"NDados")</f>
        <v>NDados</v>
      </c>
      <c r="D15" s="292" t="str">
        <f>IFERROR((COUNTIFS(Base!$V:$V,A15,Base!$S:$S,"&gt;8") - COUNTIFS(Base!$V:$V,A15,Base!$S:$S,"&lt;7"))/COUNTIFS(Base!$V:$V,A15,Base!$S:$S,"&lt;&gt;"),"-")</f>
        <v>-</v>
      </c>
      <c r="E15" s="292" t="str">
        <f>IF(
  (
    COUNTIFS(Base!$W:$W, A15, Base!$S:$S, "&lt;&gt;") +
    COUNTIFS(Base!$X:$X, A15, Base!$S:$S, "&lt;&gt;") +
    COUNTIFS(Base!$Y:$Y, A15, Base!$S:$S, "&lt;&gt;") +
    COUNTIFS(Base!$Z:$Z, A15, Base!$S:$S, "&lt;&gt;")
  ) = 0,
  "-",
  (
    COUNTIFS(Base!$W:$W, A15, Base!$S:$S, "&gt;8") - COUNTIFS(Base!$W:$W, A15, Base!$S:$S, "&lt;7") +
    COUNTIFS(Base!$X:$X, A15, Base!$S:$S, "&gt;8") - COUNTIFS(Base!$X:$X, A15, Base!$S:$S, "&lt;7") +
    COUNTIFS(Base!$Y:$Y, A15, Base!$S:$S, "&gt;8") - COUNTIFS(Base!$Y:$Y, A15, Base!$S:$S, "&lt;7") +
    COUNTIFS(Base!$Z:$Z, A15, Base!$S:$S, "&gt;8") - COUNTIFS(Base!$Z:$Z, A15, Base!$S:$S, "&lt;7")
  ) /
  (
    COUNTIFS(Base!$W:$W, A15, Base!$S:$S, "&lt;&gt;") +
    COUNTIFS(Base!$X:$X, A15, Base!$S:$S, "&lt;&gt;") +
    COUNTIFS(Base!$Y:$Y, A15, Base!$S:$S, "&lt;&gt;") +
    COUNTIFS(Base!$Z:$Z, A15, Base!$S:$S, "&lt;&gt;")
  )
)
</f>
        <v>-</v>
      </c>
      <c r="F15" s="290">
        <f>SUMIFS(Base!$N:$N,Base!$V:$V,A15,Base!$N:$N,"&lt;&gt;")-SUMIFS(Base!$K:$K,Base!$V:$V,A15,Base!$N:$N,"&lt;&gt;")-(SUMIFS(Base!$L:$L,Base!$V:$V,A15,Base!$N:$N,"&lt;&gt;")*7)</f>
        <v>0</v>
      </c>
      <c r="G15" s="290"/>
      <c r="H15" s="290">
        <f>SUMIFS(Base!$F:$F,Base!$V:$V,A15,Base!$N:$N,"&lt;&gt;")*7</f>
        <v>0</v>
      </c>
      <c r="I15" s="290"/>
      <c r="J15" s="292" t="str">
        <f t="shared" ref="J15:K15" si="16">IFERROR(F15/H15,"-")</f>
        <v>-</v>
      </c>
      <c r="K15" s="292" t="str">
        <f t="shared" si="16"/>
        <v>-</v>
      </c>
      <c r="L15" s="292" t="str">
        <f>IFERROR((COUNTIFS(Base!$V:$V,A15,Base!$U:$U,TRUE))/(COUNTIFS(Base!$V:$V,A15,Base!$O:$O,"Finalizado")+COUNTIFS(Base!$V:$V,A15,Base!$O:$O,"Concluído")),"-")</f>
        <v>-</v>
      </c>
      <c r="M15" s="292">
        <f>IF(
  (
    IFERROR(COUNTIF(Base!$W:$W, A15), 0) +
    IFERROR(COUNTIF(Base!$X:$X, A15), 0) +
    IFERROR(COUNTIF(Base!$Y:$Y, A15), 0) +
    IFERROR(COUNTIF(Base!$Z:$Z, A15), 0)
  ) = 0,
  "-",
  IF(
    (
      IFERROR(COUNTIFS(Base!$W:$W, A15, Base!$O:$O, "Finalizado"), 0) +
      IFERROR(COUNTIFS(Base!$W:$W, A15, Base!$O:$O, "Concluído"), 0) +
      IFERROR(COUNTIFS(Base!$X:$X, A15, Base!$O:$O, "Finalizado"), 0) +
      IFERROR(COUNTIFS(Base!$X:$X, A15, Base!$O:$O, "Concluído"), 0) +
      IFERROR(COUNTIFS(Base!$Y:$Y, A15, Base!$O:$O, "Finalizado"), 0) +
      IFERROR(COUNTIFS(Base!$Y:$Y, A15, Base!$O:$O, "Concluído"), 0) +
      IFERROR(COUNTIFS(Base!$Z:$Z, A15, Base!$O:$O, "Finalizado"), 0) +
      IFERROR(COUNTIFS(Base!$Z:$Z, A15, Base!$O:$O, "Concluído"), 0)
    ) = 0,
    "-",
    (
      IFERROR(COUNTIFS(Base!$W:$W, A15, Base!$U:$U, TRUE), 0) +
      IFERROR(COUNTIFS(Base!$X:$X, A15, Base!$U:$U, TRUE), 0) +
      IFERROR(COUNTIFS(Base!$Y:$Y, A15, Base!$U:$U, TRUE), 0) +
      IFERROR(COUNTIFS(Base!$Z:$Z, A15, Base!$U:$U, TRUE), 0)
    ) /
    (
      IFERROR(COUNTIFS(Base!$W:$W, A15, Base!$O:$O, "Finalizado"), 0) +
      IFERROR(COUNTIFS(Base!$W:$W, A15, Base!$O:$O, "Concluído"), 0) +
      IFERROR(COUNTIFS(Base!$X:$X, A15, Base!$O:$O, "Finalizado"), 0) +
      IFERROR(COUNTIFS(Base!$X:$X, A15, Base!$O:$O, "Concluído"), 0) +
      IFERROR(COUNTIFS(Base!$Y:$Y, A15, Base!$O:$O, "Finalizado"), 0) +
      IFERROR(COUNTIFS(Base!$Y:$Y, A15, Base!$O:$O, "Concluído"), 0) +
      IFERROR(COUNTIFS(Base!$Z:$Z, A15, Base!$O:$O, "Finalizado"), 0) +
      IFERROR(COUNTIFS(Base!$Z:$Z, A15, Base!$O:$O, "Concluído"), 0)
    )
  )
)
</f>
        <v>0</v>
      </c>
      <c r="N15" s="120">
        <f>COUNTIF(Base!V:V,$A15)</f>
        <v>0</v>
      </c>
      <c r="O15" s="120">
        <f>COUNTIF(Base!W:W,$A15)</f>
        <v>1</v>
      </c>
      <c r="P15" s="120">
        <f>COUNTIF(Base!X:X,$A15)</f>
        <v>2</v>
      </c>
      <c r="Q15" s="120">
        <f>COUNTIF(Base!Y:Y,$A15)</f>
        <v>0</v>
      </c>
      <c r="R15" s="120">
        <f>COUNTIF(Base!Z:Z,$A15)</f>
        <v>0</v>
      </c>
      <c r="S15" s="120">
        <f t="shared" si="3"/>
        <v>3</v>
      </c>
      <c r="T15" s="120">
        <f t="shared" si="4"/>
        <v>3</v>
      </c>
      <c r="V15" s="293">
        <f>IF(
  (
    COUNTIF('Acompanhamento quinzenal'!$N:$N, A15) +
    COUNTIF('Acompanhamento quinzenal'!$T:$T, A15) +
    COUNTIF('Acompanhamento quinzenal'!$Z:$Z, A15) +
    COUNTIF('Acompanhamento quinzenal'!$AF:$AF, A15)
  ) = 0,
  "-",
  (
    IFERROR(SUMIFS('Acompanhamento quinzenal'!$S:$S, 'Acompanhamento quinzenal'!$N:$N, A15), 0) +
    IFERROR(SUMIFS('Acompanhamento quinzenal'!$Y:$Y, 'Acompanhamento quinzenal'!$T:$T, A15), 0) +
    IFERROR(SUMIFS('Acompanhamento quinzenal'!$AE:$AE, 'Acompanhamento quinzenal'!$Z:$Z, A15), 0) +
    IFERROR(SUMIFS('Acompanhamento quinzenal'!$AK:$AK, 'Acompanhamento quinzenal'!$AF:$AF, A15), 0)
  ) /
  (
    COUNTIF('Acompanhamento quinzenal'!$N:$N, A15) +
    COUNTIF('Acompanhamento quinzenal'!$T:$T, A15) +
    COUNTIF('Acompanhamento quinzenal'!$Z:$Z, A15) +
    COUNTIF('Acompanhamento quinzenal'!$AF:$AF, A15)
  )
)
</f>
        <v>3.5</v>
      </c>
      <c r="W15" s="293">
        <f>IF(
  (
    COUNTIF('Acompanhamento quinzenal'!$N:$N, A15) +
    COUNTIF('Acompanhamento quinzenal'!$T:$T, A15) +
    COUNTIF('Acompanhamento quinzenal'!$Z:$Z, A15) +
    COUNTIF('Acompanhamento quinzenal'!$AF:$AF, A15)
  ) = 0,
  "-",
  (
    IFERROR(SUMIFS('Acompanhamento quinzenal'!$O:$O, 'Acompanhamento quinzenal'!$N:$N, A15), 0) +
    IFERROR(SUMIFS('Acompanhamento quinzenal'!$U:$U, 'Acompanhamento quinzenal'!$T:$T, A15), 0) +
    IFERROR(SUMIFS('Acompanhamento quinzenal'!$AA:$AA, 'Acompanhamento quinzenal'!$Z:$Z, A15), 0) +
    IFERROR(SUMIFS('Acompanhamento quinzenal'!$AG:$AG, 'Acompanhamento quinzenal'!$AF:$AF, A15), 0)
  ) /
  (
    COUNTIF('Acompanhamento quinzenal'!$N:$N, A15) +
    COUNTIF('Acompanhamento quinzenal'!$T:$T, A15) +
    COUNTIF('Acompanhamento quinzenal'!$Z:$Z, A15) +
    COUNTIF('Acompanhamento quinzenal'!$AF:$AF, A15)
  )
)
</f>
        <v>3.5</v>
      </c>
      <c r="X15" s="294">
        <f>IF(
  (
    COUNTIF('Acompanhamento quinzenal'!$N:$N, A15) +
    COUNTIF('Acompanhamento quinzenal'!$T:$T, A15) +
    COUNTIF('Acompanhamento quinzenal'!$Z:$Z, A15) +
    COUNTIF('Acompanhamento quinzenal'!$AF:$AF, A15)
  ) = 0,
  "-",
  (
    IFERROR(SUMIFS('Acompanhamento quinzenal'!$P:$P, 'Acompanhamento quinzenal'!$N:$N, A15), 0) +
    IFERROR(SUMIFS('Acompanhamento quinzenal'!$V:$V, 'Acompanhamento quinzenal'!$T:$T, A15), 0) +
    IFERROR(SUMIFS('Acompanhamento quinzenal'!$AB:$AB, 'Acompanhamento quinzenal'!$Z:$Z, A15), 0) +
    IFERROR(SUMIFS('Acompanhamento quinzenal'!$AH:$AH, 'Acompanhamento quinzenal'!$AF:$AF, A15), 0)
  ) /
  (
    COUNTIF('Acompanhamento quinzenal'!$N:$N, A15) +
    COUNTIF('Acompanhamento quinzenal'!$T:$T, A15) +
    COUNTIF('Acompanhamento quinzenal'!$Z:$Z, A15) +
    COUNTIF('Acompanhamento quinzenal'!$AF:$AF, A15)
  )
)
</f>
        <v>4</v>
      </c>
      <c r="Y15" s="293">
        <f>IF(
  (
    COUNTIF('Acompanhamento quinzenal'!$N:$N, A15) +
    COUNTIF('Acompanhamento quinzenal'!$T:$T, A15) +
    COUNTIF('Acompanhamento quinzenal'!$Z:$Z, A15) +
    COUNTIF('Acompanhamento quinzenal'!$AF:$AF, A15)
  ) = 0,
  "-",
  (
    IFERROR(SUMIFS('Acompanhamento quinzenal'!$Q:$Q, 'Acompanhamento quinzenal'!$N:$N, A15), 0) +
    IFERROR(SUMIFS('Acompanhamento quinzenal'!$W:$W, 'Acompanhamento quinzenal'!$T:$T, A15), 0) +
    IFERROR(SUMIFS('Acompanhamento quinzenal'!$AC:$AC, 'Acompanhamento quinzenal'!$Z:$Z, A15), 0) +
    IFERROR(SUMIFS('Acompanhamento quinzenal'!$AI:$AI, 'Acompanhamento quinzenal'!$AF:$AF, A15), 0)
  ) /
  (
    COUNTIF('Acompanhamento quinzenal'!$N:$N, A15) +
    COUNTIF('Acompanhamento quinzenal'!$T:$T, A15) +
    COUNTIF('Acompanhamento quinzenal'!$Z:$Z, A15) +
    COUNTIF('Acompanhamento quinzenal'!$AF:$AF, A15)
  )
)
</f>
        <v>3</v>
      </c>
      <c r="AA15" s="96" t="s">
        <v>116</v>
      </c>
      <c r="AB15" s="96">
        <v>5.0</v>
      </c>
    </row>
    <row r="16">
      <c r="A16" s="291" t="str">
        <f>IFERROR(__xludf.DUMMYFUNCTION("""COMPUTED_VALUE"""),"arthur.mafra")</f>
        <v>arthur.mafra</v>
      </c>
      <c r="B16" s="120" t="str">
        <f>IFERROR(__xludf.DUMMYFUNCTION("""COMPUTED_VALUE"""),"Trainee")</f>
        <v>Trainee</v>
      </c>
      <c r="C16" s="120" t="str">
        <f>IFERROR(__xludf.DUMMYFUNCTION("""COMPUTED_VALUE"""),"NDados")</f>
        <v>NDados</v>
      </c>
      <c r="D16" s="292" t="str">
        <f>IFERROR((COUNTIFS(Base!$V:$V,A16,Base!$S:$S,"&gt;8") - COUNTIFS(Base!$V:$V,A16,Base!$S:$S,"&lt;7"))/COUNTIFS(Base!$V:$V,A16,Base!$S:$S,"&lt;&gt;"),"-")</f>
        <v>-</v>
      </c>
      <c r="E16" s="292">
        <f>IF(
  (
    COUNTIFS(Base!$W:$W, A16, Base!$S:$S, "&lt;&gt;") +
    COUNTIFS(Base!$X:$X, A16, Base!$S:$S, "&lt;&gt;") +
    COUNTIFS(Base!$Y:$Y, A16, Base!$S:$S, "&lt;&gt;") +
    COUNTIFS(Base!$Z:$Z, A16, Base!$S:$S, "&lt;&gt;")
  ) = 0,
  "-",
  (
    COUNTIFS(Base!$W:$W, A16, Base!$S:$S, "&gt;8") - COUNTIFS(Base!$W:$W, A16, Base!$S:$S, "&lt;7") +
    COUNTIFS(Base!$X:$X, A16, Base!$S:$S, "&gt;8") - COUNTIFS(Base!$X:$X, A16, Base!$S:$S, "&lt;7") +
    COUNTIFS(Base!$Y:$Y, A16, Base!$S:$S, "&gt;8") - COUNTIFS(Base!$Y:$Y, A16, Base!$S:$S, "&lt;7") +
    COUNTIFS(Base!$Z:$Z, A16, Base!$S:$S, "&gt;8") - COUNTIFS(Base!$Z:$Z, A16, Base!$S:$S, "&lt;7")
  ) /
  (
    COUNTIFS(Base!$W:$W, A16, Base!$S:$S, "&lt;&gt;") +
    COUNTIFS(Base!$X:$X, A16, Base!$S:$S, "&lt;&gt;") +
    COUNTIFS(Base!$Y:$Y, A16, Base!$S:$S, "&lt;&gt;") +
    COUNTIFS(Base!$Z:$Z, A16, Base!$S:$S, "&lt;&gt;")
  )
)
</f>
        <v>1</v>
      </c>
      <c r="F16" s="290">
        <f>SUMIFS(Base!$N:$N,Base!$V:$V,A16,Base!$N:$N,"&lt;&gt;")-SUMIFS(Base!$K:$K,Base!$V:$V,A16,Base!$N:$N,"&lt;&gt;")-(SUMIFS(Base!$L:$L,Base!$V:$V,A16,Base!$N:$N,"&lt;&gt;")*7)</f>
        <v>0</v>
      </c>
      <c r="G16" s="290"/>
      <c r="H16" s="290">
        <f>SUMIFS(Base!$F:$F,Base!$V:$V,A16,Base!$N:$N,"&lt;&gt;")*7</f>
        <v>0</v>
      </c>
      <c r="I16" s="290"/>
      <c r="J16" s="292" t="str">
        <f t="shared" ref="J16:K16" si="17">IFERROR(F16/H16,"-")</f>
        <v>-</v>
      </c>
      <c r="K16" s="292" t="str">
        <f t="shared" si="17"/>
        <v>-</v>
      </c>
      <c r="L16" s="292" t="str">
        <f>IFERROR((COUNTIFS(Base!$V:$V,A16,Base!$U:$U,TRUE))/(COUNTIFS(Base!$V:$V,A16,Base!$O:$O,"Finalizado")+COUNTIFS(Base!$V:$V,A16,Base!$O:$O,"Concluído")),"-")</f>
        <v>-</v>
      </c>
      <c r="M16" s="292">
        <f>IF(
  (
    IFERROR(COUNTIF(Base!$W:$W, A16), 0) +
    IFERROR(COUNTIF(Base!$X:$X, A16), 0) +
    IFERROR(COUNTIF(Base!$Y:$Y, A16), 0) +
    IFERROR(COUNTIF(Base!$Z:$Z, A16), 0)
  ) = 0,
  "-",
  IF(
    (
      IFERROR(COUNTIFS(Base!$W:$W, A16, Base!$O:$O, "Finalizado"), 0) +
      IFERROR(COUNTIFS(Base!$W:$W, A16, Base!$O:$O, "Concluído"), 0) +
      IFERROR(COUNTIFS(Base!$X:$X, A16, Base!$O:$O, "Finalizado"), 0) +
      IFERROR(COUNTIFS(Base!$X:$X, A16, Base!$O:$O, "Concluído"), 0) +
      IFERROR(COUNTIFS(Base!$Y:$Y, A16, Base!$O:$O, "Finalizado"), 0) +
      IFERROR(COUNTIFS(Base!$Y:$Y, A16, Base!$O:$O, "Concluído"), 0) +
      IFERROR(COUNTIFS(Base!$Z:$Z, A16, Base!$O:$O, "Finalizado"), 0) +
      IFERROR(COUNTIFS(Base!$Z:$Z, A16, Base!$O:$O, "Concluído"), 0)
    ) = 0,
    "-",
    (
      IFERROR(COUNTIFS(Base!$W:$W, A16, Base!$U:$U, TRUE), 0) +
      IFERROR(COUNTIFS(Base!$X:$X, A16, Base!$U:$U, TRUE), 0) +
      IFERROR(COUNTIFS(Base!$Y:$Y, A16, Base!$U:$U, TRUE), 0) +
      IFERROR(COUNTIFS(Base!$Z:$Z, A16, Base!$U:$U, TRUE), 0)
    ) /
    (
      IFERROR(COUNTIFS(Base!$W:$W, A16, Base!$O:$O, "Finalizado"), 0) +
      IFERROR(COUNTIFS(Base!$W:$W, A16, Base!$O:$O, "Concluído"), 0) +
      IFERROR(COUNTIFS(Base!$X:$X, A16, Base!$O:$O, "Finalizado"), 0) +
      IFERROR(COUNTIFS(Base!$X:$X, A16, Base!$O:$O, "Concluído"), 0) +
      IFERROR(COUNTIFS(Base!$Y:$Y, A16, Base!$O:$O, "Finalizado"), 0) +
      IFERROR(COUNTIFS(Base!$Y:$Y, A16, Base!$O:$O, "Concluído"), 0) +
      IFERROR(COUNTIFS(Base!$Z:$Z, A16, Base!$O:$O, "Finalizado"), 0) +
      IFERROR(COUNTIFS(Base!$Z:$Z, A16, Base!$O:$O, "Concluído"), 0)
    )
  )
)
</f>
        <v>1</v>
      </c>
      <c r="N16" s="120">
        <f>COUNTIF(Base!V:V,$A16)</f>
        <v>0</v>
      </c>
      <c r="O16" s="120">
        <f>COUNTIF(Base!W:W,$A16)</f>
        <v>1</v>
      </c>
      <c r="P16" s="120">
        <f>COUNTIF(Base!X:X,$A16)</f>
        <v>0</v>
      </c>
      <c r="Q16" s="120">
        <f>COUNTIF(Base!Y:Y,$A16)</f>
        <v>0</v>
      </c>
      <c r="R16" s="120">
        <f>COUNTIF(Base!Z:Z,$A16)</f>
        <v>0</v>
      </c>
      <c r="S16" s="120">
        <f t="shared" si="3"/>
        <v>1</v>
      </c>
      <c r="T16" s="120">
        <f t="shared" si="4"/>
        <v>1</v>
      </c>
      <c r="V16" s="293" t="str">
        <f>IF(
  (
    COUNTIF('Acompanhamento quinzenal'!$N:$N, A16) +
    COUNTIF('Acompanhamento quinzenal'!$T:$T, A16) +
    COUNTIF('Acompanhamento quinzenal'!$Z:$Z, A16) +
    COUNTIF('Acompanhamento quinzenal'!$AF:$AF, A16)
  ) = 0,
  "-",
  (
    IFERROR(SUMIFS('Acompanhamento quinzenal'!$S:$S, 'Acompanhamento quinzenal'!$N:$N, A16), 0) +
    IFERROR(SUMIFS('Acompanhamento quinzenal'!$Y:$Y, 'Acompanhamento quinzenal'!$T:$T, A16), 0) +
    IFERROR(SUMIFS('Acompanhamento quinzenal'!$AE:$AE, 'Acompanhamento quinzenal'!$Z:$Z, A16), 0) +
    IFERROR(SUMIFS('Acompanhamento quinzenal'!$AK:$AK, 'Acompanhamento quinzenal'!$AF:$AF, A16), 0)
  ) /
  (
    COUNTIF('Acompanhamento quinzenal'!$N:$N, A16) +
    COUNTIF('Acompanhamento quinzenal'!$T:$T, A16) +
    COUNTIF('Acompanhamento quinzenal'!$Z:$Z, A16) +
    COUNTIF('Acompanhamento quinzenal'!$AF:$AF, A16)
  )
)
</f>
        <v>-</v>
      </c>
      <c r="W16" s="293" t="str">
        <f>IF(
  (
    COUNTIF('Acompanhamento quinzenal'!$N:$N, A16) +
    COUNTIF('Acompanhamento quinzenal'!$T:$T, A16) +
    COUNTIF('Acompanhamento quinzenal'!$Z:$Z, A16) +
    COUNTIF('Acompanhamento quinzenal'!$AF:$AF, A16)
  ) = 0,
  "-",
  (
    IFERROR(SUMIFS('Acompanhamento quinzenal'!$O:$O, 'Acompanhamento quinzenal'!$N:$N, A16), 0) +
    IFERROR(SUMIFS('Acompanhamento quinzenal'!$U:$U, 'Acompanhamento quinzenal'!$T:$T, A16), 0) +
    IFERROR(SUMIFS('Acompanhamento quinzenal'!$AA:$AA, 'Acompanhamento quinzenal'!$Z:$Z, A16), 0) +
    IFERROR(SUMIFS('Acompanhamento quinzenal'!$AG:$AG, 'Acompanhamento quinzenal'!$AF:$AF, A16), 0)
  ) /
  (
    COUNTIF('Acompanhamento quinzenal'!$N:$N, A16) +
    COUNTIF('Acompanhamento quinzenal'!$T:$T, A16) +
    COUNTIF('Acompanhamento quinzenal'!$Z:$Z, A16) +
    COUNTIF('Acompanhamento quinzenal'!$AF:$AF, A16)
  )
)
</f>
        <v>-</v>
      </c>
      <c r="X16" s="294" t="str">
        <f>IF(
  (
    COUNTIF('Acompanhamento quinzenal'!$N:$N, A16) +
    COUNTIF('Acompanhamento quinzenal'!$T:$T, A16) +
    COUNTIF('Acompanhamento quinzenal'!$Z:$Z, A16) +
    COUNTIF('Acompanhamento quinzenal'!$AF:$AF, A16)
  ) = 0,
  "-",
  (
    IFERROR(SUMIFS('Acompanhamento quinzenal'!$P:$P, 'Acompanhamento quinzenal'!$N:$N, A16), 0) +
    IFERROR(SUMIFS('Acompanhamento quinzenal'!$V:$V, 'Acompanhamento quinzenal'!$T:$T, A16), 0) +
    IFERROR(SUMIFS('Acompanhamento quinzenal'!$AB:$AB, 'Acompanhamento quinzenal'!$Z:$Z, A16), 0) +
    IFERROR(SUMIFS('Acompanhamento quinzenal'!$AH:$AH, 'Acompanhamento quinzenal'!$AF:$AF, A16), 0)
  ) /
  (
    COUNTIF('Acompanhamento quinzenal'!$N:$N, A16) +
    COUNTIF('Acompanhamento quinzenal'!$T:$T, A16) +
    COUNTIF('Acompanhamento quinzenal'!$Z:$Z, A16) +
    COUNTIF('Acompanhamento quinzenal'!$AF:$AF, A16)
  )
)
</f>
        <v>-</v>
      </c>
      <c r="Y16" s="293" t="str">
        <f>IF(
  (
    COUNTIF('Acompanhamento quinzenal'!$N:$N, A16) +
    COUNTIF('Acompanhamento quinzenal'!$T:$T, A16) +
    COUNTIF('Acompanhamento quinzenal'!$Z:$Z, A16) +
    COUNTIF('Acompanhamento quinzenal'!$AF:$AF, A16)
  ) = 0,
  "-",
  (
    IFERROR(SUMIFS('Acompanhamento quinzenal'!$Q:$Q, 'Acompanhamento quinzenal'!$N:$N, A16), 0) +
    IFERROR(SUMIFS('Acompanhamento quinzenal'!$W:$W, 'Acompanhamento quinzenal'!$T:$T, A16), 0) +
    IFERROR(SUMIFS('Acompanhamento quinzenal'!$AC:$AC, 'Acompanhamento quinzenal'!$Z:$Z, A16), 0) +
    IFERROR(SUMIFS('Acompanhamento quinzenal'!$AI:$AI, 'Acompanhamento quinzenal'!$AF:$AF, A16), 0)
  ) /
  (
    COUNTIF('Acompanhamento quinzenal'!$N:$N, A16) +
    COUNTIF('Acompanhamento quinzenal'!$T:$T, A16) +
    COUNTIF('Acompanhamento quinzenal'!$Z:$Z, A16) +
    COUNTIF('Acompanhamento quinzenal'!$AF:$AF, A16)
  )
)
</f>
        <v>-</v>
      </c>
      <c r="AA16" s="96" t="s">
        <v>187</v>
      </c>
      <c r="AB16" s="96">
        <v>3.0</v>
      </c>
    </row>
    <row r="17">
      <c r="A17" s="291" t="str">
        <f>IFERROR(__xludf.DUMMYFUNCTION("""COMPUTED_VALUE"""),"artur.dias")</f>
        <v>artur.dias</v>
      </c>
      <c r="B17" s="120" t="str">
        <f>IFERROR(__xludf.DUMMYFUNCTION("""COMPUTED_VALUE"""),"Trainee")</f>
        <v>Trainee</v>
      </c>
      <c r="C17" s="120" t="str">
        <f>IFERROR(__xludf.DUMMYFUNCTION("""COMPUTED_VALUE"""),"NDados")</f>
        <v>NDados</v>
      </c>
      <c r="D17" s="292" t="str">
        <f>IFERROR((COUNTIFS(Base!$V:$V,A17,Base!$S:$S,"&gt;8") - COUNTIFS(Base!$V:$V,A17,Base!$S:$S,"&lt;7"))/COUNTIFS(Base!$V:$V,A17,Base!$S:$S,"&lt;&gt;"),"-")</f>
        <v>-</v>
      </c>
      <c r="E17" s="292" t="str">
        <f>IF(
  (
    COUNTIFS(Base!$W:$W, A17, Base!$S:$S, "&lt;&gt;") +
    COUNTIFS(Base!$X:$X, A17, Base!$S:$S, "&lt;&gt;") +
    COUNTIFS(Base!$Y:$Y, A17, Base!$S:$S, "&lt;&gt;") +
    COUNTIFS(Base!$Z:$Z, A17, Base!$S:$S, "&lt;&gt;")
  ) = 0,
  "-",
  (
    COUNTIFS(Base!$W:$W, A17, Base!$S:$S, "&gt;8") - COUNTIFS(Base!$W:$W, A17, Base!$S:$S, "&lt;7") +
    COUNTIFS(Base!$X:$X, A17, Base!$S:$S, "&gt;8") - COUNTIFS(Base!$X:$X, A17, Base!$S:$S, "&lt;7") +
    COUNTIFS(Base!$Y:$Y, A17, Base!$S:$S, "&gt;8") - COUNTIFS(Base!$Y:$Y, A17, Base!$S:$S, "&lt;7") +
    COUNTIFS(Base!$Z:$Z, A17, Base!$S:$S, "&gt;8") - COUNTIFS(Base!$Z:$Z, A17, Base!$S:$S, "&lt;7")
  ) /
  (
    COUNTIFS(Base!$W:$W, A17, Base!$S:$S, "&lt;&gt;") +
    COUNTIFS(Base!$X:$X, A17, Base!$S:$S, "&lt;&gt;") +
    COUNTIFS(Base!$Y:$Y, A17, Base!$S:$S, "&lt;&gt;") +
    COUNTIFS(Base!$Z:$Z, A17, Base!$S:$S, "&lt;&gt;")
  )
)
</f>
        <v>-</v>
      </c>
      <c r="F17" s="290">
        <f>SUMIFS(Base!$N:$N,Base!$V:$V,A17,Base!$N:$N,"&lt;&gt;")-SUMIFS(Base!$K:$K,Base!$V:$V,A17,Base!$N:$N,"&lt;&gt;")-(SUMIFS(Base!$L:$L,Base!$V:$V,A17,Base!$N:$N,"&lt;&gt;")*7)</f>
        <v>0</v>
      </c>
      <c r="G17" s="290"/>
      <c r="H17" s="290">
        <f>SUMIFS(Base!$F:$F,Base!$V:$V,A17,Base!$N:$N,"&lt;&gt;")*7</f>
        <v>0</v>
      </c>
      <c r="I17" s="290"/>
      <c r="J17" s="292" t="str">
        <f t="shared" ref="J17:K17" si="18">IFERROR(F17/H17,"-")</f>
        <v>-</v>
      </c>
      <c r="K17" s="292" t="str">
        <f t="shared" si="18"/>
        <v>-</v>
      </c>
      <c r="L17" s="292" t="str">
        <f>IFERROR((COUNTIFS(Base!$V:$V,A17,Base!$U:$U,TRUE))/(COUNTIFS(Base!$V:$V,A17,Base!$O:$O,"Finalizado")+COUNTIFS(Base!$V:$V,A17,Base!$O:$O,"Concluído")),"-")</f>
        <v>-</v>
      </c>
      <c r="M17" s="292" t="str">
        <f>IF(
  (
    IFERROR(COUNTIF(Base!$W:$W, A17), 0) +
    IFERROR(COUNTIF(Base!$X:$X, A17), 0) +
    IFERROR(COUNTIF(Base!$Y:$Y, A17), 0) +
    IFERROR(COUNTIF(Base!$Z:$Z, A17), 0)
  ) = 0,
  "-",
  IF(
    (
      IFERROR(COUNTIFS(Base!$W:$W, A17, Base!$O:$O, "Finalizado"), 0) +
      IFERROR(COUNTIFS(Base!$W:$W, A17, Base!$O:$O, "Concluído"), 0) +
      IFERROR(COUNTIFS(Base!$X:$X, A17, Base!$O:$O, "Finalizado"), 0) +
      IFERROR(COUNTIFS(Base!$X:$X, A17, Base!$O:$O, "Concluído"), 0) +
      IFERROR(COUNTIFS(Base!$Y:$Y, A17, Base!$O:$O, "Finalizado"), 0) +
      IFERROR(COUNTIFS(Base!$Y:$Y, A17, Base!$O:$O, "Concluído"), 0) +
      IFERROR(COUNTIFS(Base!$Z:$Z, A17, Base!$O:$O, "Finalizado"), 0) +
      IFERROR(COUNTIFS(Base!$Z:$Z, A17, Base!$O:$O, "Concluído"), 0)
    ) = 0,
    "-",
    (
      IFERROR(COUNTIFS(Base!$W:$W, A17, Base!$U:$U, TRUE), 0) +
      IFERROR(COUNTIFS(Base!$X:$X, A17, Base!$U:$U, TRUE), 0) +
      IFERROR(COUNTIFS(Base!$Y:$Y, A17, Base!$U:$U, TRUE), 0) +
      IFERROR(COUNTIFS(Base!$Z:$Z, A17, Base!$U:$U, TRUE), 0)
    ) /
    (
      IFERROR(COUNTIFS(Base!$W:$W, A17, Base!$O:$O, "Finalizado"), 0) +
      IFERROR(COUNTIFS(Base!$W:$W, A17, Base!$O:$O, "Concluído"), 0) +
      IFERROR(COUNTIFS(Base!$X:$X, A17, Base!$O:$O, "Finalizado"), 0) +
      IFERROR(COUNTIFS(Base!$X:$X, A17, Base!$O:$O, "Concluído"), 0) +
      IFERROR(COUNTIFS(Base!$Y:$Y, A17, Base!$O:$O, "Finalizado"), 0) +
      IFERROR(COUNTIFS(Base!$Y:$Y, A17, Base!$O:$O, "Concluído"), 0) +
      IFERROR(COUNTIFS(Base!$Z:$Z, A17, Base!$O:$O, "Finalizado"), 0) +
      IFERROR(COUNTIFS(Base!$Z:$Z, A17, Base!$O:$O, "Concluído"), 0)
    )
  )
)
</f>
        <v>-</v>
      </c>
      <c r="N17" s="120">
        <f>COUNTIF(Base!V:V,$A17)</f>
        <v>0</v>
      </c>
      <c r="O17" s="120">
        <f>COUNTIF(Base!W:W,$A17)</f>
        <v>1</v>
      </c>
      <c r="P17" s="120">
        <f>COUNTIF(Base!X:X,$A17)</f>
        <v>0</v>
      </c>
      <c r="Q17" s="120">
        <f>COUNTIF(Base!Y:Y,$A17)</f>
        <v>1</v>
      </c>
      <c r="R17" s="120">
        <f>COUNTIF(Base!Z:Z,$A17)</f>
        <v>0</v>
      </c>
      <c r="S17" s="120">
        <f t="shared" si="3"/>
        <v>2</v>
      </c>
      <c r="T17" s="120">
        <f t="shared" si="4"/>
        <v>2</v>
      </c>
      <c r="V17" s="293">
        <f>IF(
  (
    COUNTIF('Acompanhamento quinzenal'!$N:$N, A17) +
    COUNTIF('Acompanhamento quinzenal'!$T:$T, A17) +
    COUNTIF('Acompanhamento quinzenal'!$Z:$Z, A17) +
    COUNTIF('Acompanhamento quinzenal'!$AF:$AF, A17)
  ) = 0,
  "-",
  (
    IFERROR(SUMIFS('Acompanhamento quinzenal'!$S:$S, 'Acompanhamento quinzenal'!$N:$N, A17), 0) +
    IFERROR(SUMIFS('Acompanhamento quinzenal'!$Y:$Y, 'Acompanhamento quinzenal'!$T:$T, A17), 0) +
    IFERROR(SUMIFS('Acompanhamento quinzenal'!$AE:$AE, 'Acompanhamento quinzenal'!$Z:$Z, A17), 0) +
    IFERROR(SUMIFS('Acompanhamento quinzenal'!$AK:$AK, 'Acompanhamento quinzenal'!$AF:$AF, A17), 0)
  ) /
  (
    COUNTIF('Acompanhamento quinzenal'!$N:$N, A17) +
    COUNTIF('Acompanhamento quinzenal'!$T:$T, A17) +
    COUNTIF('Acompanhamento quinzenal'!$Z:$Z, A17) +
    COUNTIF('Acompanhamento quinzenal'!$AF:$AF, A17)
  )
)
</f>
        <v>2</v>
      </c>
      <c r="W17" s="293">
        <f>IF(
  (
    COUNTIF('Acompanhamento quinzenal'!$N:$N, A17) +
    COUNTIF('Acompanhamento quinzenal'!$T:$T, A17) +
    COUNTIF('Acompanhamento quinzenal'!$Z:$Z, A17) +
    COUNTIF('Acompanhamento quinzenal'!$AF:$AF, A17)
  ) = 0,
  "-",
  (
    IFERROR(SUMIFS('Acompanhamento quinzenal'!$O:$O, 'Acompanhamento quinzenal'!$N:$N, A17), 0) +
    IFERROR(SUMIFS('Acompanhamento quinzenal'!$U:$U, 'Acompanhamento quinzenal'!$T:$T, A17), 0) +
    IFERROR(SUMIFS('Acompanhamento quinzenal'!$AA:$AA, 'Acompanhamento quinzenal'!$Z:$Z, A17), 0) +
    IFERROR(SUMIFS('Acompanhamento quinzenal'!$AG:$AG, 'Acompanhamento quinzenal'!$AF:$AF, A17), 0)
  ) /
  (
    COUNTIF('Acompanhamento quinzenal'!$N:$N, A17) +
    COUNTIF('Acompanhamento quinzenal'!$T:$T, A17) +
    COUNTIF('Acompanhamento quinzenal'!$Z:$Z, A17) +
    COUNTIF('Acompanhamento quinzenal'!$AF:$AF, A17)
  )
)
</f>
        <v>3</v>
      </c>
      <c r="X17" s="294">
        <f>IF(
  (
    COUNTIF('Acompanhamento quinzenal'!$N:$N, A17) +
    COUNTIF('Acompanhamento quinzenal'!$T:$T, A17) +
    COUNTIF('Acompanhamento quinzenal'!$Z:$Z, A17) +
    COUNTIF('Acompanhamento quinzenal'!$AF:$AF, A17)
  ) = 0,
  "-",
  (
    IFERROR(SUMIFS('Acompanhamento quinzenal'!$P:$P, 'Acompanhamento quinzenal'!$N:$N, A17), 0) +
    IFERROR(SUMIFS('Acompanhamento quinzenal'!$V:$V, 'Acompanhamento quinzenal'!$T:$T, A17), 0) +
    IFERROR(SUMIFS('Acompanhamento quinzenal'!$AB:$AB, 'Acompanhamento quinzenal'!$Z:$Z, A17), 0) +
    IFERROR(SUMIFS('Acompanhamento quinzenal'!$AH:$AH, 'Acompanhamento quinzenal'!$AF:$AF, A17), 0)
  ) /
  (
    COUNTIF('Acompanhamento quinzenal'!$N:$N, A17) +
    COUNTIF('Acompanhamento quinzenal'!$T:$T, A17) +
    COUNTIF('Acompanhamento quinzenal'!$Z:$Z, A17) +
    COUNTIF('Acompanhamento quinzenal'!$AF:$AF, A17)
  )
)
</f>
        <v>3</v>
      </c>
      <c r="Y17" s="293">
        <f>IF(
  (
    COUNTIF('Acompanhamento quinzenal'!$N:$N, A17) +
    COUNTIF('Acompanhamento quinzenal'!$T:$T, A17) +
    COUNTIF('Acompanhamento quinzenal'!$Z:$Z, A17) +
    COUNTIF('Acompanhamento quinzenal'!$AF:$AF, A17)
  ) = 0,
  "-",
  (
    IFERROR(SUMIFS('Acompanhamento quinzenal'!$Q:$Q, 'Acompanhamento quinzenal'!$N:$N, A17), 0) +
    IFERROR(SUMIFS('Acompanhamento quinzenal'!$W:$W, 'Acompanhamento quinzenal'!$T:$T, A17), 0) +
    IFERROR(SUMIFS('Acompanhamento quinzenal'!$AC:$AC, 'Acompanhamento quinzenal'!$Z:$Z, A17), 0) +
    IFERROR(SUMIFS('Acompanhamento quinzenal'!$AI:$AI, 'Acompanhamento quinzenal'!$AF:$AF, A17), 0)
  ) /
  (
    COUNTIF('Acompanhamento quinzenal'!$N:$N, A17) +
    COUNTIF('Acompanhamento quinzenal'!$T:$T, A17) +
    COUNTIF('Acompanhamento quinzenal'!$Z:$Z, A17) +
    COUNTIF('Acompanhamento quinzenal'!$AF:$AF, A17)
  )
)
</f>
        <v>3</v>
      </c>
      <c r="AA17" s="96" t="s">
        <v>36</v>
      </c>
      <c r="AB17" s="96">
        <v>11.0</v>
      </c>
    </row>
    <row r="18" hidden="1">
      <c r="A18" s="291" t="str">
        <f>IFERROR(__xludf.DUMMYFUNCTION("""COMPUTED_VALUE"""),"augusto.mello")</f>
        <v>augusto.mello</v>
      </c>
      <c r="B18" s="120" t="str">
        <f>IFERROR(__xludf.DUMMYFUNCTION("""COMPUTED_VALUE"""),"Trainee")</f>
        <v>Trainee</v>
      </c>
      <c r="C18" s="120" t="str">
        <f>IFERROR(__xludf.DUMMYFUNCTION("""COMPUTED_VALUE"""),"NTec")</f>
        <v>NTec</v>
      </c>
      <c r="D18" s="292" t="str">
        <f>IFERROR((COUNTIFS(Base!$V:$V,A18,Base!$S:$S,"&gt;8") - COUNTIFS(Base!$V:$V,A18,Base!$S:$S,"&lt;7"))/COUNTIFS(Base!$V:$V,A18,Base!$S:$S,"&lt;&gt;"),"-")</f>
        <v>-</v>
      </c>
      <c r="E18" s="292" t="str">
        <f>IF(
  (
    COUNTIFS(Base!$W:$W, A18, Base!$S:$S, "&lt;&gt;") +
    COUNTIFS(Base!$X:$X, A18, Base!$S:$S, "&lt;&gt;") +
    COUNTIFS(Base!$Y:$Y, A18, Base!$S:$S, "&lt;&gt;") +
    COUNTIFS(Base!$Z:$Z, A18, Base!$S:$S, "&lt;&gt;")
  ) = 0,
  "-",
  (
    COUNTIFS(Base!$W:$W, A18, Base!$S:$S, "&gt;8") - COUNTIFS(Base!$W:$W, A18, Base!$S:$S, "&lt;7") +
    COUNTIFS(Base!$X:$X, A18, Base!$S:$S, "&gt;8") - COUNTIFS(Base!$X:$X, A18, Base!$S:$S, "&lt;7") +
    COUNTIFS(Base!$Y:$Y, A18, Base!$S:$S, "&gt;8") - COUNTIFS(Base!$Y:$Y, A18, Base!$S:$S, "&lt;7") +
    COUNTIFS(Base!$Z:$Z, A18, Base!$S:$S, "&gt;8") - COUNTIFS(Base!$Z:$Z, A18, Base!$S:$S, "&lt;7")
  ) /
  (
    COUNTIFS(Base!$W:$W, A18, Base!$S:$S, "&lt;&gt;") +
    COUNTIFS(Base!$X:$X, A18, Base!$S:$S, "&lt;&gt;") +
    COUNTIFS(Base!$Y:$Y, A18, Base!$S:$S, "&lt;&gt;") +
    COUNTIFS(Base!$Z:$Z, A18, Base!$S:$S, "&lt;&gt;")
  )
)
</f>
        <v>-</v>
      </c>
      <c r="F18" s="290">
        <f>SUMIFS(Base!$N:$N,Base!$V:$V,A18,Base!$N:$N,"&lt;&gt;")-SUMIFS(Base!$K:$K,Base!$V:$V,A18,Base!$N:$N,"&lt;&gt;")-(SUMIFS(Base!$L:$L,Base!$V:$V,A18,Base!$N:$N,"&lt;&gt;")*7)</f>
        <v>0</v>
      </c>
      <c r="G18" s="290"/>
      <c r="H18" s="290">
        <f>SUMIFS(Base!$F:$F,Base!$V:$V,A18,Base!$N:$N,"&lt;&gt;")*7</f>
        <v>0</v>
      </c>
      <c r="I18" s="290"/>
      <c r="J18" s="292" t="str">
        <f t="shared" ref="J18:K18" si="19">IFERROR(F18/H18,"-")</f>
        <v>-</v>
      </c>
      <c r="K18" s="292" t="str">
        <f t="shared" si="19"/>
        <v>-</v>
      </c>
      <c r="L18" s="292" t="str">
        <f>IFERROR((COUNTIFS(Base!$V:$V,A18,Base!$U:$U,TRUE))/(COUNTIFS(Base!$V:$V,A18,Base!$O:$O,"Finalizado")+COUNTIFS(Base!$V:$V,A18,Base!$O:$O,"Concluído")),"-")</f>
        <v>-</v>
      </c>
      <c r="M18" s="292" t="str">
        <f>IF(
  (
    IFERROR(COUNTIF(Base!$W:$W, A18), 0) +
    IFERROR(COUNTIF(Base!$X:$X, A18), 0) +
    IFERROR(COUNTIF(Base!$Y:$Y, A18), 0) +
    IFERROR(COUNTIF(Base!$Z:$Z, A18), 0)
  ) = 0,
  "-",
  IF(
    (
      IFERROR(COUNTIFS(Base!$W:$W, A18, Base!$O:$O, "Finalizado"), 0) +
      IFERROR(COUNTIFS(Base!$W:$W, A18, Base!$O:$O, "Concluído"), 0) +
      IFERROR(COUNTIFS(Base!$X:$X, A18, Base!$O:$O, "Finalizado"), 0) +
      IFERROR(COUNTIFS(Base!$X:$X, A18, Base!$O:$O, "Concluído"), 0) +
      IFERROR(COUNTIFS(Base!$Y:$Y, A18, Base!$O:$O, "Finalizado"), 0) +
      IFERROR(COUNTIFS(Base!$Y:$Y, A18, Base!$O:$O, "Concluído"), 0) +
      IFERROR(COUNTIFS(Base!$Z:$Z, A18, Base!$O:$O, "Finalizado"), 0) +
      IFERROR(COUNTIFS(Base!$Z:$Z, A18, Base!$O:$O, "Concluído"), 0)
    ) = 0,
    "-",
    (
      IFERROR(COUNTIFS(Base!$W:$W, A18, Base!$U:$U, TRUE), 0) +
      IFERROR(COUNTIFS(Base!$X:$X, A18, Base!$U:$U, TRUE), 0) +
      IFERROR(COUNTIFS(Base!$Y:$Y, A18, Base!$U:$U, TRUE), 0) +
      IFERROR(COUNTIFS(Base!$Z:$Z, A18, Base!$U:$U, TRUE), 0)
    ) /
    (
      IFERROR(COUNTIFS(Base!$W:$W, A18, Base!$O:$O, "Finalizado"), 0) +
      IFERROR(COUNTIFS(Base!$W:$W, A18, Base!$O:$O, "Concluído"), 0) +
      IFERROR(COUNTIFS(Base!$X:$X, A18, Base!$O:$O, "Finalizado"), 0) +
      IFERROR(COUNTIFS(Base!$X:$X, A18, Base!$O:$O, "Concluído"), 0) +
      IFERROR(COUNTIFS(Base!$Y:$Y, A18, Base!$O:$O, "Finalizado"), 0) +
      IFERROR(COUNTIFS(Base!$Y:$Y, A18, Base!$O:$O, "Concluído"), 0) +
      IFERROR(COUNTIFS(Base!$Z:$Z, A18, Base!$O:$O, "Finalizado"), 0) +
      IFERROR(COUNTIFS(Base!$Z:$Z, A18, Base!$O:$O, "Concluído"), 0)
    )
  )
)
</f>
        <v>-</v>
      </c>
      <c r="N18" s="120">
        <f>COUNTIF(Base!V:V,$A18)</f>
        <v>0</v>
      </c>
      <c r="O18" s="120">
        <f>COUNTIF(Base!W:W,$A18)</f>
        <v>0</v>
      </c>
      <c r="P18" s="120">
        <f>COUNTIF(Base!X:X,$A18)</f>
        <v>0</v>
      </c>
      <c r="Q18" s="120">
        <f>COUNTIF(Base!Y:Y,$A18)</f>
        <v>0</v>
      </c>
      <c r="R18" s="120">
        <f>COUNTIF(Base!Z:Z,$A18)</f>
        <v>0</v>
      </c>
      <c r="S18" s="120">
        <f t="shared" si="3"/>
        <v>0</v>
      </c>
      <c r="T18" s="120">
        <f t="shared" si="4"/>
        <v>0</v>
      </c>
      <c r="V18" s="293" t="str">
        <f>IF(
  (
    COUNTIF('Acompanhamento quinzenal'!$N:$N, A18) +
    COUNTIF('Acompanhamento quinzenal'!$T:$T, A18) +
    COUNTIF('Acompanhamento quinzenal'!$Z:$Z, A18) +
    COUNTIF('Acompanhamento quinzenal'!$AF:$AF, A18)
  ) = 0,
  "-",
  (
    IFERROR(SUMIFS('Acompanhamento quinzenal'!$S:$S, 'Acompanhamento quinzenal'!$N:$N, A18), 0) +
    IFERROR(SUMIFS('Acompanhamento quinzenal'!$Y:$Y, 'Acompanhamento quinzenal'!$T:$T, A18), 0) +
    IFERROR(SUMIFS('Acompanhamento quinzenal'!$AE:$AE, 'Acompanhamento quinzenal'!$Z:$Z, A18), 0) +
    IFERROR(SUMIFS('Acompanhamento quinzenal'!$AK:$AK, 'Acompanhamento quinzenal'!$AF:$AF, A18), 0)
  ) /
  (
    COUNTIF('Acompanhamento quinzenal'!$N:$N, A18) +
    COUNTIF('Acompanhamento quinzenal'!$T:$T, A18) +
    COUNTIF('Acompanhamento quinzenal'!$Z:$Z, A18) +
    COUNTIF('Acompanhamento quinzenal'!$AF:$AF, A18)
  )
)
</f>
        <v>-</v>
      </c>
      <c r="W18" s="293" t="str">
        <f>IF(
  (
    COUNTIF('Acompanhamento quinzenal'!$N:$N, A18) +
    COUNTIF('Acompanhamento quinzenal'!$T:$T, A18) +
    COUNTIF('Acompanhamento quinzenal'!$Z:$Z, A18) +
    COUNTIF('Acompanhamento quinzenal'!$AF:$AF, A18)
  ) = 0,
  "-",
  (
    IFERROR(SUMIFS('Acompanhamento quinzenal'!$O:$O, 'Acompanhamento quinzenal'!$N:$N, A18), 0) +
    IFERROR(SUMIFS('Acompanhamento quinzenal'!$U:$U, 'Acompanhamento quinzenal'!$T:$T, A18), 0) +
    IFERROR(SUMIFS('Acompanhamento quinzenal'!$AA:$AA, 'Acompanhamento quinzenal'!$Z:$Z, A18), 0) +
    IFERROR(SUMIFS('Acompanhamento quinzenal'!$AG:$AG, 'Acompanhamento quinzenal'!$AF:$AF, A18), 0)
  ) /
  (
    COUNTIF('Acompanhamento quinzenal'!$N:$N, A18) +
    COUNTIF('Acompanhamento quinzenal'!$T:$T, A18) +
    COUNTIF('Acompanhamento quinzenal'!$Z:$Z, A18) +
    COUNTIF('Acompanhamento quinzenal'!$AF:$AF, A18)
  )
)
</f>
        <v>-</v>
      </c>
      <c r="X18" s="294" t="str">
        <f>IF(
  (
    COUNTIF('Acompanhamento quinzenal'!$N:$N, A18) +
    COUNTIF('Acompanhamento quinzenal'!$T:$T, A18) +
    COUNTIF('Acompanhamento quinzenal'!$Z:$Z, A18) +
    COUNTIF('Acompanhamento quinzenal'!$AF:$AF, A18)
  ) = 0,
  "-",
  (
    IFERROR(SUMIFS('Acompanhamento quinzenal'!$P:$P, 'Acompanhamento quinzenal'!$N:$N, A18), 0) +
    IFERROR(SUMIFS('Acompanhamento quinzenal'!$V:$V, 'Acompanhamento quinzenal'!$T:$T, A18), 0) +
    IFERROR(SUMIFS('Acompanhamento quinzenal'!$AB:$AB, 'Acompanhamento quinzenal'!$Z:$Z, A18), 0) +
    IFERROR(SUMIFS('Acompanhamento quinzenal'!$AH:$AH, 'Acompanhamento quinzenal'!$AF:$AF, A18), 0)
  ) /
  (
    COUNTIF('Acompanhamento quinzenal'!$N:$N, A18) +
    COUNTIF('Acompanhamento quinzenal'!$T:$T, A18) +
    COUNTIF('Acompanhamento quinzenal'!$Z:$Z, A18) +
    COUNTIF('Acompanhamento quinzenal'!$AF:$AF, A18)
  )
)
</f>
        <v>-</v>
      </c>
      <c r="Y18" s="293" t="str">
        <f>IF(
  (
    COUNTIF('Acompanhamento quinzenal'!$N:$N, A18) +
    COUNTIF('Acompanhamento quinzenal'!$T:$T, A18) +
    COUNTIF('Acompanhamento quinzenal'!$Z:$Z, A18) +
    COUNTIF('Acompanhamento quinzenal'!$AF:$AF, A18)
  ) = 0,
  "-",
  (
    IFERROR(SUMIFS('Acompanhamento quinzenal'!$Q:$Q, 'Acompanhamento quinzenal'!$N:$N, A18), 0) +
    IFERROR(SUMIFS('Acompanhamento quinzenal'!$W:$W, 'Acompanhamento quinzenal'!$T:$T, A18), 0) +
    IFERROR(SUMIFS('Acompanhamento quinzenal'!$AC:$AC, 'Acompanhamento quinzenal'!$Z:$Z, A18), 0) +
    IFERROR(SUMIFS('Acompanhamento quinzenal'!$AI:$AI, 'Acompanhamento quinzenal'!$AF:$AF, A18), 0)
  ) /
  (
    COUNTIF('Acompanhamento quinzenal'!$N:$N, A18) +
    COUNTIF('Acompanhamento quinzenal'!$T:$T, A18) +
    COUNTIF('Acompanhamento quinzenal'!$Z:$Z, A18) +
    COUNTIF('Acompanhamento quinzenal'!$AF:$AF, A18)
  )
)
</f>
        <v>-</v>
      </c>
    </row>
    <row r="19">
      <c r="A19" s="291" t="str">
        <f>IFERROR(__xludf.DUMMYFUNCTION("""COMPUTED_VALUE"""),"ayana.tanaka")</f>
        <v>ayana.tanaka</v>
      </c>
      <c r="B19" s="120" t="str">
        <f>IFERROR(__xludf.DUMMYFUNCTION("""COMPUTED_VALUE"""),"Consultor")</f>
        <v>Consultor</v>
      </c>
      <c r="C19" s="120" t="str">
        <f>IFERROR(__xludf.DUMMYFUNCTION("""COMPUTED_VALUE"""),"NDados")</f>
        <v>NDados</v>
      </c>
      <c r="D19" s="292" t="str">
        <f>IFERROR((COUNTIFS(Base!$V:$V,A19,Base!$S:$S,"&gt;8") - COUNTIFS(Base!$V:$V,A19,Base!$S:$S,"&lt;7"))/COUNTIFS(Base!$V:$V,A19,Base!$S:$S,"&lt;&gt;"),"-")</f>
        <v>-</v>
      </c>
      <c r="E19" s="292" t="str">
        <f>IF(
  (
    COUNTIFS(Base!$W:$W, A19, Base!$S:$S, "&lt;&gt;") +
    COUNTIFS(Base!$X:$X, A19, Base!$S:$S, "&lt;&gt;") +
    COUNTIFS(Base!$Y:$Y, A19, Base!$S:$S, "&lt;&gt;") +
    COUNTIFS(Base!$Z:$Z, A19, Base!$S:$S, "&lt;&gt;")
  ) = 0,
  "-",
  (
    COUNTIFS(Base!$W:$W, A19, Base!$S:$S, "&gt;8") - COUNTIFS(Base!$W:$W, A19, Base!$S:$S, "&lt;7") +
    COUNTIFS(Base!$X:$X, A19, Base!$S:$S, "&gt;8") - COUNTIFS(Base!$X:$X, A19, Base!$S:$S, "&lt;7") +
    COUNTIFS(Base!$Y:$Y, A19, Base!$S:$S, "&gt;8") - COUNTIFS(Base!$Y:$Y, A19, Base!$S:$S, "&lt;7") +
    COUNTIFS(Base!$Z:$Z, A19, Base!$S:$S, "&gt;8") - COUNTIFS(Base!$Z:$Z, A19, Base!$S:$S, "&lt;7")
  ) /
  (
    COUNTIFS(Base!$W:$W, A19, Base!$S:$S, "&lt;&gt;") +
    COUNTIFS(Base!$X:$X, A19, Base!$S:$S, "&lt;&gt;") +
    COUNTIFS(Base!$Y:$Y, A19, Base!$S:$S, "&lt;&gt;") +
    COUNTIFS(Base!$Z:$Z, A19, Base!$S:$S, "&lt;&gt;")
  )
)
</f>
        <v>-</v>
      </c>
      <c r="F19" s="290">
        <f>SUMIFS(Base!$N:$N,Base!$V:$V,A19,Base!$N:$N,"&lt;&gt;")-SUMIFS(Base!$K:$K,Base!$V:$V,A19,Base!$N:$N,"&lt;&gt;")-(SUMIFS(Base!$L:$L,Base!$V:$V,A19,Base!$N:$N,"&lt;&gt;")*7)</f>
        <v>0</v>
      </c>
      <c r="G19" s="290"/>
      <c r="H19" s="290">
        <f>SUMIFS(Base!$F:$F,Base!$V:$V,A19,Base!$N:$N,"&lt;&gt;")*7</f>
        <v>0</v>
      </c>
      <c r="I19" s="290"/>
      <c r="J19" s="292" t="str">
        <f t="shared" ref="J19:K19" si="20">IFERROR(F19/H19,"-")</f>
        <v>-</v>
      </c>
      <c r="K19" s="292" t="str">
        <f t="shared" si="20"/>
        <v>-</v>
      </c>
      <c r="L19" s="292" t="str">
        <f>IFERROR((COUNTIFS(Base!$V:$V,A19,Base!$U:$U,TRUE))/(COUNTIFS(Base!$V:$V,A19,Base!$O:$O,"Finalizado")+COUNTIFS(Base!$V:$V,A19,Base!$O:$O,"Concluído")),"-")</f>
        <v>-</v>
      </c>
      <c r="M19" s="292" t="str">
        <f>IF(
  (
    IFERROR(COUNTIF(Base!$W:$W, A19), 0) +
    IFERROR(COUNTIF(Base!$X:$X, A19), 0) +
    IFERROR(COUNTIF(Base!$Y:$Y, A19), 0) +
    IFERROR(COUNTIF(Base!$Z:$Z, A19), 0)
  ) = 0,
  "-",
  IF(
    (
      IFERROR(COUNTIFS(Base!$W:$W, A19, Base!$O:$O, "Finalizado"), 0) +
      IFERROR(COUNTIFS(Base!$W:$W, A19, Base!$O:$O, "Concluído"), 0) +
      IFERROR(COUNTIFS(Base!$X:$X, A19, Base!$O:$O, "Finalizado"), 0) +
      IFERROR(COUNTIFS(Base!$X:$X, A19, Base!$O:$O, "Concluído"), 0) +
      IFERROR(COUNTIFS(Base!$Y:$Y, A19, Base!$O:$O, "Finalizado"), 0) +
      IFERROR(COUNTIFS(Base!$Y:$Y, A19, Base!$O:$O, "Concluído"), 0) +
      IFERROR(COUNTIFS(Base!$Z:$Z, A19, Base!$O:$O, "Finalizado"), 0) +
      IFERROR(COUNTIFS(Base!$Z:$Z, A19, Base!$O:$O, "Concluído"), 0)
    ) = 0,
    "-",
    (
      IFERROR(COUNTIFS(Base!$W:$W, A19, Base!$U:$U, TRUE), 0) +
      IFERROR(COUNTIFS(Base!$X:$X, A19, Base!$U:$U, TRUE), 0) +
      IFERROR(COUNTIFS(Base!$Y:$Y, A19, Base!$U:$U, TRUE), 0) +
      IFERROR(COUNTIFS(Base!$Z:$Z, A19, Base!$U:$U, TRUE), 0)
    ) /
    (
      IFERROR(COUNTIFS(Base!$W:$W, A19, Base!$O:$O, "Finalizado"), 0) +
      IFERROR(COUNTIFS(Base!$W:$W, A19, Base!$O:$O, "Concluído"), 0) +
      IFERROR(COUNTIFS(Base!$X:$X, A19, Base!$O:$O, "Finalizado"), 0) +
      IFERROR(COUNTIFS(Base!$X:$X, A19, Base!$O:$O, "Concluído"), 0) +
      IFERROR(COUNTIFS(Base!$Y:$Y, A19, Base!$O:$O, "Finalizado"), 0) +
      IFERROR(COUNTIFS(Base!$Y:$Y, A19, Base!$O:$O, "Concluído"), 0) +
      IFERROR(COUNTIFS(Base!$Z:$Z, A19, Base!$O:$O, "Finalizado"), 0) +
      IFERROR(COUNTIFS(Base!$Z:$Z, A19, Base!$O:$O, "Concluído"), 0)
    )
  )
)
</f>
        <v>-</v>
      </c>
      <c r="N19" s="120">
        <f>COUNTIF(Base!V:V,$A19)</f>
        <v>0</v>
      </c>
      <c r="O19" s="120">
        <f>COUNTIF(Base!W:W,$A19)</f>
        <v>1</v>
      </c>
      <c r="P19" s="120">
        <f>COUNTIF(Base!X:X,$A19)</f>
        <v>0</v>
      </c>
      <c r="Q19" s="120">
        <f>COUNTIF(Base!Y:Y,$A19)</f>
        <v>1</v>
      </c>
      <c r="R19" s="120">
        <f>COUNTIF(Base!Z:Z,$A19)</f>
        <v>0</v>
      </c>
      <c r="S19" s="120">
        <f t="shared" si="3"/>
        <v>2</v>
      </c>
      <c r="T19" s="120">
        <f t="shared" si="4"/>
        <v>2</v>
      </c>
      <c r="V19" s="293">
        <f>IF(
  (
    COUNTIF('Acompanhamento quinzenal'!$N:$N, A19) +
    COUNTIF('Acompanhamento quinzenal'!$T:$T, A19) +
    COUNTIF('Acompanhamento quinzenal'!$Z:$Z, A19) +
    COUNTIF('Acompanhamento quinzenal'!$AF:$AF, A19)
  ) = 0,
  "-",
  (
    IFERROR(SUMIFS('Acompanhamento quinzenal'!$S:$S, 'Acompanhamento quinzenal'!$N:$N, A19), 0) +
    IFERROR(SUMIFS('Acompanhamento quinzenal'!$Y:$Y, 'Acompanhamento quinzenal'!$T:$T, A19), 0) +
    IFERROR(SUMIFS('Acompanhamento quinzenal'!$AE:$AE, 'Acompanhamento quinzenal'!$Z:$Z, A19), 0) +
    IFERROR(SUMIFS('Acompanhamento quinzenal'!$AK:$AK, 'Acompanhamento quinzenal'!$AF:$AF, A19), 0)
  ) /
  (
    COUNTIF('Acompanhamento quinzenal'!$N:$N, A19) +
    COUNTIF('Acompanhamento quinzenal'!$T:$T, A19) +
    COUNTIF('Acompanhamento quinzenal'!$Z:$Z, A19) +
    COUNTIF('Acompanhamento quinzenal'!$AF:$AF, A19)
  )
)
</f>
        <v>0</v>
      </c>
      <c r="W19" s="293">
        <f>IF(
  (
    COUNTIF('Acompanhamento quinzenal'!$N:$N, A19) +
    COUNTIF('Acompanhamento quinzenal'!$T:$T, A19) +
    COUNTIF('Acompanhamento quinzenal'!$Z:$Z, A19) +
    COUNTIF('Acompanhamento quinzenal'!$AF:$AF, A19)
  ) = 0,
  "-",
  (
    IFERROR(SUMIFS('Acompanhamento quinzenal'!$O:$O, 'Acompanhamento quinzenal'!$N:$N, A19), 0) +
    IFERROR(SUMIFS('Acompanhamento quinzenal'!$U:$U, 'Acompanhamento quinzenal'!$T:$T, A19), 0) +
    IFERROR(SUMIFS('Acompanhamento quinzenal'!$AA:$AA, 'Acompanhamento quinzenal'!$Z:$Z, A19), 0) +
    IFERROR(SUMIFS('Acompanhamento quinzenal'!$AG:$AG, 'Acompanhamento quinzenal'!$AF:$AF, A19), 0)
  ) /
  (
    COUNTIF('Acompanhamento quinzenal'!$N:$N, A19) +
    COUNTIF('Acompanhamento quinzenal'!$T:$T, A19) +
    COUNTIF('Acompanhamento quinzenal'!$Z:$Z, A19) +
    COUNTIF('Acompanhamento quinzenal'!$AF:$AF, A19)
  )
)
</f>
        <v>3</v>
      </c>
      <c r="X19" s="294">
        <f>IF(
  (
    COUNTIF('Acompanhamento quinzenal'!$N:$N, A19) +
    COUNTIF('Acompanhamento quinzenal'!$T:$T, A19) +
    COUNTIF('Acompanhamento quinzenal'!$Z:$Z, A19) +
    COUNTIF('Acompanhamento quinzenal'!$AF:$AF, A19)
  ) = 0,
  "-",
  (
    IFERROR(SUMIFS('Acompanhamento quinzenal'!$P:$P, 'Acompanhamento quinzenal'!$N:$N, A19), 0) +
    IFERROR(SUMIFS('Acompanhamento quinzenal'!$V:$V, 'Acompanhamento quinzenal'!$T:$T, A19), 0) +
    IFERROR(SUMIFS('Acompanhamento quinzenal'!$AB:$AB, 'Acompanhamento quinzenal'!$Z:$Z, A19), 0) +
    IFERROR(SUMIFS('Acompanhamento quinzenal'!$AH:$AH, 'Acompanhamento quinzenal'!$AF:$AF, A19), 0)
  ) /
  (
    COUNTIF('Acompanhamento quinzenal'!$N:$N, A19) +
    COUNTIF('Acompanhamento quinzenal'!$T:$T, A19) +
    COUNTIF('Acompanhamento quinzenal'!$Z:$Z, A19) +
    COUNTIF('Acompanhamento quinzenal'!$AF:$AF, A19)
  )
)
</f>
        <v>3</v>
      </c>
      <c r="Y19" s="293">
        <f>IF(
  (
    COUNTIF('Acompanhamento quinzenal'!$N:$N, A19) +
    COUNTIF('Acompanhamento quinzenal'!$T:$T, A19) +
    COUNTIF('Acompanhamento quinzenal'!$Z:$Z, A19) +
    COUNTIF('Acompanhamento quinzenal'!$AF:$AF, A19)
  ) = 0,
  "-",
  (
    IFERROR(SUMIFS('Acompanhamento quinzenal'!$Q:$Q, 'Acompanhamento quinzenal'!$N:$N, A19), 0) +
    IFERROR(SUMIFS('Acompanhamento quinzenal'!$W:$W, 'Acompanhamento quinzenal'!$T:$T, A19), 0) +
    IFERROR(SUMIFS('Acompanhamento quinzenal'!$AC:$AC, 'Acompanhamento quinzenal'!$Z:$Z, A19), 0) +
    IFERROR(SUMIFS('Acompanhamento quinzenal'!$AI:$AI, 'Acompanhamento quinzenal'!$AF:$AF, A19), 0)
  ) /
  (
    COUNTIF('Acompanhamento quinzenal'!$N:$N, A19) +
    COUNTIF('Acompanhamento quinzenal'!$T:$T, A19) +
    COUNTIF('Acompanhamento quinzenal'!$Z:$Z, A19) +
    COUNTIF('Acompanhamento quinzenal'!$AF:$AF, A19)
  )
)
</f>
        <v>3</v>
      </c>
    </row>
    <row r="20" hidden="1">
      <c r="A20" s="291" t="str">
        <f>IFERROR(__xludf.DUMMYFUNCTION("""COMPUTED_VALUE"""),"beatriz.tavora")</f>
        <v>beatriz.tavora</v>
      </c>
      <c r="B20" s="120" t="str">
        <f>IFERROR(__xludf.DUMMYFUNCTION("""COMPUTED_VALUE"""),"Consultor")</f>
        <v>Consultor</v>
      </c>
      <c r="C20" s="120" t="str">
        <f>IFERROR(__xludf.DUMMYFUNCTION("""COMPUTED_VALUE"""),"WI")</f>
        <v>WI</v>
      </c>
      <c r="D20" s="292" t="str">
        <f>IFERROR((COUNTIFS(Base!$V:$V,A20,Base!$S:$S,"&gt;8") - COUNTIFS(Base!$V:$V,A20,Base!$S:$S,"&lt;7"))/COUNTIFS(Base!$V:$V,A20,Base!$S:$S,"&lt;&gt;"),"-")</f>
        <v>-</v>
      </c>
      <c r="E20" s="292" t="str">
        <f>IF(
  (
    COUNTIFS(Base!$W:$W, A20, Base!$S:$S, "&lt;&gt;") +
    COUNTIFS(Base!$X:$X, A20, Base!$S:$S, "&lt;&gt;") +
    COUNTIFS(Base!$Y:$Y, A20, Base!$S:$S, "&lt;&gt;") +
    COUNTIFS(Base!$Z:$Z, A20, Base!$S:$S, "&lt;&gt;")
  ) = 0,
  "-",
  (
    COUNTIFS(Base!$W:$W, A20, Base!$S:$S, "&gt;8") - COUNTIFS(Base!$W:$W, A20, Base!$S:$S, "&lt;7") +
    COUNTIFS(Base!$X:$X, A20, Base!$S:$S, "&gt;8") - COUNTIFS(Base!$X:$X, A20, Base!$S:$S, "&lt;7") +
    COUNTIFS(Base!$Y:$Y, A20, Base!$S:$S, "&gt;8") - COUNTIFS(Base!$Y:$Y, A20, Base!$S:$S, "&lt;7") +
    COUNTIFS(Base!$Z:$Z, A20, Base!$S:$S, "&gt;8") - COUNTIFS(Base!$Z:$Z, A20, Base!$S:$S, "&lt;7")
  ) /
  (
    COUNTIFS(Base!$W:$W, A20, Base!$S:$S, "&lt;&gt;") +
    COUNTIFS(Base!$X:$X, A20, Base!$S:$S, "&lt;&gt;") +
    COUNTIFS(Base!$Y:$Y, A20, Base!$S:$S, "&lt;&gt;") +
    COUNTIFS(Base!$Z:$Z, A20, Base!$S:$S, "&lt;&gt;")
  )
)
</f>
        <v>-</v>
      </c>
      <c r="F20" s="290">
        <f>SUMIFS(Base!$N:$N,Base!$V:$V,A20,Base!$N:$N,"&lt;&gt;")-SUMIFS(Base!$K:$K,Base!$V:$V,A20,Base!$N:$N,"&lt;&gt;")-(SUMIFS(Base!$L:$L,Base!$V:$V,A20,Base!$N:$N,"&lt;&gt;")*7)</f>
        <v>0</v>
      </c>
      <c r="G20" s="290"/>
      <c r="H20" s="290">
        <f>SUMIFS(Base!$F:$F,Base!$V:$V,A20,Base!$N:$N,"&lt;&gt;")*7</f>
        <v>0</v>
      </c>
      <c r="I20" s="290"/>
      <c r="J20" s="292" t="str">
        <f t="shared" ref="J20:K20" si="21">IFERROR(F20/H20,"-")</f>
        <v>-</v>
      </c>
      <c r="K20" s="292" t="str">
        <f t="shared" si="21"/>
        <v>-</v>
      </c>
      <c r="L20" s="292" t="str">
        <f>IFERROR((COUNTIFS(Base!$V:$V,A20,Base!$U:$U,TRUE))/(COUNTIFS(Base!$V:$V,A20,Base!$O:$O,"Finalizado")+COUNTIFS(Base!$V:$V,A20,Base!$O:$O,"Concluído")),"-")</f>
        <v>-</v>
      </c>
      <c r="M20" s="292">
        <f>IF(
  (
    IFERROR(COUNTIF(Base!$W:$W, A20), 0) +
    IFERROR(COUNTIF(Base!$X:$X, A20), 0) +
    IFERROR(COUNTIF(Base!$Y:$Y, A20), 0) +
    IFERROR(COUNTIF(Base!$Z:$Z, A20), 0)
  ) = 0,
  "-",
  IF(
    (
      IFERROR(COUNTIFS(Base!$W:$W, A20, Base!$O:$O, "Finalizado"), 0) +
      IFERROR(COUNTIFS(Base!$W:$W, A20, Base!$O:$O, "Concluído"), 0) +
      IFERROR(COUNTIFS(Base!$X:$X, A20, Base!$O:$O, "Finalizado"), 0) +
      IFERROR(COUNTIFS(Base!$X:$X, A20, Base!$O:$O, "Concluído"), 0) +
      IFERROR(COUNTIFS(Base!$Y:$Y, A20, Base!$O:$O, "Finalizado"), 0) +
      IFERROR(COUNTIFS(Base!$Y:$Y, A20, Base!$O:$O, "Concluído"), 0) +
      IFERROR(COUNTIFS(Base!$Z:$Z, A20, Base!$O:$O, "Finalizado"), 0) +
      IFERROR(COUNTIFS(Base!$Z:$Z, A20, Base!$O:$O, "Concluído"), 0)
    ) = 0,
    "-",
    (
      IFERROR(COUNTIFS(Base!$W:$W, A20, Base!$U:$U, TRUE), 0) +
      IFERROR(COUNTIFS(Base!$X:$X, A20, Base!$U:$U, TRUE), 0) +
      IFERROR(COUNTIFS(Base!$Y:$Y, A20, Base!$U:$U, TRUE), 0) +
      IFERROR(COUNTIFS(Base!$Z:$Z, A20, Base!$U:$U, TRUE), 0)
    ) /
    (
      IFERROR(COUNTIFS(Base!$W:$W, A20, Base!$O:$O, "Finalizado"), 0) +
      IFERROR(COUNTIFS(Base!$W:$W, A20, Base!$O:$O, "Concluído"), 0) +
      IFERROR(COUNTIFS(Base!$X:$X, A20, Base!$O:$O, "Finalizado"), 0) +
      IFERROR(COUNTIFS(Base!$X:$X, A20, Base!$O:$O, "Concluído"), 0) +
      IFERROR(COUNTIFS(Base!$Y:$Y, A20, Base!$O:$O, "Finalizado"), 0) +
      IFERROR(COUNTIFS(Base!$Y:$Y, A20, Base!$O:$O, "Concluído"), 0) +
      IFERROR(COUNTIFS(Base!$Z:$Z, A20, Base!$O:$O, "Finalizado"), 0) +
      IFERROR(COUNTIFS(Base!$Z:$Z, A20, Base!$O:$O, "Concluído"), 0)
    )
  )
)
</f>
        <v>0</v>
      </c>
      <c r="N20" s="120">
        <f>COUNTIF(Base!V:V,$A20)</f>
        <v>0</v>
      </c>
      <c r="O20" s="120">
        <f>COUNTIF(Base!W:W,$A20)</f>
        <v>0</v>
      </c>
      <c r="P20" s="120">
        <f>COUNTIF(Base!X:X,$A20)</f>
        <v>0</v>
      </c>
      <c r="Q20" s="120">
        <f>COUNTIF(Base!Y:Y,$A20)</f>
        <v>1</v>
      </c>
      <c r="R20" s="120">
        <f>COUNTIF(Base!Z:Z,$A20)</f>
        <v>0</v>
      </c>
      <c r="S20" s="120">
        <f t="shared" si="3"/>
        <v>1</v>
      </c>
      <c r="T20" s="120">
        <f t="shared" si="4"/>
        <v>1</v>
      </c>
      <c r="V20" s="293" t="str">
        <f>IF(
  (
    COUNTIF('Acompanhamento quinzenal'!$N:$N, A20) +
    COUNTIF('Acompanhamento quinzenal'!$T:$T, A20) +
    COUNTIF('Acompanhamento quinzenal'!$Z:$Z, A20) +
    COUNTIF('Acompanhamento quinzenal'!$AF:$AF, A20)
  ) = 0,
  "-",
  (
    IFERROR(SUMIFS('Acompanhamento quinzenal'!$S:$S, 'Acompanhamento quinzenal'!$N:$N, A20), 0) +
    IFERROR(SUMIFS('Acompanhamento quinzenal'!$Y:$Y, 'Acompanhamento quinzenal'!$T:$T, A20), 0) +
    IFERROR(SUMIFS('Acompanhamento quinzenal'!$AE:$AE, 'Acompanhamento quinzenal'!$Z:$Z, A20), 0) +
    IFERROR(SUMIFS('Acompanhamento quinzenal'!$AK:$AK, 'Acompanhamento quinzenal'!$AF:$AF, A20), 0)
  ) /
  (
    COUNTIF('Acompanhamento quinzenal'!$N:$N, A20) +
    COUNTIF('Acompanhamento quinzenal'!$T:$T, A20) +
    COUNTIF('Acompanhamento quinzenal'!$Z:$Z, A20) +
    COUNTIF('Acompanhamento quinzenal'!$AF:$AF, A20)
  )
)
</f>
        <v>-</v>
      </c>
      <c r="W20" s="293" t="str">
        <f>IF(
  (
    COUNTIF('Acompanhamento quinzenal'!$N:$N, A20) +
    COUNTIF('Acompanhamento quinzenal'!$T:$T, A20) +
    COUNTIF('Acompanhamento quinzenal'!$Z:$Z, A20) +
    COUNTIF('Acompanhamento quinzenal'!$AF:$AF, A20)
  ) = 0,
  "-",
  (
    IFERROR(SUMIFS('Acompanhamento quinzenal'!$O:$O, 'Acompanhamento quinzenal'!$N:$N, A20), 0) +
    IFERROR(SUMIFS('Acompanhamento quinzenal'!$U:$U, 'Acompanhamento quinzenal'!$T:$T, A20), 0) +
    IFERROR(SUMIFS('Acompanhamento quinzenal'!$AA:$AA, 'Acompanhamento quinzenal'!$Z:$Z, A20), 0) +
    IFERROR(SUMIFS('Acompanhamento quinzenal'!$AG:$AG, 'Acompanhamento quinzenal'!$AF:$AF, A20), 0)
  ) /
  (
    COUNTIF('Acompanhamento quinzenal'!$N:$N, A20) +
    COUNTIF('Acompanhamento quinzenal'!$T:$T, A20) +
    COUNTIF('Acompanhamento quinzenal'!$Z:$Z, A20) +
    COUNTIF('Acompanhamento quinzenal'!$AF:$AF, A20)
  )
)
</f>
        <v>-</v>
      </c>
      <c r="X20" s="294" t="str">
        <f>IF(
  (
    COUNTIF('Acompanhamento quinzenal'!$N:$N, A20) +
    COUNTIF('Acompanhamento quinzenal'!$T:$T, A20) +
    COUNTIF('Acompanhamento quinzenal'!$Z:$Z, A20) +
    COUNTIF('Acompanhamento quinzenal'!$AF:$AF, A20)
  ) = 0,
  "-",
  (
    IFERROR(SUMIFS('Acompanhamento quinzenal'!$P:$P, 'Acompanhamento quinzenal'!$N:$N, A20), 0) +
    IFERROR(SUMIFS('Acompanhamento quinzenal'!$V:$V, 'Acompanhamento quinzenal'!$T:$T, A20), 0) +
    IFERROR(SUMIFS('Acompanhamento quinzenal'!$AB:$AB, 'Acompanhamento quinzenal'!$Z:$Z, A20), 0) +
    IFERROR(SUMIFS('Acompanhamento quinzenal'!$AH:$AH, 'Acompanhamento quinzenal'!$AF:$AF, A20), 0)
  ) /
  (
    COUNTIF('Acompanhamento quinzenal'!$N:$N, A20) +
    COUNTIF('Acompanhamento quinzenal'!$T:$T, A20) +
    COUNTIF('Acompanhamento quinzenal'!$Z:$Z, A20) +
    COUNTIF('Acompanhamento quinzenal'!$AF:$AF, A20)
  )
)
</f>
        <v>-</v>
      </c>
      <c r="Y20" s="293" t="str">
        <f>IF(
  (
    COUNTIF('Acompanhamento quinzenal'!$N:$N, A20) +
    COUNTIF('Acompanhamento quinzenal'!$T:$T, A20) +
    COUNTIF('Acompanhamento quinzenal'!$Z:$Z, A20) +
    COUNTIF('Acompanhamento quinzenal'!$AF:$AF, A20)
  ) = 0,
  "-",
  (
    IFERROR(SUMIFS('Acompanhamento quinzenal'!$Q:$Q, 'Acompanhamento quinzenal'!$N:$N, A20), 0) +
    IFERROR(SUMIFS('Acompanhamento quinzenal'!$W:$W, 'Acompanhamento quinzenal'!$T:$T, A20), 0) +
    IFERROR(SUMIFS('Acompanhamento quinzenal'!$AC:$AC, 'Acompanhamento quinzenal'!$Z:$Z, A20), 0) +
    IFERROR(SUMIFS('Acompanhamento quinzenal'!$AI:$AI, 'Acompanhamento quinzenal'!$AF:$AF, A20), 0)
  ) /
  (
    COUNTIF('Acompanhamento quinzenal'!$N:$N, A20) +
    COUNTIF('Acompanhamento quinzenal'!$T:$T, A20) +
    COUNTIF('Acompanhamento quinzenal'!$Z:$Z, A20) +
    COUNTIF('Acompanhamento quinzenal'!$AF:$AF, A20)
  )
)
</f>
        <v>-</v>
      </c>
    </row>
    <row r="21" hidden="1">
      <c r="A21" s="291" t="str">
        <f>IFERROR(__xludf.DUMMYFUNCTION("""COMPUTED_VALUE"""),"beatriz.durand")</f>
        <v>beatriz.durand</v>
      </c>
      <c r="B21" s="120" t="str">
        <f>IFERROR(__xludf.DUMMYFUNCTION("""COMPUTED_VALUE"""),"Consultor")</f>
        <v>Consultor</v>
      </c>
      <c r="C21" s="120" t="str">
        <f>IFERROR(__xludf.DUMMYFUNCTION("""COMPUTED_VALUE"""),"NCon")</f>
        <v>NCon</v>
      </c>
      <c r="D21" s="292" t="str">
        <f>IFERROR((COUNTIFS(Base!$V:$V,A21,Base!$S:$S,"&gt;8") - COUNTIFS(Base!$V:$V,A21,Base!$S:$S,"&lt;7"))/COUNTIFS(Base!$V:$V,A21,Base!$S:$S,"&lt;&gt;"),"-")</f>
        <v>-</v>
      </c>
      <c r="E21" s="292">
        <f>IF(
  (
    COUNTIFS(Base!$W:$W, A21, Base!$S:$S, "&lt;&gt;") +
    COUNTIFS(Base!$X:$X, A21, Base!$S:$S, "&lt;&gt;") +
    COUNTIFS(Base!$Y:$Y, A21, Base!$S:$S, "&lt;&gt;") +
    COUNTIFS(Base!$Z:$Z, A21, Base!$S:$S, "&lt;&gt;")
  ) = 0,
  "-",
  (
    COUNTIFS(Base!$W:$W, A21, Base!$S:$S, "&gt;8") - COUNTIFS(Base!$W:$W, A21, Base!$S:$S, "&lt;7") +
    COUNTIFS(Base!$X:$X, A21, Base!$S:$S, "&gt;8") - COUNTIFS(Base!$X:$X, A21, Base!$S:$S, "&lt;7") +
    COUNTIFS(Base!$Y:$Y, A21, Base!$S:$S, "&gt;8") - COUNTIFS(Base!$Y:$Y, A21, Base!$S:$S, "&lt;7") +
    COUNTIFS(Base!$Z:$Z, A21, Base!$S:$S, "&gt;8") - COUNTIFS(Base!$Z:$Z, A21, Base!$S:$S, "&lt;7")
  ) /
  (
    COUNTIFS(Base!$W:$W, A21, Base!$S:$S, "&lt;&gt;") +
    COUNTIFS(Base!$X:$X, A21, Base!$S:$S, "&lt;&gt;") +
    COUNTIFS(Base!$Y:$Y, A21, Base!$S:$S, "&lt;&gt;") +
    COUNTIFS(Base!$Z:$Z, A21, Base!$S:$S, "&lt;&gt;")
  )
)
</f>
        <v>1</v>
      </c>
      <c r="F21" s="290">
        <f>SUMIFS(Base!$N:$N,Base!$V:$V,A21,Base!$N:$N,"&lt;&gt;")-SUMIFS(Base!$K:$K,Base!$V:$V,A21,Base!$N:$N,"&lt;&gt;")-(SUMIFS(Base!$L:$L,Base!$V:$V,A21,Base!$N:$N,"&lt;&gt;")*7)</f>
        <v>0</v>
      </c>
      <c r="G21" s="290"/>
      <c r="H21" s="290">
        <f>SUMIFS(Base!$F:$F,Base!$V:$V,A21,Base!$N:$N,"&lt;&gt;")*7</f>
        <v>0</v>
      </c>
      <c r="I21" s="290"/>
      <c r="J21" s="292" t="str">
        <f t="shared" ref="J21:K21" si="22">IFERROR(F21/H21,"-")</f>
        <v>-</v>
      </c>
      <c r="K21" s="292" t="str">
        <f t="shared" si="22"/>
        <v>-</v>
      </c>
      <c r="L21" s="292" t="str">
        <f>IFERROR((COUNTIFS(Base!$V:$V,A21,Base!$U:$U,TRUE))/(COUNTIFS(Base!$V:$V,A21,Base!$O:$O,"Finalizado")+COUNTIFS(Base!$V:$V,A21,Base!$O:$O,"Concluído")),"-")</f>
        <v>-</v>
      </c>
      <c r="M21" s="292">
        <f>IF(
  (
    IFERROR(COUNTIF(Base!$W:$W, A21), 0) +
    IFERROR(COUNTIF(Base!$X:$X, A21), 0) +
    IFERROR(COUNTIF(Base!$Y:$Y, A21), 0) +
    IFERROR(COUNTIF(Base!$Z:$Z, A21), 0)
  ) = 0,
  "-",
  IF(
    (
      IFERROR(COUNTIFS(Base!$W:$W, A21, Base!$O:$O, "Finalizado"), 0) +
      IFERROR(COUNTIFS(Base!$W:$W, A21, Base!$O:$O, "Concluído"), 0) +
      IFERROR(COUNTIFS(Base!$X:$X, A21, Base!$O:$O, "Finalizado"), 0) +
      IFERROR(COUNTIFS(Base!$X:$X, A21, Base!$O:$O, "Concluído"), 0) +
      IFERROR(COUNTIFS(Base!$Y:$Y, A21, Base!$O:$O, "Finalizado"), 0) +
      IFERROR(COUNTIFS(Base!$Y:$Y, A21, Base!$O:$O, "Concluído"), 0) +
      IFERROR(COUNTIFS(Base!$Z:$Z, A21, Base!$O:$O, "Finalizado"), 0) +
      IFERROR(COUNTIFS(Base!$Z:$Z, A21, Base!$O:$O, "Concluído"), 0)
    ) = 0,
    "-",
    (
      IFERROR(COUNTIFS(Base!$W:$W, A21, Base!$U:$U, TRUE), 0) +
      IFERROR(COUNTIFS(Base!$X:$X, A21, Base!$U:$U, TRUE), 0) +
      IFERROR(COUNTIFS(Base!$Y:$Y, A21, Base!$U:$U, TRUE), 0) +
      IFERROR(COUNTIFS(Base!$Z:$Z, A21, Base!$U:$U, TRUE), 0)
    ) /
    (
      IFERROR(COUNTIFS(Base!$W:$W, A21, Base!$O:$O, "Finalizado"), 0) +
      IFERROR(COUNTIFS(Base!$W:$W, A21, Base!$O:$O, "Concluído"), 0) +
      IFERROR(COUNTIFS(Base!$X:$X, A21, Base!$O:$O, "Finalizado"), 0) +
      IFERROR(COUNTIFS(Base!$X:$X, A21, Base!$O:$O, "Concluído"), 0) +
      IFERROR(COUNTIFS(Base!$Y:$Y, A21, Base!$O:$O, "Finalizado"), 0) +
      IFERROR(COUNTIFS(Base!$Y:$Y, A21, Base!$O:$O, "Concluído"), 0) +
      IFERROR(COUNTIFS(Base!$Z:$Z, A21, Base!$O:$O, "Finalizado"), 0) +
      IFERROR(COUNTIFS(Base!$Z:$Z, A21, Base!$O:$O, "Concluído"), 0)
    )
  )
)
</f>
        <v>0.5</v>
      </c>
      <c r="N21" s="120">
        <f>COUNTIF(Base!V:V,$A21)</f>
        <v>0</v>
      </c>
      <c r="O21" s="120">
        <f>COUNTIF(Base!W:W,$A21)</f>
        <v>2</v>
      </c>
      <c r="P21" s="120">
        <f>COUNTIF(Base!X:X,$A21)</f>
        <v>0</v>
      </c>
      <c r="Q21" s="120">
        <f>COUNTIF(Base!Y:Y,$A21)</f>
        <v>0</v>
      </c>
      <c r="R21" s="120">
        <f>COUNTIF(Base!Z:Z,$A21)</f>
        <v>0</v>
      </c>
      <c r="S21" s="120">
        <f t="shared" si="3"/>
        <v>2</v>
      </c>
      <c r="T21" s="120">
        <f t="shared" si="4"/>
        <v>2</v>
      </c>
      <c r="V21" s="293" t="str">
        <f>IF(
  (
    COUNTIF('Acompanhamento quinzenal'!$N:$N, A21) +
    COUNTIF('Acompanhamento quinzenal'!$T:$T, A21) +
    COUNTIF('Acompanhamento quinzenal'!$Z:$Z, A21) +
    COUNTIF('Acompanhamento quinzenal'!$AF:$AF, A21)
  ) = 0,
  "-",
  (
    IFERROR(SUMIFS('Acompanhamento quinzenal'!$S:$S, 'Acompanhamento quinzenal'!$N:$N, A21), 0) +
    IFERROR(SUMIFS('Acompanhamento quinzenal'!$Y:$Y, 'Acompanhamento quinzenal'!$T:$T, A21), 0) +
    IFERROR(SUMIFS('Acompanhamento quinzenal'!$AE:$AE, 'Acompanhamento quinzenal'!$Z:$Z, A21), 0) +
    IFERROR(SUMIFS('Acompanhamento quinzenal'!$AK:$AK, 'Acompanhamento quinzenal'!$AF:$AF, A21), 0)
  ) /
  (
    COUNTIF('Acompanhamento quinzenal'!$N:$N, A21) +
    COUNTIF('Acompanhamento quinzenal'!$T:$T, A21) +
    COUNTIF('Acompanhamento quinzenal'!$Z:$Z, A21) +
    COUNTIF('Acompanhamento quinzenal'!$AF:$AF, A21)
  )
)
</f>
        <v>-</v>
      </c>
      <c r="W21" s="293" t="str">
        <f>IF(
  (
    COUNTIF('Acompanhamento quinzenal'!$N:$N, A21) +
    COUNTIF('Acompanhamento quinzenal'!$T:$T, A21) +
    COUNTIF('Acompanhamento quinzenal'!$Z:$Z, A21) +
    COUNTIF('Acompanhamento quinzenal'!$AF:$AF, A21)
  ) = 0,
  "-",
  (
    IFERROR(SUMIFS('Acompanhamento quinzenal'!$O:$O, 'Acompanhamento quinzenal'!$N:$N, A21), 0) +
    IFERROR(SUMIFS('Acompanhamento quinzenal'!$U:$U, 'Acompanhamento quinzenal'!$T:$T, A21), 0) +
    IFERROR(SUMIFS('Acompanhamento quinzenal'!$AA:$AA, 'Acompanhamento quinzenal'!$Z:$Z, A21), 0) +
    IFERROR(SUMIFS('Acompanhamento quinzenal'!$AG:$AG, 'Acompanhamento quinzenal'!$AF:$AF, A21), 0)
  ) /
  (
    COUNTIF('Acompanhamento quinzenal'!$N:$N, A21) +
    COUNTIF('Acompanhamento quinzenal'!$T:$T, A21) +
    COUNTIF('Acompanhamento quinzenal'!$Z:$Z, A21) +
    COUNTIF('Acompanhamento quinzenal'!$AF:$AF, A21)
  )
)
</f>
        <v>-</v>
      </c>
      <c r="X21" s="294" t="str">
        <f>IF(
  (
    COUNTIF('Acompanhamento quinzenal'!$N:$N, A21) +
    COUNTIF('Acompanhamento quinzenal'!$T:$T, A21) +
    COUNTIF('Acompanhamento quinzenal'!$Z:$Z, A21) +
    COUNTIF('Acompanhamento quinzenal'!$AF:$AF, A21)
  ) = 0,
  "-",
  (
    IFERROR(SUMIFS('Acompanhamento quinzenal'!$P:$P, 'Acompanhamento quinzenal'!$N:$N, A21), 0) +
    IFERROR(SUMIFS('Acompanhamento quinzenal'!$V:$V, 'Acompanhamento quinzenal'!$T:$T, A21), 0) +
    IFERROR(SUMIFS('Acompanhamento quinzenal'!$AB:$AB, 'Acompanhamento quinzenal'!$Z:$Z, A21), 0) +
    IFERROR(SUMIFS('Acompanhamento quinzenal'!$AH:$AH, 'Acompanhamento quinzenal'!$AF:$AF, A21), 0)
  ) /
  (
    COUNTIF('Acompanhamento quinzenal'!$N:$N, A21) +
    COUNTIF('Acompanhamento quinzenal'!$T:$T, A21) +
    COUNTIF('Acompanhamento quinzenal'!$Z:$Z, A21) +
    COUNTIF('Acompanhamento quinzenal'!$AF:$AF, A21)
  )
)
</f>
        <v>-</v>
      </c>
      <c r="Y21" s="293" t="str">
        <f>IF(
  (
    COUNTIF('Acompanhamento quinzenal'!$N:$N, A21) +
    COUNTIF('Acompanhamento quinzenal'!$T:$T, A21) +
    COUNTIF('Acompanhamento quinzenal'!$Z:$Z, A21) +
    COUNTIF('Acompanhamento quinzenal'!$AF:$AF, A21)
  ) = 0,
  "-",
  (
    IFERROR(SUMIFS('Acompanhamento quinzenal'!$Q:$Q, 'Acompanhamento quinzenal'!$N:$N, A21), 0) +
    IFERROR(SUMIFS('Acompanhamento quinzenal'!$W:$W, 'Acompanhamento quinzenal'!$T:$T, A21), 0) +
    IFERROR(SUMIFS('Acompanhamento quinzenal'!$AC:$AC, 'Acompanhamento quinzenal'!$Z:$Z, A21), 0) +
    IFERROR(SUMIFS('Acompanhamento quinzenal'!$AI:$AI, 'Acompanhamento quinzenal'!$AF:$AF, A21), 0)
  ) /
  (
    COUNTIF('Acompanhamento quinzenal'!$N:$N, A21) +
    COUNTIF('Acompanhamento quinzenal'!$T:$T, A21) +
    COUNTIF('Acompanhamento quinzenal'!$Z:$Z, A21) +
    COUNTIF('Acompanhamento quinzenal'!$AF:$AF, A21)
  )
)
</f>
        <v>-</v>
      </c>
    </row>
    <row r="22" hidden="1">
      <c r="A22" s="291" t="str">
        <f>IFERROR(__xludf.DUMMYFUNCTION("""COMPUTED_VALUE"""),"beatriz.hirao")</f>
        <v>beatriz.hirao</v>
      </c>
      <c r="B22" s="120" t="str">
        <f>IFERROR(__xludf.DUMMYFUNCTION("""COMPUTED_VALUE"""),"Conselheiro")</f>
        <v>Conselheiro</v>
      </c>
      <c r="C22" s="120" t="str">
        <f>IFERROR(__xludf.DUMMYFUNCTION("""COMPUTED_VALUE"""),"Anucleado")</f>
        <v>Anucleado</v>
      </c>
      <c r="D22" s="292" t="str">
        <f>IFERROR((COUNTIFS(Base!$V:$V,A22,Base!$S:$S,"&gt;8") - COUNTIFS(Base!$V:$V,A22,Base!$S:$S,"&lt;7"))/COUNTIFS(Base!$V:$V,A22,Base!$S:$S,"&lt;&gt;"),"-")</f>
        <v>-</v>
      </c>
      <c r="E22" s="292" t="str">
        <f>IF(
  (
    COUNTIFS(Base!$W:$W, A22, Base!$S:$S, "&lt;&gt;") +
    COUNTIFS(Base!$X:$X, A22, Base!$S:$S, "&lt;&gt;") +
    COUNTIFS(Base!$Y:$Y, A22, Base!$S:$S, "&lt;&gt;") +
    COUNTIFS(Base!$Z:$Z, A22, Base!$S:$S, "&lt;&gt;")
  ) = 0,
  "-",
  (
    COUNTIFS(Base!$W:$W, A22, Base!$S:$S, "&gt;8") - COUNTIFS(Base!$W:$W, A22, Base!$S:$S, "&lt;7") +
    COUNTIFS(Base!$X:$X, A22, Base!$S:$S, "&gt;8") - COUNTIFS(Base!$X:$X, A22, Base!$S:$S, "&lt;7") +
    COUNTIFS(Base!$Y:$Y, A22, Base!$S:$S, "&gt;8") - COUNTIFS(Base!$Y:$Y, A22, Base!$S:$S, "&lt;7") +
    COUNTIFS(Base!$Z:$Z, A22, Base!$S:$S, "&gt;8") - COUNTIFS(Base!$Z:$Z, A22, Base!$S:$S, "&lt;7")
  ) /
  (
    COUNTIFS(Base!$W:$W, A22, Base!$S:$S, "&lt;&gt;") +
    COUNTIFS(Base!$X:$X, A22, Base!$S:$S, "&lt;&gt;") +
    COUNTIFS(Base!$Y:$Y, A22, Base!$S:$S, "&lt;&gt;") +
    COUNTIFS(Base!$Z:$Z, A22, Base!$S:$S, "&lt;&gt;")
  )
)
</f>
        <v>-</v>
      </c>
      <c r="F22" s="290">
        <f>SUMIFS(Base!$N:$N,Base!$V:$V,A22,Base!$N:$N,"&lt;&gt;")-SUMIFS(Base!$K:$K,Base!$V:$V,A22,Base!$N:$N,"&lt;&gt;")-(SUMIFS(Base!$L:$L,Base!$V:$V,A22,Base!$N:$N,"&lt;&gt;")*7)</f>
        <v>0</v>
      </c>
      <c r="G22" s="290"/>
      <c r="H22" s="290">
        <f>SUMIFS(Base!$F:$F,Base!$V:$V,A22,Base!$N:$N,"&lt;&gt;")*7</f>
        <v>0</v>
      </c>
      <c r="I22" s="290"/>
      <c r="J22" s="292" t="str">
        <f t="shared" ref="J22:K22" si="23">IFERROR(F22/H22,"-")</f>
        <v>-</v>
      </c>
      <c r="K22" s="292" t="str">
        <f t="shared" si="23"/>
        <v>-</v>
      </c>
      <c r="L22" s="292" t="str">
        <f>IFERROR((COUNTIFS(Base!$V:$V,A22,Base!$U:$U,TRUE))/(COUNTIFS(Base!$V:$V,A22,Base!$O:$O,"Finalizado")+COUNTIFS(Base!$V:$V,A22,Base!$O:$O,"Concluído")),"-")</f>
        <v>-</v>
      </c>
      <c r="M22" s="292" t="str">
        <f>IF(
  (
    IFERROR(COUNTIF(Base!$W:$W, A22), 0) +
    IFERROR(COUNTIF(Base!$X:$X, A22), 0) +
    IFERROR(COUNTIF(Base!$Y:$Y, A22), 0) +
    IFERROR(COUNTIF(Base!$Z:$Z, A22), 0)
  ) = 0,
  "-",
  IF(
    (
      IFERROR(COUNTIFS(Base!$W:$W, A22, Base!$O:$O, "Finalizado"), 0) +
      IFERROR(COUNTIFS(Base!$W:$W, A22, Base!$O:$O, "Concluído"), 0) +
      IFERROR(COUNTIFS(Base!$X:$X, A22, Base!$O:$O, "Finalizado"), 0) +
      IFERROR(COUNTIFS(Base!$X:$X, A22, Base!$O:$O, "Concluído"), 0) +
      IFERROR(COUNTIFS(Base!$Y:$Y, A22, Base!$O:$O, "Finalizado"), 0) +
      IFERROR(COUNTIFS(Base!$Y:$Y, A22, Base!$O:$O, "Concluído"), 0) +
      IFERROR(COUNTIFS(Base!$Z:$Z, A22, Base!$O:$O, "Finalizado"), 0) +
      IFERROR(COUNTIFS(Base!$Z:$Z, A22, Base!$O:$O, "Concluído"), 0)
    ) = 0,
    "-",
    (
      IFERROR(COUNTIFS(Base!$W:$W, A22, Base!$U:$U, TRUE), 0) +
      IFERROR(COUNTIFS(Base!$X:$X, A22, Base!$U:$U, TRUE), 0) +
      IFERROR(COUNTIFS(Base!$Y:$Y, A22, Base!$U:$U, TRUE), 0) +
      IFERROR(COUNTIFS(Base!$Z:$Z, A22, Base!$U:$U, TRUE), 0)
    ) /
    (
      IFERROR(COUNTIFS(Base!$W:$W, A22, Base!$O:$O, "Finalizado"), 0) +
      IFERROR(COUNTIFS(Base!$W:$W, A22, Base!$O:$O, "Concluído"), 0) +
      IFERROR(COUNTIFS(Base!$X:$X, A22, Base!$O:$O, "Finalizado"), 0) +
      IFERROR(COUNTIFS(Base!$X:$X, A22, Base!$O:$O, "Concluído"), 0) +
      IFERROR(COUNTIFS(Base!$Y:$Y, A22, Base!$O:$O, "Finalizado"), 0) +
      IFERROR(COUNTIFS(Base!$Y:$Y, A22, Base!$O:$O, "Concluído"), 0) +
      IFERROR(COUNTIFS(Base!$Z:$Z, A22, Base!$O:$O, "Finalizado"), 0) +
      IFERROR(COUNTIFS(Base!$Z:$Z, A22, Base!$O:$O, "Concluído"), 0)
    )
  )
)
</f>
        <v>-</v>
      </c>
      <c r="N22" s="120">
        <f>COUNTIF(Base!V:V,$A22)</f>
        <v>0</v>
      </c>
      <c r="O22" s="120">
        <f>COUNTIF(Base!W:W,$A22)</f>
        <v>0</v>
      </c>
      <c r="P22" s="120">
        <f>COUNTIF(Base!X:X,$A22)</f>
        <v>0</v>
      </c>
      <c r="Q22" s="120">
        <f>COUNTIF(Base!Y:Y,$A22)</f>
        <v>0</v>
      </c>
      <c r="R22" s="120">
        <f>COUNTIF(Base!Z:Z,$A22)</f>
        <v>0</v>
      </c>
      <c r="S22" s="120">
        <f t="shared" si="3"/>
        <v>0</v>
      </c>
      <c r="T22" s="120">
        <f t="shared" si="4"/>
        <v>0</v>
      </c>
      <c r="V22" s="293" t="str">
        <f>IF(
  (
    COUNTIF('Acompanhamento quinzenal'!$N:$N, A22) +
    COUNTIF('Acompanhamento quinzenal'!$T:$T, A22) +
    COUNTIF('Acompanhamento quinzenal'!$Z:$Z, A22) +
    COUNTIF('Acompanhamento quinzenal'!$AF:$AF, A22)
  ) = 0,
  "-",
  (
    IFERROR(SUMIFS('Acompanhamento quinzenal'!$S:$S, 'Acompanhamento quinzenal'!$N:$N, A22), 0) +
    IFERROR(SUMIFS('Acompanhamento quinzenal'!$Y:$Y, 'Acompanhamento quinzenal'!$T:$T, A22), 0) +
    IFERROR(SUMIFS('Acompanhamento quinzenal'!$AE:$AE, 'Acompanhamento quinzenal'!$Z:$Z, A22), 0) +
    IFERROR(SUMIFS('Acompanhamento quinzenal'!$AK:$AK, 'Acompanhamento quinzenal'!$AF:$AF, A22), 0)
  ) /
  (
    COUNTIF('Acompanhamento quinzenal'!$N:$N, A22) +
    COUNTIF('Acompanhamento quinzenal'!$T:$T, A22) +
    COUNTIF('Acompanhamento quinzenal'!$Z:$Z, A22) +
    COUNTIF('Acompanhamento quinzenal'!$AF:$AF, A22)
  )
)
</f>
        <v>-</v>
      </c>
      <c r="W22" s="293" t="str">
        <f>IF(
  (
    COUNTIF('Acompanhamento quinzenal'!$N:$N, A22) +
    COUNTIF('Acompanhamento quinzenal'!$T:$T, A22) +
    COUNTIF('Acompanhamento quinzenal'!$Z:$Z, A22) +
    COUNTIF('Acompanhamento quinzenal'!$AF:$AF, A22)
  ) = 0,
  "-",
  (
    IFERROR(SUMIFS('Acompanhamento quinzenal'!$O:$O, 'Acompanhamento quinzenal'!$N:$N, A22), 0) +
    IFERROR(SUMIFS('Acompanhamento quinzenal'!$U:$U, 'Acompanhamento quinzenal'!$T:$T, A22), 0) +
    IFERROR(SUMIFS('Acompanhamento quinzenal'!$AA:$AA, 'Acompanhamento quinzenal'!$Z:$Z, A22), 0) +
    IFERROR(SUMIFS('Acompanhamento quinzenal'!$AG:$AG, 'Acompanhamento quinzenal'!$AF:$AF, A22), 0)
  ) /
  (
    COUNTIF('Acompanhamento quinzenal'!$N:$N, A22) +
    COUNTIF('Acompanhamento quinzenal'!$T:$T, A22) +
    COUNTIF('Acompanhamento quinzenal'!$Z:$Z, A22) +
    COUNTIF('Acompanhamento quinzenal'!$AF:$AF, A22)
  )
)
</f>
        <v>-</v>
      </c>
      <c r="X22" s="294" t="str">
        <f>IF(
  (
    COUNTIF('Acompanhamento quinzenal'!$N:$N, A22) +
    COUNTIF('Acompanhamento quinzenal'!$T:$T, A22) +
    COUNTIF('Acompanhamento quinzenal'!$Z:$Z, A22) +
    COUNTIF('Acompanhamento quinzenal'!$AF:$AF, A22)
  ) = 0,
  "-",
  (
    IFERROR(SUMIFS('Acompanhamento quinzenal'!$P:$P, 'Acompanhamento quinzenal'!$N:$N, A22), 0) +
    IFERROR(SUMIFS('Acompanhamento quinzenal'!$V:$V, 'Acompanhamento quinzenal'!$T:$T, A22), 0) +
    IFERROR(SUMIFS('Acompanhamento quinzenal'!$AB:$AB, 'Acompanhamento quinzenal'!$Z:$Z, A22), 0) +
    IFERROR(SUMIFS('Acompanhamento quinzenal'!$AH:$AH, 'Acompanhamento quinzenal'!$AF:$AF, A22), 0)
  ) /
  (
    COUNTIF('Acompanhamento quinzenal'!$N:$N, A22) +
    COUNTIF('Acompanhamento quinzenal'!$T:$T, A22) +
    COUNTIF('Acompanhamento quinzenal'!$Z:$Z, A22) +
    COUNTIF('Acompanhamento quinzenal'!$AF:$AF, A22)
  )
)
</f>
        <v>-</v>
      </c>
      <c r="Y22" s="293" t="str">
        <f>IF(
  (
    COUNTIF('Acompanhamento quinzenal'!$N:$N, A22) +
    COUNTIF('Acompanhamento quinzenal'!$T:$T, A22) +
    COUNTIF('Acompanhamento quinzenal'!$Z:$Z, A22) +
    COUNTIF('Acompanhamento quinzenal'!$AF:$AF, A22)
  ) = 0,
  "-",
  (
    IFERROR(SUMIFS('Acompanhamento quinzenal'!$Q:$Q, 'Acompanhamento quinzenal'!$N:$N, A22), 0) +
    IFERROR(SUMIFS('Acompanhamento quinzenal'!$W:$W, 'Acompanhamento quinzenal'!$T:$T, A22), 0) +
    IFERROR(SUMIFS('Acompanhamento quinzenal'!$AC:$AC, 'Acompanhamento quinzenal'!$Z:$Z, A22), 0) +
    IFERROR(SUMIFS('Acompanhamento quinzenal'!$AI:$AI, 'Acompanhamento quinzenal'!$AF:$AF, A22), 0)
  ) /
  (
    COUNTIF('Acompanhamento quinzenal'!$N:$N, A22) +
    COUNTIF('Acompanhamento quinzenal'!$T:$T, A22) +
    COUNTIF('Acompanhamento quinzenal'!$Z:$Z, A22) +
    COUNTIF('Acompanhamento quinzenal'!$AF:$AF, A22)
  )
)
</f>
        <v>-</v>
      </c>
    </row>
    <row r="23">
      <c r="A23" s="291" t="str">
        <f>IFERROR(__xludf.DUMMYFUNCTION("""COMPUTED_VALUE"""),"bernardo.leal")</f>
        <v>bernardo.leal</v>
      </c>
      <c r="B23" s="120" t="str">
        <f>IFERROR(__xludf.DUMMYFUNCTION("""COMPUTED_VALUE"""),"Trainee")</f>
        <v>Trainee</v>
      </c>
      <c r="C23" s="120" t="str">
        <f>IFERROR(__xludf.DUMMYFUNCTION("""COMPUTED_VALUE"""),"NDados")</f>
        <v>NDados</v>
      </c>
      <c r="D23" s="292" t="str">
        <f>IFERROR((COUNTIFS(Base!$V:$V,A23,Base!$S:$S,"&gt;8") - COUNTIFS(Base!$V:$V,A23,Base!$S:$S,"&lt;7"))/COUNTIFS(Base!$V:$V,A23,Base!$S:$S,"&lt;&gt;"),"-")</f>
        <v>-</v>
      </c>
      <c r="E23" s="292" t="str">
        <f>IF(
  (
    COUNTIFS(Base!$W:$W, A23, Base!$S:$S, "&lt;&gt;") +
    COUNTIFS(Base!$X:$X, A23, Base!$S:$S, "&lt;&gt;") +
    COUNTIFS(Base!$Y:$Y, A23, Base!$S:$S, "&lt;&gt;") +
    COUNTIFS(Base!$Z:$Z, A23, Base!$S:$S, "&lt;&gt;")
  ) = 0,
  "-",
  (
    COUNTIFS(Base!$W:$W, A23, Base!$S:$S, "&gt;8") - COUNTIFS(Base!$W:$W, A23, Base!$S:$S, "&lt;7") +
    COUNTIFS(Base!$X:$X, A23, Base!$S:$S, "&gt;8") - COUNTIFS(Base!$X:$X, A23, Base!$S:$S, "&lt;7") +
    COUNTIFS(Base!$Y:$Y, A23, Base!$S:$S, "&gt;8") - COUNTIFS(Base!$Y:$Y, A23, Base!$S:$S, "&lt;7") +
    COUNTIFS(Base!$Z:$Z, A23, Base!$S:$S, "&gt;8") - COUNTIFS(Base!$Z:$Z, A23, Base!$S:$S, "&lt;7")
  ) /
  (
    COUNTIFS(Base!$W:$W, A23, Base!$S:$S, "&lt;&gt;") +
    COUNTIFS(Base!$X:$X, A23, Base!$S:$S, "&lt;&gt;") +
    COUNTIFS(Base!$Y:$Y, A23, Base!$S:$S, "&lt;&gt;") +
    COUNTIFS(Base!$Z:$Z, A23, Base!$S:$S, "&lt;&gt;")
  )
)
</f>
        <v>-</v>
      </c>
      <c r="F23" s="290">
        <f>SUMIFS(Base!$N:$N,Base!$V:$V,A23,Base!$N:$N,"&lt;&gt;")-SUMIFS(Base!$K:$K,Base!$V:$V,A23,Base!$N:$N,"&lt;&gt;")-(SUMIFS(Base!$L:$L,Base!$V:$V,A23,Base!$N:$N,"&lt;&gt;")*7)</f>
        <v>0</v>
      </c>
      <c r="G23" s="290"/>
      <c r="H23" s="290">
        <f>SUMIFS(Base!$F:$F,Base!$V:$V,A23,Base!$N:$N,"&lt;&gt;")*7</f>
        <v>0</v>
      </c>
      <c r="I23" s="290"/>
      <c r="J23" s="292" t="str">
        <f t="shared" ref="J23:K23" si="24">IFERROR(F23/H23,"-")</f>
        <v>-</v>
      </c>
      <c r="K23" s="292" t="str">
        <f t="shared" si="24"/>
        <v>-</v>
      </c>
      <c r="L23" s="292" t="str">
        <f>IFERROR((COUNTIFS(Base!$V:$V,A23,Base!$U:$U,TRUE))/(COUNTIFS(Base!$V:$V,A23,Base!$O:$O,"Finalizado")+COUNTIFS(Base!$V:$V,A23,Base!$O:$O,"Concluído")),"-")</f>
        <v>-</v>
      </c>
      <c r="M23" s="292" t="str">
        <f>IF(
  (
    IFERROR(COUNTIF(Base!$W:$W, A23), 0) +
    IFERROR(COUNTIF(Base!$X:$X, A23), 0) +
    IFERROR(COUNTIF(Base!$Y:$Y, A23), 0) +
    IFERROR(COUNTIF(Base!$Z:$Z, A23), 0)
  ) = 0,
  "-",
  IF(
    (
      IFERROR(COUNTIFS(Base!$W:$W, A23, Base!$O:$O, "Finalizado"), 0) +
      IFERROR(COUNTIFS(Base!$W:$W, A23, Base!$O:$O, "Concluído"), 0) +
      IFERROR(COUNTIFS(Base!$X:$X, A23, Base!$O:$O, "Finalizado"), 0) +
      IFERROR(COUNTIFS(Base!$X:$X, A23, Base!$O:$O, "Concluído"), 0) +
      IFERROR(COUNTIFS(Base!$Y:$Y, A23, Base!$O:$O, "Finalizado"), 0) +
      IFERROR(COUNTIFS(Base!$Y:$Y, A23, Base!$O:$O, "Concluído"), 0) +
      IFERROR(COUNTIFS(Base!$Z:$Z, A23, Base!$O:$O, "Finalizado"), 0) +
      IFERROR(COUNTIFS(Base!$Z:$Z, A23, Base!$O:$O, "Concluído"), 0)
    ) = 0,
    "-",
    (
      IFERROR(COUNTIFS(Base!$W:$W, A23, Base!$U:$U, TRUE), 0) +
      IFERROR(COUNTIFS(Base!$X:$X, A23, Base!$U:$U, TRUE), 0) +
      IFERROR(COUNTIFS(Base!$Y:$Y, A23, Base!$U:$U, TRUE), 0) +
      IFERROR(COUNTIFS(Base!$Z:$Z, A23, Base!$U:$U, TRUE), 0)
    ) /
    (
      IFERROR(COUNTIFS(Base!$W:$W, A23, Base!$O:$O, "Finalizado"), 0) +
      IFERROR(COUNTIFS(Base!$W:$W, A23, Base!$O:$O, "Concluído"), 0) +
      IFERROR(COUNTIFS(Base!$X:$X, A23, Base!$O:$O, "Finalizado"), 0) +
      IFERROR(COUNTIFS(Base!$X:$X, A23, Base!$O:$O, "Concluído"), 0) +
      IFERROR(COUNTIFS(Base!$Y:$Y, A23, Base!$O:$O, "Finalizado"), 0) +
      IFERROR(COUNTIFS(Base!$Y:$Y, A23, Base!$O:$O, "Concluído"), 0) +
      IFERROR(COUNTIFS(Base!$Z:$Z, A23, Base!$O:$O, "Finalizado"), 0) +
      IFERROR(COUNTIFS(Base!$Z:$Z, A23, Base!$O:$O, "Concluído"), 0)
    )
  )
)
</f>
        <v>-</v>
      </c>
      <c r="N23" s="120">
        <f>COUNTIF(Base!V:V,$A23)</f>
        <v>0</v>
      </c>
      <c r="O23" s="120">
        <f>COUNTIF(Base!W:W,$A23)</f>
        <v>0</v>
      </c>
      <c r="P23" s="120">
        <f>COUNTIF(Base!X:X,$A23)</f>
        <v>0</v>
      </c>
      <c r="Q23" s="120">
        <f>COUNTIF(Base!Y:Y,$A23)</f>
        <v>0</v>
      </c>
      <c r="R23" s="120">
        <f>COUNTIF(Base!Z:Z,$A23)</f>
        <v>0</v>
      </c>
      <c r="S23" s="120">
        <f t="shared" si="3"/>
        <v>0</v>
      </c>
      <c r="T23" s="120">
        <f t="shared" si="4"/>
        <v>0</v>
      </c>
      <c r="V23" s="293" t="str">
        <f>IF(
  (
    COUNTIF('Acompanhamento quinzenal'!$N:$N, A23) +
    COUNTIF('Acompanhamento quinzenal'!$T:$T, A23) +
    COUNTIF('Acompanhamento quinzenal'!$Z:$Z, A23) +
    COUNTIF('Acompanhamento quinzenal'!$AF:$AF, A23)
  ) = 0,
  "-",
  (
    IFERROR(SUMIFS('Acompanhamento quinzenal'!$S:$S, 'Acompanhamento quinzenal'!$N:$N, A23), 0) +
    IFERROR(SUMIFS('Acompanhamento quinzenal'!$Y:$Y, 'Acompanhamento quinzenal'!$T:$T, A23), 0) +
    IFERROR(SUMIFS('Acompanhamento quinzenal'!$AE:$AE, 'Acompanhamento quinzenal'!$Z:$Z, A23), 0) +
    IFERROR(SUMIFS('Acompanhamento quinzenal'!$AK:$AK, 'Acompanhamento quinzenal'!$AF:$AF, A23), 0)
  ) /
  (
    COUNTIF('Acompanhamento quinzenal'!$N:$N, A23) +
    COUNTIF('Acompanhamento quinzenal'!$T:$T, A23) +
    COUNTIF('Acompanhamento quinzenal'!$Z:$Z, A23) +
    COUNTIF('Acompanhamento quinzenal'!$AF:$AF, A23)
  )
)
</f>
        <v>-</v>
      </c>
      <c r="W23" s="293" t="str">
        <f>IF(
  (
    COUNTIF('Acompanhamento quinzenal'!$N:$N, A23) +
    COUNTIF('Acompanhamento quinzenal'!$T:$T, A23) +
    COUNTIF('Acompanhamento quinzenal'!$Z:$Z, A23) +
    COUNTIF('Acompanhamento quinzenal'!$AF:$AF, A23)
  ) = 0,
  "-",
  (
    IFERROR(SUMIFS('Acompanhamento quinzenal'!$O:$O, 'Acompanhamento quinzenal'!$N:$N, A23), 0) +
    IFERROR(SUMIFS('Acompanhamento quinzenal'!$U:$U, 'Acompanhamento quinzenal'!$T:$T, A23), 0) +
    IFERROR(SUMIFS('Acompanhamento quinzenal'!$AA:$AA, 'Acompanhamento quinzenal'!$Z:$Z, A23), 0) +
    IFERROR(SUMIFS('Acompanhamento quinzenal'!$AG:$AG, 'Acompanhamento quinzenal'!$AF:$AF, A23), 0)
  ) /
  (
    COUNTIF('Acompanhamento quinzenal'!$N:$N, A23) +
    COUNTIF('Acompanhamento quinzenal'!$T:$T, A23) +
    COUNTIF('Acompanhamento quinzenal'!$Z:$Z, A23) +
    COUNTIF('Acompanhamento quinzenal'!$AF:$AF, A23)
  )
)
</f>
        <v>-</v>
      </c>
      <c r="X23" s="294" t="str">
        <f>IF(
  (
    COUNTIF('Acompanhamento quinzenal'!$N:$N, A23) +
    COUNTIF('Acompanhamento quinzenal'!$T:$T, A23) +
    COUNTIF('Acompanhamento quinzenal'!$Z:$Z, A23) +
    COUNTIF('Acompanhamento quinzenal'!$AF:$AF, A23)
  ) = 0,
  "-",
  (
    IFERROR(SUMIFS('Acompanhamento quinzenal'!$P:$P, 'Acompanhamento quinzenal'!$N:$N, A23), 0) +
    IFERROR(SUMIFS('Acompanhamento quinzenal'!$V:$V, 'Acompanhamento quinzenal'!$T:$T, A23), 0) +
    IFERROR(SUMIFS('Acompanhamento quinzenal'!$AB:$AB, 'Acompanhamento quinzenal'!$Z:$Z, A23), 0) +
    IFERROR(SUMIFS('Acompanhamento quinzenal'!$AH:$AH, 'Acompanhamento quinzenal'!$AF:$AF, A23), 0)
  ) /
  (
    COUNTIF('Acompanhamento quinzenal'!$N:$N, A23) +
    COUNTIF('Acompanhamento quinzenal'!$T:$T, A23) +
    COUNTIF('Acompanhamento quinzenal'!$Z:$Z, A23) +
    COUNTIF('Acompanhamento quinzenal'!$AF:$AF, A23)
  )
)
</f>
        <v>-</v>
      </c>
      <c r="Y23" s="293" t="str">
        <f>IF(
  (
    COUNTIF('Acompanhamento quinzenal'!$N:$N, A23) +
    COUNTIF('Acompanhamento quinzenal'!$T:$T, A23) +
    COUNTIF('Acompanhamento quinzenal'!$Z:$Z, A23) +
    COUNTIF('Acompanhamento quinzenal'!$AF:$AF, A23)
  ) = 0,
  "-",
  (
    IFERROR(SUMIFS('Acompanhamento quinzenal'!$Q:$Q, 'Acompanhamento quinzenal'!$N:$N, A23), 0) +
    IFERROR(SUMIFS('Acompanhamento quinzenal'!$W:$W, 'Acompanhamento quinzenal'!$T:$T, A23), 0) +
    IFERROR(SUMIFS('Acompanhamento quinzenal'!$AC:$AC, 'Acompanhamento quinzenal'!$Z:$Z, A23), 0) +
    IFERROR(SUMIFS('Acompanhamento quinzenal'!$AI:$AI, 'Acompanhamento quinzenal'!$AF:$AF, A23), 0)
  ) /
  (
    COUNTIF('Acompanhamento quinzenal'!$N:$N, A23) +
    COUNTIF('Acompanhamento quinzenal'!$T:$T, A23) +
    COUNTIF('Acompanhamento quinzenal'!$Z:$Z, A23) +
    COUNTIF('Acompanhamento quinzenal'!$AF:$AF, A23)
  )
)
</f>
        <v>-</v>
      </c>
    </row>
    <row r="24" hidden="1">
      <c r="A24" s="291" t="str">
        <f>IFERROR(__xludf.DUMMYFUNCTION("""COMPUTED_VALUE"""),"brenda.moraes")</f>
        <v>brenda.moraes</v>
      </c>
      <c r="B24" s="120" t="str">
        <f>IFERROR(__xludf.DUMMYFUNCTION("""COMPUTED_VALUE"""),"Gerente")</f>
        <v>Gerente</v>
      </c>
      <c r="C24" s="120" t="str">
        <f>IFERROR(__xludf.DUMMYFUNCTION("""COMPUTED_VALUE"""),"WI")</f>
        <v>WI</v>
      </c>
      <c r="D24" s="292" t="str">
        <f>IFERROR((COUNTIFS(Base!$V:$V,A24,Base!$S:$S,"&gt;8") - COUNTIFS(Base!$V:$V,A24,Base!$S:$S,"&lt;7"))/COUNTIFS(Base!$V:$V,A24,Base!$S:$S,"&lt;&gt;"),"-")</f>
        <v>-</v>
      </c>
      <c r="E24" s="292" t="str">
        <f>IF(
  (
    COUNTIFS(Base!$W:$W, A24, Base!$S:$S, "&lt;&gt;") +
    COUNTIFS(Base!$X:$X, A24, Base!$S:$S, "&lt;&gt;") +
    COUNTIFS(Base!$Y:$Y, A24, Base!$S:$S, "&lt;&gt;") +
    COUNTIFS(Base!$Z:$Z, A24, Base!$S:$S, "&lt;&gt;")
  ) = 0,
  "-",
  (
    COUNTIFS(Base!$W:$W, A24, Base!$S:$S, "&gt;8") - COUNTIFS(Base!$W:$W, A24, Base!$S:$S, "&lt;7") +
    COUNTIFS(Base!$X:$X, A24, Base!$S:$S, "&gt;8") - COUNTIFS(Base!$X:$X, A24, Base!$S:$S, "&lt;7") +
    COUNTIFS(Base!$Y:$Y, A24, Base!$S:$S, "&gt;8") - COUNTIFS(Base!$Y:$Y, A24, Base!$S:$S, "&lt;7") +
    COUNTIFS(Base!$Z:$Z, A24, Base!$S:$S, "&gt;8") - COUNTIFS(Base!$Z:$Z, A24, Base!$S:$S, "&lt;7")
  ) /
  (
    COUNTIFS(Base!$W:$W, A24, Base!$S:$S, "&lt;&gt;") +
    COUNTIFS(Base!$X:$X, A24, Base!$S:$S, "&lt;&gt;") +
    COUNTIFS(Base!$Y:$Y, A24, Base!$S:$S, "&lt;&gt;") +
    COUNTIFS(Base!$Z:$Z, A24, Base!$S:$S, "&lt;&gt;")
  )
)
</f>
        <v>-</v>
      </c>
      <c r="F24" s="290">
        <f>SUMIFS(Base!$N:$N,Base!$V:$V,A24,Base!$N:$N,"&lt;&gt;")-SUMIFS(Base!$K:$K,Base!$V:$V,A24,Base!$N:$N,"&lt;&gt;")-(SUMIFS(Base!$L:$L,Base!$V:$V,A24,Base!$N:$N,"&lt;&gt;")*7)</f>
        <v>0</v>
      </c>
      <c r="G24" s="290"/>
      <c r="H24" s="290">
        <f>SUMIFS(Base!$F:$F,Base!$V:$V,A24,Base!$N:$N,"&lt;&gt;")*7</f>
        <v>0</v>
      </c>
      <c r="I24" s="290"/>
      <c r="J24" s="292" t="str">
        <f t="shared" ref="J24:K24" si="25">IFERROR(F24/H24,"-")</f>
        <v>-</v>
      </c>
      <c r="K24" s="292" t="str">
        <f t="shared" si="25"/>
        <v>-</v>
      </c>
      <c r="L24" s="292" t="str">
        <f>IFERROR((COUNTIFS(Base!$V:$V,A24,Base!$U:$U,TRUE))/(COUNTIFS(Base!$V:$V,A24,Base!$O:$O,"Finalizado")+COUNTIFS(Base!$V:$V,A24,Base!$O:$O,"Concluído")),"-")</f>
        <v>-</v>
      </c>
      <c r="M24" s="292" t="str">
        <f>IF(
  (
    IFERROR(COUNTIF(Base!$W:$W, A24), 0) +
    IFERROR(COUNTIF(Base!$X:$X, A24), 0) +
    IFERROR(COUNTIF(Base!$Y:$Y, A24), 0) +
    IFERROR(COUNTIF(Base!$Z:$Z, A24), 0)
  ) = 0,
  "-",
  IF(
    (
      IFERROR(COUNTIFS(Base!$W:$W, A24, Base!$O:$O, "Finalizado"), 0) +
      IFERROR(COUNTIFS(Base!$W:$W, A24, Base!$O:$O, "Concluído"), 0) +
      IFERROR(COUNTIFS(Base!$X:$X, A24, Base!$O:$O, "Finalizado"), 0) +
      IFERROR(COUNTIFS(Base!$X:$X, A24, Base!$O:$O, "Concluído"), 0) +
      IFERROR(COUNTIFS(Base!$Y:$Y, A24, Base!$O:$O, "Finalizado"), 0) +
      IFERROR(COUNTIFS(Base!$Y:$Y, A24, Base!$O:$O, "Concluído"), 0) +
      IFERROR(COUNTIFS(Base!$Z:$Z, A24, Base!$O:$O, "Finalizado"), 0) +
      IFERROR(COUNTIFS(Base!$Z:$Z, A24, Base!$O:$O, "Concluído"), 0)
    ) = 0,
    "-",
    (
      IFERROR(COUNTIFS(Base!$W:$W, A24, Base!$U:$U, TRUE), 0) +
      IFERROR(COUNTIFS(Base!$X:$X, A24, Base!$U:$U, TRUE), 0) +
      IFERROR(COUNTIFS(Base!$Y:$Y, A24, Base!$U:$U, TRUE), 0) +
      IFERROR(COUNTIFS(Base!$Z:$Z, A24, Base!$U:$U, TRUE), 0)
    ) /
    (
      IFERROR(COUNTIFS(Base!$W:$W, A24, Base!$O:$O, "Finalizado"), 0) +
      IFERROR(COUNTIFS(Base!$W:$W, A24, Base!$O:$O, "Concluído"), 0) +
      IFERROR(COUNTIFS(Base!$X:$X, A24, Base!$O:$O, "Finalizado"), 0) +
      IFERROR(COUNTIFS(Base!$X:$X, A24, Base!$O:$O, "Concluído"), 0) +
      IFERROR(COUNTIFS(Base!$Y:$Y, A24, Base!$O:$O, "Finalizado"), 0) +
      IFERROR(COUNTIFS(Base!$Y:$Y, A24, Base!$O:$O, "Concluído"), 0) +
      IFERROR(COUNTIFS(Base!$Z:$Z, A24, Base!$O:$O, "Finalizado"), 0) +
      IFERROR(COUNTIFS(Base!$Z:$Z, A24, Base!$O:$O, "Concluído"), 0)
    )
  )
)
</f>
        <v>-</v>
      </c>
      <c r="N24" s="120">
        <f>COUNTIF(Base!V:V,$A24)</f>
        <v>0</v>
      </c>
      <c r="O24" s="120">
        <f>COUNTIF(Base!W:W,$A24)</f>
        <v>0</v>
      </c>
      <c r="P24" s="120">
        <f>COUNTIF(Base!X:X,$A24)</f>
        <v>0</v>
      </c>
      <c r="Q24" s="120">
        <f>COUNTIF(Base!Y:Y,$A24)</f>
        <v>0</v>
      </c>
      <c r="R24" s="120">
        <f>COUNTIF(Base!Z:Z,$A24)</f>
        <v>0</v>
      </c>
      <c r="S24" s="120">
        <f t="shared" si="3"/>
        <v>0</v>
      </c>
      <c r="T24" s="120">
        <f t="shared" si="4"/>
        <v>0</v>
      </c>
      <c r="V24" s="293" t="str">
        <f>IF(
  (
    COUNTIF('Acompanhamento quinzenal'!$N:$N, A24) +
    COUNTIF('Acompanhamento quinzenal'!$T:$T, A24) +
    COUNTIF('Acompanhamento quinzenal'!$Z:$Z, A24) +
    COUNTIF('Acompanhamento quinzenal'!$AF:$AF, A24)
  ) = 0,
  "-",
  (
    IFERROR(SUMIFS('Acompanhamento quinzenal'!$S:$S, 'Acompanhamento quinzenal'!$N:$N, A24), 0) +
    IFERROR(SUMIFS('Acompanhamento quinzenal'!$Y:$Y, 'Acompanhamento quinzenal'!$T:$T, A24), 0) +
    IFERROR(SUMIFS('Acompanhamento quinzenal'!$AE:$AE, 'Acompanhamento quinzenal'!$Z:$Z, A24), 0) +
    IFERROR(SUMIFS('Acompanhamento quinzenal'!$AK:$AK, 'Acompanhamento quinzenal'!$AF:$AF, A24), 0)
  ) /
  (
    COUNTIF('Acompanhamento quinzenal'!$N:$N, A24) +
    COUNTIF('Acompanhamento quinzenal'!$T:$T, A24) +
    COUNTIF('Acompanhamento quinzenal'!$Z:$Z, A24) +
    COUNTIF('Acompanhamento quinzenal'!$AF:$AF, A24)
  )
)
</f>
        <v>-</v>
      </c>
      <c r="W24" s="293" t="str">
        <f>IF(
  (
    COUNTIF('Acompanhamento quinzenal'!$N:$N, A24) +
    COUNTIF('Acompanhamento quinzenal'!$T:$T, A24) +
    COUNTIF('Acompanhamento quinzenal'!$Z:$Z, A24) +
    COUNTIF('Acompanhamento quinzenal'!$AF:$AF, A24)
  ) = 0,
  "-",
  (
    IFERROR(SUMIFS('Acompanhamento quinzenal'!$O:$O, 'Acompanhamento quinzenal'!$N:$N, A24), 0) +
    IFERROR(SUMIFS('Acompanhamento quinzenal'!$U:$U, 'Acompanhamento quinzenal'!$T:$T, A24), 0) +
    IFERROR(SUMIFS('Acompanhamento quinzenal'!$AA:$AA, 'Acompanhamento quinzenal'!$Z:$Z, A24), 0) +
    IFERROR(SUMIFS('Acompanhamento quinzenal'!$AG:$AG, 'Acompanhamento quinzenal'!$AF:$AF, A24), 0)
  ) /
  (
    COUNTIF('Acompanhamento quinzenal'!$N:$N, A24) +
    COUNTIF('Acompanhamento quinzenal'!$T:$T, A24) +
    COUNTIF('Acompanhamento quinzenal'!$Z:$Z, A24) +
    COUNTIF('Acompanhamento quinzenal'!$AF:$AF, A24)
  )
)
</f>
        <v>-</v>
      </c>
      <c r="X24" s="294" t="str">
        <f>IF(
  (
    COUNTIF('Acompanhamento quinzenal'!$N:$N, A24) +
    COUNTIF('Acompanhamento quinzenal'!$T:$T, A24) +
    COUNTIF('Acompanhamento quinzenal'!$Z:$Z, A24) +
    COUNTIF('Acompanhamento quinzenal'!$AF:$AF, A24)
  ) = 0,
  "-",
  (
    IFERROR(SUMIFS('Acompanhamento quinzenal'!$P:$P, 'Acompanhamento quinzenal'!$N:$N, A24), 0) +
    IFERROR(SUMIFS('Acompanhamento quinzenal'!$V:$V, 'Acompanhamento quinzenal'!$T:$T, A24), 0) +
    IFERROR(SUMIFS('Acompanhamento quinzenal'!$AB:$AB, 'Acompanhamento quinzenal'!$Z:$Z, A24), 0) +
    IFERROR(SUMIFS('Acompanhamento quinzenal'!$AH:$AH, 'Acompanhamento quinzenal'!$AF:$AF, A24), 0)
  ) /
  (
    COUNTIF('Acompanhamento quinzenal'!$N:$N, A24) +
    COUNTIF('Acompanhamento quinzenal'!$T:$T, A24) +
    COUNTIF('Acompanhamento quinzenal'!$Z:$Z, A24) +
    COUNTIF('Acompanhamento quinzenal'!$AF:$AF, A24)
  )
)
</f>
        <v>-</v>
      </c>
      <c r="Y24" s="293" t="str">
        <f>IF(
  (
    COUNTIF('Acompanhamento quinzenal'!$N:$N, A24) +
    COUNTIF('Acompanhamento quinzenal'!$T:$T, A24) +
    COUNTIF('Acompanhamento quinzenal'!$Z:$Z, A24) +
    COUNTIF('Acompanhamento quinzenal'!$AF:$AF, A24)
  ) = 0,
  "-",
  (
    IFERROR(SUMIFS('Acompanhamento quinzenal'!$Q:$Q, 'Acompanhamento quinzenal'!$N:$N, A24), 0) +
    IFERROR(SUMIFS('Acompanhamento quinzenal'!$W:$W, 'Acompanhamento quinzenal'!$T:$T, A24), 0) +
    IFERROR(SUMIFS('Acompanhamento quinzenal'!$AC:$AC, 'Acompanhamento quinzenal'!$Z:$Z, A24), 0) +
    IFERROR(SUMIFS('Acompanhamento quinzenal'!$AI:$AI, 'Acompanhamento quinzenal'!$AF:$AF, A24), 0)
  ) /
  (
    COUNTIF('Acompanhamento quinzenal'!$N:$N, A24) +
    COUNTIF('Acompanhamento quinzenal'!$T:$T, A24) +
    COUNTIF('Acompanhamento quinzenal'!$Z:$Z, A24) +
    COUNTIF('Acompanhamento quinzenal'!$AF:$AF, A24)
  )
)
</f>
        <v>-</v>
      </c>
    </row>
    <row r="25" hidden="1">
      <c r="A25" s="291" t="str">
        <f>IFERROR(__xludf.DUMMYFUNCTION("""COMPUTED_VALUE"""),"bruno.santos")</f>
        <v>bruno.santos</v>
      </c>
      <c r="B25" s="120" t="str">
        <f>IFERROR(__xludf.DUMMYFUNCTION("""COMPUTED_VALUE"""),"Consultor")</f>
        <v>Consultor</v>
      </c>
      <c r="C25" s="120" t="str">
        <f>IFERROR(__xludf.DUMMYFUNCTION("""COMPUTED_VALUE"""),"NTec")</f>
        <v>NTec</v>
      </c>
      <c r="D25" s="292" t="str">
        <f>IFERROR((COUNTIFS(Base!$V:$V,A25,Base!$S:$S,"&gt;8") - COUNTIFS(Base!$V:$V,A25,Base!$S:$S,"&lt;7"))/COUNTIFS(Base!$V:$V,A25,Base!$S:$S,"&lt;&gt;"),"-")</f>
        <v>-</v>
      </c>
      <c r="E25" s="292" t="str">
        <f>IF(
  (
    COUNTIFS(Base!$W:$W, A25, Base!$S:$S, "&lt;&gt;") +
    COUNTIFS(Base!$X:$X, A25, Base!$S:$S, "&lt;&gt;") +
    COUNTIFS(Base!$Y:$Y, A25, Base!$S:$S, "&lt;&gt;") +
    COUNTIFS(Base!$Z:$Z, A25, Base!$S:$S, "&lt;&gt;")
  ) = 0,
  "-",
  (
    COUNTIFS(Base!$W:$W, A25, Base!$S:$S, "&gt;8") - COUNTIFS(Base!$W:$W, A25, Base!$S:$S, "&lt;7") +
    COUNTIFS(Base!$X:$X, A25, Base!$S:$S, "&gt;8") - COUNTIFS(Base!$X:$X, A25, Base!$S:$S, "&lt;7") +
    COUNTIFS(Base!$Y:$Y, A25, Base!$S:$S, "&gt;8") - COUNTIFS(Base!$Y:$Y, A25, Base!$S:$S, "&lt;7") +
    COUNTIFS(Base!$Z:$Z, A25, Base!$S:$S, "&gt;8") - COUNTIFS(Base!$Z:$Z, A25, Base!$S:$S, "&lt;7")
  ) /
  (
    COUNTIFS(Base!$W:$W, A25, Base!$S:$S, "&lt;&gt;") +
    COUNTIFS(Base!$X:$X, A25, Base!$S:$S, "&lt;&gt;") +
    COUNTIFS(Base!$Y:$Y, A25, Base!$S:$S, "&lt;&gt;") +
    COUNTIFS(Base!$Z:$Z, A25, Base!$S:$S, "&lt;&gt;")
  )
)
</f>
        <v>-</v>
      </c>
      <c r="F25" s="290">
        <f>SUMIFS(Base!$N:$N,Base!$V:$V,A25,Base!$N:$N,"&lt;&gt;")-SUMIFS(Base!$K:$K,Base!$V:$V,A25,Base!$N:$N,"&lt;&gt;")-(SUMIFS(Base!$L:$L,Base!$V:$V,A25,Base!$N:$N,"&lt;&gt;")*7)</f>
        <v>0</v>
      </c>
      <c r="G25" s="290"/>
      <c r="H25" s="290">
        <f>SUMIFS(Base!$F:$F,Base!$V:$V,A25,Base!$N:$N,"&lt;&gt;")*7</f>
        <v>0</v>
      </c>
      <c r="I25" s="290"/>
      <c r="J25" s="292" t="str">
        <f t="shared" ref="J25:K25" si="26">IFERROR(F25/H25,"-")</f>
        <v>-</v>
      </c>
      <c r="K25" s="292" t="str">
        <f t="shared" si="26"/>
        <v>-</v>
      </c>
      <c r="L25" s="292" t="str">
        <f>IFERROR((COUNTIFS(Base!$V:$V,A25,Base!$U:$U,TRUE))/(COUNTIFS(Base!$V:$V,A25,Base!$O:$O,"Finalizado")+COUNTIFS(Base!$V:$V,A25,Base!$O:$O,"Concluído")),"-")</f>
        <v>-</v>
      </c>
      <c r="M25" s="292" t="str">
        <f>IF(
  (
    IFERROR(COUNTIF(Base!$W:$W, A25), 0) +
    IFERROR(COUNTIF(Base!$X:$X, A25), 0) +
    IFERROR(COUNTIF(Base!$Y:$Y, A25), 0) +
    IFERROR(COUNTIF(Base!$Z:$Z, A25), 0)
  ) = 0,
  "-",
  IF(
    (
      IFERROR(COUNTIFS(Base!$W:$W, A25, Base!$O:$O, "Finalizado"), 0) +
      IFERROR(COUNTIFS(Base!$W:$W, A25, Base!$O:$O, "Concluído"), 0) +
      IFERROR(COUNTIFS(Base!$X:$X, A25, Base!$O:$O, "Finalizado"), 0) +
      IFERROR(COUNTIFS(Base!$X:$X, A25, Base!$O:$O, "Concluído"), 0) +
      IFERROR(COUNTIFS(Base!$Y:$Y, A25, Base!$O:$O, "Finalizado"), 0) +
      IFERROR(COUNTIFS(Base!$Y:$Y, A25, Base!$O:$O, "Concluído"), 0) +
      IFERROR(COUNTIFS(Base!$Z:$Z, A25, Base!$O:$O, "Finalizado"), 0) +
      IFERROR(COUNTIFS(Base!$Z:$Z, A25, Base!$O:$O, "Concluído"), 0)
    ) = 0,
    "-",
    (
      IFERROR(COUNTIFS(Base!$W:$W, A25, Base!$U:$U, TRUE), 0) +
      IFERROR(COUNTIFS(Base!$X:$X, A25, Base!$U:$U, TRUE), 0) +
      IFERROR(COUNTIFS(Base!$Y:$Y, A25, Base!$U:$U, TRUE), 0) +
      IFERROR(COUNTIFS(Base!$Z:$Z, A25, Base!$U:$U, TRUE), 0)
    ) /
    (
      IFERROR(COUNTIFS(Base!$W:$W, A25, Base!$O:$O, "Finalizado"), 0) +
      IFERROR(COUNTIFS(Base!$W:$W, A25, Base!$O:$O, "Concluído"), 0) +
      IFERROR(COUNTIFS(Base!$X:$X, A25, Base!$O:$O, "Finalizado"), 0) +
      IFERROR(COUNTIFS(Base!$X:$X, A25, Base!$O:$O, "Concluído"), 0) +
      IFERROR(COUNTIFS(Base!$Y:$Y, A25, Base!$O:$O, "Finalizado"), 0) +
      IFERROR(COUNTIFS(Base!$Y:$Y, A25, Base!$O:$O, "Concluído"), 0) +
      IFERROR(COUNTIFS(Base!$Z:$Z, A25, Base!$O:$O, "Finalizado"), 0) +
      IFERROR(COUNTIFS(Base!$Z:$Z, A25, Base!$O:$O, "Concluído"), 0)
    )
  )
)
</f>
        <v>-</v>
      </c>
      <c r="N25" s="120">
        <f>COUNTIF(Base!V:V,$A25)</f>
        <v>0</v>
      </c>
      <c r="O25" s="120">
        <f>COUNTIF(Base!W:W,$A25)</f>
        <v>0</v>
      </c>
      <c r="P25" s="120">
        <f>COUNTIF(Base!X:X,$A25)</f>
        <v>0</v>
      </c>
      <c r="Q25" s="120">
        <f>COUNTIF(Base!Y:Y,$A25)</f>
        <v>0</v>
      </c>
      <c r="R25" s="120">
        <f>COUNTIF(Base!Z:Z,$A25)</f>
        <v>1</v>
      </c>
      <c r="S25" s="120">
        <f t="shared" si="3"/>
        <v>1</v>
      </c>
      <c r="T25" s="120">
        <f t="shared" si="4"/>
        <v>1</v>
      </c>
      <c r="V25" s="293">
        <f>IF(
  (
    COUNTIF('Acompanhamento quinzenal'!$N:$N, A25) +
    COUNTIF('Acompanhamento quinzenal'!$T:$T, A25) +
    COUNTIF('Acompanhamento quinzenal'!$Z:$Z, A25) +
    COUNTIF('Acompanhamento quinzenal'!$AF:$AF, A25)
  ) = 0,
  "-",
  (
    IFERROR(SUMIFS('Acompanhamento quinzenal'!$S:$S, 'Acompanhamento quinzenal'!$N:$N, A25), 0) +
    IFERROR(SUMIFS('Acompanhamento quinzenal'!$Y:$Y, 'Acompanhamento quinzenal'!$T:$T, A25), 0) +
    IFERROR(SUMIFS('Acompanhamento quinzenal'!$AE:$AE, 'Acompanhamento quinzenal'!$Z:$Z, A25), 0) +
    IFERROR(SUMIFS('Acompanhamento quinzenal'!$AK:$AK, 'Acompanhamento quinzenal'!$AF:$AF, A25), 0)
  ) /
  (
    COUNTIF('Acompanhamento quinzenal'!$N:$N, A25) +
    COUNTIF('Acompanhamento quinzenal'!$T:$T, A25) +
    COUNTIF('Acompanhamento quinzenal'!$Z:$Z, A25) +
    COUNTIF('Acompanhamento quinzenal'!$AF:$AF, A25)
  )
)
</f>
        <v>3.5</v>
      </c>
      <c r="W25" s="293">
        <f>IF(
  (
    COUNTIF('Acompanhamento quinzenal'!$N:$N, A25) +
    COUNTIF('Acompanhamento quinzenal'!$T:$T, A25) +
    COUNTIF('Acompanhamento quinzenal'!$Z:$Z, A25) +
    COUNTIF('Acompanhamento quinzenal'!$AF:$AF, A25)
  ) = 0,
  "-",
  (
    IFERROR(SUMIFS('Acompanhamento quinzenal'!$O:$O, 'Acompanhamento quinzenal'!$N:$N, A25), 0) +
    IFERROR(SUMIFS('Acompanhamento quinzenal'!$U:$U, 'Acompanhamento quinzenal'!$T:$T, A25), 0) +
    IFERROR(SUMIFS('Acompanhamento quinzenal'!$AA:$AA, 'Acompanhamento quinzenal'!$Z:$Z, A25), 0) +
    IFERROR(SUMIFS('Acompanhamento quinzenal'!$AG:$AG, 'Acompanhamento quinzenal'!$AF:$AF, A25), 0)
  ) /
  (
    COUNTIF('Acompanhamento quinzenal'!$N:$N, A25) +
    COUNTIF('Acompanhamento quinzenal'!$T:$T, A25) +
    COUNTIF('Acompanhamento quinzenal'!$Z:$Z, A25) +
    COUNTIF('Acompanhamento quinzenal'!$AF:$AF, A25)
  )
)
</f>
        <v>4</v>
      </c>
      <c r="X25" s="294">
        <f>IF(
  (
    COUNTIF('Acompanhamento quinzenal'!$N:$N, A25) +
    COUNTIF('Acompanhamento quinzenal'!$T:$T, A25) +
    COUNTIF('Acompanhamento quinzenal'!$Z:$Z, A25) +
    COUNTIF('Acompanhamento quinzenal'!$AF:$AF, A25)
  ) = 0,
  "-",
  (
    IFERROR(SUMIFS('Acompanhamento quinzenal'!$P:$P, 'Acompanhamento quinzenal'!$N:$N, A25), 0) +
    IFERROR(SUMIFS('Acompanhamento quinzenal'!$V:$V, 'Acompanhamento quinzenal'!$T:$T, A25), 0) +
    IFERROR(SUMIFS('Acompanhamento quinzenal'!$AB:$AB, 'Acompanhamento quinzenal'!$Z:$Z, A25), 0) +
    IFERROR(SUMIFS('Acompanhamento quinzenal'!$AH:$AH, 'Acompanhamento quinzenal'!$AF:$AF, A25), 0)
  ) /
  (
    COUNTIF('Acompanhamento quinzenal'!$N:$N, A25) +
    COUNTIF('Acompanhamento quinzenal'!$T:$T, A25) +
    COUNTIF('Acompanhamento quinzenal'!$Z:$Z, A25) +
    COUNTIF('Acompanhamento quinzenal'!$AF:$AF, A25)
  )
)
</f>
        <v>3.5</v>
      </c>
      <c r="Y25" s="293">
        <f>IF(
  (
    COUNTIF('Acompanhamento quinzenal'!$N:$N, A25) +
    COUNTIF('Acompanhamento quinzenal'!$T:$T, A25) +
    COUNTIF('Acompanhamento quinzenal'!$Z:$Z, A25) +
    COUNTIF('Acompanhamento quinzenal'!$AF:$AF, A25)
  ) = 0,
  "-",
  (
    IFERROR(SUMIFS('Acompanhamento quinzenal'!$Q:$Q, 'Acompanhamento quinzenal'!$N:$N, A25), 0) +
    IFERROR(SUMIFS('Acompanhamento quinzenal'!$W:$W, 'Acompanhamento quinzenal'!$T:$T, A25), 0) +
    IFERROR(SUMIFS('Acompanhamento quinzenal'!$AC:$AC, 'Acompanhamento quinzenal'!$Z:$Z, A25), 0) +
    IFERROR(SUMIFS('Acompanhamento quinzenal'!$AI:$AI, 'Acompanhamento quinzenal'!$AF:$AF, A25), 0)
  ) /
  (
    COUNTIF('Acompanhamento quinzenal'!$N:$N, A25) +
    COUNTIF('Acompanhamento quinzenal'!$T:$T, A25) +
    COUNTIF('Acompanhamento quinzenal'!$Z:$Z, A25) +
    COUNTIF('Acompanhamento quinzenal'!$AF:$AF, A25)
  )
)
</f>
        <v>3</v>
      </c>
    </row>
    <row r="26" hidden="1">
      <c r="A26" s="291" t="str">
        <f>IFERROR(__xludf.DUMMYFUNCTION("""COMPUTED_VALUE"""),"bruno.chiqueto ")</f>
        <v>bruno.chiqueto </v>
      </c>
      <c r="B26" s="120" t="str">
        <f>IFERROR(__xludf.DUMMYFUNCTION("""COMPUTED_VALUE"""),"Trainee")</f>
        <v>Trainee</v>
      </c>
      <c r="C26" s="120" t="str">
        <f>IFERROR(__xludf.DUMMYFUNCTION("""COMPUTED_VALUE"""),"NCiv")</f>
        <v>NCiv</v>
      </c>
      <c r="D26" s="292" t="str">
        <f>IFERROR((COUNTIFS(Base!$V:$V,A26,Base!$S:$S,"&gt;8") - COUNTIFS(Base!$V:$V,A26,Base!$S:$S,"&lt;7"))/COUNTIFS(Base!$V:$V,A26,Base!$S:$S,"&lt;&gt;"),"-")</f>
        <v>-</v>
      </c>
      <c r="E26" s="292" t="str">
        <f>IF(
  (
    COUNTIFS(Base!$W:$W, A26, Base!$S:$S, "&lt;&gt;") +
    COUNTIFS(Base!$X:$X, A26, Base!$S:$S, "&lt;&gt;") +
    COUNTIFS(Base!$Y:$Y, A26, Base!$S:$S, "&lt;&gt;") +
    COUNTIFS(Base!$Z:$Z, A26, Base!$S:$S, "&lt;&gt;")
  ) = 0,
  "-",
  (
    COUNTIFS(Base!$W:$W, A26, Base!$S:$S, "&gt;8") - COUNTIFS(Base!$W:$W, A26, Base!$S:$S, "&lt;7") +
    COUNTIFS(Base!$X:$X, A26, Base!$S:$S, "&gt;8") - COUNTIFS(Base!$X:$X, A26, Base!$S:$S, "&lt;7") +
    COUNTIFS(Base!$Y:$Y, A26, Base!$S:$S, "&gt;8") - COUNTIFS(Base!$Y:$Y, A26, Base!$S:$S, "&lt;7") +
    COUNTIFS(Base!$Z:$Z, A26, Base!$S:$S, "&gt;8") - COUNTIFS(Base!$Z:$Z, A26, Base!$S:$S, "&lt;7")
  ) /
  (
    COUNTIFS(Base!$W:$W, A26, Base!$S:$S, "&lt;&gt;") +
    COUNTIFS(Base!$X:$X, A26, Base!$S:$S, "&lt;&gt;") +
    COUNTIFS(Base!$Y:$Y, A26, Base!$S:$S, "&lt;&gt;") +
    COUNTIFS(Base!$Z:$Z, A26, Base!$S:$S, "&lt;&gt;")
  )
)
</f>
        <v>-</v>
      </c>
      <c r="F26" s="290">
        <f>SUMIFS(Base!$N:$N,Base!$V:$V,A26,Base!$N:$N,"&lt;&gt;")-SUMIFS(Base!$K:$K,Base!$V:$V,A26,Base!$N:$N,"&lt;&gt;")-(SUMIFS(Base!$L:$L,Base!$V:$V,A26,Base!$N:$N,"&lt;&gt;")*7)</f>
        <v>0</v>
      </c>
      <c r="G26" s="290"/>
      <c r="H26" s="290">
        <f>SUMIFS(Base!$F:$F,Base!$V:$V,A26,Base!$N:$N,"&lt;&gt;")*7</f>
        <v>0</v>
      </c>
      <c r="I26" s="290"/>
      <c r="J26" s="292" t="str">
        <f t="shared" ref="J26:K26" si="27">IFERROR(F26/H26,"-")</f>
        <v>-</v>
      </c>
      <c r="K26" s="292" t="str">
        <f t="shared" si="27"/>
        <v>-</v>
      </c>
      <c r="L26" s="292" t="str">
        <f>IFERROR((COUNTIFS(Base!$V:$V,A26,Base!$U:$U,TRUE))/(COUNTIFS(Base!$V:$V,A26,Base!$O:$O,"Finalizado")+COUNTIFS(Base!$V:$V,A26,Base!$O:$O,"Concluído")),"-")</f>
        <v>-</v>
      </c>
      <c r="M26" s="292" t="str">
        <f>IF(
  (
    IFERROR(COUNTIF(Base!$W:$W, A26), 0) +
    IFERROR(COUNTIF(Base!$X:$X, A26), 0) +
    IFERROR(COUNTIF(Base!$Y:$Y, A26), 0) +
    IFERROR(COUNTIF(Base!$Z:$Z, A26), 0)
  ) = 0,
  "-",
  IF(
    (
      IFERROR(COUNTIFS(Base!$W:$W, A26, Base!$O:$O, "Finalizado"), 0) +
      IFERROR(COUNTIFS(Base!$W:$W, A26, Base!$O:$O, "Concluído"), 0) +
      IFERROR(COUNTIFS(Base!$X:$X, A26, Base!$O:$O, "Finalizado"), 0) +
      IFERROR(COUNTIFS(Base!$X:$X, A26, Base!$O:$O, "Concluído"), 0) +
      IFERROR(COUNTIFS(Base!$Y:$Y, A26, Base!$O:$O, "Finalizado"), 0) +
      IFERROR(COUNTIFS(Base!$Y:$Y, A26, Base!$O:$O, "Concluído"), 0) +
      IFERROR(COUNTIFS(Base!$Z:$Z, A26, Base!$O:$O, "Finalizado"), 0) +
      IFERROR(COUNTIFS(Base!$Z:$Z, A26, Base!$O:$O, "Concluído"), 0)
    ) = 0,
    "-",
    (
      IFERROR(COUNTIFS(Base!$W:$W, A26, Base!$U:$U, TRUE), 0) +
      IFERROR(COUNTIFS(Base!$X:$X, A26, Base!$U:$U, TRUE), 0) +
      IFERROR(COUNTIFS(Base!$Y:$Y, A26, Base!$U:$U, TRUE), 0) +
      IFERROR(COUNTIFS(Base!$Z:$Z, A26, Base!$U:$U, TRUE), 0)
    ) /
    (
      IFERROR(COUNTIFS(Base!$W:$W, A26, Base!$O:$O, "Finalizado"), 0) +
      IFERROR(COUNTIFS(Base!$W:$W, A26, Base!$O:$O, "Concluído"), 0) +
      IFERROR(COUNTIFS(Base!$X:$X, A26, Base!$O:$O, "Finalizado"), 0) +
      IFERROR(COUNTIFS(Base!$X:$X, A26, Base!$O:$O, "Concluído"), 0) +
      IFERROR(COUNTIFS(Base!$Y:$Y, A26, Base!$O:$O, "Finalizado"), 0) +
      IFERROR(COUNTIFS(Base!$Y:$Y, A26, Base!$O:$O, "Concluído"), 0) +
      IFERROR(COUNTIFS(Base!$Z:$Z, A26, Base!$O:$O, "Finalizado"), 0) +
      IFERROR(COUNTIFS(Base!$Z:$Z, A26, Base!$O:$O, "Concluído"), 0)
    )
  )
)
</f>
        <v>-</v>
      </c>
      <c r="N26" s="120">
        <f>COUNTIF(Base!V:V,$A26)</f>
        <v>0</v>
      </c>
      <c r="O26" s="120">
        <f>COUNTIF(Base!W:W,$A26)</f>
        <v>0</v>
      </c>
      <c r="P26" s="120">
        <f>COUNTIF(Base!X:X,$A26)</f>
        <v>0</v>
      </c>
      <c r="Q26" s="120">
        <f>COUNTIF(Base!Y:Y,$A26)</f>
        <v>0</v>
      </c>
      <c r="R26" s="120">
        <f>COUNTIF(Base!Z:Z,$A26)</f>
        <v>0</v>
      </c>
      <c r="S26" s="120">
        <f t="shared" si="3"/>
        <v>0</v>
      </c>
      <c r="T26" s="120">
        <f t="shared" si="4"/>
        <v>0</v>
      </c>
      <c r="V26" s="293" t="str">
        <f>IF(
  (
    COUNTIF('Acompanhamento quinzenal'!$N:$N, A26) +
    COUNTIF('Acompanhamento quinzenal'!$T:$T, A26) +
    COUNTIF('Acompanhamento quinzenal'!$Z:$Z, A26) +
    COUNTIF('Acompanhamento quinzenal'!$AF:$AF, A26)
  ) = 0,
  "-",
  (
    IFERROR(SUMIFS('Acompanhamento quinzenal'!$S:$S, 'Acompanhamento quinzenal'!$N:$N, A26), 0) +
    IFERROR(SUMIFS('Acompanhamento quinzenal'!$Y:$Y, 'Acompanhamento quinzenal'!$T:$T, A26), 0) +
    IFERROR(SUMIFS('Acompanhamento quinzenal'!$AE:$AE, 'Acompanhamento quinzenal'!$Z:$Z, A26), 0) +
    IFERROR(SUMIFS('Acompanhamento quinzenal'!$AK:$AK, 'Acompanhamento quinzenal'!$AF:$AF, A26), 0)
  ) /
  (
    COUNTIF('Acompanhamento quinzenal'!$N:$N, A26) +
    COUNTIF('Acompanhamento quinzenal'!$T:$T, A26) +
    COUNTIF('Acompanhamento quinzenal'!$Z:$Z, A26) +
    COUNTIF('Acompanhamento quinzenal'!$AF:$AF, A26)
  )
)
</f>
        <v>-</v>
      </c>
      <c r="W26" s="293" t="str">
        <f>IF(
  (
    COUNTIF('Acompanhamento quinzenal'!$N:$N, A26) +
    COUNTIF('Acompanhamento quinzenal'!$T:$T, A26) +
    COUNTIF('Acompanhamento quinzenal'!$Z:$Z, A26) +
    COUNTIF('Acompanhamento quinzenal'!$AF:$AF, A26)
  ) = 0,
  "-",
  (
    IFERROR(SUMIFS('Acompanhamento quinzenal'!$O:$O, 'Acompanhamento quinzenal'!$N:$N, A26), 0) +
    IFERROR(SUMIFS('Acompanhamento quinzenal'!$U:$U, 'Acompanhamento quinzenal'!$T:$T, A26), 0) +
    IFERROR(SUMIFS('Acompanhamento quinzenal'!$AA:$AA, 'Acompanhamento quinzenal'!$Z:$Z, A26), 0) +
    IFERROR(SUMIFS('Acompanhamento quinzenal'!$AG:$AG, 'Acompanhamento quinzenal'!$AF:$AF, A26), 0)
  ) /
  (
    COUNTIF('Acompanhamento quinzenal'!$N:$N, A26) +
    COUNTIF('Acompanhamento quinzenal'!$T:$T, A26) +
    COUNTIF('Acompanhamento quinzenal'!$Z:$Z, A26) +
    COUNTIF('Acompanhamento quinzenal'!$AF:$AF, A26)
  )
)
</f>
        <v>-</v>
      </c>
      <c r="X26" s="294" t="str">
        <f>IF(
  (
    COUNTIF('Acompanhamento quinzenal'!$N:$N, A26) +
    COUNTIF('Acompanhamento quinzenal'!$T:$T, A26) +
    COUNTIF('Acompanhamento quinzenal'!$Z:$Z, A26) +
    COUNTIF('Acompanhamento quinzenal'!$AF:$AF, A26)
  ) = 0,
  "-",
  (
    IFERROR(SUMIFS('Acompanhamento quinzenal'!$P:$P, 'Acompanhamento quinzenal'!$N:$N, A26), 0) +
    IFERROR(SUMIFS('Acompanhamento quinzenal'!$V:$V, 'Acompanhamento quinzenal'!$T:$T, A26), 0) +
    IFERROR(SUMIFS('Acompanhamento quinzenal'!$AB:$AB, 'Acompanhamento quinzenal'!$Z:$Z, A26), 0) +
    IFERROR(SUMIFS('Acompanhamento quinzenal'!$AH:$AH, 'Acompanhamento quinzenal'!$AF:$AF, A26), 0)
  ) /
  (
    COUNTIF('Acompanhamento quinzenal'!$N:$N, A26) +
    COUNTIF('Acompanhamento quinzenal'!$T:$T, A26) +
    COUNTIF('Acompanhamento quinzenal'!$Z:$Z, A26) +
    COUNTIF('Acompanhamento quinzenal'!$AF:$AF, A26)
  )
)
</f>
        <v>-</v>
      </c>
      <c r="Y26" s="293" t="str">
        <f>IF(
  (
    COUNTIF('Acompanhamento quinzenal'!$N:$N, A26) +
    COUNTIF('Acompanhamento quinzenal'!$T:$T, A26) +
    COUNTIF('Acompanhamento quinzenal'!$Z:$Z, A26) +
    COUNTIF('Acompanhamento quinzenal'!$AF:$AF, A26)
  ) = 0,
  "-",
  (
    IFERROR(SUMIFS('Acompanhamento quinzenal'!$Q:$Q, 'Acompanhamento quinzenal'!$N:$N, A26), 0) +
    IFERROR(SUMIFS('Acompanhamento quinzenal'!$W:$W, 'Acompanhamento quinzenal'!$T:$T, A26), 0) +
    IFERROR(SUMIFS('Acompanhamento quinzenal'!$AC:$AC, 'Acompanhamento quinzenal'!$Z:$Z, A26), 0) +
    IFERROR(SUMIFS('Acompanhamento quinzenal'!$AI:$AI, 'Acompanhamento quinzenal'!$AF:$AF, A26), 0)
  ) /
  (
    COUNTIF('Acompanhamento quinzenal'!$N:$N, A26) +
    COUNTIF('Acompanhamento quinzenal'!$T:$T, A26) +
    COUNTIF('Acompanhamento quinzenal'!$Z:$Z, A26) +
    COUNTIF('Acompanhamento quinzenal'!$AF:$AF, A26)
  )
)
</f>
        <v>-</v>
      </c>
    </row>
    <row r="27" hidden="1">
      <c r="A27" s="291" t="str">
        <f>IFERROR(__xludf.DUMMYFUNCTION("""COMPUTED_VALUE"""),"bruno.barroso")</f>
        <v>bruno.barroso</v>
      </c>
      <c r="B27" s="120" t="str">
        <f>IFERROR(__xludf.DUMMYFUNCTION("""COMPUTED_VALUE"""),"Consultor")</f>
        <v>Consultor</v>
      </c>
      <c r="C27" s="120" t="str">
        <f>IFERROR(__xludf.DUMMYFUNCTION("""COMPUTED_VALUE"""),"NTec")</f>
        <v>NTec</v>
      </c>
      <c r="D27" s="292" t="str">
        <f>IFERROR((COUNTIFS(Base!$V:$V,A27,Base!$S:$S,"&gt;8") - COUNTIFS(Base!$V:$V,A27,Base!$S:$S,"&lt;7"))/COUNTIFS(Base!$V:$V,A27,Base!$S:$S,"&lt;&gt;"),"-")</f>
        <v>-</v>
      </c>
      <c r="E27" s="292" t="str">
        <f>IF(
  (
    COUNTIFS(Base!$W:$W, A27, Base!$S:$S, "&lt;&gt;") +
    COUNTIFS(Base!$X:$X, A27, Base!$S:$S, "&lt;&gt;") +
    COUNTIFS(Base!$Y:$Y, A27, Base!$S:$S, "&lt;&gt;") +
    COUNTIFS(Base!$Z:$Z, A27, Base!$S:$S, "&lt;&gt;")
  ) = 0,
  "-",
  (
    COUNTIFS(Base!$W:$W, A27, Base!$S:$S, "&gt;8") - COUNTIFS(Base!$W:$W, A27, Base!$S:$S, "&lt;7") +
    COUNTIFS(Base!$X:$X, A27, Base!$S:$S, "&gt;8") - COUNTIFS(Base!$X:$X, A27, Base!$S:$S, "&lt;7") +
    COUNTIFS(Base!$Y:$Y, A27, Base!$S:$S, "&gt;8") - COUNTIFS(Base!$Y:$Y, A27, Base!$S:$S, "&lt;7") +
    COUNTIFS(Base!$Z:$Z, A27, Base!$S:$S, "&gt;8") - COUNTIFS(Base!$Z:$Z, A27, Base!$S:$S, "&lt;7")
  ) /
  (
    COUNTIFS(Base!$W:$W, A27, Base!$S:$S, "&lt;&gt;") +
    COUNTIFS(Base!$X:$X, A27, Base!$S:$S, "&lt;&gt;") +
    COUNTIFS(Base!$Y:$Y, A27, Base!$S:$S, "&lt;&gt;") +
    COUNTIFS(Base!$Z:$Z, A27, Base!$S:$S, "&lt;&gt;")
  )
)
</f>
        <v>-</v>
      </c>
      <c r="F27" s="290">
        <f>SUMIFS(Base!$N:$N,Base!$V:$V,A27,Base!$N:$N,"&lt;&gt;")-SUMIFS(Base!$K:$K,Base!$V:$V,A27,Base!$N:$N,"&lt;&gt;")-(SUMIFS(Base!$L:$L,Base!$V:$V,A27,Base!$N:$N,"&lt;&gt;")*7)</f>
        <v>0</v>
      </c>
      <c r="G27" s="290"/>
      <c r="H27" s="290">
        <f>SUMIFS(Base!$F:$F,Base!$V:$V,A27,Base!$N:$N,"&lt;&gt;")*7</f>
        <v>0</v>
      </c>
      <c r="I27" s="290"/>
      <c r="J27" s="292" t="str">
        <f t="shared" ref="J27:K27" si="28">IFERROR(F27/H27,"-")</f>
        <v>-</v>
      </c>
      <c r="K27" s="292" t="str">
        <f t="shared" si="28"/>
        <v>-</v>
      </c>
      <c r="L27" s="292" t="str">
        <f>IFERROR((COUNTIFS(Base!$V:$V,A27,Base!$U:$U,TRUE))/(COUNTIFS(Base!$V:$V,A27,Base!$O:$O,"Finalizado")+COUNTIFS(Base!$V:$V,A27,Base!$O:$O,"Concluído")),"-")</f>
        <v>-</v>
      </c>
      <c r="M27" s="292" t="str">
        <f>IF(
  (
    IFERROR(COUNTIF(Base!$W:$W, A27), 0) +
    IFERROR(COUNTIF(Base!$X:$X, A27), 0) +
    IFERROR(COUNTIF(Base!$Y:$Y, A27), 0) +
    IFERROR(COUNTIF(Base!$Z:$Z, A27), 0)
  ) = 0,
  "-",
  IF(
    (
      IFERROR(COUNTIFS(Base!$W:$W, A27, Base!$O:$O, "Finalizado"), 0) +
      IFERROR(COUNTIFS(Base!$W:$W, A27, Base!$O:$O, "Concluído"), 0) +
      IFERROR(COUNTIFS(Base!$X:$X, A27, Base!$O:$O, "Finalizado"), 0) +
      IFERROR(COUNTIFS(Base!$X:$X, A27, Base!$O:$O, "Concluído"), 0) +
      IFERROR(COUNTIFS(Base!$Y:$Y, A27, Base!$O:$O, "Finalizado"), 0) +
      IFERROR(COUNTIFS(Base!$Y:$Y, A27, Base!$O:$O, "Concluído"), 0) +
      IFERROR(COUNTIFS(Base!$Z:$Z, A27, Base!$O:$O, "Finalizado"), 0) +
      IFERROR(COUNTIFS(Base!$Z:$Z, A27, Base!$O:$O, "Concluído"), 0)
    ) = 0,
    "-",
    (
      IFERROR(COUNTIFS(Base!$W:$W, A27, Base!$U:$U, TRUE), 0) +
      IFERROR(COUNTIFS(Base!$X:$X, A27, Base!$U:$U, TRUE), 0) +
      IFERROR(COUNTIFS(Base!$Y:$Y, A27, Base!$U:$U, TRUE), 0) +
      IFERROR(COUNTIFS(Base!$Z:$Z, A27, Base!$U:$U, TRUE), 0)
    ) /
    (
      IFERROR(COUNTIFS(Base!$W:$W, A27, Base!$O:$O, "Finalizado"), 0) +
      IFERROR(COUNTIFS(Base!$W:$W, A27, Base!$O:$O, "Concluído"), 0) +
      IFERROR(COUNTIFS(Base!$X:$X, A27, Base!$O:$O, "Finalizado"), 0) +
      IFERROR(COUNTIFS(Base!$X:$X, A27, Base!$O:$O, "Concluído"), 0) +
      IFERROR(COUNTIFS(Base!$Y:$Y, A27, Base!$O:$O, "Finalizado"), 0) +
      IFERROR(COUNTIFS(Base!$Y:$Y, A27, Base!$O:$O, "Concluído"), 0) +
      IFERROR(COUNTIFS(Base!$Z:$Z, A27, Base!$O:$O, "Finalizado"), 0) +
      IFERROR(COUNTIFS(Base!$Z:$Z, A27, Base!$O:$O, "Concluído"), 0)
    )
  )
)
</f>
        <v>-</v>
      </c>
      <c r="N27" s="120">
        <f>COUNTIF(Base!V:V,$A27)</f>
        <v>0</v>
      </c>
      <c r="O27" s="120">
        <f>COUNTIF(Base!W:W,$A27)</f>
        <v>0</v>
      </c>
      <c r="P27" s="120">
        <f>COUNTIF(Base!X:X,$A27)</f>
        <v>0</v>
      </c>
      <c r="Q27" s="120">
        <f>COUNTIF(Base!Y:Y,$A27)</f>
        <v>1</v>
      </c>
      <c r="R27" s="120">
        <f>COUNTIF(Base!Z:Z,$A27)</f>
        <v>0</v>
      </c>
      <c r="S27" s="120">
        <f t="shared" si="3"/>
        <v>1</v>
      </c>
      <c r="T27" s="120">
        <f t="shared" si="4"/>
        <v>1</v>
      </c>
      <c r="V27" s="293">
        <f>IF(
  (
    COUNTIF('Acompanhamento quinzenal'!$N:$N, A27) +
    COUNTIF('Acompanhamento quinzenal'!$T:$T, A27) +
    COUNTIF('Acompanhamento quinzenal'!$Z:$Z, A27) +
    COUNTIF('Acompanhamento quinzenal'!$AF:$AF, A27)
  ) = 0,
  "-",
  (
    IFERROR(SUMIFS('Acompanhamento quinzenal'!$S:$S, 'Acompanhamento quinzenal'!$N:$N, A27), 0) +
    IFERROR(SUMIFS('Acompanhamento quinzenal'!$Y:$Y, 'Acompanhamento quinzenal'!$T:$T, A27), 0) +
    IFERROR(SUMIFS('Acompanhamento quinzenal'!$AE:$AE, 'Acompanhamento quinzenal'!$Z:$Z, A27), 0) +
    IFERROR(SUMIFS('Acompanhamento quinzenal'!$AK:$AK, 'Acompanhamento quinzenal'!$AF:$AF, A27), 0)
  ) /
  (
    COUNTIF('Acompanhamento quinzenal'!$N:$N, A27) +
    COUNTIF('Acompanhamento quinzenal'!$T:$T, A27) +
    COUNTIF('Acompanhamento quinzenal'!$Z:$Z, A27) +
    COUNTIF('Acompanhamento quinzenal'!$AF:$AF, A27)
  )
)
</f>
        <v>4.166666667</v>
      </c>
      <c r="W27" s="293">
        <f>IF(
  (
    COUNTIF('Acompanhamento quinzenal'!$N:$N, A27) +
    COUNTIF('Acompanhamento quinzenal'!$T:$T, A27) +
    COUNTIF('Acompanhamento quinzenal'!$Z:$Z, A27) +
    COUNTIF('Acompanhamento quinzenal'!$AF:$AF, A27)
  ) = 0,
  "-",
  (
    IFERROR(SUMIFS('Acompanhamento quinzenal'!$O:$O, 'Acompanhamento quinzenal'!$N:$N, A27), 0) +
    IFERROR(SUMIFS('Acompanhamento quinzenal'!$U:$U, 'Acompanhamento quinzenal'!$T:$T, A27), 0) +
    IFERROR(SUMIFS('Acompanhamento quinzenal'!$AA:$AA, 'Acompanhamento quinzenal'!$Z:$Z, A27), 0) +
    IFERROR(SUMIFS('Acompanhamento quinzenal'!$AG:$AG, 'Acompanhamento quinzenal'!$AF:$AF, A27), 0)
  ) /
  (
    COUNTIF('Acompanhamento quinzenal'!$N:$N, A27) +
    COUNTIF('Acompanhamento quinzenal'!$T:$T, A27) +
    COUNTIF('Acompanhamento quinzenal'!$Z:$Z, A27) +
    COUNTIF('Acompanhamento quinzenal'!$AF:$AF, A27)
  )
)
</f>
        <v>4</v>
      </c>
      <c r="X27" s="294">
        <f>IF(
  (
    COUNTIF('Acompanhamento quinzenal'!$N:$N, A27) +
    COUNTIF('Acompanhamento quinzenal'!$T:$T, A27) +
    COUNTIF('Acompanhamento quinzenal'!$Z:$Z, A27) +
    COUNTIF('Acompanhamento quinzenal'!$AF:$AF, A27)
  ) = 0,
  "-",
  (
    IFERROR(SUMIFS('Acompanhamento quinzenal'!$P:$P, 'Acompanhamento quinzenal'!$N:$N, A27), 0) +
    IFERROR(SUMIFS('Acompanhamento quinzenal'!$V:$V, 'Acompanhamento quinzenal'!$T:$T, A27), 0) +
    IFERROR(SUMIFS('Acompanhamento quinzenal'!$AB:$AB, 'Acompanhamento quinzenal'!$Z:$Z, A27), 0) +
    IFERROR(SUMIFS('Acompanhamento quinzenal'!$AH:$AH, 'Acompanhamento quinzenal'!$AF:$AF, A27), 0)
  ) /
  (
    COUNTIF('Acompanhamento quinzenal'!$N:$N, A27) +
    COUNTIF('Acompanhamento quinzenal'!$T:$T, A27) +
    COUNTIF('Acompanhamento quinzenal'!$Z:$Z, A27) +
    COUNTIF('Acompanhamento quinzenal'!$AF:$AF, A27)
  )
)
</f>
        <v>4.5</v>
      </c>
      <c r="Y27" s="293">
        <f>IF(
  (
    COUNTIF('Acompanhamento quinzenal'!$N:$N, A27) +
    COUNTIF('Acompanhamento quinzenal'!$T:$T, A27) +
    COUNTIF('Acompanhamento quinzenal'!$Z:$Z, A27) +
    COUNTIF('Acompanhamento quinzenal'!$AF:$AF, A27)
  ) = 0,
  "-",
  (
    IFERROR(SUMIFS('Acompanhamento quinzenal'!$Q:$Q, 'Acompanhamento quinzenal'!$N:$N, A27), 0) +
    IFERROR(SUMIFS('Acompanhamento quinzenal'!$W:$W, 'Acompanhamento quinzenal'!$T:$T, A27), 0) +
    IFERROR(SUMIFS('Acompanhamento quinzenal'!$AC:$AC, 'Acompanhamento quinzenal'!$Z:$Z, A27), 0) +
    IFERROR(SUMIFS('Acompanhamento quinzenal'!$AI:$AI, 'Acompanhamento quinzenal'!$AF:$AF, A27), 0)
  ) /
  (
    COUNTIF('Acompanhamento quinzenal'!$N:$N, A27) +
    COUNTIF('Acompanhamento quinzenal'!$T:$T, A27) +
    COUNTIF('Acompanhamento quinzenal'!$Z:$Z, A27) +
    COUNTIF('Acompanhamento quinzenal'!$AF:$AF, A27)
  )
)
</f>
        <v>4</v>
      </c>
    </row>
    <row r="28" hidden="1">
      <c r="A28" s="291" t="str">
        <f>IFERROR(__xludf.DUMMYFUNCTION("""COMPUTED_VALUE"""),"caio.poreto")</f>
        <v>caio.poreto</v>
      </c>
      <c r="B28" s="120" t="str">
        <f>IFERROR(__xludf.DUMMYFUNCTION("""COMPUTED_VALUE"""),"Trainee")</f>
        <v>Trainee</v>
      </c>
      <c r="C28" s="120" t="str">
        <f>IFERROR(__xludf.DUMMYFUNCTION("""COMPUTED_VALUE"""),"NTec")</f>
        <v>NTec</v>
      </c>
      <c r="D28" s="292" t="str">
        <f>IFERROR((COUNTIFS(Base!$V:$V,A28,Base!$S:$S,"&gt;8") - COUNTIFS(Base!$V:$V,A28,Base!$S:$S,"&lt;7"))/COUNTIFS(Base!$V:$V,A28,Base!$S:$S,"&lt;&gt;"),"-")</f>
        <v>-</v>
      </c>
      <c r="E28" s="292" t="str">
        <f>IF(
  (
    COUNTIFS(Base!$W:$W, A28, Base!$S:$S, "&lt;&gt;") +
    COUNTIFS(Base!$X:$X, A28, Base!$S:$S, "&lt;&gt;") +
    COUNTIFS(Base!$Y:$Y, A28, Base!$S:$S, "&lt;&gt;") +
    COUNTIFS(Base!$Z:$Z, A28, Base!$S:$S, "&lt;&gt;")
  ) = 0,
  "-",
  (
    COUNTIFS(Base!$W:$W, A28, Base!$S:$S, "&gt;8") - COUNTIFS(Base!$W:$W, A28, Base!$S:$S, "&lt;7") +
    COUNTIFS(Base!$X:$X, A28, Base!$S:$S, "&gt;8") - COUNTIFS(Base!$X:$X, A28, Base!$S:$S, "&lt;7") +
    COUNTIFS(Base!$Y:$Y, A28, Base!$S:$S, "&gt;8") - COUNTIFS(Base!$Y:$Y, A28, Base!$S:$S, "&lt;7") +
    COUNTIFS(Base!$Z:$Z, A28, Base!$S:$S, "&gt;8") - COUNTIFS(Base!$Z:$Z, A28, Base!$S:$S, "&lt;7")
  ) /
  (
    COUNTIFS(Base!$W:$W, A28, Base!$S:$S, "&lt;&gt;") +
    COUNTIFS(Base!$X:$X, A28, Base!$S:$S, "&lt;&gt;") +
    COUNTIFS(Base!$Y:$Y, A28, Base!$S:$S, "&lt;&gt;") +
    COUNTIFS(Base!$Z:$Z, A28, Base!$S:$S, "&lt;&gt;")
  )
)
</f>
        <v>-</v>
      </c>
      <c r="F28" s="290">
        <f>SUMIFS(Base!$N:$N,Base!$V:$V,A28,Base!$N:$N,"&lt;&gt;")-SUMIFS(Base!$K:$K,Base!$V:$V,A28,Base!$N:$N,"&lt;&gt;")-(SUMIFS(Base!$L:$L,Base!$V:$V,A28,Base!$N:$N,"&lt;&gt;")*7)</f>
        <v>0</v>
      </c>
      <c r="G28" s="290"/>
      <c r="H28" s="290">
        <f>SUMIFS(Base!$F:$F,Base!$V:$V,A28,Base!$N:$N,"&lt;&gt;")*7</f>
        <v>0</v>
      </c>
      <c r="I28" s="290"/>
      <c r="J28" s="292" t="str">
        <f t="shared" ref="J28:K28" si="29">IFERROR(F28/H28,"-")</f>
        <v>-</v>
      </c>
      <c r="K28" s="292" t="str">
        <f t="shared" si="29"/>
        <v>-</v>
      </c>
      <c r="L28" s="292" t="str">
        <f>IFERROR((COUNTIFS(Base!$V:$V,A28,Base!$U:$U,TRUE))/(COUNTIFS(Base!$V:$V,A28,Base!$O:$O,"Finalizado")+COUNTIFS(Base!$V:$V,A28,Base!$O:$O,"Concluído")),"-")</f>
        <v>-</v>
      </c>
      <c r="M28" s="292" t="str">
        <f>IF(
  (
    IFERROR(COUNTIF(Base!$W:$W, A28), 0) +
    IFERROR(COUNTIF(Base!$X:$X, A28), 0) +
    IFERROR(COUNTIF(Base!$Y:$Y, A28), 0) +
    IFERROR(COUNTIF(Base!$Z:$Z, A28), 0)
  ) = 0,
  "-",
  IF(
    (
      IFERROR(COUNTIFS(Base!$W:$W, A28, Base!$O:$O, "Finalizado"), 0) +
      IFERROR(COUNTIFS(Base!$W:$W, A28, Base!$O:$O, "Concluído"), 0) +
      IFERROR(COUNTIFS(Base!$X:$X, A28, Base!$O:$O, "Finalizado"), 0) +
      IFERROR(COUNTIFS(Base!$X:$X, A28, Base!$O:$O, "Concluído"), 0) +
      IFERROR(COUNTIFS(Base!$Y:$Y, A28, Base!$O:$O, "Finalizado"), 0) +
      IFERROR(COUNTIFS(Base!$Y:$Y, A28, Base!$O:$O, "Concluído"), 0) +
      IFERROR(COUNTIFS(Base!$Z:$Z, A28, Base!$O:$O, "Finalizado"), 0) +
      IFERROR(COUNTIFS(Base!$Z:$Z, A28, Base!$O:$O, "Concluído"), 0)
    ) = 0,
    "-",
    (
      IFERROR(COUNTIFS(Base!$W:$W, A28, Base!$U:$U, TRUE), 0) +
      IFERROR(COUNTIFS(Base!$X:$X, A28, Base!$U:$U, TRUE), 0) +
      IFERROR(COUNTIFS(Base!$Y:$Y, A28, Base!$U:$U, TRUE), 0) +
      IFERROR(COUNTIFS(Base!$Z:$Z, A28, Base!$U:$U, TRUE), 0)
    ) /
    (
      IFERROR(COUNTIFS(Base!$W:$W, A28, Base!$O:$O, "Finalizado"), 0) +
      IFERROR(COUNTIFS(Base!$W:$W, A28, Base!$O:$O, "Concluído"), 0) +
      IFERROR(COUNTIFS(Base!$X:$X, A28, Base!$O:$O, "Finalizado"), 0) +
      IFERROR(COUNTIFS(Base!$X:$X, A28, Base!$O:$O, "Concluído"), 0) +
      IFERROR(COUNTIFS(Base!$Y:$Y, A28, Base!$O:$O, "Finalizado"), 0) +
      IFERROR(COUNTIFS(Base!$Y:$Y, A28, Base!$O:$O, "Concluído"), 0) +
      IFERROR(COUNTIFS(Base!$Z:$Z, A28, Base!$O:$O, "Finalizado"), 0) +
      IFERROR(COUNTIFS(Base!$Z:$Z, A28, Base!$O:$O, "Concluído"), 0)
    )
  )
)
</f>
        <v>-</v>
      </c>
      <c r="N28" s="120">
        <f>COUNTIF(Base!V:V,$A28)</f>
        <v>0</v>
      </c>
      <c r="O28" s="120">
        <f>COUNTIF(Base!W:W,$A28)</f>
        <v>0</v>
      </c>
      <c r="P28" s="120">
        <f>COUNTIF(Base!X:X,$A28)</f>
        <v>0</v>
      </c>
      <c r="Q28" s="120">
        <f>COUNTIF(Base!Y:Y,$A28)</f>
        <v>0</v>
      </c>
      <c r="R28" s="120">
        <f>COUNTIF(Base!Z:Z,$A28)</f>
        <v>0</v>
      </c>
      <c r="S28" s="120">
        <f t="shared" si="3"/>
        <v>0</v>
      </c>
      <c r="T28" s="120">
        <f t="shared" si="4"/>
        <v>0</v>
      </c>
      <c r="V28" s="293" t="str">
        <f>IF(
  (
    COUNTIF('Acompanhamento quinzenal'!$N:$N, A28) +
    COUNTIF('Acompanhamento quinzenal'!$T:$T, A28) +
    COUNTIF('Acompanhamento quinzenal'!$Z:$Z, A28) +
    COUNTIF('Acompanhamento quinzenal'!$AF:$AF, A28)
  ) = 0,
  "-",
  (
    IFERROR(SUMIFS('Acompanhamento quinzenal'!$S:$S, 'Acompanhamento quinzenal'!$N:$N, A28), 0) +
    IFERROR(SUMIFS('Acompanhamento quinzenal'!$Y:$Y, 'Acompanhamento quinzenal'!$T:$T, A28), 0) +
    IFERROR(SUMIFS('Acompanhamento quinzenal'!$AE:$AE, 'Acompanhamento quinzenal'!$Z:$Z, A28), 0) +
    IFERROR(SUMIFS('Acompanhamento quinzenal'!$AK:$AK, 'Acompanhamento quinzenal'!$AF:$AF, A28), 0)
  ) /
  (
    COUNTIF('Acompanhamento quinzenal'!$N:$N, A28) +
    COUNTIF('Acompanhamento quinzenal'!$T:$T, A28) +
    COUNTIF('Acompanhamento quinzenal'!$Z:$Z, A28) +
    COUNTIF('Acompanhamento quinzenal'!$AF:$AF, A28)
  )
)
</f>
        <v>-</v>
      </c>
      <c r="W28" s="293" t="str">
        <f>IF(
  (
    COUNTIF('Acompanhamento quinzenal'!$N:$N, A28) +
    COUNTIF('Acompanhamento quinzenal'!$T:$T, A28) +
    COUNTIF('Acompanhamento quinzenal'!$Z:$Z, A28) +
    COUNTIF('Acompanhamento quinzenal'!$AF:$AF, A28)
  ) = 0,
  "-",
  (
    IFERROR(SUMIFS('Acompanhamento quinzenal'!$O:$O, 'Acompanhamento quinzenal'!$N:$N, A28), 0) +
    IFERROR(SUMIFS('Acompanhamento quinzenal'!$U:$U, 'Acompanhamento quinzenal'!$T:$T, A28), 0) +
    IFERROR(SUMIFS('Acompanhamento quinzenal'!$AA:$AA, 'Acompanhamento quinzenal'!$Z:$Z, A28), 0) +
    IFERROR(SUMIFS('Acompanhamento quinzenal'!$AG:$AG, 'Acompanhamento quinzenal'!$AF:$AF, A28), 0)
  ) /
  (
    COUNTIF('Acompanhamento quinzenal'!$N:$N, A28) +
    COUNTIF('Acompanhamento quinzenal'!$T:$T, A28) +
    COUNTIF('Acompanhamento quinzenal'!$Z:$Z, A28) +
    COUNTIF('Acompanhamento quinzenal'!$AF:$AF, A28)
  )
)
</f>
        <v>-</v>
      </c>
      <c r="X28" s="294" t="str">
        <f>IF(
  (
    COUNTIF('Acompanhamento quinzenal'!$N:$N, A28) +
    COUNTIF('Acompanhamento quinzenal'!$T:$T, A28) +
    COUNTIF('Acompanhamento quinzenal'!$Z:$Z, A28) +
    COUNTIF('Acompanhamento quinzenal'!$AF:$AF, A28)
  ) = 0,
  "-",
  (
    IFERROR(SUMIFS('Acompanhamento quinzenal'!$P:$P, 'Acompanhamento quinzenal'!$N:$N, A28), 0) +
    IFERROR(SUMIFS('Acompanhamento quinzenal'!$V:$V, 'Acompanhamento quinzenal'!$T:$T, A28), 0) +
    IFERROR(SUMIFS('Acompanhamento quinzenal'!$AB:$AB, 'Acompanhamento quinzenal'!$Z:$Z, A28), 0) +
    IFERROR(SUMIFS('Acompanhamento quinzenal'!$AH:$AH, 'Acompanhamento quinzenal'!$AF:$AF, A28), 0)
  ) /
  (
    COUNTIF('Acompanhamento quinzenal'!$N:$N, A28) +
    COUNTIF('Acompanhamento quinzenal'!$T:$T, A28) +
    COUNTIF('Acompanhamento quinzenal'!$Z:$Z, A28) +
    COUNTIF('Acompanhamento quinzenal'!$AF:$AF, A28)
  )
)
</f>
        <v>-</v>
      </c>
      <c r="Y28" s="293" t="str">
        <f>IF(
  (
    COUNTIF('Acompanhamento quinzenal'!$N:$N, A28) +
    COUNTIF('Acompanhamento quinzenal'!$T:$T, A28) +
    COUNTIF('Acompanhamento quinzenal'!$Z:$Z, A28) +
    COUNTIF('Acompanhamento quinzenal'!$AF:$AF, A28)
  ) = 0,
  "-",
  (
    IFERROR(SUMIFS('Acompanhamento quinzenal'!$Q:$Q, 'Acompanhamento quinzenal'!$N:$N, A28), 0) +
    IFERROR(SUMIFS('Acompanhamento quinzenal'!$W:$W, 'Acompanhamento quinzenal'!$T:$T, A28), 0) +
    IFERROR(SUMIFS('Acompanhamento quinzenal'!$AC:$AC, 'Acompanhamento quinzenal'!$Z:$Z, A28), 0) +
    IFERROR(SUMIFS('Acompanhamento quinzenal'!$AI:$AI, 'Acompanhamento quinzenal'!$AF:$AF, A28), 0)
  ) /
  (
    COUNTIF('Acompanhamento quinzenal'!$N:$N, A28) +
    COUNTIF('Acompanhamento quinzenal'!$T:$T, A28) +
    COUNTIF('Acompanhamento quinzenal'!$Z:$Z, A28) +
    COUNTIF('Acompanhamento quinzenal'!$AF:$AF, A28)
  )
)
</f>
        <v>-</v>
      </c>
    </row>
    <row r="29">
      <c r="A29" s="291" t="str">
        <f>IFERROR(__xludf.DUMMYFUNCTION("""COMPUTED_VALUE"""),"caio.castro")</f>
        <v>caio.castro</v>
      </c>
      <c r="B29" s="120" t="str">
        <f>IFERROR(__xludf.DUMMYFUNCTION("""COMPUTED_VALUE"""),"Consultor")</f>
        <v>Consultor</v>
      </c>
      <c r="C29" s="120" t="str">
        <f>IFERROR(__xludf.DUMMYFUNCTION("""COMPUTED_VALUE"""),"NDados")</f>
        <v>NDados</v>
      </c>
      <c r="D29" s="292" t="str">
        <f>IFERROR((COUNTIFS(Base!$V:$V,A29,Base!$S:$S,"&gt;8") - COUNTIFS(Base!$V:$V,A29,Base!$S:$S,"&lt;7"))/COUNTIFS(Base!$V:$V,A29,Base!$S:$S,"&lt;&gt;"),"-")</f>
        <v>-</v>
      </c>
      <c r="E29" s="292">
        <f>IF(
  (
    COUNTIFS(Base!$W:$W, A29, Base!$S:$S, "&lt;&gt;") +
    COUNTIFS(Base!$X:$X, A29, Base!$S:$S, "&lt;&gt;") +
    COUNTIFS(Base!$Y:$Y, A29, Base!$S:$S, "&lt;&gt;") +
    COUNTIFS(Base!$Z:$Z, A29, Base!$S:$S, "&lt;&gt;")
  ) = 0,
  "-",
  (
    COUNTIFS(Base!$W:$W, A29, Base!$S:$S, "&gt;8") - COUNTIFS(Base!$W:$W, A29, Base!$S:$S, "&lt;7") +
    COUNTIFS(Base!$X:$X, A29, Base!$S:$S, "&gt;8") - COUNTIFS(Base!$X:$X, A29, Base!$S:$S, "&lt;7") +
    COUNTIFS(Base!$Y:$Y, A29, Base!$S:$S, "&gt;8") - COUNTIFS(Base!$Y:$Y, A29, Base!$S:$S, "&lt;7") +
    COUNTIFS(Base!$Z:$Z, A29, Base!$S:$S, "&gt;8") - COUNTIFS(Base!$Z:$Z, A29, Base!$S:$S, "&lt;7")
  ) /
  (
    COUNTIFS(Base!$W:$W, A29, Base!$S:$S, "&lt;&gt;") +
    COUNTIFS(Base!$X:$X, A29, Base!$S:$S, "&lt;&gt;") +
    COUNTIFS(Base!$Y:$Y, A29, Base!$S:$S, "&lt;&gt;") +
    COUNTIFS(Base!$Z:$Z, A29, Base!$S:$S, "&lt;&gt;")
  )
)
</f>
        <v>1</v>
      </c>
      <c r="F29" s="290">
        <f>SUMIFS(Base!$N:$N,Base!$V:$V,A29,Base!$N:$N,"&lt;&gt;")-SUMIFS(Base!$K:$K,Base!$V:$V,A29,Base!$N:$N,"&lt;&gt;")-(SUMIFS(Base!$L:$L,Base!$V:$V,A29,Base!$N:$N,"&lt;&gt;")*7)</f>
        <v>0</v>
      </c>
      <c r="G29" s="290"/>
      <c r="H29" s="290">
        <f>SUMIFS(Base!$F:$F,Base!$V:$V,A29,Base!$N:$N,"&lt;&gt;")*7</f>
        <v>0</v>
      </c>
      <c r="I29" s="290"/>
      <c r="J29" s="292" t="str">
        <f t="shared" ref="J29:K29" si="30">IFERROR(F29/H29,"-")</f>
        <v>-</v>
      </c>
      <c r="K29" s="292" t="str">
        <f t="shared" si="30"/>
        <v>-</v>
      </c>
      <c r="L29" s="292" t="str">
        <f>IFERROR((COUNTIFS(Base!$V:$V,A29,Base!$U:$U,TRUE))/(COUNTIFS(Base!$V:$V,A29,Base!$O:$O,"Finalizado")+COUNTIFS(Base!$V:$V,A29,Base!$O:$O,"Concluído")),"-")</f>
        <v>-</v>
      </c>
      <c r="M29" s="292">
        <f>IF(
  (
    IFERROR(COUNTIF(Base!$W:$W, A29), 0) +
    IFERROR(COUNTIF(Base!$X:$X, A29), 0) +
    IFERROR(COUNTIF(Base!$Y:$Y, A29), 0) +
    IFERROR(COUNTIF(Base!$Z:$Z, A29), 0)
  ) = 0,
  "-",
  IF(
    (
      IFERROR(COUNTIFS(Base!$W:$W, A29, Base!$O:$O, "Finalizado"), 0) +
      IFERROR(COUNTIFS(Base!$W:$W, A29, Base!$O:$O, "Concluído"), 0) +
      IFERROR(COUNTIFS(Base!$X:$X, A29, Base!$O:$O, "Finalizado"), 0) +
      IFERROR(COUNTIFS(Base!$X:$X, A29, Base!$O:$O, "Concluído"), 0) +
      IFERROR(COUNTIFS(Base!$Y:$Y, A29, Base!$O:$O, "Finalizado"), 0) +
      IFERROR(COUNTIFS(Base!$Y:$Y, A29, Base!$O:$O, "Concluído"), 0) +
      IFERROR(COUNTIFS(Base!$Z:$Z, A29, Base!$O:$O, "Finalizado"), 0) +
      IFERROR(COUNTIFS(Base!$Z:$Z, A29, Base!$O:$O, "Concluído"), 0)
    ) = 0,
    "-",
    (
      IFERROR(COUNTIFS(Base!$W:$W, A29, Base!$U:$U, TRUE), 0) +
      IFERROR(COUNTIFS(Base!$X:$X, A29, Base!$U:$U, TRUE), 0) +
      IFERROR(COUNTIFS(Base!$Y:$Y, A29, Base!$U:$U, TRUE), 0) +
      IFERROR(COUNTIFS(Base!$Z:$Z, A29, Base!$U:$U, TRUE), 0)
    ) /
    (
      IFERROR(COUNTIFS(Base!$W:$W, A29, Base!$O:$O, "Finalizado"), 0) +
      IFERROR(COUNTIFS(Base!$W:$W, A29, Base!$O:$O, "Concluído"), 0) +
      IFERROR(COUNTIFS(Base!$X:$X, A29, Base!$O:$O, "Finalizado"), 0) +
      IFERROR(COUNTIFS(Base!$X:$X, A29, Base!$O:$O, "Concluído"), 0) +
      IFERROR(COUNTIFS(Base!$Y:$Y, A29, Base!$O:$O, "Finalizado"), 0) +
      IFERROR(COUNTIFS(Base!$Y:$Y, A29, Base!$O:$O, "Concluído"), 0) +
      IFERROR(COUNTIFS(Base!$Z:$Z, A29, Base!$O:$O, "Finalizado"), 0) +
      IFERROR(COUNTIFS(Base!$Z:$Z, A29, Base!$O:$O, "Concluído"), 0)
    )
  )
)
</f>
        <v>0.3333333333</v>
      </c>
      <c r="N29" s="120">
        <f>COUNTIF(Base!V:V,$A29)</f>
        <v>0</v>
      </c>
      <c r="O29" s="120">
        <f>COUNTIF(Base!W:W,$A29)</f>
        <v>2</v>
      </c>
      <c r="P29" s="120">
        <f>COUNTIF(Base!X:X,$A29)</f>
        <v>3</v>
      </c>
      <c r="Q29" s="120">
        <f>COUNTIF(Base!Y:Y,$A29)</f>
        <v>0</v>
      </c>
      <c r="R29" s="120">
        <f>COUNTIF(Base!Z:Z,$A29)</f>
        <v>0</v>
      </c>
      <c r="S29" s="120">
        <f t="shared" si="3"/>
        <v>5</v>
      </c>
      <c r="T29" s="120">
        <f t="shared" si="4"/>
        <v>5</v>
      </c>
      <c r="V29" s="293">
        <f>IF(
  (
    COUNTIF('Acompanhamento quinzenal'!$N:$N, A29) +
    COUNTIF('Acompanhamento quinzenal'!$T:$T, A29) +
    COUNTIF('Acompanhamento quinzenal'!$Z:$Z, A29) +
    COUNTIF('Acompanhamento quinzenal'!$AF:$AF, A29)
  ) = 0,
  "-",
  (
    IFERROR(SUMIFS('Acompanhamento quinzenal'!$S:$S, 'Acompanhamento quinzenal'!$N:$N, A29), 0) +
    IFERROR(SUMIFS('Acompanhamento quinzenal'!$Y:$Y, 'Acompanhamento quinzenal'!$T:$T, A29), 0) +
    IFERROR(SUMIFS('Acompanhamento quinzenal'!$AE:$AE, 'Acompanhamento quinzenal'!$Z:$Z, A29), 0) +
    IFERROR(SUMIFS('Acompanhamento quinzenal'!$AK:$AK, 'Acompanhamento quinzenal'!$AF:$AF, A29), 0)
  ) /
  (
    COUNTIF('Acompanhamento quinzenal'!$N:$N, A29) +
    COUNTIF('Acompanhamento quinzenal'!$T:$T, A29) +
    COUNTIF('Acompanhamento quinzenal'!$Z:$Z, A29) +
    COUNTIF('Acompanhamento quinzenal'!$AF:$AF, A29)
  )
)
</f>
        <v>3</v>
      </c>
      <c r="W29" s="293">
        <f>IF(
  (
    COUNTIF('Acompanhamento quinzenal'!$N:$N, A29) +
    COUNTIF('Acompanhamento quinzenal'!$T:$T, A29) +
    COUNTIF('Acompanhamento quinzenal'!$Z:$Z, A29) +
    COUNTIF('Acompanhamento quinzenal'!$AF:$AF, A29)
  ) = 0,
  "-",
  (
    IFERROR(SUMIFS('Acompanhamento quinzenal'!$O:$O, 'Acompanhamento quinzenal'!$N:$N, A29), 0) +
    IFERROR(SUMIFS('Acompanhamento quinzenal'!$U:$U, 'Acompanhamento quinzenal'!$T:$T, A29), 0) +
    IFERROR(SUMIFS('Acompanhamento quinzenal'!$AA:$AA, 'Acompanhamento quinzenal'!$Z:$Z, A29), 0) +
    IFERROR(SUMIFS('Acompanhamento quinzenal'!$AG:$AG, 'Acompanhamento quinzenal'!$AF:$AF, A29), 0)
  ) /
  (
    COUNTIF('Acompanhamento quinzenal'!$N:$N, A29) +
    COUNTIF('Acompanhamento quinzenal'!$T:$T, A29) +
    COUNTIF('Acompanhamento quinzenal'!$Z:$Z, A29) +
    COUNTIF('Acompanhamento quinzenal'!$AF:$AF, A29)
  )
)
</f>
        <v>3</v>
      </c>
      <c r="X29" s="294">
        <f>IF(
  (
    COUNTIF('Acompanhamento quinzenal'!$N:$N, A29) +
    COUNTIF('Acompanhamento quinzenal'!$T:$T, A29) +
    COUNTIF('Acompanhamento quinzenal'!$Z:$Z, A29) +
    COUNTIF('Acompanhamento quinzenal'!$AF:$AF, A29)
  ) = 0,
  "-",
  (
    IFERROR(SUMIFS('Acompanhamento quinzenal'!$P:$P, 'Acompanhamento quinzenal'!$N:$N, A29), 0) +
    IFERROR(SUMIFS('Acompanhamento quinzenal'!$V:$V, 'Acompanhamento quinzenal'!$T:$T, A29), 0) +
    IFERROR(SUMIFS('Acompanhamento quinzenal'!$AB:$AB, 'Acompanhamento quinzenal'!$Z:$Z, A29), 0) +
    IFERROR(SUMIFS('Acompanhamento quinzenal'!$AH:$AH, 'Acompanhamento quinzenal'!$AF:$AF, A29), 0)
  ) /
  (
    COUNTIF('Acompanhamento quinzenal'!$N:$N, A29) +
    COUNTIF('Acompanhamento quinzenal'!$T:$T, A29) +
    COUNTIF('Acompanhamento quinzenal'!$Z:$Z, A29) +
    COUNTIF('Acompanhamento quinzenal'!$AF:$AF, A29)
  )
)
</f>
        <v>2.6</v>
      </c>
      <c r="Y29" s="293">
        <f>IF(
  (
    COUNTIF('Acompanhamento quinzenal'!$N:$N, A29) +
    COUNTIF('Acompanhamento quinzenal'!$T:$T, A29) +
    COUNTIF('Acompanhamento quinzenal'!$Z:$Z, A29) +
    COUNTIF('Acompanhamento quinzenal'!$AF:$AF, A29)
  ) = 0,
  "-",
  (
    IFERROR(SUMIFS('Acompanhamento quinzenal'!$Q:$Q, 'Acompanhamento quinzenal'!$N:$N, A29), 0) +
    IFERROR(SUMIFS('Acompanhamento quinzenal'!$W:$W, 'Acompanhamento quinzenal'!$T:$T, A29), 0) +
    IFERROR(SUMIFS('Acompanhamento quinzenal'!$AC:$AC, 'Acompanhamento quinzenal'!$Z:$Z, A29), 0) +
    IFERROR(SUMIFS('Acompanhamento quinzenal'!$AI:$AI, 'Acompanhamento quinzenal'!$AF:$AF, A29), 0)
  ) /
  (
    COUNTIF('Acompanhamento quinzenal'!$N:$N, A29) +
    COUNTIF('Acompanhamento quinzenal'!$T:$T, A29) +
    COUNTIF('Acompanhamento quinzenal'!$Z:$Z, A29) +
    COUNTIF('Acompanhamento quinzenal'!$AF:$AF, A29)
  )
)
</f>
        <v>3.4</v>
      </c>
    </row>
    <row r="30" hidden="1">
      <c r="A30" s="291" t="str">
        <f>IFERROR(__xludf.DUMMYFUNCTION("""COMPUTED_VALUE"""),"caio.bella")</f>
        <v>caio.bella</v>
      </c>
      <c r="B30" s="120" t="str">
        <f>IFERROR(__xludf.DUMMYFUNCTION("""COMPUTED_VALUE"""),"Consultor")</f>
        <v>Consultor</v>
      </c>
      <c r="C30" s="120" t="str">
        <f>IFERROR(__xludf.DUMMYFUNCTION("""COMPUTED_VALUE"""),"WI")</f>
        <v>WI</v>
      </c>
      <c r="D30" s="292">
        <f>IFERROR((COUNTIFS(Base!$V:$V,A30,Base!$S:$S,"&gt;8") - COUNTIFS(Base!$V:$V,A30,Base!$S:$S,"&lt;7"))/COUNTIFS(Base!$V:$V,A30,Base!$S:$S,"&lt;&gt;"),"-")</f>
        <v>0</v>
      </c>
      <c r="E30" s="292" t="str">
        <f>IF(
  (
    COUNTIFS(Base!$W:$W, A30, Base!$S:$S, "&lt;&gt;") +
    COUNTIFS(Base!$X:$X, A30, Base!$S:$S, "&lt;&gt;") +
    COUNTIFS(Base!$Y:$Y, A30, Base!$S:$S, "&lt;&gt;") +
    COUNTIFS(Base!$Z:$Z, A30, Base!$S:$S, "&lt;&gt;")
  ) = 0,
  "-",
  (
    COUNTIFS(Base!$W:$W, A30, Base!$S:$S, "&gt;8") - COUNTIFS(Base!$W:$W, A30, Base!$S:$S, "&lt;7") +
    COUNTIFS(Base!$X:$X, A30, Base!$S:$S, "&gt;8") - COUNTIFS(Base!$X:$X, A30, Base!$S:$S, "&lt;7") +
    COUNTIFS(Base!$Y:$Y, A30, Base!$S:$S, "&gt;8") - COUNTIFS(Base!$Y:$Y, A30, Base!$S:$S, "&lt;7") +
    COUNTIFS(Base!$Z:$Z, A30, Base!$S:$S, "&gt;8") - COUNTIFS(Base!$Z:$Z, A30, Base!$S:$S, "&lt;7")
  ) /
  (
    COUNTIFS(Base!$W:$W, A30, Base!$S:$S, "&lt;&gt;") +
    COUNTIFS(Base!$X:$X, A30, Base!$S:$S, "&lt;&gt;") +
    COUNTIFS(Base!$Y:$Y, A30, Base!$S:$S, "&lt;&gt;") +
    COUNTIFS(Base!$Z:$Z, A30, Base!$S:$S, "&lt;&gt;")
  )
)
</f>
        <v>-</v>
      </c>
      <c r="F30" s="290">
        <f>SUMIFS(Base!$N:$N,Base!$V:$V,A30,Base!$N:$N,"&lt;&gt;")-SUMIFS(Base!$K:$K,Base!$V:$V,A30,Base!$N:$N,"&lt;&gt;")-(SUMIFS(Base!$L:$L,Base!$V:$V,A30,Base!$N:$N,"&lt;&gt;")*7)</f>
        <v>155</v>
      </c>
      <c r="G30" s="290"/>
      <c r="H30" s="290">
        <f>SUMIFS(Base!$F:$F,Base!$V:$V,A30,Base!$N:$N,"&lt;&gt;")*7</f>
        <v>28</v>
      </c>
      <c r="I30" s="290"/>
      <c r="J30" s="292">
        <f t="shared" ref="J30:K30" si="31">IFERROR(F30/H30,"-")</f>
        <v>5.535714286</v>
      </c>
      <c r="K30" s="292" t="str">
        <f t="shared" si="31"/>
        <v>-</v>
      </c>
      <c r="L30" s="292">
        <f>IFERROR((COUNTIFS(Base!$V:$V,A30,Base!$U:$U,TRUE))/(COUNTIFS(Base!$V:$V,A30,Base!$O:$O,"Finalizado")+COUNTIFS(Base!$V:$V,A30,Base!$O:$O,"Concluído")),"-")</f>
        <v>0</v>
      </c>
      <c r="M30" s="292" t="str">
        <f>IF(
  (
    IFERROR(COUNTIF(Base!$W:$W, A30), 0) +
    IFERROR(COUNTIF(Base!$X:$X, A30), 0) +
    IFERROR(COUNTIF(Base!$Y:$Y, A30), 0) +
    IFERROR(COUNTIF(Base!$Z:$Z, A30), 0)
  ) = 0,
  "-",
  IF(
    (
      IFERROR(COUNTIFS(Base!$W:$W, A30, Base!$O:$O, "Finalizado"), 0) +
      IFERROR(COUNTIFS(Base!$W:$W, A30, Base!$O:$O, "Concluído"), 0) +
      IFERROR(COUNTIFS(Base!$X:$X, A30, Base!$O:$O, "Finalizado"), 0) +
      IFERROR(COUNTIFS(Base!$X:$X, A30, Base!$O:$O, "Concluído"), 0) +
      IFERROR(COUNTIFS(Base!$Y:$Y, A30, Base!$O:$O, "Finalizado"), 0) +
      IFERROR(COUNTIFS(Base!$Y:$Y, A30, Base!$O:$O, "Concluído"), 0) +
      IFERROR(COUNTIFS(Base!$Z:$Z, A30, Base!$O:$O, "Finalizado"), 0) +
      IFERROR(COUNTIFS(Base!$Z:$Z, A30, Base!$O:$O, "Concluído"), 0)
    ) = 0,
    "-",
    (
      IFERROR(COUNTIFS(Base!$W:$W, A30, Base!$U:$U, TRUE), 0) +
      IFERROR(COUNTIFS(Base!$X:$X, A30, Base!$U:$U, TRUE), 0) +
      IFERROR(COUNTIFS(Base!$Y:$Y, A30, Base!$U:$U, TRUE), 0) +
      IFERROR(COUNTIFS(Base!$Z:$Z, A30, Base!$U:$U, TRUE), 0)
    ) /
    (
      IFERROR(COUNTIFS(Base!$W:$W, A30, Base!$O:$O, "Finalizado"), 0) +
      IFERROR(COUNTIFS(Base!$W:$W, A30, Base!$O:$O, "Concluído"), 0) +
      IFERROR(COUNTIFS(Base!$X:$X, A30, Base!$O:$O, "Finalizado"), 0) +
      IFERROR(COUNTIFS(Base!$X:$X, A30, Base!$O:$O, "Concluído"), 0) +
      IFERROR(COUNTIFS(Base!$Y:$Y, A30, Base!$O:$O, "Finalizado"), 0) +
      IFERROR(COUNTIFS(Base!$Y:$Y, A30, Base!$O:$O, "Concluído"), 0) +
      IFERROR(COUNTIFS(Base!$Z:$Z, A30, Base!$O:$O, "Finalizado"), 0) +
      IFERROR(COUNTIFS(Base!$Z:$Z, A30, Base!$O:$O, "Concluído"), 0)
    )
  )
)
</f>
        <v>-</v>
      </c>
      <c r="N30" s="120">
        <f>COUNTIF(Base!V:V,$A30)</f>
        <v>1</v>
      </c>
      <c r="O30" s="120">
        <f>COUNTIF(Base!W:W,$A30)</f>
        <v>0</v>
      </c>
      <c r="P30" s="120">
        <f>COUNTIF(Base!X:X,$A30)</f>
        <v>0</v>
      </c>
      <c r="Q30" s="120">
        <f>COUNTIF(Base!Y:Y,$A30)</f>
        <v>0</v>
      </c>
      <c r="R30" s="120">
        <f>COUNTIF(Base!Z:Z,$A30)</f>
        <v>0</v>
      </c>
      <c r="S30" s="120">
        <f t="shared" si="3"/>
        <v>1</v>
      </c>
      <c r="T30" s="120">
        <f t="shared" si="4"/>
        <v>0</v>
      </c>
      <c r="V30" s="293" t="str">
        <f>IF(
  (
    COUNTIF('Acompanhamento quinzenal'!$N:$N, A30) +
    COUNTIF('Acompanhamento quinzenal'!$T:$T, A30) +
    COUNTIF('Acompanhamento quinzenal'!$Z:$Z, A30) +
    COUNTIF('Acompanhamento quinzenal'!$AF:$AF, A30)
  ) = 0,
  "-",
  (
    IFERROR(SUMIFS('Acompanhamento quinzenal'!$S:$S, 'Acompanhamento quinzenal'!$N:$N, A30), 0) +
    IFERROR(SUMIFS('Acompanhamento quinzenal'!$Y:$Y, 'Acompanhamento quinzenal'!$T:$T, A30), 0) +
    IFERROR(SUMIFS('Acompanhamento quinzenal'!$AE:$AE, 'Acompanhamento quinzenal'!$Z:$Z, A30), 0) +
    IFERROR(SUMIFS('Acompanhamento quinzenal'!$AK:$AK, 'Acompanhamento quinzenal'!$AF:$AF, A30), 0)
  ) /
  (
    COUNTIF('Acompanhamento quinzenal'!$N:$N, A30) +
    COUNTIF('Acompanhamento quinzenal'!$T:$T, A30) +
    COUNTIF('Acompanhamento quinzenal'!$Z:$Z, A30) +
    COUNTIF('Acompanhamento quinzenal'!$AF:$AF, A30)
  )
)
</f>
        <v>-</v>
      </c>
      <c r="W30" s="293" t="str">
        <f>IF(
  (
    COUNTIF('Acompanhamento quinzenal'!$N:$N, A30) +
    COUNTIF('Acompanhamento quinzenal'!$T:$T, A30) +
    COUNTIF('Acompanhamento quinzenal'!$Z:$Z, A30) +
    COUNTIF('Acompanhamento quinzenal'!$AF:$AF, A30)
  ) = 0,
  "-",
  (
    IFERROR(SUMIFS('Acompanhamento quinzenal'!$O:$O, 'Acompanhamento quinzenal'!$N:$N, A30), 0) +
    IFERROR(SUMIFS('Acompanhamento quinzenal'!$U:$U, 'Acompanhamento quinzenal'!$T:$T, A30), 0) +
    IFERROR(SUMIFS('Acompanhamento quinzenal'!$AA:$AA, 'Acompanhamento quinzenal'!$Z:$Z, A30), 0) +
    IFERROR(SUMIFS('Acompanhamento quinzenal'!$AG:$AG, 'Acompanhamento quinzenal'!$AF:$AF, A30), 0)
  ) /
  (
    COUNTIF('Acompanhamento quinzenal'!$N:$N, A30) +
    COUNTIF('Acompanhamento quinzenal'!$T:$T, A30) +
    COUNTIF('Acompanhamento quinzenal'!$Z:$Z, A30) +
    COUNTIF('Acompanhamento quinzenal'!$AF:$AF, A30)
  )
)
</f>
        <v>-</v>
      </c>
      <c r="X30" s="294" t="str">
        <f>IF(
  (
    COUNTIF('Acompanhamento quinzenal'!$N:$N, A30) +
    COUNTIF('Acompanhamento quinzenal'!$T:$T, A30) +
    COUNTIF('Acompanhamento quinzenal'!$Z:$Z, A30) +
    COUNTIF('Acompanhamento quinzenal'!$AF:$AF, A30)
  ) = 0,
  "-",
  (
    IFERROR(SUMIFS('Acompanhamento quinzenal'!$P:$P, 'Acompanhamento quinzenal'!$N:$N, A30), 0) +
    IFERROR(SUMIFS('Acompanhamento quinzenal'!$V:$V, 'Acompanhamento quinzenal'!$T:$T, A30), 0) +
    IFERROR(SUMIFS('Acompanhamento quinzenal'!$AB:$AB, 'Acompanhamento quinzenal'!$Z:$Z, A30), 0) +
    IFERROR(SUMIFS('Acompanhamento quinzenal'!$AH:$AH, 'Acompanhamento quinzenal'!$AF:$AF, A30), 0)
  ) /
  (
    COUNTIF('Acompanhamento quinzenal'!$N:$N, A30) +
    COUNTIF('Acompanhamento quinzenal'!$T:$T, A30) +
    COUNTIF('Acompanhamento quinzenal'!$Z:$Z, A30) +
    COUNTIF('Acompanhamento quinzenal'!$AF:$AF, A30)
  )
)
</f>
        <v>-</v>
      </c>
      <c r="Y30" s="293" t="str">
        <f>IF(
  (
    COUNTIF('Acompanhamento quinzenal'!$N:$N, A30) +
    COUNTIF('Acompanhamento quinzenal'!$T:$T, A30) +
    COUNTIF('Acompanhamento quinzenal'!$Z:$Z, A30) +
    COUNTIF('Acompanhamento quinzenal'!$AF:$AF, A30)
  ) = 0,
  "-",
  (
    IFERROR(SUMIFS('Acompanhamento quinzenal'!$Q:$Q, 'Acompanhamento quinzenal'!$N:$N, A30), 0) +
    IFERROR(SUMIFS('Acompanhamento quinzenal'!$W:$W, 'Acompanhamento quinzenal'!$T:$T, A30), 0) +
    IFERROR(SUMIFS('Acompanhamento quinzenal'!$AC:$AC, 'Acompanhamento quinzenal'!$Z:$Z, A30), 0) +
    IFERROR(SUMIFS('Acompanhamento quinzenal'!$AI:$AI, 'Acompanhamento quinzenal'!$AF:$AF, A30), 0)
  ) /
  (
    COUNTIF('Acompanhamento quinzenal'!$N:$N, A30) +
    COUNTIF('Acompanhamento quinzenal'!$T:$T, A30) +
    COUNTIF('Acompanhamento quinzenal'!$Z:$Z, A30) +
    COUNTIF('Acompanhamento quinzenal'!$AF:$AF, A30)
  )
)
</f>
        <v>-</v>
      </c>
    </row>
    <row r="31" hidden="1">
      <c r="A31" s="291" t="str">
        <f>IFERROR(__xludf.DUMMYFUNCTION("""COMPUTED_VALUE"""),"caio.pereira")</f>
        <v>caio.pereira</v>
      </c>
      <c r="B31" s="120" t="str">
        <f>IFERROR(__xludf.DUMMYFUNCTION("""COMPUTED_VALUE"""),"Coordenador")</f>
        <v>Coordenador</v>
      </c>
      <c r="C31" s="120" t="str">
        <f>IFERROR(__xludf.DUMMYFUNCTION("""COMPUTED_VALUE"""),"NTec")</f>
        <v>NTec</v>
      </c>
      <c r="D31" s="292" t="str">
        <f>IFERROR((COUNTIFS(Base!$V:$V,A31,Base!$S:$S,"&gt;8") - COUNTIFS(Base!$V:$V,A31,Base!$S:$S,"&lt;7"))/COUNTIFS(Base!$V:$V,A31,Base!$S:$S,"&lt;&gt;"),"-")</f>
        <v>-</v>
      </c>
      <c r="E31" s="292" t="str">
        <f>IF(
  (
    COUNTIFS(Base!$W:$W, A31, Base!$S:$S, "&lt;&gt;") +
    COUNTIFS(Base!$X:$X, A31, Base!$S:$S, "&lt;&gt;") +
    COUNTIFS(Base!$Y:$Y, A31, Base!$S:$S, "&lt;&gt;") +
    COUNTIFS(Base!$Z:$Z, A31, Base!$S:$S, "&lt;&gt;")
  ) = 0,
  "-",
  (
    COUNTIFS(Base!$W:$W, A31, Base!$S:$S, "&gt;8") - COUNTIFS(Base!$W:$W, A31, Base!$S:$S, "&lt;7") +
    COUNTIFS(Base!$X:$X, A31, Base!$S:$S, "&gt;8") - COUNTIFS(Base!$X:$X, A31, Base!$S:$S, "&lt;7") +
    COUNTIFS(Base!$Y:$Y, A31, Base!$S:$S, "&gt;8") - COUNTIFS(Base!$Y:$Y, A31, Base!$S:$S, "&lt;7") +
    COUNTIFS(Base!$Z:$Z, A31, Base!$S:$S, "&gt;8") - COUNTIFS(Base!$Z:$Z, A31, Base!$S:$S, "&lt;7")
  ) /
  (
    COUNTIFS(Base!$W:$W, A31, Base!$S:$S, "&lt;&gt;") +
    COUNTIFS(Base!$X:$X, A31, Base!$S:$S, "&lt;&gt;") +
    COUNTIFS(Base!$Y:$Y, A31, Base!$S:$S, "&lt;&gt;") +
    COUNTIFS(Base!$Z:$Z, A31, Base!$S:$S, "&lt;&gt;")
  )
)
</f>
        <v>-</v>
      </c>
      <c r="F31" s="290">
        <f>SUMIFS(Base!$N:$N,Base!$V:$V,A31,Base!$N:$N,"&lt;&gt;")-SUMIFS(Base!$K:$K,Base!$V:$V,A31,Base!$N:$N,"&lt;&gt;")-(SUMIFS(Base!$L:$L,Base!$V:$V,A31,Base!$N:$N,"&lt;&gt;")*7)</f>
        <v>0</v>
      </c>
      <c r="G31" s="290"/>
      <c r="H31" s="290">
        <f>SUMIFS(Base!$F:$F,Base!$V:$V,A31,Base!$N:$N,"&lt;&gt;")*7</f>
        <v>0</v>
      </c>
      <c r="I31" s="290"/>
      <c r="J31" s="292" t="str">
        <f t="shared" ref="J31:K31" si="32">IFERROR(F31/H31,"-")</f>
        <v>-</v>
      </c>
      <c r="K31" s="292" t="str">
        <f t="shared" si="32"/>
        <v>-</v>
      </c>
      <c r="L31" s="292" t="str">
        <f>IFERROR((COUNTIFS(Base!$V:$V,A31,Base!$U:$U,TRUE))/(COUNTIFS(Base!$V:$V,A31,Base!$O:$O,"Finalizado")+COUNTIFS(Base!$V:$V,A31,Base!$O:$O,"Concluído")),"-")</f>
        <v>-</v>
      </c>
      <c r="M31" s="292" t="str">
        <f>IF(
  (
    IFERROR(COUNTIF(Base!$W:$W, A31), 0) +
    IFERROR(COUNTIF(Base!$X:$X, A31), 0) +
    IFERROR(COUNTIF(Base!$Y:$Y, A31), 0) +
    IFERROR(COUNTIF(Base!$Z:$Z, A31), 0)
  ) = 0,
  "-",
  IF(
    (
      IFERROR(COUNTIFS(Base!$W:$W, A31, Base!$O:$O, "Finalizado"), 0) +
      IFERROR(COUNTIFS(Base!$W:$W, A31, Base!$O:$O, "Concluído"), 0) +
      IFERROR(COUNTIFS(Base!$X:$X, A31, Base!$O:$O, "Finalizado"), 0) +
      IFERROR(COUNTIFS(Base!$X:$X, A31, Base!$O:$O, "Concluído"), 0) +
      IFERROR(COUNTIFS(Base!$Y:$Y, A31, Base!$O:$O, "Finalizado"), 0) +
      IFERROR(COUNTIFS(Base!$Y:$Y, A31, Base!$O:$O, "Concluído"), 0) +
      IFERROR(COUNTIFS(Base!$Z:$Z, A31, Base!$O:$O, "Finalizado"), 0) +
      IFERROR(COUNTIFS(Base!$Z:$Z, A31, Base!$O:$O, "Concluído"), 0)
    ) = 0,
    "-",
    (
      IFERROR(COUNTIFS(Base!$W:$W, A31, Base!$U:$U, TRUE), 0) +
      IFERROR(COUNTIFS(Base!$X:$X, A31, Base!$U:$U, TRUE), 0) +
      IFERROR(COUNTIFS(Base!$Y:$Y, A31, Base!$U:$U, TRUE), 0) +
      IFERROR(COUNTIFS(Base!$Z:$Z, A31, Base!$U:$U, TRUE), 0)
    ) /
    (
      IFERROR(COUNTIFS(Base!$W:$W, A31, Base!$O:$O, "Finalizado"), 0) +
      IFERROR(COUNTIFS(Base!$W:$W, A31, Base!$O:$O, "Concluído"), 0) +
      IFERROR(COUNTIFS(Base!$X:$X, A31, Base!$O:$O, "Finalizado"), 0) +
      IFERROR(COUNTIFS(Base!$X:$X, A31, Base!$O:$O, "Concluído"), 0) +
      IFERROR(COUNTIFS(Base!$Y:$Y, A31, Base!$O:$O, "Finalizado"), 0) +
      IFERROR(COUNTIFS(Base!$Y:$Y, A31, Base!$O:$O, "Concluído"), 0) +
      IFERROR(COUNTIFS(Base!$Z:$Z, A31, Base!$O:$O, "Finalizado"), 0) +
      IFERROR(COUNTIFS(Base!$Z:$Z, A31, Base!$O:$O, "Concluído"), 0)
    )
  )
)
</f>
        <v>-</v>
      </c>
      <c r="N31" s="120">
        <f>COUNTIF(Base!V:V,$A31)</f>
        <v>0</v>
      </c>
      <c r="O31" s="120">
        <f>COUNTIF(Base!W:W,$A31)</f>
        <v>1</v>
      </c>
      <c r="P31" s="120">
        <f>COUNTIF(Base!X:X,$A31)</f>
        <v>0</v>
      </c>
      <c r="Q31" s="120">
        <f>COUNTIF(Base!Y:Y,$A31)</f>
        <v>0</v>
      </c>
      <c r="R31" s="120">
        <f>COUNTIF(Base!Z:Z,$A31)</f>
        <v>0</v>
      </c>
      <c r="S31" s="120">
        <f t="shared" si="3"/>
        <v>1</v>
      </c>
      <c r="T31" s="120">
        <f t="shared" si="4"/>
        <v>1</v>
      </c>
      <c r="V31" s="293" t="str">
        <f>IF(
  (
    COUNTIF('Acompanhamento quinzenal'!$N:$N, A31) +
    COUNTIF('Acompanhamento quinzenal'!$T:$T, A31) +
    COUNTIF('Acompanhamento quinzenal'!$Z:$Z, A31) +
    COUNTIF('Acompanhamento quinzenal'!$AF:$AF, A31)
  ) = 0,
  "-",
  (
    IFERROR(SUMIFS('Acompanhamento quinzenal'!$S:$S, 'Acompanhamento quinzenal'!$N:$N, A31), 0) +
    IFERROR(SUMIFS('Acompanhamento quinzenal'!$Y:$Y, 'Acompanhamento quinzenal'!$T:$T, A31), 0) +
    IFERROR(SUMIFS('Acompanhamento quinzenal'!$AE:$AE, 'Acompanhamento quinzenal'!$Z:$Z, A31), 0) +
    IFERROR(SUMIFS('Acompanhamento quinzenal'!$AK:$AK, 'Acompanhamento quinzenal'!$AF:$AF, A31), 0)
  ) /
  (
    COUNTIF('Acompanhamento quinzenal'!$N:$N, A31) +
    COUNTIF('Acompanhamento quinzenal'!$T:$T, A31) +
    COUNTIF('Acompanhamento quinzenal'!$Z:$Z, A31) +
    COUNTIF('Acompanhamento quinzenal'!$AF:$AF, A31)
  )
)
</f>
        <v>-</v>
      </c>
      <c r="W31" s="293" t="str">
        <f>IF(
  (
    COUNTIF('Acompanhamento quinzenal'!$N:$N, A31) +
    COUNTIF('Acompanhamento quinzenal'!$T:$T, A31) +
    COUNTIF('Acompanhamento quinzenal'!$Z:$Z, A31) +
    COUNTIF('Acompanhamento quinzenal'!$AF:$AF, A31)
  ) = 0,
  "-",
  (
    IFERROR(SUMIFS('Acompanhamento quinzenal'!$O:$O, 'Acompanhamento quinzenal'!$N:$N, A31), 0) +
    IFERROR(SUMIFS('Acompanhamento quinzenal'!$U:$U, 'Acompanhamento quinzenal'!$T:$T, A31), 0) +
    IFERROR(SUMIFS('Acompanhamento quinzenal'!$AA:$AA, 'Acompanhamento quinzenal'!$Z:$Z, A31), 0) +
    IFERROR(SUMIFS('Acompanhamento quinzenal'!$AG:$AG, 'Acompanhamento quinzenal'!$AF:$AF, A31), 0)
  ) /
  (
    COUNTIF('Acompanhamento quinzenal'!$N:$N, A31) +
    COUNTIF('Acompanhamento quinzenal'!$T:$T, A31) +
    COUNTIF('Acompanhamento quinzenal'!$Z:$Z, A31) +
    COUNTIF('Acompanhamento quinzenal'!$AF:$AF, A31)
  )
)
</f>
        <v>-</v>
      </c>
      <c r="X31" s="294" t="str">
        <f>IF(
  (
    COUNTIF('Acompanhamento quinzenal'!$N:$N, A31) +
    COUNTIF('Acompanhamento quinzenal'!$T:$T, A31) +
    COUNTIF('Acompanhamento quinzenal'!$Z:$Z, A31) +
    COUNTIF('Acompanhamento quinzenal'!$AF:$AF, A31)
  ) = 0,
  "-",
  (
    IFERROR(SUMIFS('Acompanhamento quinzenal'!$P:$P, 'Acompanhamento quinzenal'!$N:$N, A31), 0) +
    IFERROR(SUMIFS('Acompanhamento quinzenal'!$V:$V, 'Acompanhamento quinzenal'!$T:$T, A31), 0) +
    IFERROR(SUMIFS('Acompanhamento quinzenal'!$AB:$AB, 'Acompanhamento quinzenal'!$Z:$Z, A31), 0) +
    IFERROR(SUMIFS('Acompanhamento quinzenal'!$AH:$AH, 'Acompanhamento quinzenal'!$AF:$AF, A31), 0)
  ) /
  (
    COUNTIF('Acompanhamento quinzenal'!$N:$N, A31) +
    COUNTIF('Acompanhamento quinzenal'!$T:$T, A31) +
    COUNTIF('Acompanhamento quinzenal'!$Z:$Z, A31) +
    COUNTIF('Acompanhamento quinzenal'!$AF:$AF, A31)
  )
)
</f>
        <v>-</v>
      </c>
      <c r="Y31" s="293" t="str">
        <f>IF(
  (
    COUNTIF('Acompanhamento quinzenal'!$N:$N, A31) +
    COUNTIF('Acompanhamento quinzenal'!$T:$T, A31) +
    COUNTIF('Acompanhamento quinzenal'!$Z:$Z, A31) +
    COUNTIF('Acompanhamento quinzenal'!$AF:$AF, A31)
  ) = 0,
  "-",
  (
    IFERROR(SUMIFS('Acompanhamento quinzenal'!$Q:$Q, 'Acompanhamento quinzenal'!$N:$N, A31), 0) +
    IFERROR(SUMIFS('Acompanhamento quinzenal'!$W:$W, 'Acompanhamento quinzenal'!$T:$T, A31), 0) +
    IFERROR(SUMIFS('Acompanhamento quinzenal'!$AC:$AC, 'Acompanhamento quinzenal'!$Z:$Z, A31), 0) +
    IFERROR(SUMIFS('Acompanhamento quinzenal'!$AI:$AI, 'Acompanhamento quinzenal'!$AF:$AF, A31), 0)
  ) /
  (
    COUNTIF('Acompanhamento quinzenal'!$N:$N, A31) +
    COUNTIF('Acompanhamento quinzenal'!$T:$T, A31) +
    COUNTIF('Acompanhamento quinzenal'!$Z:$Z, A31) +
    COUNTIF('Acompanhamento quinzenal'!$AF:$AF, A31)
  )
)
</f>
        <v>-</v>
      </c>
    </row>
    <row r="32" hidden="1">
      <c r="A32" s="291" t="str">
        <f>IFERROR(__xludf.DUMMYFUNCTION("""COMPUTED_VALUE"""),"caio.arraes")</f>
        <v>caio.arraes</v>
      </c>
      <c r="B32" s="120" t="str">
        <f>IFERROR(__xludf.DUMMYFUNCTION("""COMPUTED_VALUE"""),"Consultor")</f>
        <v>Consultor</v>
      </c>
      <c r="C32" s="120" t="str">
        <f>IFERROR(__xludf.DUMMYFUNCTION("""COMPUTED_VALUE"""),"NCon")</f>
        <v>NCon</v>
      </c>
      <c r="D32" s="292" t="str">
        <f>IFERROR((COUNTIFS(Base!$V:$V,A32,Base!$S:$S,"&gt;8") - COUNTIFS(Base!$V:$V,A32,Base!$S:$S,"&lt;7"))/COUNTIFS(Base!$V:$V,A32,Base!$S:$S,"&lt;&gt;"),"-")</f>
        <v>-</v>
      </c>
      <c r="E32" s="292">
        <f>IF(
  (
    COUNTIFS(Base!$W:$W, A32, Base!$S:$S, "&lt;&gt;") +
    COUNTIFS(Base!$X:$X, A32, Base!$S:$S, "&lt;&gt;") +
    COUNTIFS(Base!$Y:$Y, A32, Base!$S:$S, "&lt;&gt;") +
    COUNTIFS(Base!$Z:$Z, A32, Base!$S:$S, "&lt;&gt;")
  ) = 0,
  "-",
  (
    COUNTIFS(Base!$W:$W, A32, Base!$S:$S, "&gt;8") - COUNTIFS(Base!$W:$W, A32, Base!$S:$S, "&lt;7") +
    COUNTIFS(Base!$X:$X, A32, Base!$S:$S, "&gt;8") - COUNTIFS(Base!$X:$X, A32, Base!$S:$S, "&lt;7") +
    COUNTIFS(Base!$Y:$Y, A32, Base!$S:$S, "&gt;8") - COUNTIFS(Base!$Y:$Y, A32, Base!$S:$S, "&lt;7") +
    COUNTIFS(Base!$Z:$Z, A32, Base!$S:$S, "&gt;8") - COUNTIFS(Base!$Z:$Z, A32, Base!$S:$S, "&lt;7")
  ) /
  (
    COUNTIFS(Base!$W:$W, A32, Base!$S:$S, "&lt;&gt;") +
    COUNTIFS(Base!$X:$X, A32, Base!$S:$S, "&lt;&gt;") +
    COUNTIFS(Base!$Y:$Y, A32, Base!$S:$S, "&lt;&gt;") +
    COUNTIFS(Base!$Z:$Z, A32, Base!$S:$S, "&lt;&gt;")
  )
)
</f>
        <v>0.5</v>
      </c>
      <c r="F32" s="290">
        <f>SUMIFS(Base!$N:$N,Base!$V:$V,A32,Base!$N:$N,"&lt;&gt;")-SUMIFS(Base!$K:$K,Base!$V:$V,A32,Base!$N:$N,"&lt;&gt;")-(SUMIFS(Base!$L:$L,Base!$V:$V,A32,Base!$N:$N,"&lt;&gt;")*7)</f>
        <v>0</v>
      </c>
      <c r="G32" s="290"/>
      <c r="H32" s="290">
        <f>SUMIFS(Base!$F:$F,Base!$V:$V,A32,Base!$N:$N,"&lt;&gt;")*7</f>
        <v>0</v>
      </c>
      <c r="I32" s="290"/>
      <c r="J32" s="292" t="str">
        <f t="shared" ref="J32:K32" si="33">IFERROR(F32/H32,"-")</f>
        <v>-</v>
      </c>
      <c r="K32" s="292" t="str">
        <f t="shared" si="33"/>
        <v>-</v>
      </c>
      <c r="L32" s="292" t="str">
        <f>IFERROR((COUNTIFS(Base!$V:$V,A32,Base!$U:$U,TRUE))/(COUNTIFS(Base!$V:$V,A32,Base!$O:$O,"Finalizado")+COUNTIFS(Base!$V:$V,A32,Base!$O:$O,"Concluído")),"-")</f>
        <v>-</v>
      </c>
      <c r="M32" s="292">
        <f>IF(
  (
    IFERROR(COUNTIF(Base!$W:$W, A32), 0) +
    IFERROR(COUNTIF(Base!$X:$X, A32), 0) +
    IFERROR(COUNTIF(Base!$Y:$Y, A32), 0) +
    IFERROR(COUNTIF(Base!$Z:$Z, A32), 0)
  ) = 0,
  "-",
  IF(
    (
      IFERROR(COUNTIFS(Base!$W:$W, A32, Base!$O:$O, "Finalizado"), 0) +
      IFERROR(COUNTIFS(Base!$W:$W, A32, Base!$O:$O, "Concluído"), 0) +
      IFERROR(COUNTIFS(Base!$X:$X, A32, Base!$O:$O, "Finalizado"), 0) +
      IFERROR(COUNTIFS(Base!$X:$X, A32, Base!$O:$O, "Concluído"), 0) +
      IFERROR(COUNTIFS(Base!$Y:$Y, A32, Base!$O:$O, "Finalizado"), 0) +
      IFERROR(COUNTIFS(Base!$Y:$Y, A32, Base!$O:$O, "Concluído"), 0) +
      IFERROR(COUNTIFS(Base!$Z:$Z, A32, Base!$O:$O, "Finalizado"), 0) +
      IFERROR(COUNTIFS(Base!$Z:$Z, A32, Base!$O:$O, "Concluído"), 0)
    ) = 0,
    "-",
    (
      IFERROR(COUNTIFS(Base!$W:$W, A32, Base!$U:$U, TRUE), 0) +
      IFERROR(COUNTIFS(Base!$X:$X, A32, Base!$U:$U, TRUE), 0) +
      IFERROR(COUNTIFS(Base!$Y:$Y, A32, Base!$U:$U, TRUE), 0) +
      IFERROR(COUNTIFS(Base!$Z:$Z, A32, Base!$U:$U, TRUE), 0)
    ) /
    (
      IFERROR(COUNTIFS(Base!$W:$W, A32, Base!$O:$O, "Finalizado"), 0) +
      IFERROR(COUNTIFS(Base!$W:$W, A32, Base!$O:$O, "Concluído"), 0) +
      IFERROR(COUNTIFS(Base!$X:$X, A32, Base!$O:$O, "Finalizado"), 0) +
      IFERROR(COUNTIFS(Base!$X:$X, A32, Base!$O:$O, "Concluído"), 0) +
      IFERROR(COUNTIFS(Base!$Y:$Y, A32, Base!$O:$O, "Finalizado"), 0) +
      IFERROR(COUNTIFS(Base!$Y:$Y, A32, Base!$O:$O, "Concluído"), 0) +
      IFERROR(COUNTIFS(Base!$Z:$Z, A32, Base!$O:$O, "Finalizado"), 0) +
      IFERROR(COUNTIFS(Base!$Z:$Z, A32, Base!$O:$O, "Concluído"), 0)
    )
  )
)
</f>
        <v>0</v>
      </c>
      <c r="N32" s="120">
        <f>COUNTIF(Base!V:V,$A32)</f>
        <v>1</v>
      </c>
      <c r="O32" s="120">
        <f>COUNTIF(Base!W:W,$A32)</f>
        <v>3</v>
      </c>
      <c r="P32" s="120">
        <f>COUNTIF(Base!X:X,$A32)</f>
        <v>3</v>
      </c>
      <c r="Q32" s="120">
        <f>COUNTIF(Base!Y:Y,$A32)</f>
        <v>0</v>
      </c>
      <c r="R32" s="120">
        <f>COUNTIF(Base!Z:Z,$A32)</f>
        <v>0</v>
      </c>
      <c r="S32" s="120">
        <f t="shared" si="3"/>
        <v>7</v>
      </c>
      <c r="T32" s="120">
        <f t="shared" si="4"/>
        <v>6</v>
      </c>
      <c r="V32" s="293">
        <f>IF(
  (
    COUNTIF('Acompanhamento quinzenal'!$N:$N, A32) +
    COUNTIF('Acompanhamento quinzenal'!$T:$T, A32) +
    COUNTIF('Acompanhamento quinzenal'!$Z:$Z, A32) +
    COUNTIF('Acompanhamento quinzenal'!$AF:$AF, A32)
  ) = 0,
  "-",
  (
    IFERROR(SUMIFS('Acompanhamento quinzenal'!$S:$S, 'Acompanhamento quinzenal'!$N:$N, A32), 0) +
    IFERROR(SUMIFS('Acompanhamento quinzenal'!$Y:$Y, 'Acompanhamento quinzenal'!$T:$T, A32), 0) +
    IFERROR(SUMIFS('Acompanhamento quinzenal'!$AE:$AE, 'Acompanhamento quinzenal'!$Z:$Z, A32), 0) +
    IFERROR(SUMIFS('Acompanhamento quinzenal'!$AK:$AK, 'Acompanhamento quinzenal'!$AF:$AF, A32), 0)
  ) /
  (
    COUNTIF('Acompanhamento quinzenal'!$N:$N, A32) +
    COUNTIF('Acompanhamento quinzenal'!$T:$T, A32) +
    COUNTIF('Acompanhamento quinzenal'!$Z:$Z, A32) +
    COUNTIF('Acompanhamento quinzenal'!$AF:$AF, A32)
  )
)
</f>
        <v>2.80952381</v>
      </c>
      <c r="W32" s="293">
        <f>IF(
  (
    COUNTIF('Acompanhamento quinzenal'!$N:$N, A32) +
    COUNTIF('Acompanhamento quinzenal'!$T:$T, A32) +
    COUNTIF('Acompanhamento quinzenal'!$Z:$Z, A32) +
    COUNTIF('Acompanhamento quinzenal'!$AF:$AF, A32)
  ) = 0,
  "-",
  (
    IFERROR(SUMIFS('Acompanhamento quinzenal'!$O:$O, 'Acompanhamento quinzenal'!$N:$N, A32), 0) +
    IFERROR(SUMIFS('Acompanhamento quinzenal'!$U:$U, 'Acompanhamento quinzenal'!$T:$T, A32), 0) +
    IFERROR(SUMIFS('Acompanhamento quinzenal'!$AA:$AA, 'Acompanhamento quinzenal'!$Z:$Z, A32), 0) +
    IFERROR(SUMIFS('Acompanhamento quinzenal'!$AG:$AG, 'Acompanhamento quinzenal'!$AF:$AF, A32), 0)
  ) /
  (
    COUNTIF('Acompanhamento quinzenal'!$N:$N, A32) +
    COUNTIF('Acompanhamento quinzenal'!$T:$T, A32) +
    COUNTIF('Acompanhamento quinzenal'!$Z:$Z, A32) +
    COUNTIF('Acompanhamento quinzenal'!$AF:$AF, A32)
  )
)
</f>
        <v>3.142857143</v>
      </c>
      <c r="X32" s="294">
        <f>IF(
  (
    COUNTIF('Acompanhamento quinzenal'!$N:$N, A32) +
    COUNTIF('Acompanhamento quinzenal'!$T:$T, A32) +
    COUNTIF('Acompanhamento quinzenal'!$Z:$Z, A32) +
    COUNTIF('Acompanhamento quinzenal'!$AF:$AF, A32)
  ) = 0,
  "-",
  (
    IFERROR(SUMIFS('Acompanhamento quinzenal'!$P:$P, 'Acompanhamento quinzenal'!$N:$N, A32), 0) +
    IFERROR(SUMIFS('Acompanhamento quinzenal'!$V:$V, 'Acompanhamento quinzenal'!$T:$T, A32), 0) +
    IFERROR(SUMIFS('Acompanhamento quinzenal'!$AB:$AB, 'Acompanhamento quinzenal'!$Z:$Z, A32), 0) +
    IFERROR(SUMIFS('Acompanhamento quinzenal'!$AH:$AH, 'Acompanhamento quinzenal'!$AF:$AF, A32), 0)
  ) /
  (
    COUNTIF('Acompanhamento quinzenal'!$N:$N, A32) +
    COUNTIF('Acompanhamento quinzenal'!$T:$T, A32) +
    COUNTIF('Acompanhamento quinzenal'!$Z:$Z, A32) +
    COUNTIF('Acompanhamento quinzenal'!$AF:$AF, A32)
  )
)
</f>
        <v>3.428571429</v>
      </c>
      <c r="Y32" s="293">
        <f>IF(
  (
    COUNTIF('Acompanhamento quinzenal'!$N:$N, A32) +
    COUNTIF('Acompanhamento quinzenal'!$T:$T, A32) +
    COUNTIF('Acompanhamento quinzenal'!$Z:$Z, A32) +
    COUNTIF('Acompanhamento quinzenal'!$AF:$AF, A32)
  ) = 0,
  "-",
  (
    IFERROR(SUMIFS('Acompanhamento quinzenal'!$Q:$Q, 'Acompanhamento quinzenal'!$N:$N, A32), 0) +
    IFERROR(SUMIFS('Acompanhamento quinzenal'!$W:$W, 'Acompanhamento quinzenal'!$T:$T, A32), 0) +
    IFERROR(SUMIFS('Acompanhamento quinzenal'!$AC:$AC, 'Acompanhamento quinzenal'!$Z:$Z, A32), 0) +
    IFERROR(SUMIFS('Acompanhamento quinzenal'!$AI:$AI, 'Acompanhamento quinzenal'!$AF:$AF, A32), 0)
  ) /
  (
    COUNTIF('Acompanhamento quinzenal'!$N:$N, A32) +
    COUNTIF('Acompanhamento quinzenal'!$T:$T, A32) +
    COUNTIF('Acompanhamento quinzenal'!$Z:$Z, A32) +
    COUNTIF('Acompanhamento quinzenal'!$AF:$AF, A32)
  )
)
</f>
        <v>3.142857143</v>
      </c>
    </row>
    <row r="33">
      <c r="A33" s="291" t="str">
        <f>IFERROR(__xludf.DUMMYFUNCTION("""COMPUTED_VALUE"""),"carlos.rampelotti")</f>
        <v>carlos.rampelotti</v>
      </c>
      <c r="B33" s="120" t="str">
        <f>IFERROR(__xludf.DUMMYFUNCTION("""COMPUTED_VALUE"""),"Trainee")</f>
        <v>Trainee</v>
      </c>
      <c r="C33" s="120" t="str">
        <f>IFERROR(__xludf.DUMMYFUNCTION("""COMPUTED_VALUE"""),"NDados")</f>
        <v>NDados</v>
      </c>
      <c r="D33" s="292" t="str">
        <f>IFERROR((COUNTIFS(Base!$V:$V,A33,Base!$S:$S,"&gt;8") - COUNTIFS(Base!$V:$V,A33,Base!$S:$S,"&lt;7"))/COUNTIFS(Base!$V:$V,A33,Base!$S:$S,"&lt;&gt;"),"-")</f>
        <v>-</v>
      </c>
      <c r="E33" s="292" t="str">
        <f>IF(
  (
    COUNTIFS(Base!$W:$W, A33, Base!$S:$S, "&lt;&gt;") +
    COUNTIFS(Base!$X:$X, A33, Base!$S:$S, "&lt;&gt;") +
    COUNTIFS(Base!$Y:$Y, A33, Base!$S:$S, "&lt;&gt;") +
    COUNTIFS(Base!$Z:$Z, A33, Base!$S:$S, "&lt;&gt;")
  ) = 0,
  "-",
  (
    COUNTIFS(Base!$W:$W, A33, Base!$S:$S, "&gt;8") - COUNTIFS(Base!$W:$W, A33, Base!$S:$S, "&lt;7") +
    COUNTIFS(Base!$X:$X, A33, Base!$S:$S, "&gt;8") - COUNTIFS(Base!$X:$X, A33, Base!$S:$S, "&lt;7") +
    COUNTIFS(Base!$Y:$Y, A33, Base!$S:$S, "&gt;8") - COUNTIFS(Base!$Y:$Y, A33, Base!$S:$S, "&lt;7") +
    COUNTIFS(Base!$Z:$Z, A33, Base!$S:$S, "&gt;8") - COUNTIFS(Base!$Z:$Z, A33, Base!$S:$S, "&lt;7")
  ) /
  (
    COUNTIFS(Base!$W:$W, A33, Base!$S:$S, "&lt;&gt;") +
    COUNTIFS(Base!$X:$X, A33, Base!$S:$S, "&lt;&gt;") +
    COUNTIFS(Base!$Y:$Y, A33, Base!$S:$S, "&lt;&gt;") +
    COUNTIFS(Base!$Z:$Z, A33, Base!$S:$S, "&lt;&gt;")
  )
)
</f>
        <v>-</v>
      </c>
      <c r="F33" s="290">
        <f>SUMIFS(Base!$N:$N,Base!$V:$V,A33,Base!$N:$N,"&lt;&gt;")-SUMIFS(Base!$K:$K,Base!$V:$V,A33,Base!$N:$N,"&lt;&gt;")-(SUMIFS(Base!$L:$L,Base!$V:$V,A33,Base!$N:$N,"&lt;&gt;")*7)</f>
        <v>0</v>
      </c>
      <c r="G33" s="290"/>
      <c r="H33" s="290">
        <f>SUMIFS(Base!$F:$F,Base!$V:$V,A33,Base!$N:$N,"&lt;&gt;")*7</f>
        <v>0</v>
      </c>
      <c r="I33" s="290"/>
      <c r="J33" s="292" t="str">
        <f t="shared" ref="J33:K33" si="34">IFERROR(F33/H33,"-")</f>
        <v>-</v>
      </c>
      <c r="K33" s="292" t="str">
        <f t="shared" si="34"/>
        <v>-</v>
      </c>
      <c r="L33" s="292" t="str">
        <f>IFERROR((COUNTIFS(Base!$V:$V,A33,Base!$U:$U,TRUE))/(COUNTIFS(Base!$V:$V,A33,Base!$O:$O,"Finalizado")+COUNTIFS(Base!$V:$V,A33,Base!$O:$O,"Concluído")),"-")</f>
        <v>-</v>
      </c>
      <c r="M33" s="292" t="str">
        <f>IF(
  (
    IFERROR(COUNTIF(Base!$W:$W, A33), 0) +
    IFERROR(COUNTIF(Base!$X:$X, A33), 0) +
    IFERROR(COUNTIF(Base!$Y:$Y, A33), 0) +
    IFERROR(COUNTIF(Base!$Z:$Z, A33), 0)
  ) = 0,
  "-",
  IF(
    (
      IFERROR(COUNTIFS(Base!$W:$W, A33, Base!$O:$O, "Finalizado"), 0) +
      IFERROR(COUNTIFS(Base!$W:$W, A33, Base!$O:$O, "Concluído"), 0) +
      IFERROR(COUNTIFS(Base!$X:$X, A33, Base!$O:$O, "Finalizado"), 0) +
      IFERROR(COUNTIFS(Base!$X:$X, A33, Base!$O:$O, "Concluído"), 0) +
      IFERROR(COUNTIFS(Base!$Y:$Y, A33, Base!$O:$O, "Finalizado"), 0) +
      IFERROR(COUNTIFS(Base!$Y:$Y, A33, Base!$O:$O, "Concluído"), 0) +
      IFERROR(COUNTIFS(Base!$Z:$Z, A33, Base!$O:$O, "Finalizado"), 0) +
      IFERROR(COUNTIFS(Base!$Z:$Z, A33, Base!$O:$O, "Concluído"), 0)
    ) = 0,
    "-",
    (
      IFERROR(COUNTIFS(Base!$W:$W, A33, Base!$U:$U, TRUE), 0) +
      IFERROR(COUNTIFS(Base!$X:$X, A33, Base!$U:$U, TRUE), 0) +
      IFERROR(COUNTIFS(Base!$Y:$Y, A33, Base!$U:$U, TRUE), 0) +
      IFERROR(COUNTIFS(Base!$Z:$Z, A33, Base!$U:$U, TRUE), 0)
    ) /
    (
      IFERROR(COUNTIFS(Base!$W:$W, A33, Base!$O:$O, "Finalizado"), 0) +
      IFERROR(COUNTIFS(Base!$W:$W, A33, Base!$O:$O, "Concluído"), 0) +
      IFERROR(COUNTIFS(Base!$X:$X, A33, Base!$O:$O, "Finalizado"), 0) +
      IFERROR(COUNTIFS(Base!$X:$X, A33, Base!$O:$O, "Concluído"), 0) +
      IFERROR(COUNTIFS(Base!$Y:$Y, A33, Base!$O:$O, "Finalizado"), 0) +
      IFERROR(COUNTIFS(Base!$Y:$Y, A33, Base!$O:$O, "Concluído"), 0) +
      IFERROR(COUNTIFS(Base!$Z:$Z, A33, Base!$O:$O, "Finalizado"), 0) +
      IFERROR(COUNTIFS(Base!$Z:$Z, A33, Base!$O:$O, "Concluído"), 0)
    )
  )
)
</f>
        <v>-</v>
      </c>
      <c r="N33" s="120">
        <f>COUNTIF(Base!V:V,$A33)</f>
        <v>1</v>
      </c>
      <c r="O33" s="120">
        <f>COUNTIF(Base!W:W,$A33)</f>
        <v>1</v>
      </c>
      <c r="P33" s="120">
        <f>COUNTIF(Base!X:X,$A33)</f>
        <v>2</v>
      </c>
      <c r="Q33" s="120">
        <f>COUNTIF(Base!Y:Y,$A33)</f>
        <v>0</v>
      </c>
      <c r="R33" s="120">
        <f>COUNTIF(Base!Z:Z,$A33)</f>
        <v>0</v>
      </c>
      <c r="S33" s="120">
        <f t="shared" si="3"/>
        <v>4</v>
      </c>
      <c r="T33" s="120">
        <f t="shared" si="4"/>
        <v>3</v>
      </c>
      <c r="V33" s="293">
        <f>IF(
  (
    COUNTIF('Acompanhamento quinzenal'!$N:$N, A33) +
    COUNTIF('Acompanhamento quinzenal'!$T:$T, A33) +
    COUNTIF('Acompanhamento quinzenal'!$Z:$Z, A33) +
    COUNTIF('Acompanhamento quinzenal'!$AF:$AF, A33)
  ) = 0,
  "-",
  (
    IFERROR(SUMIFS('Acompanhamento quinzenal'!$S:$S, 'Acompanhamento quinzenal'!$N:$N, A33), 0) +
    IFERROR(SUMIFS('Acompanhamento quinzenal'!$Y:$Y, 'Acompanhamento quinzenal'!$T:$T, A33), 0) +
    IFERROR(SUMIFS('Acompanhamento quinzenal'!$AE:$AE, 'Acompanhamento quinzenal'!$Z:$Z, A33), 0) +
    IFERROR(SUMIFS('Acompanhamento quinzenal'!$AK:$AK, 'Acompanhamento quinzenal'!$AF:$AF, A33), 0)
  ) /
  (
    COUNTIF('Acompanhamento quinzenal'!$N:$N, A33) +
    COUNTIF('Acompanhamento quinzenal'!$T:$T, A33) +
    COUNTIF('Acompanhamento quinzenal'!$Z:$Z, A33) +
    COUNTIF('Acompanhamento quinzenal'!$AF:$AF, A33)
  )
)
</f>
        <v>1.666666667</v>
      </c>
      <c r="W33" s="293">
        <f>IF(
  (
    COUNTIF('Acompanhamento quinzenal'!$N:$N, A33) +
    COUNTIF('Acompanhamento quinzenal'!$T:$T, A33) +
    COUNTIF('Acompanhamento quinzenal'!$Z:$Z, A33) +
    COUNTIF('Acompanhamento quinzenal'!$AF:$AF, A33)
  ) = 0,
  "-",
  (
    IFERROR(SUMIFS('Acompanhamento quinzenal'!$O:$O, 'Acompanhamento quinzenal'!$N:$N, A33), 0) +
    IFERROR(SUMIFS('Acompanhamento quinzenal'!$U:$U, 'Acompanhamento quinzenal'!$T:$T, A33), 0) +
    IFERROR(SUMIFS('Acompanhamento quinzenal'!$AA:$AA, 'Acompanhamento quinzenal'!$Z:$Z, A33), 0) +
    IFERROR(SUMIFS('Acompanhamento quinzenal'!$AG:$AG, 'Acompanhamento quinzenal'!$AF:$AF, A33), 0)
  ) /
  (
    COUNTIF('Acompanhamento quinzenal'!$N:$N, A33) +
    COUNTIF('Acompanhamento quinzenal'!$T:$T, A33) +
    COUNTIF('Acompanhamento quinzenal'!$Z:$Z, A33) +
    COUNTIF('Acompanhamento quinzenal'!$AF:$AF, A33)
  )
)
</f>
        <v>3</v>
      </c>
      <c r="X33" s="294">
        <f>IF(
  (
    COUNTIF('Acompanhamento quinzenal'!$N:$N, A33) +
    COUNTIF('Acompanhamento quinzenal'!$T:$T, A33) +
    COUNTIF('Acompanhamento quinzenal'!$Z:$Z, A33) +
    COUNTIF('Acompanhamento quinzenal'!$AF:$AF, A33)
  ) = 0,
  "-",
  (
    IFERROR(SUMIFS('Acompanhamento quinzenal'!$P:$P, 'Acompanhamento quinzenal'!$N:$N, A33), 0) +
    IFERROR(SUMIFS('Acompanhamento quinzenal'!$V:$V, 'Acompanhamento quinzenal'!$T:$T, A33), 0) +
    IFERROR(SUMIFS('Acompanhamento quinzenal'!$AB:$AB, 'Acompanhamento quinzenal'!$Z:$Z, A33), 0) +
    IFERROR(SUMIFS('Acompanhamento quinzenal'!$AH:$AH, 'Acompanhamento quinzenal'!$AF:$AF, A33), 0)
  ) /
  (
    COUNTIF('Acompanhamento quinzenal'!$N:$N, A33) +
    COUNTIF('Acompanhamento quinzenal'!$T:$T, A33) +
    COUNTIF('Acompanhamento quinzenal'!$Z:$Z, A33) +
    COUNTIF('Acompanhamento quinzenal'!$AF:$AF, A33)
  )
)
</f>
        <v>3.25</v>
      </c>
      <c r="Y33" s="293">
        <f>IF(
  (
    COUNTIF('Acompanhamento quinzenal'!$N:$N, A33) +
    COUNTIF('Acompanhamento quinzenal'!$T:$T, A33) +
    COUNTIF('Acompanhamento quinzenal'!$Z:$Z, A33) +
    COUNTIF('Acompanhamento quinzenal'!$AF:$AF, A33)
  ) = 0,
  "-",
  (
    IFERROR(SUMIFS('Acompanhamento quinzenal'!$Q:$Q, 'Acompanhamento quinzenal'!$N:$N, A33), 0) +
    IFERROR(SUMIFS('Acompanhamento quinzenal'!$W:$W, 'Acompanhamento quinzenal'!$T:$T, A33), 0) +
    IFERROR(SUMIFS('Acompanhamento quinzenal'!$AC:$AC, 'Acompanhamento quinzenal'!$Z:$Z, A33), 0) +
    IFERROR(SUMIFS('Acompanhamento quinzenal'!$AI:$AI, 'Acompanhamento quinzenal'!$AF:$AF, A33), 0)
  ) /
  (
    COUNTIF('Acompanhamento quinzenal'!$N:$N, A33) +
    COUNTIF('Acompanhamento quinzenal'!$T:$T, A33) +
    COUNTIF('Acompanhamento quinzenal'!$Z:$Z, A33) +
    COUNTIF('Acompanhamento quinzenal'!$AF:$AF, A33)
  )
)
</f>
        <v>3.25</v>
      </c>
    </row>
    <row r="34" hidden="1">
      <c r="A34" s="291" t="str">
        <f>IFERROR(__xludf.DUMMYFUNCTION("""COMPUTED_VALUE"""),"carlos.tavares")</f>
        <v>carlos.tavares</v>
      </c>
      <c r="B34" s="120" t="str">
        <f>IFERROR(__xludf.DUMMYFUNCTION("""COMPUTED_VALUE"""),"Trainee")</f>
        <v>Trainee</v>
      </c>
      <c r="C34" s="120" t="str">
        <f>IFERROR(__xludf.DUMMYFUNCTION("""COMPUTED_VALUE"""),"NTec")</f>
        <v>NTec</v>
      </c>
      <c r="D34" s="292" t="str">
        <f>IFERROR((COUNTIFS(Base!$V:$V,A34,Base!$S:$S,"&gt;8") - COUNTIFS(Base!$V:$V,A34,Base!$S:$S,"&lt;7"))/COUNTIFS(Base!$V:$V,A34,Base!$S:$S,"&lt;&gt;"),"-")</f>
        <v>-</v>
      </c>
      <c r="E34" s="292" t="str">
        <f>IF(
  (
    COUNTIFS(Base!$W:$W, A34, Base!$S:$S, "&lt;&gt;") +
    COUNTIFS(Base!$X:$X, A34, Base!$S:$S, "&lt;&gt;") +
    COUNTIFS(Base!$Y:$Y, A34, Base!$S:$S, "&lt;&gt;") +
    COUNTIFS(Base!$Z:$Z, A34, Base!$S:$S, "&lt;&gt;")
  ) = 0,
  "-",
  (
    COUNTIFS(Base!$W:$W, A34, Base!$S:$S, "&gt;8") - COUNTIFS(Base!$W:$W, A34, Base!$S:$S, "&lt;7") +
    COUNTIFS(Base!$X:$X, A34, Base!$S:$S, "&gt;8") - COUNTIFS(Base!$X:$X, A34, Base!$S:$S, "&lt;7") +
    COUNTIFS(Base!$Y:$Y, A34, Base!$S:$S, "&gt;8") - COUNTIFS(Base!$Y:$Y, A34, Base!$S:$S, "&lt;7") +
    COUNTIFS(Base!$Z:$Z, A34, Base!$S:$S, "&gt;8") - COUNTIFS(Base!$Z:$Z, A34, Base!$S:$S, "&lt;7")
  ) /
  (
    COUNTIFS(Base!$W:$W, A34, Base!$S:$S, "&lt;&gt;") +
    COUNTIFS(Base!$X:$X, A34, Base!$S:$S, "&lt;&gt;") +
    COUNTIFS(Base!$Y:$Y, A34, Base!$S:$S, "&lt;&gt;") +
    COUNTIFS(Base!$Z:$Z, A34, Base!$S:$S, "&lt;&gt;")
  )
)
</f>
        <v>-</v>
      </c>
      <c r="F34" s="290">
        <f>SUMIFS(Base!$N:$N,Base!$V:$V,A34,Base!$N:$N,"&lt;&gt;")-SUMIFS(Base!$K:$K,Base!$V:$V,A34,Base!$N:$N,"&lt;&gt;")-(SUMIFS(Base!$L:$L,Base!$V:$V,A34,Base!$N:$N,"&lt;&gt;")*7)</f>
        <v>0</v>
      </c>
      <c r="G34" s="290"/>
      <c r="H34" s="290">
        <f>SUMIFS(Base!$F:$F,Base!$V:$V,A34,Base!$N:$N,"&lt;&gt;")*7</f>
        <v>0</v>
      </c>
      <c r="I34" s="290"/>
      <c r="J34" s="292" t="str">
        <f t="shared" ref="J34:K34" si="35">IFERROR(F34/H34,"-")</f>
        <v>-</v>
      </c>
      <c r="K34" s="292" t="str">
        <f t="shared" si="35"/>
        <v>-</v>
      </c>
      <c r="L34" s="292" t="str">
        <f>IFERROR((COUNTIFS(Base!$V:$V,A34,Base!$U:$U,TRUE))/(COUNTIFS(Base!$V:$V,A34,Base!$O:$O,"Finalizado")+COUNTIFS(Base!$V:$V,A34,Base!$O:$O,"Concluído")),"-")</f>
        <v>-</v>
      </c>
      <c r="M34" s="292" t="str">
        <f>IF(
  (
    IFERROR(COUNTIF(Base!$W:$W, A34), 0) +
    IFERROR(COUNTIF(Base!$X:$X, A34), 0) +
    IFERROR(COUNTIF(Base!$Y:$Y, A34), 0) +
    IFERROR(COUNTIF(Base!$Z:$Z, A34), 0)
  ) = 0,
  "-",
  IF(
    (
      IFERROR(COUNTIFS(Base!$W:$W, A34, Base!$O:$O, "Finalizado"), 0) +
      IFERROR(COUNTIFS(Base!$W:$W, A34, Base!$O:$O, "Concluído"), 0) +
      IFERROR(COUNTIFS(Base!$X:$X, A34, Base!$O:$O, "Finalizado"), 0) +
      IFERROR(COUNTIFS(Base!$X:$X, A34, Base!$O:$O, "Concluído"), 0) +
      IFERROR(COUNTIFS(Base!$Y:$Y, A34, Base!$O:$O, "Finalizado"), 0) +
      IFERROR(COUNTIFS(Base!$Y:$Y, A34, Base!$O:$O, "Concluído"), 0) +
      IFERROR(COUNTIFS(Base!$Z:$Z, A34, Base!$O:$O, "Finalizado"), 0) +
      IFERROR(COUNTIFS(Base!$Z:$Z, A34, Base!$O:$O, "Concluído"), 0)
    ) = 0,
    "-",
    (
      IFERROR(COUNTIFS(Base!$W:$W, A34, Base!$U:$U, TRUE), 0) +
      IFERROR(COUNTIFS(Base!$X:$X, A34, Base!$U:$U, TRUE), 0) +
      IFERROR(COUNTIFS(Base!$Y:$Y, A34, Base!$U:$U, TRUE), 0) +
      IFERROR(COUNTIFS(Base!$Z:$Z, A34, Base!$U:$U, TRUE), 0)
    ) /
    (
      IFERROR(COUNTIFS(Base!$W:$W, A34, Base!$O:$O, "Finalizado"), 0) +
      IFERROR(COUNTIFS(Base!$W:$W, A34, Base!$O:$O, "Concluído"), 0) +
      IFERROR(COUNTIFS(Base!$X:$X, A34, Base!$O:$O, "Finalizado"), 0) +
      IFERROR(COUNTIFS(Base!$X:$X, A34, Base!$O:$O, "Concluído"), 0) +
      IFERROR(COUNTIFS(Base!$Y:$Y, A34, Base!$O:$O, "Finalizado"), 0) +
      IFERROR(COUNTIFS(Base!$Y:$Y, A34, Base!$O:$O, "Concluído"), 0) +
      IFERROR(COUNTIFS(Base!$Z:$Z, A34, Base!$O:$O, "Finalizado"), 0) +
      IFERROR(COUNTIFS(Base!$Z:$Z, A34, Base!$O:$O, "Concluído"), 0)
    )
  )
)
</f>
        <v>-</v>
      </c>
      <c r="N34" s="120">
        <f>COUNTIF(Base!V:V,$A34)</f>
        <v>0</v>
      </c>
      <c r="O34" s="120">
        <f>COUNTIF(Base!W:W,$A34)</f>
        <v>0</v>
      </c>
      <c r="P34" s="120">
        <f>COUNTIF(Base!X:X,$A34)</f>
        <v>0</v>
      </c>
      <c r="Q34" s="120">
        <f>COUNTIF(Base!Y:Y,$A34)</f>
        <v>0</v>
      </c>
      <c r="R34" s="120">
        <f>COUNTIF(Base!Z:Z,$A34)</f>
        <v>0</v>
      </c>
      <c r="S34" s="120">
        <f t="shared" si="3"/>
        <v>0</v>
      </c>
      <c r="T34" s="120">
        <f t="shared" si="4"/>
        <v>0</v>
      </c>
      <c r="V34" s="293" t="str">
        <f>IF(
  (
    COUNTIF('Acompanhamento quinzenal'!$N:$N, A34) +
    COUNTIF('Acompanhamento quinzenal'!$T:$T, A34) +
    COUNTIF('Acompanhamento quinzenal'!$Z:$Z, A34) +
    COUNTIF('Acompanhamento quinzenal'!$AF:$AF, A34)
  ) = 0,
  "-",
  (
    IFERROR(SUMIFS('Acompanhamento quinzenal'!$S:$S, 'Acompanhamento quinzenal'!$N:$N, A34), 0) +
    IFERROR(SUMIFS('Acompanhamento quinzenal'!$Y:$Y, 'Acompanhamento quinzenal'!$T:$T, A34), 0) +
    IFERROR(SUMIFS('Acompanhamento quinzenal'!$AE:$AE, 'Acompanhamento quinzenal'!$Z:$Z, A34), 0) +
    IFERROR(SUMIFS('Acompanhamento quinzenal'!$AK:$AK, 'Acompanhamento quinzenal'!$AF:$AF, A34), 0)
  ) /
  (
    COUNTIF('Acompanhamento quinzenal'!$N:$N, A34) +
    COUNTIF('Acompanhamento quinzenal'!$T:$T, A34) +
    COUNTIF('Acompanhamento quinzenal'!$Z:$Z, A34) +
    COUNTIF('Acompanhamento quinzenal'!$AF:$AF, A34)
  )
)
</f>
        <v>-</v>
      </c>
      <c r="W34" s="293" t="str">
        <f>IF(
  (
    COUNTIF('Acompanhamento quinzenal'!$N:$N, A34) +
    COUNTIF('Acompanhamento quinzenal'!$T:$T, A34) +
    COUNTIF('Acompanhamento quinzenal'!$Z:$Z, A34) +
    COUNTIF('Acompanhamento quinzenal'!$AF:$AF, A34)
  ) = 0,
  "-",
  (
    IFERROR(SUMIFS('Acompanhamento quinzenal'!$O:$O, 'Acompanhamento quinzenal'!$N:$N, A34), 0) +
    IFERROR(SUMIFS('Acompanhamento quinzenal'!$U:$U, 'Acompanhamento quinzenal'!$T:$T, A34), 0) +
    IFERROR(SUMIFS('Acompanhamento quinzenal'!$AA:$AA, 'Acompanhamento quinzenal'!$Z:$Z, A34), 0) +
    IFERROR(SUMIFS('Acompanhamento quinzenal'!$AG:$AG, 'Acompanhamento quinzenal'!$AF:$AF, A34), 0)
  ) /
  (
    COUNTIF('Acompanhamento quinzenal'!$N:$N, A34) +
    COUNTIF('Acompanhamento quinzenal'!$T:$T, A34) +
    COUNTIF('Acompanhamento quinzenal'!$Z:$Z, A34) +
    COUNTIF('Acompanhamento quinzenal'!$AF:$AF, A34)
  )
)
</f>
        <v>-</v>
      </c>
      <c r="X34" s="294" t="str">
        <f>IF(
  (
    COUNTIF('Acompanhamento quinzenal'!$N:$N, A34) +
    COUNTIF('Acompanhamento quinzenal'!$T:$T, A34) +
    COUNTIF('Acompanhamento quinzenal'!$Z:$Z, A34) +
    COUNTIF('Acompanhamento quinzenal'!$AF:$AF, A34)
  ) = 0,
  "-",
  (
    IFERROR(SUMIFS('Acompanhamento quinzenal'!$P:$P, 'Acompanhamento quinzenal'!$N:$N, A34), 0) +
    IFERROR(SUMIFS('Acompanhamento quinzenal'!$V:$V, 'Acompanhamento quinzenal'!$T:$T, A34), 0) +
    IFERROR(SUMIFS('Acompanhamento quinzenal'!$AB:$AB, 'Acompanhamento quinzenal'!$Z:$Z, A34), 0) +
    IFERROR(SUMIFS('Acompanhamento quinzenal'!$AH:$AH, 'Acompanhamento quinzenal'!$AF:$AF, A34), 0)
  ) /
  (
    COUNTIF('Acompanhamento quinzenal'!$N:$N, A34) +
    COUNTIF('Acompanhamento quinzenal'!$T:$T, A34) +
    COUNTIF('Acompanhamento quinzenal'!$Z:$Z, A34) +
    COUNTIF('Acompanhamento quinzenal'!$AF:$AF, A34)
  )
)
</f>
        <v>-</v>
      </c>
      <c r="Y34" s="293" t="str">
        <f>IF(
  (
    COUNTIF('Acompanhamento quinzenal'!$N:$N, A34) +
    COUNTIF('Acompanhamento quinzenal'!$T:$T, A34) +
    COUNTIF('Acompanhamento quinzenal'!$Z:$Z, A34) +
    COUNTIF('Acompanhamento quinzenal'!$AF:$AF, A34)
  ) = 0,
  "-",
  (
    IFERROR(SUMIFS('Acompanhamento quinzenal'!$Q:$Q, 'Acompanhamento quinzenal'!$N:$N, A34), 0) +
    IFERROR(SUMIFS('Acompanhamento quinzenal'!$W:$W, 'Acompanhamento quinzenal'!$T:$T, A34), 0) +
    IFERROR(SUMIFS('Acompanhamento quinzenal'!$AC:$AC, 'Acompanhamento quinzenal'!$Z:$Z, A34), 0) +
    IFERROR(SUMIFS('Acompanhamento quinzenal'!$AI:$AI, 'Acompanhamento quinzenal'!$AF:$AF, A34), 0)
  ) /
  (
    COUNTIF('Acompanhamento quinzenal'!$N:$N, A34) +
    COUNTIF('Acompanhamento quinzenal'!$T:$T, A34) +
    COUNTIF('Acompanhamento quinzenal'!$Z:$Z, A34) +
    COUNTIF('Acompanhamento quinzenal'!$AF:$AF, A34)
  )
)
</f>
        <v>-</v>
      </c>
    </row>
    <row r="35" hidden="1">
      <c r="A35" s="291" t="str">
        <f>IFERROR(__xludf.DUMMYFUNCTION("""COMPUTED_VALUE"""),"cauan.kazama")</f>
        <v>cauan.kazama</v>
      </c>
      <c r="B35" s="120" t="str">
        <f>IFERROR(__xludf.DUMMYFUNCTION("""COMPUTED_VALUE"""),"Diretor")</f>
        <v>Diretor</v>
      </c>
      <c r="C35" s="120" t="str">
        <f>IFERROR(__xludf.DUMMYFUNCTION("""COMPUTED_VALUE"""),"Anucleado")</f>
        <v>Anucleado</v>
      </c>
      <c r="D35" s="292" t="str">
        <f>IFERROR((COUNTIFS(Base!$V:$V,A35,Base!$S:$S,"&gt;8") - COUNTIFS(Base!$V:$V,A35,Base!$S:$S,"&lt;7"))/COUNTIFS(Base!$V:$V,A35,Base!$S:$S,"&lt;&gt;"),"-")</f>
        <v>-</v>
      </c>
      <c r="E35" s="292" t="str">
        <f>IF(
  (
    COUNTIFS(Base!$W:$W, A35, Base!$S:$S, "&lt;&gt;") +
    COUNTIFS(Base!$X:$X, A35, Base!$S:$S, "&lt;&gt;") +
    COUNTIFS(Base!$Y:$Y, A35, Base!$S:$S, "&lt;&gt;") +
    COUNTIFS(Base!$Z:$Z, A35, Base!$S:$S, "&lt;&gt;")
  ) = 0,
  "-",
  (
    COUNTIFS(Base!$W:$W, A35, Base!$S:$S, "&gt;8") - COUNTIFS(Base!$W:$W, A35, Base!$S:$S, "&lt;7") +
    COUNTIFS(Base!$X:$X, A35, Base!$S:$S, "&gt;8") - COUNTIFS(Base!$X:$X, A35, Base!$S:$S, "&lt;7") +
    COUNTIFS(Base!$Y:$Y, A35, Base!$S:$S, "&gt;8") - COUNTIFS(Base!$Y:$Y, A35, Base!$S:$S, "&lt;7") +
    COUNTIFS(Base!$Z:$Z, A35, Base!$S:$S, "&gt;8") - COUNTIFS(Base!$Z:$Z, A35, Base!$S:$S, "&lt;7")
  ) /
  (
    COUNTIFS(Base!$W:$W, A35, Base!$S:$S, "&lt;&gt;") +
    COUNTIFS(Base!$X:$X, A35, Base!$S:$S, "&lt;&gt;") +
    COUNTIFS(Base!$Y:$Y, A35, Base!$S:$S, "&lt;&gt;") +
    COUNTIFS(Base!$Z:$Z, A35, Base!$S:$S, "&lt;&gt;")
  )
)
</f>
        <v>-</v>
      </c>
      <c r="F35" s="290">
        <f>SUMIFS(Base!$N:$N,Base!$V:$V,A35,Base!$N:$N,"&lt;&gt;")-SUMIFS(Base!$K:$K,Base!$V:$V,A35,Base!$N:$N,"&lt;&gt;")-(SUMIFS(Base!$L:$L,Base!$V:$V,A35,Base!$N:$N,"&lt;&gt;")*7)</f>
        <v>0</v>
      </c>
      <c r="G35" s="290"/>
      <c r="H35" s="290">
        <f>SUMIFS(Base!$F:$F,Base!$V:$V,A35,Base!$N:$N,"&lt;&gt;")*7</f>
        <v>0</v>
      </c>
      <c r="I35" s="290"/>
      <c r="J35" s="292" t="str">
        <f t="shared" ref="J35:K35" si="36">IFERROR(F35/H35,"-")</f>
        <v>-</v>
      </c>
      <c r="K35" s="292" t="str">
        <f t="shared" si="36"/>
        <v>-</v>
      </c>
      <c r="L35" s="292" t="str">
        <f>IFERROR((COUNTIFS(Base!$V:$V,A35,Base!$U:$U,TRUE))/(COUNTIFS(Base!$V:$V,A35,Base!$O:$O,"Finalizado")+COUNTIFS(Base!$V:$V,A35,Base!$O:$O,"Concluído")),"-")</f>
        <v>-</v>
      </c>
      <c r="M35" s="292" t="str">
        <f>IF(
  (
    IFERROR(COUNTIF(Base!$W:$W, A35), 0) +
    IFERROR(COUNTIF(Base!$X:$X, A35), 0) +
    IFERROR(COUNTIF(Base!$Y:$Y, A35), 0) +
    IFERROR(COUNTIF(Base!$Z:$Z, A35), 0)
  ) = 0,
  "-",
  IF(
    (
      IFERROR(COUNTIFS(Base!$W:$W, A35, Base!$O:$O, "Finalizado"), 0) +
      IFERROR(COUNTIFS(Base!$W:$W, A35, Base!$O:$O, "Concluído"), 0) +
      IFERROR(COUNTIFS(Base!$X:$X, A35, Base!$O:$O, "Finalizado"), 0) +
      IFERROR(COUNTIFS(Base!$X:$X, A35, Base!$O:$O, "Concluído"), 0) +
      IFERROR(COUNTIFS(Base!$Y:$Y, A35, Base!$O:$O, "Finalizado"), 0) +
      IFERROR(COUNTIFS(Base!$Y:$Y, A35, Base!$O:$O, "Concluído"), 0) +
      IFERROR(COUNTIFS(Base!$Z:$Z, A35, Base!$O:$O, "Finalizado"), 0) +
      IFERROR(COUNTIFS(Base!$Z:$Z, A35, Base!$O:$O, "Concluído"), 0)
    ) = 0,
    "-",
    (
      IFERROR(COUNTIFS(Base!$W:$W, A35, Base!$U:$U, TRUE), 0) +
      IFERROR(COUNTIFS(Base!$X:$X, A35, Base!$U:$U, TRUE), 0) +
      IFERROR(COUNTIFS(Base!$Y:$Y, A35, Base!$U:$U, TRUE), 0) +
      IFERROR(COUNTIFS(Base!$Z:$Z, A35, Base!$U:$U, TRUE), 0)
    ) /
    (
      IFERROR(COUNTIFS(Base!$W:$W, A35, Base!$O:$O, "Finalizado"), 0) +
      IFERROR(COUNTIFS(Base!$W:$W, A35, Base!$O:$O, "Concluído"), 0) +
      IFERROR(COUNTIFS(Base!$X:$X, A35, Base!$O:$O, "Finalizado"), 0) +
      IFERROR(COUNTIFS(Base!$X:$X, A35, Base!$O:$O, "Concluído"), 0) +
      IFERROR(COUNTIFS(Base!$Y:$Y, A35, Base!$O:$O, "Finalizado"), 0) +
      IFERROR(COUNTIFS(Base!$Y:$Y, A35, Base!$O:$O, "Concluído"), 0) +
      IFERROR(COUNTIFS(Base!$Z:$Z, A35, Base!$O:$O, "Finalizado"), 0) +
      IFERROR(COUNTIFS(Base!$Z:$Z, A35, Base!$O:$O, "Concluído"), 0)
    )
  )
)
</f>
        <v>-</v>
      </c>
      <c r="N35" s="120">
        <f>COUNTIF(Base!V:V,$A35)</f>
        <v>2</v>
      </c>
      <c r="O35" s="120">
        <f>COUNTIF(Base!W:W,$A35)</f>
        <v>0</v>
      </c>
      <c r="P35" s="120">
        <f>COUNTIF(Base!X:X,$A35)</f>
        <v>0</v>
      </c>
      <c r="Q35" s="120">
        <f>COUNTIF(Base!Y:Y,$A35)</f>
        <v>0</v>
      </c>
      <c r="R35" s="120">
        <f>COUNTIF(Base!Z:Z,$A35)</f>
        <v>0</v>
      </c>
      <c r="S35" s="120">
        <f t="shared" si="3"/>
        <v>2</v>
      </c>
      <c r="T35" s="120">
        <f t="shared" si="4"/>
        <v>0</v>
      </c>
      <c r="V35" s="293" t="str">
        <f>IF(
  (
    COUNTIF('Acompanhamento quinzenal'!$N:$N, A35) +
    COUNTIF('Acompanhamento quinzenal'!$T:$T, A35) +
    COUNTIF('Acompanhamento quinzenal'!$Z:$Z, A35) +
    COUNTIF('Acompanhamento quinzenal'!$AF:$AF, A35)
  ) = 0,
  "-",
  (
    IFERROR(SUMIFS('Acompanhamento quinzenal'!$S:$S, 'Acompanhamento quinzenal'!$N:$N, A35), 0) +
    IFERROR(SUMIFS('Acompanhamento quinzenal'!$Y:$Y, 'Acompanhamento quinzenal'!$T:$T, A35), 0) +
    IFERROR(SUMIFS('Acompanhamento quinzenal'!$AE:$AE, 'Acompanhamento quinzenal'!$Z:$Z, A35), 0) +
    IFERROR(SUMIFS('Acompanhamento quinzenal'!$AK:$AK, 'Acompanhamento quinzenal'!$AF:$AF, A35), 0)
  ) /
  (
    COUNTIF('Acompanhamento quinzenal'!$N:$N, A35) +
    COUNTIF('Acompanhamento quinzenal'!$T:$T, A35) +
    COUNTIF('Acompanhamento quinzenal'!$Z:$Z, A35) +
    COUNTIF('Acompanhamento quinzenal'!$AF:$AF, A35)
  )
)
</f>
        <v>-</v>
      </c>
      <c r="W35" s="293" t="str">
        <f>IF(
  (
    COUNTIF('Acompanhamento quinzenal'!$N:$N, A35) +
    COUNTIF('Acompanhamento quinzenal'!$T:$T, A35) +
    COUNTIF('Acompanhamento quinzenal'!$Z:$Z, A35) +
    COUNTIF('Acompanhamento quinzenal'!$AF:$AF, A35)
  ) = 0,
  "-",
  (
    IFERROR(SUMIFS('Acompanhamento quinzenal'!$O:$O, 'Acompanhamento quinzenal'!$N:$N, A35), 0) +
    IFERROR(SUMIFS('Acompanhamento quinzenal'!$U:$U, 'Acompanhamento quinzenal'!$T:$T, A35), 0) +
    IFERROR(SUMIFS('Acompanhamento quinzenal'!$AA:$AA, 'Acompanhamento quinzenal'!$Z:$Z, A35), 0) +
    IFERROR(SUMIFS('Acompanhamento quinzenal'!$AG:$AG, 'Acompanhamento quinzenal'!$AF:$AF, A35), 0)
  ) /
  (
    COUNTIF('Acompanhamento quinzenal'!$N:$N, A35) +
    COUNTIF('Acompanhamento quinzenal'!$T:$T, A35) +
    COUNTIF('Acompanhamento quinzenal'!$Z:$Z, A35) +
    COUNTIF('Acompanhamento quinzenal'!$AF:$AF, A35)
  )
)
</f>
        <v>-</v>
      </c>
      <c r="X35" s="294" t="str">
        <f>IF(
  (
    COUNTIF('Acompanhamento quinzenal'!$N:$N, A35) +
    COUNTIF('Acompanhamento quinzenal'!$T:$T, A35) +
    COUNTIF('Acompanhamento quinzenal'!$Z:$Z, A35) +
    COUNTIF('Acompanhamento quinzenal'!$AF:$AF, A35)
  ) = 0,
  "-",
  (
    IFERROR(SUMIFS('Acompanhamento quinzenal'!$P:$P, 'Acompanhamento quinzenal'!$N:$N, A35), 0) +
    IFERROR(SUMIFS('Acompanhamento quinzenal'!$V:$V, 'Acompanhamento quinzenal'!$T:$T, A35), 0) +
    IFERROR(SUMIFS('Acompanhamento quinzenal'!$AB:$AB, 'Acompanhamento quinzenal'!$Z:$Z, A35), 0) +
    IFERROR(SUMIFS('Acompanhamento quinzenal'!$AH:$AH, 'Acompanhamento quinzenal'!$AF:$AF, A35), 0)
  ) /
  (
    COUNTIF('Acompanhamento quinzenal'!$N:$N, A35) +
    COUNTIF('Acompanhamento quinzenal'!$T:$T, A35) +
    COUNTIF('Acompanhamento quinzenal'!$Z:$Z, A35) +
    COUNTIF('Acompanhamento quinzenal'!$AF:$AF, A35)
  )
)
</f>
        <v>-</v>
      </c>
      <c r="Y35" s="293" t="str">
        <f>IF(
  (
    COUNTIF('Acompanhamento quinzenal'!$N:$N, A35) +
    COUNTIF('Acompanhamento quinzenal'!$T:$T, A35) +
    COUNTIF('Acompanhamento quinzenal'!$Z:$Z, A35) +
    COUNTIF('Acompanhamento quinzenal'!$AF:$AF, A35)
  ) = 0,
  "-",
  (
    IFERROR(SUMIFS('Acompanhamento quinzenal'!$Q:$Q, 'Acompanhamento quinzenal'!$N:$N, A35), 0) +
    IFERROR(SUMIFS('Acompanhamento quinzenal'!$W:$W, 'Acompanhamento quinzenal'!$T:$T, A35), 0) +
    IFERROR(SUMIFS('Acompanhamento quinzenal'!$AC:$AC, 'Acompanhamento quinzenal'!$Z:$Z, A35), 0) +
    IFERROR(SUMIFS('Acompanhamento quinzenal'!$AI:$AI, 'Acompanhamento quinzenal'!$AF:$AF, A35), 0)
  ) /
  (
    COUNTIF('Acompanhamento quinzenal'!$N:$N, A35) +
    COUNTIF('Acompanhamento quinzenal'!$T:$T, A35) +
    COUNTIF('Acompanhamento quinzenal'!$Z:$Z, A35) +
    COUNTIF('Acompanhamento quinzenal'!$AF:$AF, A35)
  )
)
</f>
        <v>-</v>
      </c>
    </row>
    <row r="36">
      <c r="A36" s="291" t="str">
        <f>IFERROR(__xludf.DUMMYFUNCTION("""COMPUTED_VALUE"""),"celso.sinoka")</f>
        <v>celso.sinoka</v>
      </c>
      <c r="B36" s="120" t="str">
        <f>IFERROR(__xludf.DUMMYFUNCTION("""COMPUTED_VALUE"""),"Consultor")</f>
        <v>Consultor</v>
      </c>
      <c r="C36" s="120" t="str">
        <f>IFERROR(__xludf.DUMMYFUNCTION("""COMPUTED_VALUE"""),"NDados")</f>
        <v>NDados</v>
      </c>
      <c r="D36" s="292" t="str">
        <f>IFERROR((COUNTIFS(Base!$V:$V,A36,Base!$S:$S,"&gt;8") - COUNTIFS(Base!$V:$V,A36,Base!$S:$S,"&lt;7"))/COUNTIFS(Base!$V:$V,A36,Base!$S:$S,"&lt;&gt;"),"-")</f>
        <v>-</v>
      </c>
      <c r="E36" s="292">
        <f>IF(
  (
    COUNTIFS(Base!$W:$W, A36, Base!$S:$S, "&lt;&gt;") +
    COUNTIFS(Base!$X:$X, A36, Base!$S:$S, "&lt;&gt;") +
    COUNTIFS(Base!$Y:$Y, A36, Base!$S:$S, "&lt;&gt;") +
    COUNTIFS(Base!$Z:$Z, A36, Base!$S:$S, "&lt;&gt;")
  ) = 0,
  "-",
  (
    COUNTIFS(Base!$W:$W, A36, Base!$S:$S, "&gt;8") - COUNTIFS(Base!$W:$W, A36, Base!$S:$S, "&lt;7") +
    COUNTIFS(Base!$X:$X, A36, Base!$S:$S, "&gt;8") - COUNTIFS(Base!$X:$X, A36, Base!$S:$S, "&lt;7") +
    COUNTIFS(Base!$Y:$Y, A36, Base!$S:$S, "&gt;8") - COUNTIFS(Base!$Y:$Y, A36, Base!$S:$S, "&lt;7") +
    COUNTIFS(Base!$Z:$Z, A36, Base!$S:$S, "&gt;8") - COUNTIFS(Base!$Z:$Z, A36, Base!$S:$S, "&lt;7")
  ) /
  (
    COUNTIFS(Base!$W:$W, A36, Base!$S:$S, "&lt;&gt;") +
    COUNTIFS(Base!$X:$X, A36, Base!$S:$S, "&lt;&gt;") +
    COUNTIFS(Base!$Y:$Y, A36, Base!$S:$S, "&lt;&gt;") +
    COUNTIFS(Base!$Z:$Z, A36, Base!$S:$S, "&lt;&gt;")
  )
)
</f>
        <v>0</v>
      </c>
      <c r="F36" s="290">
        <f>SUMIFS(Base!$N:$N,Base!$V:$V,A36,Base!$N:$N,"&lt;&gt;")-SUMIFS(Base!$K:$K,Base!$V:$V,A36,Base!$N:$N,"&lt;&gt;")-(SUMIFS(Base!$L:$L,Base!$V:$V,A36,Base!$N:$N,"&lt;&gt;")*7)</f>
        <v>0</v>
      </c>
      <c r="G36" s="290"/>
      <c r="H36" s="290">
        <f>SUMIFS(Base!$F:$F,Base!$V:$V,A36,Base!$N:$N,"&lt;&gt;")*7</f>
        <v>0</v>
      </c>
      <c r="I36" s="290"/>
      <c r="J36" s="292" t="str">
        <f t="shared" ref="J36:K36" si="37">IFERROR(F36/H36,"-")</f>
        <v>-</v>
      </c>
      <c r="K36" s="292" t="str">
        <f t="shared" si="37"/>
        <v>-</v>
      </c>
      <c r="L36" s="292" t="str">
        <f>IFERROR((COUNTIFS(Base!$V:$V,A36,Base!$U:$U,TRUE))/(COUNTIFS(Base!$V:$V,A36,Base!$O:$O,"Finalizado")+COUNTIFS(Base!$V:$V,A36,Base!$O:$O,"Concluído")),"-")</f>
        <v>-</v>
      </c>
      <c r="M36" s="292">
        <f>IF(
  (
    IFERROR(COUNTIF(Base!$W:$W, A36), 0) +
    IFERROR(COUNTIF(Base!$X:$X, A36), 0) +
    IFERROR(COUNTIF(Base!$Y:$Y, A36), 0) +
    IFERROR(COUNTIF(Base!$Z:$Z, A36), 0)
  ) = 0,
  "-",
  IF(
    (
      IFERROR(COUNTIFS(Base!$W:$W, A36, Base!$O:$O, "Finalizado"), 0) +
      IFERROR(COUNTIFS(Base!$W:$W, A36, Base!$O:$O, "Concluído"), 0) +
      IFERROR(COUNTIFS(Base!$X:$X, A36, Base!$O:$O, "Finalizado"), 0) +
      IFERROR(COUNTIFS(Base!$X:$X, A36, Base!$O:$O, "Concluído"), 0) +
      IFERROR(COUNTIFS(Base!$Y:$Y, A36, Base!$O:$O, "Finalizado"), 0) +
      IFERROR(COUNTIFS(Base!$Y:$Y, A36, Base!$O:$O, "Concluído"), 0) +
      IFERROR(COUNTIFS(Base!$Z:$Z, A36, Base!$O:$O, "Finalizado"), 0) +
      IFERROR(COUNTIFS(Base!$Z:$Z, A36, Base!$O:$O, "Concluído"), 0)
    ) = 0,
    "-",
    (
      IFERROR(COUNTIFS(Base!$W:$W, A36, Base!$U:$U, TRUE), 0) +
      IFERROR(COUNTIFS(Base!$X:$X, A36, Base!$U:$U, TRUE), 0) +
      IFERROR(COUNTIFS(Base!$Y:$Y, A36, Base!$U:$U, TRUE), 0) +
      IFERROR(COUNTIFS(Base!$Z:$Z, A36, Base!$U:$U, TRUE), 0)
    ) /
    (
      IFERROR(COUNTIFS(Base!$W:$W, A36, Base!$O:$O, "Finalizado"), 0) +
      IFERROR(COUNTIFS(Base!$W:$W, A36, Base!$O:$O, "Concluído"), 0) +
      IFERROR(COUNTIFS(Base!$X:$X, A36, Base!$O:$O, "Finalizado"), 0) +
      IFERROR(COUNTIFS(Base!$X:$X, A36, Base!$O:$O, "Concluído"), 0) +
      IFERROR(COUNTIFS(Base!$Y:$Y, A36, Base!$O:$O, "Finalizado"), 0) +
      IFERROR(COUNTIFS(Base!$Y:$Y, A36, Base!$O:$O, "Concluído"), 0) +
      IFERROR(COUNTIFS(Base!$Z:$Z, A36, Base!$O:$O, "Finalizado"), 0) +
      IFERROR(COUNTIFS(Base!$Z:$Z, A36, Base!$O:$O, "Concluído"), 0)
    )
  )
)
</f>
        <v>0</v>
      </c>
      <c r="N36" s="120">
        <f>COUNTIF(Base!V:V,$A36)</f>
        <v>3</v>
      </c>
      <c r="O36" s="120">
        <f>COUNTIF(Base!W:W,$A36)</f>
        <v>2</v>
      </c>
      <c r="P36" s="120">
        <f>COUNTIF(Base!X:X,$A36)</f>
        <v>0</v>
      </c>
      <c r="Q36" s="120">
        <f>COUNTIF(Base!Y:Y,$A36)</f>
        <v>1</v>
      </c>
      <c r="R36" s="120">
        <f>COUNTIF(Base!Z:Z,$A36)</f>
        <v>0</v>
      </c>
      <c r="S36" s="120">
        <f t="shared" si="3"/>
        <v>6</v>
      </c>
      <c r="T36" s="120">
        <f t="shared" si="4"/>
        <v>3</v>
      </c>
      <c r="V36" s="293">
        <f>IF(
  (
    COUNTIF('Acompanhamento quinzenal'!$N:$N, A36) +
    COUNTIF('Acompanhamento quinzenal'!$T:$T, A36) +
    COUNTIF('Acompanhamento quinzenal'!$Z:$Z, A36) +
    COUNTIF('Acompanhamento quinzenal'!$AF:$AF, A36)
  ) = 0,
  "-",
  (
    IFERROR(SUMIFS('Acompanhamento quinzenal'!$S:$S, 'Acompanhamento quinzenal'!$N:$N, A36), 0) +
    IFERROR(SUMIFS('Acompanhamento quinzenal'!$Y:$Y, 'Acompanhamento quinzenal'!$T:$T, A36), 0) +
    IFERROR(SUMIFS('Acompanhamento quinzenal'!$AE:$AE, 'Acompanhamento quinzenal'!$Z:$Z, A36), 0) +
    IFERROR(SUMIFS('Acompanhamento quinzenal'!$AK:$AK, 'Acompanhamento quinzenal'!$AF:$AF, A36), 0)
  ) /
  (
    COUNTIF('Acompanhamento quinzenal'!$N:$N, A36) +
    COUNTIF('Acompanhamento quinzenal'!$T:$T, A36) +
    COUNTIF('Acompanhamento quinzenal'!$Z:$Z, A36) +
    COUNTIF('Acompanhamento quinzenal'!$AF:$AF, A36)
  )
)
</f>
        <v>2.916666667</v>
      </c>
      <c r="W36" s="293">
        <f>IF(
  (
    COUNTIF('Acompanhamento quinzenal'!$N:$N, A36) +
    COUNTIF('Acompanhamento quinzenal'!$T:$T, A36) +
    COUNTIF('Acompanhamento quinzenal'!$Z:$Z, A36) +
    COUNTIF('Acompanhamento quinzenal'!$AF:$AF, A36)
  ) = 0,
  "-",
  (
    IFERROR(SUMIFS('Acompanhamento quinzenal'!$O:$O, 'Acompanhamento quinzenal'!$N:$N, A36), 0) +
    IFERROR(SUMIFS('Acompanhamento quinzenal'!$U:$U, 'Acompanhamento quinzenal'!$T:$T, A36), 0) +
    IFERROR(SUMIFS('Acompanhamento quinzenal'!$AA:$AA, 'Acompanhamento quinzenal'!$Z:$Z, A36), 0) +
    IFERROR(SUMIFS('Acompanhamento quinzenal'!$AG:$AG, 'Acompanhamento quinzenal'!$AF:$AF, A36), 0)
  ) /
  (
    COUNTIF('Acompanhamento quinzenal'!$N:$N, A36) +
    COUNTIF('Acompanhamento quinzenal'!$T:$T, A36) +
    COUNTIF('Acompanhamento quinzenal'!$Z:$Z, A36) +
    COUNTIF('Acompanhamento quinzenal'!$AF:$AF, A36)
  )
)
</f>
        <v>3</v>
      </c>
      <c r="X36" s="294">
        <f>IF(
  (
    COUNTIF('Acompanhamento quinzenal'!$N:$N, A36) +
    COUNTIF('Acompanhamento quinzenal'!$T:$T, A36) +
    COUNTIF('Acompanhamento quinzenal'!$Z:$Z, A36) +
    COUNTIF('Acompanhamento quinzenal'!$AF:$AF, A36)
  ) = 0,
  "-",
  (
    IFERROR(SUMIFS('Acompanhamento quinzenal'!$P:$P, 'Acompanhamento quinzenal'!$N:$N, A36), 0) +
    IFERROR(SUMIFS('Acompanhamento quinzenal'!$V:$V, 'Acompanhamento quinzenal'!$T:$T, A36), 0) +
    IFERROR(SUMIFS('Acompanhamento quinzenal'!$AB:$AB, 'Acompanhamento quinzenal'!$Z:$Z, A36), 0) +
    IFERROR(SUMIFS('Acompanhamento quinzenal'!$AH:$AH, 'Acompanhamento quinzenal'!$AF:$AF, A36), 0)
  ) /
  (
    COUNTIF('Acompanhamento quinzenal'!$N:$N, A36) +
    COUNTIF('Acompanhamento quinzenal'!$T:$T, A36) +
    COUNTIF('Acompanhamento quinzenal'!$Z:$Z, A36) +
    COUNTIF('Acompanhamento quinzenal'!$AF:$AF, A36)
  )
)
</f>
        <v>3.25</v>
      </c>
      <c r="Y36" s="293">
        <f>IF(
  (
    COUNTIF('Acompanhamento quinzenal'!$N:$N, A36) +
    COUNTIF('Acompanhamento quinzenal'!$T:$T, A36) +
    COUNTIF('Acompanhamento quinzenal'!$Z:$Z, A36) +
    COUNTIF('Acompanhamento quinzenal'!$AF:$AF, A36)
  ) = 0,
  "-",
  (
    IFERROR(SUMIFS('Acompanhamento quinzenal'!$Q:$Q, 'Acompanhamento quinzenal'!$N:$N, A36), 0) +
    IFERROR(SUMIFS('Acompanhamento quinzenal'!$W:$W, 'Acompanhamento quinzenal'!$T:$T, A36), 0) +
    IFERROR(SUMIFS('Acompanhamento quinzenal'!$AC:$AC, 'Acompanhamento quinzenal'!$Z:$Z, A36), 0) +
    IFERROR(SUMIFS('Acompanhamento quinzenal'!$AI:$AI, 'Acompanhamento quinzenal'!$AF:$AF, A36), 0)
  ) /
  (
    COUNTIF('Acompanhamento quinzenal'!$N:$N, A36) +
    COUNTIF('Acompanhamento quinzenal'!$T:$T, A36) +
    COUNTIF('Acompanhamento quinzenal'!$Z:$Z, A36) +
    COUNTIF('Acompanhamento quinzenal'!$AF:$AF, A36)
  )
)
</f>
        <v>2.5</v>
      </c>
    </row>
    <row r="37" hidden="1">
      <c r="A37" s="291" t="str">
        <f>IFERROR(__xludf.DUMMYFUNCTION("""COMPUTED_VALUE"""),"clara.milagres")</f>
        <v>clara.milagres</v>
      </c>
      <c r="B37" s="120" t="str">
        <f>IFERROR(__xludf.DUMMYFUNCTION("""COMPUTED_VALUE"""),"Coordenador")</f>
        <v>Coordenador</v>
      </c>
      <c r="C37" s="120" t="str">
        <f>IFERROR(__xludf.DUMMYFUNCTION("""COMPUTED_VALUE"""),"WI")</f>
        <v>WI</v>
      </c>
      <c r="D37" s="292" t="str">
        <f>IFERROR((COUNTIFS(Base!$V:$V,A37,Base!$S:$S,"&gt;8") - COUNTIFS(Base!$V:$V,A37,Base!$S:$S,"&lt;7"))/COUNTIFS(Base!$V:$V,A37,Base!$S:$S,"&lt;&gt;"),"-")</f>
        <v>-</v>
      </c>
      <c r="E37" s="292">
        <f>IF(
  (
    COUNTIFS(Base!$W:$W, A37, Base!$S:$S, "&lt;&gt;") +
    COUNTIFS(Base!$X:$X, A37, Base!$S:$S, "&lt;&gt;") +
    COUNTIFS(Base!$Y:$Y, A37, Base!$S:$S, "&lt;&gt;") +
    COUNTIFS(Base!$Z:$Z, A37, Base!$S:$S, "&lt;&gt;")
  ) = 0,
  "-",
  (
    COUNTIFS(Base!$W:$W, A37, Base!$S:$S, "&gt;8") - COUNTIFS(Base!$W:$W, A37, Base!$S:$S, "&lt;7") +
    COUNTIFS(Base!$X:$X, A37, Base!$S:$S, "&gt;8") - COUNTIFS(Base!$X:$X, A37, Base!$S:$S, "&lt;7") +
    COUNTIFS(Base!$Y:$Y, A37, Base!$S:$S, "&gt;8") - COUNTIFS(Base!$Y:$Y, A37, Base!$S:$S, "&lt;7") +
    COUNTIFS(Base!$Z:$Z, A37, Base!$S:$S, "&gt;8") - COUNTIFS(Base!$Z:$Z, A37, Base!$S:$S, "&lt;7")
  ) /
  (
    COUNTIFS(Base!$W:$W, A37, Base!$S:$S, "&lt;&gt;") +
    COUNTIFS(Base!$X:$X, A37, Base!$S:$S, "&lt;&gt;") +
    COUNTIFS(Base!$Y:$Y, A37, Base!$S:$S, "&lt;&gt;") +
    COUNTIFS(Base!$Z:$Z, A37, Base!$S:$S, "&lt;&gt;")
  )
)
</f>
        <v>1</v>
      </c>
      <c r="F37" s="290">
        <f>SUMIFS(Base!$N:$N,Base!$V:$V,A37,Base!$N:$N,"&lt;&gt;")-SUMIFS(Base!$K:$K,Base!$V:$V,A37,Base!$N:$N,"&lt;&gt;")-(SUMIFS(Base!$L:$L,Base!$V:$V,A37,Base!$N:$N,"&lt;&gt;")*7)</f>
        <v>0</v>
      </c>
      <c r="G37" s="290"/>
      <c r="H37" s="290">
        <f>SUMIFS(Base!$F:$F,Base!$V:$V,A37,Base!$N:$N,"&lt;&gt;")*7</f>
        <v>0</v>
      </c>
      <c r="I37" s="290"/>
      <c r="J37" s="292" t="str">
        <f t="shared" ref="J37:K37" si="38">IFERROR(F37/H37,"-")</f>
        <v>-</v>
      </c>
      <c r="K37" s="292" t="str">
        <f t="shared" si="38"/>
        <v>-</v>
      </c>
      <c r="L37" s="292" t="str">
        <f>IFERROR((COUNTIFS(Base!$V:$V,A37,Base!$U:$U,TRUE))/(COUNTIFS(Base!$V:$V,A37,Base!$O:$O,"Finalizado")+COUNTIFS(Base!$V:$V,A37,Base!$O:$O,"Concluído")),"-")</f>
        <v>-</v>
      </c>
      <c r="M37" s="292">
        <f>IF(
  (
    IFERROR(COUNTIF(Base!$W:$W, A37), 0) +
    IFERROR(COUNTIF(Base!$X:$X, A37), 0) +
    IFERROR(COUNTIF(Base!$Y:$Y, A37), 0) +
    IFERROR(COUNTIF(Base!$Z:$Z, A37), 0)
  ) = 0,
  "-",
  IF(
    (
      IFERROR(COUNTIFS(Base!$W:$W, A37, Base!$O:$O, "Finalizado"), 0) +
      IFERROR(COUNTIFS(Base!$W:$W, A37, Base!$O:$O, "Concluído"), 0) +
      IFERROR(COUNTIFS(Base!$X:$X, A37, Base!$O:$O, "Finalizado"), 0) +
      IFERROR(COUNTIFS(Base!$X:$X, A37, Base!$O:$O, "Concluído"), 0) +
      IFERROR(COUNTIFS(Base!$Y:$Y, A37, Base!$O:$O, "Finalizado"), 0) +
      IFERROR(COUNTIFS(Base!$Y:$Y, A37, Base!$O:$O, "Concluído"), 0) +
      IFERROR(COUNTIFS(Base!$Z:$Z, A37, Base!$O:$O, "Finalizado"), 0) +
      IFERROR(COUNTIFS(Base!$Z:$Z, A37, Base!$O:$O, "Concluído"), 0)
    ) = 0,
    "-",
    (
      IFERROR(COUNTIFS(Base!$W:$W, A37, Base!$U:$U, TRUE), 0) +
      IFERROR(COUNTIFS(Base!$X:$X, A37, Base!$U:$U, TRUE), 0) +
      IFERROR(COUNTIFS(Base!$Y:$Y, A37, Base!$U:$U, TRUE), 0) +
      IFERROR(COUNTIFS(Base!$Z:$Z, A37, Base!$U:$U, TRUE), 0)
    ) /
    (
      IFERROR(COUNTIFS(Base!$W:$W, A37, Base!$O:$O, "Finalizado"), 0) +
      IFERROR(COUNTIFS(Base!$W:$W, A37, Base!$O:$O, "Concluído"), 0) +
      IFERROR(COUNTIFS(Base!$X:$X, A37, Base!$O:$O, "Finalizado"), 0) +
      IFERROR(COUNTIFS(Base!$X:$X, A37, Base!$O:$O, "Concluído"), 0) +
      IFERROR(COUNTIFS(Base!$Y:$Y, A37, Base!$O:$O, "Finalizado"), 0) +
      IFERROR(COUNTIFS(Base!$Y:$Y, A37, Base!$O:$O, "Concluído"), 0) +
      IFERROR(COUNTIFS(Base!$Z:$Z, A37, Base!$O:$O, "Finalizado"), 0) +
      IFERROR(COUNTIFS(Base!$Z:$Z, A37, Base!$O:$O, "Concluído"), 0)
    )
  )
)
</f>
        <v>0</v>
      </c>
      <c r="N37" s="120">
        <f>COUNTIF(Base!V:V,$A37)</f>
        <v>0</v>
      </c>
      <c r="O37" s="120">
        <f>COUNTIF(Base!W:W,$A37)</f>
        <v>1</v>
      </c>
      <c r="P37" s="120">
        <f>COUNTIF(Base!X:X,$A37)</f>
        <v>0</v>
      </c>
      <c r="Q37" s="120">
        <f>COUNTIF(Base!Y:Y,$A37)</f>
        <v>0</v>
      </c>
      <c r="R37" s="120">
        <f>COUNTIF(Base!Z:Z,$A37)</f>
        <v>0</v>
      </c>
      <c r="S37" s="120">
        <f t="shared" si="3"/>
        <v>1</v>
      </c>
      <c r="T37" s="120">
        <f t="shared" si="4"/>
        <v>1</v>
      </c>
      <c r="V37" s="293" t="str">
        <f>IF(
  (
    COUNTIF('Acompanhamento quinzenal'!$N:$N, A37) +
    COUNTIF('Acompanhamento quinzenal'!$T:$T, A37) +
    COUNTIF('Acompanhamento quinzenal'!$Z:$Z, A37) +
    COUNTIF('Acompanhamento quinzenal'!$AF:$AF, A37)
  ) = 0,
  "-",
  (
    IFERROR(SUMIFS('Acompanhamento quinzenal'!$S:$S, 'Acompanhamento quinzenal'!$N:$N, A37), 0) +
    IFERROR(SUMIFS('Acompanhamento quinzenal'!$Y:$Y, 'Acompanhamento quinzenal'!$T:$T, A37), 0) +
    IFERROR(SUMIFS('Acompanhamento quinzenal'!$AE:$AE, 'Acompanhamento quinzenal'!$Z:$Z, A37), 0) +
    IFERROR(SUMIFS('Acompanhamento quinzenal'!$AK:$AK, 'Acompanhamento quinzenal'!$AF:$AF, A37), 0)
  ) /
  (
    COUNTIF('Acompanhamento quinzenal'!$N:$N, A37) +
    COUNTIF('Acompanhamento quinzenal'!$T:$T, A37) +
    COUNTIF('Acompanhamento quinzenal'!$Z:$Z, A37) +
    COUNTIF('Acompanhamento quinzenal'!$AF:$AF, A37)
  )
)
</f>
        <v>-</v>
      </c>
      <c r="W37" s="293" t="str">
        <f>IF(
  (
    COUNTIF('Acompanhamento quinzenal'!$N:$N, A37) +
    COUNTIF('Acompanhamento quinzenal'!$T:$T, A37) +
    COUNTIF('Acompanhamento quinzenal'!$Z:$Z, A37) +
    COUNTIF('Acompanhamento quinzenal'!$AF:$AF, A37)
  ) = 0,
  "-",
  (
    IFERROR(SUMIFS('Acompanhamento quinzenal'!$O:$O, 'Acompanhamento quinzenal'!$N:$N, A37), 0) +
    IFERROR(SUMIFS('Acompanhamento quinzenal'!$U:$U, 'Acompanhamento quinzenal'!$T:$T, A37), 0) +
    IFERROR(SUMIFS('Acompanhamento quinzenal'!$AA:$AA, 'Acompanhamento quinzenal'!$Z:$Z, A37), 0) +
    IFERROR(SUMIFS('Acompanhamento quinzenal'!$AG:$AG, 'Acompanhamento quinzenal'!$AF:$AF, A37), 0)
  ) /
  (
    COUNTIF('Acompanhamento quinzenal'!$N:$N, A37) +
    COUNTIF('Acompanhamento quinzenal'!$T:$T, A37) +
    COUNTIF('Acompanhamento quinzenal'!$Z:$Z, A37) +
    COUNTIF('Acompanhamento quinzenal'!$AF:$AF, A37)
  )
)
</f>
        <v>-</v>
      </c>
      <c r="X37" s="294" t="str">
        <f>IF(
  (
    COUNTIF('Acompanhamento quinzenal'!$N:$N, A37) +
    COUNTIF('Acompanhamento quinzenal'!$T:$T, A37) +
    COUNTIF('Acompanhamento quinzenal'!$Z:$Z, A37) +
    COUNTIF('Acompanhamento quinzenal'!$AF:$AF, A37)
  ) = 0,
  "-",
  (
    IFERROR(SUMIFS('Acompanhamento quinzenal'!$P:$P, 'Acompanhamento quinzenal'!$N:$N, A37), 0) +
    IFERROR(SUMIFS('Acompanhamento quinzenal'!$V:$V, 'Acompanhamento quinzenal'!$T:$T, A37), 0) +
    IFERROR(SUMIFS('Acompanhamento quinzenal'!$AB:$AB, 'Acompanhamento quinzenal'!$Z:$Z, A37), 0) +
    IFERROR(SUMIFS('Acompanhamento quinzenal'!$AH:$AH, 'Acompanhamento quinzenal'!$AF:$AF, A37), 0)
  ) /
  (
    COUNTIF('Acompanhamento quinzenal'!$N:$N, A37) +
    COUNTIF('Acompanhamento quinzenal'!$T:$T, A37) +
    COUNTIF('Acompanhamento quinzenal'!$Z:$Z, A37) +
    COUNTIF('Acompanhamento quinzenal'!$AF:$AF, A37)
  )
)
</f>
        <v>-</v>
      </c>
      <c r="Y37" s="293" t="str">
        <f>IF(
  (
    COUNTIF('Acompanhamento quinzenal'!$N:$N, A37) +
    COUNTIF('Acompanhamento quinzenal'!$T:$T, A37) +
    COUNTIF('Acompanhamento quinzenal'!$Z:$Z, A37) +
    COUNTIF('Acompanhamento quinzenal'!$AF:$AF, A37)
  ) = 0,
  "-",
  (
    IFERROR(SUMIFS('Acompanhamento quinzenal'!$Q:$Q, 'Acompanhamento quinzenal'!$N:$N, A37), 0) +
    IFERROR(SUMIFS('Acompanhamento quinzenal'!$W:$W, 'Acompanhamento quinzenal'!$T:$T, A37), 0) +
    IFERROR(SUMIFS('Acompanhamento quinzenal'!$AC:$AC, 'Acompanhamento quinzenal'!$Z:$Z, A37), 0) +
    IFERROR(SUMIFS('Acompanhamento quinzenal'!$AI:$AI, 'Acompanhamento quinzenal'!$AF:$AF, A37), 0)
  ) /
  (
    COUNTIF('Acompanhamento quinzenal'!$N:$N, A37) +
    COUNTIF('Acompanhamento quinzenal'!$T:$T, A37) +
    COUNTIF('Acompanhamento quinzenal'!$Z:$Z, A37) +
    COUNTIF('Acompanhamento quinzenal'!$AF:$AF, A37)
  )
)
</f>
        <v>-</v>
      </c>
    </row>
    <row r="38" hidden="1">
      <c r="A38" s="291" t="str">
        <f>IFERROR(__xludf.DUMMYFUNCTION("""COMPUTED_VALUE"""),"daniel.galdino")</f>
        <v>daniel.galdino</v>
      </c>
      <c r="B38" s="120" t="str">
        <f>IFERROR(__xludf.DUMMYFUNCTION("""COMPUTED_VALUE"""),"Coordenador")</f>
        <v>Coordenador</v>
      </c>
      <c r="C38" s="120" t="str">
        <f>IFERROR(__xludf.DUMMYFUNCTION("""COMPUTED_VALUE"""),"NTec")</f>
        <v>NTec</v>
      </c>
      <c r="D38" s="292" t="str">
        <f>IFERROR((COUNTIFS(Base!$V:$V,A38,Base!$S:$S,"&gt;8") - COUNTIFS(Base!$V:$V,A38,Base!$S:$S,"&lt;7"))/COUNTIFS(Base!$V:$V,A38,Base!$S:$S,"&lt;&gt;"),"-")</f>
        <v>-</v>
      </c>
      <c r="E38" s="292" t="str">
        <f>IF(
  (
    COUNTIFS(Base!$W:$W, A38, Base!$S:$S, "&lt;&gt;") +
    COUNTIFS(Base!$X:$X, A38, Base!$S:$S, "&lt;&gt;") +
    COUNTIFS(Base!$Y:$Y, A38, Base!$S:$S, "&lt;&gt;") +
    COUNTIFS(Base!$Z:$Z, A38, Base!$S:$S, "&lt;&gt;")
  ) = 0,
  "-",
  (
    COUNTIFS(Base!$W:$W, A38, Base!$S:$S, "&gt;8") - COUNTIFS(Base!$W:$W, A38, Base!$S:$S, "&lt;7") +
    COUNTIFS(Base!$X:$X, A38, Base!$S:$S, "&gt;8") - COUNTIFS(Base!$X:$X, A38, Base!$S:$S, "&lt;7") +
    COUNTIFS(Base!$Y:$Y, A38, Base!$S:$S, "&gt;8") - COUNTIFS(Base!$Y:$Y, A38, Base!$S:$S, "&lt;7") +
    COUNTIFS(Base!$Z:$Z, A38, Base!$S:$S, "&gt;8") - COUNTIFS(Base!$Z:$Z, A38, Base!$S:$S, "&lt;7")
  ) /
  (
    COUNTIFS(Base!$W:$W, A38, Base!$S:$S, "&lt;&gt;") +
    COUNTIFS(Base!$X:$X, A38, Base!$S:$S, "&lt;&gt;") +
    COUNTIFS(Base!$Y:$Y, A38, Base!$S:$S, "&lt;&gt;") +
    COUNTIFS(Base!$Z:$Z, A38, Base!$S:$S, "&lt;&gt;")
  )
)
</f>
        <v>-</v>
      </c>
      <c r="F38" s="290">
        <f>SUMIFS(Base!$N:$N,Base!$V:$V,A38,Base!$N:$N,"&lt;&gt;")-SUMIFS(Base!$K:$K,Base!$V:$V,A38,Base!$N:$N,"&lt;&gt;")-(SUMIFS(Base!$L:$L,Base!$V:$V,A38,Base!$N:$N,"&lt;&gt;")*7)</f>
        <v>0</v>
      </c>
      <c r="G38" s="290"/>
      <c r="H38" s="290">
        <f>SUMIFS(Base!$F:$F,Base!$V:$V,A38,Base!$N:$N,"&lt;&gt;")*7</f>
        <v>0</v>
      </c>
      <c r="I38" s="290"/>
      <c r="J38" s="292" t="str">
        <f t="shared" ref="J38:K38" si="39">IFERROR(F38/H38,"-")</f>
        <v>-</v>
      </c>
      <c r="K38" s="292" t="str">
        <f t="shared" si="39"/>
        <v>-</v>
      </c>
      <c r="L38" s="292" t="str">
        <f>IFERROR((COUNTIFS(Base!$V:$V,A38,Base!$U:$U,TRUE))/(COUNTIFS(Base!$V:$V,A38,Base!$O:$O,"Finalizado")+COUNTIFS(Base!$V:$V,A38,Base!$O:$O,"Concluído")),"-")</f>
        <v>-</v>
      </c>
      <c r="M38" s="292" t="str">
        <f>IF(
  (
    IFERROR(COUNTIF(Base!$W:$W, A38), 0) +
    IFERROR(COUNTIF(Base!$X:$X, A38), 0) +
    IFERROR(COUNTIF(Base!$Y:$Y, A38), 0) +
    IFERROR(COUNTIF(Base!$Z:$Z, A38), 0)
  ) = 0,
  "-",
  IF(
    (
      IFERROR(COUNTIFS(Base!$W:$W, A38, Base!$O:$O, "Finalizado"), 0) +
      IFERROR(COUNTIFS(Base!$W:$W, A38, Base!$O:$O, "Concluído"), 0) +
      IFERROR(COUNTIFS(Base!$X:$X, A38, Base!$O:$O, "Finalizado"), 0) +
      IFERROR(COUNTIFS(Base!$X:$X, A38, Base!$O:$O, "Concluído"), 0) +
      IFERROR(COUNTIFS(Base!$Y:$Y, A38, Base!$O:$O, "Finalizado"), 0) +
      IFERROR(COUNTIFS(Base!$Y:$Y, A38, Base!$O:$O, "Concluído"), 0) +
      IFERROR(COUNTIFS(Base!$Z:$Z, A38, Base!$O:$O, "Finalizado"), 0) +
      IFERROR(COUNTIFS(Base!$Z:$Z, A38, Base!$O:$O, "Concluído"), 0)
    ) = 0,
    "-",
    (
      IFERROR(COUNTIFS(Base!$W:$W, A38, Base!$U:$U, TRUE), 0) +
      IFERROR(COUNTIFS(Base!$X:$X, A38, Base!$U:$U, TRUE), 0) +
      IFERROR(COUNTIFS(Base!$Y:$Y, A38, Base!$U:$U, TRUE), 0) +
      IFERROR(COUNTIFS(Base!$Z:$Z, A38, Base!$U:$U, TRUE), 0)
    ) /
    (
      IFERROR(COUNTIFS(Base!$W:$W, A38, Base!$O:$O, "Finalizado"), 0) +
      IFERROR(COUNTIFS(Base!$W:$W, A38, Base!$O:$O, "Concluído"), 0) +
      IFERROR(COUNTIFS(Base!$X:$X, A38, Base!$O:$O, "Finalizado"), 0) +
      IFERROR(COUNTIFS(Base!$X:$X, A38, Base!$O:$O, "Concluído"), 0) +
      IFERROR(COUNTIFS(Base!$Y:$Y, A38, Base!$O:$O, "Finalizado"), 0) +
      IFERROR(COUNTIFS(Base!$Y:$Y, A38, Base!$O:$O, "Concluído"), 0) +
      IFERROR(COUNTIFS(Base!$Z:$Z, A38, Base!$O:$O, "Finalizado"), 0) +
      IFERROR(COUNTIFS(Base!$Z:$Z, A38, Base!$O:$O, "Concluído"), 0)
    )
  )
)
</f>
        <v>-</v>
      </c>
      <c r="N38" s="120">
        <f>COUNTIF(Base!V:V,$A38)</f>
        <v>0</v>
      </c>
      <c r="O38" s="120">
        <f>COUNTIF(Base!W:W,$A38)</f>
        <v>0</v>
      </c>
      <c r="P38" s="120">
        <f>COUNTIF(Base!X:X,$A38)</f>
        <v>0</v>
      </c>
      <c r="Q38" s="120">
        <f>COUNTIF(Base!Y:Y,$A38)</f>
        <v>0</v>
      </c>
      <c r="R38" s="120">
        <f>COUNTIF(Base!Z:Z,$A38)</f>
        <v>0</v>
      </c>
      <c r="S38" s="120">
        <f t="shared" si="3"/>
        <v>0</v>
      </c>
      <c r="T38" s="120">
        <f t="shared" si="4"/>
        <v>0</v>
      </c>
      <c r="V38" s="293" t="str">
        <f>IF(
  (
    COUNTIF('Acompanhamento quinzenal'!$N:$N, A38) +
    COUNTIF('Acompanhamento quinzenal'!$T:$T, A38) +
    COUNTIF('Acompanhamento quinzenal'!$Z:$Z, A38) +
    COUNTIF('Acompanhamento quinzenal'!$AF:$AF, A38)
  ) = 0,
  "-",
  (
    IFERROR(SUMIFS('Acompanhamento quinzenal'!$S:$S, 'Acompanhamento quinzenal'!$N:$N, A38), 0) +
    IFERROR(SUMIFS('Acompanhamento quinzenal'!$Y:$Y, 'Acompanhamento quinzenal'!$T:$T, A38), 0) +
    IFERROR(SUMIFS('Acompanhamento quinzenal'!$AE:$AE, 'Acompanhamento quinzenal'!$Z:$Z, A38), 0) +
    IFERROR(SUMIFS('Acompanhamento quinzenal'!$AK:$AK, 'Acompanhamento quinzenal'!$AF:$AF, A38), 0)
  ) /
  (
    COUNTIF('Acompanhamento quinzenal'!$N:$N, A38) +
    COUNTIF('Acompanhamento quinzenal'!$T:$T, A38) +
    COUNTIF('Acompanhamento quinzenal'!$Z:$Z, A38) +
    COUNTIF('Acompanhamento quinzenal'!$AF:$AF, A38)
  )
)
</f>
        <v>-</v>
      </c>
      <c r="W38" s="293" t="str">
        <f>IF(
  (
    COUNTIF('Acompanhamento quinzenal'!$N:$N, A38) +
    COUNTIF('Acompanhamento quinzenal'!$T:$T, A38) +
    COUNTIF('Acompanhamento quinzenal'!$Z:$Z, A38) +
    COUNTIF('Acompanhamento quinzenal'!$AF:$AF, A38)
  ) = 0,
  "-",
  (
    IFERROR(SUMIFS('Acompanhamento quinzenal'!$O:$O, 'Acompanhamento quinzenal'!$N:$N, A38), 0) +
    IFERROR(SUMIFS('Acompanhamento quinzenal'!$U:$U, 'Acompanhamento quinzenal'!$T:$T, A38), 0) +
    IFERROR(SUMIFS('Acompanhamento quinzenal'!$AA:$AA, 'Acompanhamento quinzenal'!$Z:$Z, A38), 0) +
    IFERROR(SUMIFS('Acompanhamento quinzenal'!$AG:$AG, 'Acompanhamento quinzenal'!$AF:$AF, A38), 0)
  ) /
  (
    COUNTIF('Acompanhamento quinzenal'!$N:$N, A38) +
    COUNTIF('Acompanhamento quinzenal'!$T:$T, A38) +
    COUNTIF('Acompanhamento quinzenal'!$Z:$Z, A38) +
    COUNTIF('Acompanhamento quinzenal'!$AF:$AF, A38)
  )
)
</f>
        <v>-</v>
      </c>
      <c r="X38" s="294" t="str">
        <f>IF(
  (
    COUNTIF('Acompanhamento quinzenal'!$N:$N, A38) +
    COUNTIF('Acompanhamento quinzenal'!$T:$T, A38) +
    COUNTIF('Acompanhamento quinzenal'!$Z:$Z, A38) +
    COUNTIF('Acompanhamento quinzenal'!$AF:$AF, A38)
  ) = 0,
  "-",
  (
    IFERROR(SUMIFS('Acompanhamento quinzenal'!$P:$P, 'Acompanhamento quinzenal'!$N:$N, A38), 0) +
    IFERROR(SUMIFS('Acompanhamento quinzenal'!$V:$V, 'Acompanhamento quinzenal'!$T:$T, A38), 0) +
    IFERROR(SUMIFS('Acompanhamento quinzenal'!$AB:$AB, 'Acompanhamento quinzenal'!$Z:$Z, A38), 0) +
    IFERROR(SUMIFS('Acompanhamento quinzenal'!$AH:$AH, 'Acompanhamento quinzenal'!$AF:$AF, A38), 0)
  ) /
  (
    COUNTIF('Acompanhamento quinzenal'!$N:$N, A38) +
    COUNTIF('Acompanhamento quinzenal'!$T:$T, A38) +
    COUNTIF('Acompanhamento quinzenal'!$Z:$Z, A38) +
    COUNTIF('Acompanhamento quinzenal'!$AF:$AF, A38)
  )
)
</f>
        <v>-</v>
      </c>
      <c r="Y38" s="293" t="str">
        <f>IF(
  (
    COUNTIF('Acompanhamento quinzenal'!$N:$N, A38) +
    COUNTIF('Acompanhamento quinzenal'!$T:$T, A38) +
    COUNTIF('Acompanhamento quinzenal'!$Z:$Z, A38) +
    COUNTIF('Acompanhamento quinzenal'!$AF:$AF, A38)
  ) = 0,
  "-",
  (
    IFERROR(SUMIFS('Acompanhamento quinzenal'!$Q:$Q, 'Acompanhamento quinzenal'!$N:$N, A38), 0) +
    IFERROR(SUMIFS('Acompanhamento quinzenal'!$W:$W, 'Acompanhamento quinzenal'!$T:$T, A38), 0) +
    IFERROR(SUMIFS('Acompanhamento quinzenal'!$AC:$AC, 'Acompanhamento quinzenal'!$Z:$Z, A38), 0) +
    IFERROR(SUMIFS('Acompanhamento quinzenal'!$AI:$AI, 'Acompanhamento quinzenal'!$AF:$AF, A38), 0)
  ) /
  (
    COUNTIF('Acompanhamento quinzenal'!$N:$N, A38) +
    COUNTIF('Acompanhamento quinzenal'!$T:$T, A38) +
    COUNTIF('Acompanhamento quinzenal'!$Z:$Z, A38) +
    COUNTIF('Acompanhamento quinzenal'!$AF:$AF, A38)
  )
)
</f>
        <v>-</v>
      </c>
    </row>
    <row r="39" hidden="1">
      <c r="A39" s="291" t="str">
        <f>IFERROR(__xludf.DUMMYFUNCTION("""COMPUTED_VALUE"""),"daniela.brandao")</f>
        <v>daniela.brandao</v>
      </c>
      <c r="B39" s="120" t="str">
        <f>IFERROR(__xludf.DUMMYFUNCTION("""COMPUTED_VALUE"""),"Consultor")</f>
        <v>Consultor</v>
      </c>
      <c r="C39" s="120" t="str">
        <f>IFERROR(__xludf.DUMMYFUNCTION("""COMPUTED_VALUE"""),"NCon")</f>
        <v>NCon</v>
      </c>
      <c r="D39" s="292" t="str">
        <f>IFERROR((COUNTIFS(Base!$V:$V,A39,Base!$S:$S,"&gt;8") - COUNTIFS(Base!$V:$V,A39,Base!$S:$S,"&lt;7"))/COUNTIFS(Base!$V:$V,A39,Base!$S:$S,"&lt;&gt;"),"-")</f>
        <v>-</v>
      </c>
      <c r="E39" s="292">
        <f>IF(
  (
    COUNTIFS(Base!$W:$W, A39, Base!$S:$S, "&lt;&gt;") +
    COUNTIFS(Base!$X:$X, A39, Base!$S:$S, "&lt;&gt;") +
    COUNTIFS(Base!$Y:$Y, A39, Base!$S:$S, "&lt;&gt;") +
    COUNTIFS(Base!$Z:$Z, A39, Base!$S:$S, "&lt;&gt;")
  ) = 0,
  "-",
  (
    COUNTIFS(Base!$W:$W, A39, Base!$S:$S, "&gt;8") - COUNTIFS(Base!$W:$W, A39, Base!$S:$S, "&lt;7") +
    COUNTIFS(Base!$X:$X, A39, Base!$S:$S, "&gt;8") - COUNTIFS(Base!$X:$X, A39, Base!$S:$S, "&lt;7") +
    COUNTIFS(Base!$Y:$Y, A39, Base!$S:$S, "&gt;8") - COUNTIFS(Base!$Y:$Y, A39, Base!$S:$S, "&lt;7") +
    COUNTIFS(Base!$Z:$Z, A39, Base!$S:$S, "&gt;8") - COUNTIFS(Base!$Z:$Z, A39, Base!$S:$S, "&lt;7")
  ) /
  (
    COUNTIFS(Base!$W:$W, A39, Base!$S:$S, "&lt;&gt;") +
    COUNTIFS(Base!$X:$X, A39, Base!$S:$S, "&lt;&gt;") +
    COUNTIFS(Base!$Y:$Y, A39, Base!$S:$S, "&lt;&gt;") +
    COUNTIFS(Base!$Z:$Z, A39, Base!$S:$S, "&lt;&gt;")
  )
)
</f>
        <v>1</v>
      </c>
      <c r="F39" s="290">
        <f>SUMIFS(Base!$N:$N,Base!$V:$V,A39,Base!$N:$N,"&lt;&gt;")-SUMIFS(Base!$K:$K,Base!$V:$V,A39,Base!$N:$N,"&lt;&gt;")-(SUMIFS(Base!$L:$L,Base!$V:$V,A39,Base!$N:$N,"&lt;&gt;")*7)</f>
        <v>0</v>
      </c>
      <c r="G39" s="290"/>
      <c r="H39" s="290">
        <f>SUMIFS(Base!$F:$F,Base!$V:$V,A39,Base!$N:$N,"&lt;&gt;")*7</f>
        <v>0</v>
      </c>
      <c r="I39" s="290"/>
      <c r="J39" s="292" t="str">
        <f t="shared" ref="J39:K39" si="40">IFERROR(F39/H39,"-")</f>
        <v>-</v>
      </c>
      <c r="K39" s="292" t="str">
        <f t="shared" si="40"/>
        <v>-</v>
      </c>
      <c r="L39" s="292" t="str">
        <f>IFERROR((COUNTIFS(Base!$V:$V,A39,Base!$U:$U,TRUE))/(COUNTIFS(Base!$V:$V,A39,Base!$O:$O,"Finalizado")+COUNTIFS(Base!$V:$V,A39,Base!$O:$O,"Concluído")),"-")</f>
        <v>-</v>
      </c>
      <c r="M39" s="292">
        <f>IF(
  (
    IFERROR(COUNTIF(Base!$W:$W, A39), 0) +
    IFERROR(COUNTIF(Base!$X:$X, A39), 0) +
    IFERROR(COUNTIF(Base!$Y:$Y, A39), 0) +
    IFERROR(COUNTIF(Base!$Z:$Z, A39), 0)
  ) = 0,
  "-",
  IF(
    (
      IFERROR(COUNTIFS(Base!$W:$W, A39, Base!$O:$O, "Finalizado"), 0) +
      IFERROR(COUNTIFS(Base!$W:$W, A39, Base!$O:$O, "Concluído"), 0) +
      IFERROR(COUNTIFS(Base!$X:$X, A39, Base!$O:$O, "Finalizado"), 0) +
      IFERROR(COUNTIFS(Base!$X:$X, A39, Base!$O:$O, "Concluído"), 0) +
      IFERROR(COUNTIFS(Base!$Y:$Y, A39, Base!$O:$O, "Finalizado"), 0) +
      IFERROR(COUNTIFS(Base!$Y:$Y, A39, Base!$O:$O, "Concluído"), 0) +
      IFERROR(COUNTIFS(Base!$Z:$Z, A39, Base!$O:$O, "Finalizado"), 0) +
      IFERROR(COUNTIFS(Base!$Z:$Z, A39, Base!$O:$O, "Concluído"), 0)
    ) = 0,
    "-",
    (
      IFERROR(COUNTIFS(Base!$W:$W, A39, Base!$U:$U, TRUE), 0) +
      IFERROR(COUNTIFS(Base!$X:$X, A39, Base!$U:$U, TRUE), 0) +
      IFERROR(COUNTIFS(Base!$Y:$Y, A39, Base!$U:$U, TRUE), 0) +
      IFERROR(COUNTIFS(Base!$Z:$Z, A39, Base!$U:$U, TRUE), 0)
    ) /
    (
      IFERROR(COUNTIFS(Base!$W:$W, A39, Base!$O:$O, "Finalizado"), 0) +
      IFERROR(COUNTIFS(Base!$W:$W, A39, Base!$O:$O, "Concluído"), 0) +
      IFERROR(COUNTIFS(Base!$X:$X, A39, Base!$O:$O, "Finalizado"), 0) +
      IFERROR(COUNTIFS(Base!$X:$X, A39, Base!$O:$O, "Concluído"), 0) +
      IFERROR(COUNTIFS(Base!$Y:$Y, A39, Base!$O:$O, "Finalizado"), 0) +
      IFERROR(COUNTIFS(Base!$Y:$Y, A39, Base!$O:$O, "Concluído"), 0) +
      IFERROR(COUNTIFS(Base!$Z:$Z, A39, Base!$O:$O, "Finalizado"), 0) +
      IFERROR(COUNTIFS(Base!$Z:$Z, A39, Base!$O:$O, "Concluído"), 0)
    )
  )
)
</f>
        <v>0</v>
      </c>
      <c r="N39" s="120">
        <f>COUNTIF(Base!V:V,$A39)</f>
        <v>0</v>
      </c>
      <c r="O39" s="120">
        <f>COUNTIF(Base!W:W,$A39)</f>
        <v>4</v>
      </c>
      <c r="P39" s="120">
        <f>COUNTIF(Base!X:X,$A39)</f>
        <v>2</v>
      </c>
      <c r="Q39" s="120">
        <f>COUNTIF(Base!Y:Y,$A39)</f>
        <v>0</v>
      </c>
      <c r="R39" s="120">
        <f>COUNTIF(Base!Z:Z,$A39)</f>
        <v>0</v>
      </c>
      <c r="S39" s="120">
        <f t="shared" si="3"/>
        <v>6</v>
      </c>
      <c r="T39" s="120">
        <f t="shared" si="4"/>
        <v>6</v>
      </c>
      <c r="V39" s="293">
        <f>IF(
  (
    COUNTIF('Acompanhamento quinzenal'!$N:$N, A39) +
    COUNTIF('Acompanhamento quinzenal'!$T:$T, A39) +
    COUNTIF('Acompanhamento quinzenal'!$Z:$Z, A39) +
    COUNTIF('Acompanhamento quinzenal'!$AF:$AF, A39)
  ) = 0,
  "-",
  (
    IFERROR(SUMIFS('Acompanhamento quinzenal'!$S:$S, 'Acompanhamento quinzenal'!$N:$N, A39), 0) +
    IFERROR(SUMIFS('Acompanhamento quinzenal'!$Y:$Y, 'Acompanhamento quinzenal'!$T:$T, A39), 0) +
    IFERROR(SUMIFS('Acompanhamento quinzenal'!$AE:$AE, 'Acompanhamento quinzenal'!$Z:$Z, A39), 0) +
    IFERROR(SUMIFS('Acompanhamento quinzenal'!$AK:$AK, 'Acompanhamento quinzenal'!$AF:$AF, A39), 0)
  ) /
  (
    COUNTIF('Acompanhamento quinzenal'!$N:$N, A39) +
    COUNTIF('Acompanhamento quinzenal'!$T:$T, A39) +
    COUNTIF('Acompanhamento quinzenal'!$Z:$Z, A39) +
    COUNTIF('Acompanhamento quinzenal'!$AF:$AF, A39)
  )
)
</f>
        <v>2.8</v>
      </c>
      <c r="W39" s="293">
        <f>IF(
  (
    COUNTIF('Acompanhamento quinzenal'!$N:$N, A39) +
    COUNTIF('Acompanhamento quinzenal'!$T:$T, A39) +
    COUNTIF('Acompanhamento quinzenal'!$Z:$Z, A39) +
    COUNTIF('Acompanhamento quinzenal'!$AF:$AF, A39)
  ) = 0,
  "-",
  (
    IFERROR(SUMIFS('Acompanhamento quinzenal'!$O:$O, 'Acompanhamento quinzenal'!$N:$N, A39), 0) +
    IFERROR(SUMIFS('Acompanhamento quinzenal'!$U:$U, 'Acompanhamento quinzenal'!$T:$T, A39), 0) +
    IFERROR(SUMIFS('Acompanhamento quinzenal'!$AA:$AA, 'Acompanhamento quinzenal'!$Z:$Z, A39), 0) +
    IFERROR(SUMIFS('Acompanhamento quinzenal'!$AG:$AG, 'Acompanhamento quinzenal'!$AF:$AF, A39), 0)
  ) /
  (
    COUNTIF('Acompanhamento quinzenal'!$N:$N, A39) +
    COUNTIF('Acompanhamento quinzenal'!$T:$T, A39) +
    COUNTIF('Acompanhamento quinzenal'!$Z:$Z, A39) +
    COUNTIF('Acompanhamento quinzenal'!$AF:$AF, A39)
  )
)
</f>
        <v>3</v>
      </c>
      <c r="X39" s="294">
        <f>IF(
  (
    COUNTIF('Acompanhamento quinzenal'!$N:$N, A39) +
    COUNTIF('Acompanhamento quinzenal'!$T:$T, A39) +
    COUNTIF('Acompanhamento quinzenal'!$Z:$Z, A39) +
    COUNTIF('Acompanhamento quinzenal'!$AF:$AF, A39)
  ) = 0,
  "-",
  (
    IFERROR(SUMIFS('Acompanhamento quinzenal'!$P:$P, 'Acompanhamento quinzenal'!$N:$N, A39), 0) +
    IFERROR(SUMIFS('Acompanhamento quinzenal'!$V:$V, 'Acompanhamento quinzenal'!$T:$T, A39), 0) +
    IFERROR(SUMIFS('Acompanhamento quinzenal'!$AB:$AB, 'Acompanhamento quinzenal'!$Z:$Z, A39), 0) +
    IFERROR(SUMIFS('Acompanhamento quinzenal'!$AH:$AH, 'Acompanhamento quinzenal'!$AF:$AF, A39), 0)
  ) /
  (
    COUNTIF('Acompanhamento quinzenal'!$N:$N, A39) +
    COUNTIF('Acompanhamento quinzenal'!$T:$T, A39) +
    COUNTIF('Acompanhamento quinzenal'!$Z:$Z, A39) +
    COUNTIF('Acompanhamento quinzenal'!$AF:$AF, A39)
  )
)
</f>
        <v>2.8</v>
      </c>
      <c r="Y39" s="293">
        <f>IF(
  (
    COUNTIF('Acompanhamento quinzenal'!$N:$N, A39) +
    COUNTIF('Acompanhamento quinzenal'!$T:$T, A39) +
    COUNTIF('Acompanhamento quinzenal'!$Z:$Z, A39) +
    COUNTIF('Acompanhamento quinzenal'!$AF:$AF, A39)
  ) = 0,
  "-",
  (
    IFERROR(SUMIFS('Acompanhamento quinzenal'!$Q:$Q, 'Acompanhamento quinzenal'!$N:$N, A39), 0) +
    IFERROR(SUMIFS('Acompanhamento quinzenal'!$W:$W, 'Acompanhamento quinzenal'!$T:$T, A39), 0) +
    IFERROR(SUMIFS('Acompanhamento quinzenal'!$AC:$AC, 'Acompanhamento quinzenal'!$Z:$Z, A39), 0) +
    IFERROR(SUMIFS('Acompanhamento quinzenal'!$AI:$AI, 'Acompanhamento quinzenal'!$AF:$AF, A39), 0)
  ) /
  (
    COUNTIF('Acompanhamento quinzenal'!$N:$N, A39) +
    COUNTIF('Acompanhamento quinzenal'!$T:$T, A39) +
    COUNTIF('Acompanhamento quinzenal'!$Z:$Z, A39) +
    COUNTIF('Acompanhamento quinzenal'!$AF:$AF, A39)
  )
)
</f>
        <v>2.6</v>
      </c>
    </row>
    <row r="40" hidden="1">
      <c r="A40" s="291" t="str">
        <f>IFERROR(__xludf.DUMMYFUNCTION("""COMPUTED_VALUE"""),"danteo.lira")</f>
        <v>danteo.lira</v>
      </c>
      <c r="B40" s="120" t="str">
        <f>IFERROR(__xludf.DUMMYFUNCTION("""COMPUTED_VALUE"""),"Consultor")</f>
        <v>Consultor</v>
      </c>
      <c r="C40" s="120" t="str">
        <f>IFERROR(__xludf.DUMMYFUNCTION("""COMPUTED_VALUE"""),"NTec")</f>
        <v>NTec</v>
      </c>
      <c r="D40" s="292" t="str">
        <f>IFERROR((COUNTIFS(Base!$V:$V,A40,Base!$S:$S,"&gt;8") - COUNTIFS(Base!$V:$V,A40,Base!$S:$S,"&lt;7"))/COUNTIFS(Base!$V:$V,A40,Base!$S:$S,"&lt;&gt;"),"-")</f>
        <v>-</v>
      </c>
      <c r="E40" s="292" t="str">
        <f>IF(
  (
    COUNTIFS(Base!$W:$W, A40, Base!$S:$S, "&lt;&gt;") +
    COUNTIFS(Base!$X:$X, A40, Base!$S:$S, "&lt;&gt;") +
    COUNTIFS(Base!$Y:$Y, A40, Base!$S:$S, "&lt;&gt;") +
    COUNTIFS(Base!$Z:$Z, A40, Base!$S:$S, "&lt;&gt;")
  ) = 0,
  "-",
  (
    COUNTIFS(Base!$W:$W, A40, Base!$S:$S, "&gt;8") - COUNTIFS(Base!$W:$W, A40, Base!$S:$S, "&lt;7") +
    COUNTIFS(Base!$X:$X, A40, Base!$S:$S, "&gt;8") - COUNTIFS(Base!$X:$X, A40, Base!$S:$S, "&lt;7") +
    COUNTIFS(Base!$Y:$Y, A40, Base!$S:$S, "&gt;8") - COUNTIFS(Base!$Y:$Y, A40, Base!$S:$S, "&lt;7") +
    COUNTIFS(Base!$Z:$Z, A40, Base!$S:$S, "&gt;8") - COUNTIFS(Base!$Z:$Z, A40, Base!$S:$S, "&lt;7")
  ) /
  (
    COUNTIFS(Base!$W:$W, A40, Base!$S:$S, "&lt;&gt;") +
    COUNTIFS(Base!$X:$X, A40, Base!$S:$S, "&lt;&gt;") +
    COUNTIFS(Base!$Y:$Y, A40, Base!$S:$S, "&lt;&gt;") +
    COUNTIFS(Base!$Z:$Z, A40, Base!$S:$S, "&lt;&gt;")
  )
)
</f>
        <v>-</v>
      </c>
      <c r="F40" s="290">
        <f>SUMIFS(Base!$N:$N,Base!$V:$V,A40,Base!$N:$N,"&lt;&gt;")-SUMIFS(Base!$K:$K,Base!$V:$V,A40,Base!$N:$N,"&lt;&gt;")-(SUMIFS(Base!$L:$L,Base!$V:$V,A40,Base!$N:$N,"&lt;&gt;")*7)</f>
        <v>0</v>
      </c>
      <c r="G40" s="290"/>
      <c r="H40" s="290">
        <f>SUMIFS(Base!$F:$F,Base!$V:$V,A40,Base!$N:$N,"&lt;&gt;")*7</f>
        <v>0</v>
      </c>
      <c r="I40" s="290"/>
      <c r="J40" s="292" t="str">
        <f t="shared" ref="J40:K40" si="41">IFERROR(F40/H40,"-")</f>
        <v>-</v>
      </c>
      <c r="K40" s="292" t="str">
        <f t="shared" si="41"/>
        <v>-</v>
      </c>
      <c r="L40" s="292" t="str">
        <f>IFERROR((COUNTIFS(Base!$V:$V,A40,Base!$U:$U,TRUE))/(COUNTIFS(Base!$V:$V,A40,Base!$O:$O,"Finalizado")+COUNTIFS(Base!$V:$V,A40,Base!$O:$O,"Concluído")),"-")</f>
        <v>-</v>
      </c>
      <c r="M40" s="292">
        <f>IF(
  (
    IFERROR(COUNTIF(Base!$W:$W, A40), 0) +
    IFERROR(COUNTIF(Base!$X:$X, A40), 0) +
    IFERROR(COUNTIF(Base!$Y:$Y, A40), 0) +
    IFERROR(COUNTIF(Base!$Z:$Z, A40), 0)
  ) = 0,
  "-",
  IF(
    (
      IFERROR(COUNTIFS(Base!$W:$W, A40, Base!$O:$O, "Finalizado"), 0) +
      IFERROR(COUNTIFS(Base!$W:$W, A40, Base!$O:$O, "Concluído"), 0) +
      IFERROR(COUNTIFS(Base!$X:$X, A40, Base!$O:$O, "Finalizado"), 0) +
      IFERROR(COUNTIFS(Base!$X:$X, A40, Base!$O:$O, "Concluído"), 0) +
      IFERROR(COUNTIFS(Base!$Y:$Y, A40, Base!$O:$O, "Finalizado"), 0) +
      IFERROR(COUNTIFS(Base!$Y:$Y, A40, Base!$O:$O, "Concluído"), 0) +
      IFERROR(COUNTIFS(Base!$Z:$Z, A40, Base!$O:$O, "Finalizado"), 0) +
      IFERROR(COUNTIFS(Base!$Z:$Z, A40, Base!$O:$O, "Concluído"), 0)
    ) = 0,
    "-",
    (
      IFERROR(COUNTIFS(Base!$W:$W, A40, Base!$U:$U, TRUE), 0) +
      IFERROR(COUNTIFS(Base!$X:$X, A40, Base!$U:$U, TRUE), 0) +
      IFERROR(COUNTIFS(Base!$Y:$Y, A40, Base!$U:$U, TRUE), 0) +
      IFERROR(COUNTIFS(Base!$Z:$Z, A40, Base!$U:$U, TRUE), 0)
    ) /
    (
      IFERROR(COUNTIFS(Base!$W:$W, A40, Base!$O:$O, "Finalizado"), 0) +
      IFERROR(COUNTIFS(Base!$W:$W, A40, Base!$O:$O, "Concluído"), 0) +
      IFERROR(COUNTIFS(Base!$X:$X, A40, Base!$O:$O, "Finalizado"), 0) +
      IFERROR(COUNTIFS(Base!$X:$X, A40, Base!$O:$O, "Concluído"), 0) +
      IFERROR(COUNTIFS(Base!$Y:$Y, A40, Base!$O:$O, "Finalizado"), 0) +
      IFERROR(COUNTIFS(Base!$Y:$Y, A40, Base!$O:$O, "Concluído"), 0) +
      IFERROR(COUNTIFS(Base!$Z:$Z, A40, Base!$O:$O, "Finalizado"), 0) +
      IFERROR(COUNTIFS(Base!$Z:$Z, A40, Base!$O:$O, "Concluído"), 0)
    )
  )
)
</f>
        <v>0</v>
      </c>
      <c r="N40" s="120">
        <f>COUNTIF(Base!V:V,$A40)</f>
        <v>0</v>
      </c>
      <c r="O40" s="120">
        <f>COUNTIF(Base!W:W,$A40)</f>
        <v>0</v>
      </c>
      <c r="P40" s="120">
        <f>COUNTIF(Base!X:X,$A40)</f>
        <v>1</v>
      </c>
      <c r="Q40" s="120">
        <f>COUNTIF(Base!Y:Y,$A40)</f>
        <v>0</v>
      </c>
      <c r="R40" s="120">
        <f>COUNTIF(Base!Z:Z,$A40)</f>
        <v>2</v>
      </c>
      <c r="S40" s="120">
        <f t="shared" si="3"/>
        <v>3</v>
      </c>
      <c r="T40" s="120">
        <f t="shared" si="4"/>
        <v>3</v>
      </c>
      <c r="V40" s="293">
        <f>IF(
  (
    COUNTIF('Acompanhamento quinzenal'!$N:$N, A40) +
    COUNTIF('Acompanhamento quinzenal'!$T:$T, A40) +
    COUNTIF('Acompanhamento quinzenal'!$Z:$Z, A40) +
    COUNTIF('Acompanhamento quinzenal'!$AF:$AF, A40)
  ) = 0,
  "-",
  (
    IFERROR(SUMIFS('Acompanhamento quinzenal'!$S:$S, 'Acompanhamento quinzenal'!$N:$N, A40), 0) +
    IFERROR(SUMIFS('Acompanhamento quinzenal'!$Y:$Y, 'Acompanhamento quinzenal'!$T:$T, A40), 0) +
    IFERROR(SUMIFS('Acompanhamento quinzenal'!$AE:$AE, 'Acompanhamento quinzenal'!$Z:$Z, A40), 0) +
    IFERROR(SUMIFS('Acompanhamento quinzenal'!$AK:$AK, 'Acompanhamento quinzenal'!$AF:$AF, A40), 0)
  ) /
  (
    COUNTIF('Acompanhamento quinzenal'!$N:$N, A40) +
    COUNTIF('Acompanhamento quinzenal'!$T:$T, A40) +
    COUNTIF('Acompanhamento quinzenal'!$Z:$Z, A40) +
    COUNTIF('Acompanhamento quinzenal'!$AF:$AF, A40)
  )
)
</f>
        <v>4.888888889</v>
      </c>
      <c r="W40" s="293">
        <f>IF(
  (
    COUNTIF('Acompanhamento quinzenal'!$N:$N, A40) +
    COUNTIF('Acompanhamento quinzenal'!$T:$T, A40) +
    COUNTIF('Acompanhamento quinzenal'!$Z:$Z, A40) +
    COUNTIF('Acompanhamento quinzenal'!$AF:$AF, A40)
  ) = 0,
  "-",
  (
    IFERROR(SUMIFS('Acompanhamento quinzenal'!$O:$O, 'Acompanhamento quinzenal'!$N:$N, A40), 0) +
    IFERROR(SUMIFS('Acompanhamento quinzenal'!$U:$U, 'Acompanhamento quinzenal'!$T:$T, A40), 0) +
    IFERROR(SUMIFS('Acompanhamento quinzenal'!$AA:$AA, 'Acompanhamento quinzenal'!$Z:$Z, A40), 0) +
    IFERROR(SUMIFS('Acompanhamento quinzenal'!$AG:$AG, 'Acompanhamento quinzenal'!$AF:$AF, A40), 0)
  ) /
  (
    COUNTIF('Acompanhamento quinzenal'!$N:$N, A40) +
    COUNTIF('Acompanhamento quinzenal'!$T:$T, A40) +
    COUNTIF('Acompanhamento quinzenal'!$Z:$Z, A40) +
    COUNTIF('Acompanhamento quinzenal'!$AF:$AF, A40)
  )
)
</f>
        <v>5</v>
      </c>
      <c r="X40" s="294">
        <f>IF(
  (
    COUNTIF('Acompanhamento quinzenal'!$N:$N, A40) +
    COUNTIF('Acompanhamento quinzenal'!$T:$T, A40) +
    COUNTIF('Acompanhamento quinzenal'!$Z:$Z, A40) +
    COUNTIF('Acompanhamento quinzenal'!$AF:$AF, A40)
  ) = 0,
  "-",
  (
    IFERROR(SUMIFS('Acompanhamento quinzenal'!$P:$P, 'Acompanhamento quinzenal'!$N:$N, A40), 0) +
    IFERROR(SUMIFS('Acompanhamento quinzenal'!$V:$V, 'Acompanhamento quinzenal'!$T:$T, A40), 0) +
    IFERROR(SUMIFS('Acompanhamento quinzenal'!$AB:$AB, 'Acompanhamento quinzenal'!$Z:$Z, A40), 0) +
    IFERROR(SUMIFS('Acompanhamento quinzenal'!$AH:$AH, 'Acompanhamento quinzenal'!$AF:$AF, A40), 0)
  ) /
  (
    COUNTIF('Acompanhamento quinzenal'!$N:$N, A40) +
    COUNTIF('Acompanhamento quinzenal'!$T:$T, A40) +
    COUNTIF('Acompanhamento quinzenal'!$Z:$Z, A40) +
    COUNTIF('Acompanhamento quinzenal'!$AF:$AF, A40)
  )
)
</f>
        <v>5</v>
      </c>
      <c r="Y40" s="293">
        <f>IF(
  (
    COUNTIF('Acompanhamento quinzenal'!$N:$N, A40) +
    COUNTIF('Acompanhamento quinzenal'!$T:$T, A40) +
    COUNTIF('Acompanhamento quinzenal'!$Z:$Z, A40) +
    COUNTIF('Acompanhamento quinzenal'!$AF:$AF, A40)
  ) = 0,
  "-",
  (
    IFERROR(SUMIFS('Acompanhamento quinzenal'!$Q:$Q, 'Acompanhamento quinzenal'!$N:$N, A40), 0) +
    IFERROR(SUMIFS('Acompanhamento quinzenal'!$W:$W, 'Acompanhamento quinzenal'!$T:$T, A40), 0) +
    IFERROR(SUMIFS('Acompanhamento quinzenal'!$AC:$AC, 'Acompanhamento quinzenal'!$Z:$Z, A40), 0) +
    IFERROR(SUMIFS('Acompanhamento quinzenal'!$AI:$AI, 'Acompanhamento quinzenal'!$AF:$AF, A40), 0)
  ) /
  (
    COUNTIF('Acompanhamento quinzenal'!$N:$N, A40) +
    COUNTIF('Acompanhamento quinzenal'!$T:$T, A40) +
    COUNTIF('Acompanhamento quinzenal'!$Z:$Z, A40) +
    COUNTIF('Acompanhamento quinzenal'!$AF:$AF, A40)
  )
)
</f>
        <v>4.666666667</v>
      </c>
    </row>
    <row r="41" hidden="1">
      <c r="A41" s="291" t="str">
        <f>IFERROR(__xludf.DUMMYFUNCTION("""COMPUTED_VALUE"""),"david.choi")</f>
        <v>david.choi</v>
      </c>
      <c r="B41" s="120" t="str">
        <f>IFERROR(__xludf.DUMMYFUNCTION("""COMPUTED_VALUE"""),"Consultor")</f>
        <v>Consultor</v>
      </c>
      <c r="C41" s="120" t="str">
        <f>IFERROR(__xludf.DUMMYFUNCTION("""COMPUTED_VALUE"""),"NCon")</f>
        <v>NCon</v>
      </c>
      <c r="D41" s="292" t="str">
        <f>IFERROR((COUNTIFS(Base!$V:$V,A41,Base!$S:$S,"&gt;8") - COUNTIFS(Base!$V:$V,A41,Base!$S:$S,"&lt;7"))/COUNTIFS(Base!$V:$V,A41,Base!$S:$S,"&lt;&gt;"),"-")</f>
        <v>-</v>
      </c>
      <c r="E41" s="292">
        <f>IF(
  (
    COUNTIFS(Base!$W:$W, A41, Base!$S:$S, "&lt;&gt;") +
    COUNTIFS(Base!$X:$X, A41, Base!$S:$S, "&lt;&gt;") +
    COUNTIFS(Base!$Y:$Y, A41, Base!$S:$S, "&lt;&gt;") +
    COUNTIFS(Base!$Z:$Z, A41, Base!$S:$S, "&lt;&gt;")
  ) = 0,
  "-",
  (
    COUNTIFS(Base!$W:$W, A41, Base!$S:$S, "&gt;8") - COUNTIFS(Base!$W:$W, A41, Base!$S:$S, "&lt;7") +
    COUNTIFS(Base!$X:$X, A41, Base!$S:$S, "&gt;8") - COUNTIFS(Base!$X:$X, A41, Base!$S:$S, "&lt;7") +
    COUNTIFS(Base!$Y:$Y, A41, Base!$S:$S, "&gt;8") - COUNTIFS(Base!$Y:$Y, A41, Base!$S:$S, "&lt;7") +
    COUNTIFS(Base!$Z:$Z, A41, Base!$S:$S, "&gt;8") - COUNTIFS(Base!$Z:$Z, A41, Base!$S:$S, "&lt;7")
  ) /
  (
    COUNTIFS(Base!$W:$W, A41, Base!$S:$S, "&lt;&gt;") +
    COUNTIFS(Base!$X:$X, A41, Base!$S:$S, "&lt;&gt;") +
    COUNTIFS(Base!$Y:$Y, A41, Base!$S:$S, "&lt;&gt;") +
    COUNTIFS(Base!$Z:$Z, A41, Base!$S:$S, "&lt;&gt;")
  )
)
</f>
        <v>1</v>
      </c>
      <c r="F41" s="290">
        <f>SUMIFS(Base!$N:$N,Base!$V:$V,A41,Base!$N:$N,"&lt;&gt;")-SUMIFS(Base!$K:$K,Base!$V:$V,A41,Base!$N:$N,"&lt;&gt;")-(SUMIFS(Base!$L:$L,Base!$V:$V,A41,Base!$N:$N,"&lt;&gt;")*7)</f>
        <v>0</v>
      </c>
      <c r="G41" s="290"/>
      <c r="H41" s="290">
        <f>SUMIFS(Base!$F:$F,Base!$V:$V,A41,Base!$N:$N,"&lt;&gt;")*7</f>
        <v>0</v>
      </c>
      <c r="I41" s="290"/>
      <c r="J41" s="292" t="str">
        <f t="shared" ref="J41:K41" si="42">IFERROR(F41/H41,"-")</f>
        <v>-</v>
      </c>
      <c r="K41" s="292" t="str">
        <f t="shared" si="42"/>
        <v>-</v>
      </c>
      <c r="L41" s="292" t="str">
        <f>IFERROR((COUNTIFS(Base!$V:$V,A41,Base!$U:$U,TRUE))/(COUNTIFS(Base!$V:$V,A41,Base!$O:$O,"Finalizado")+COUNTIFS(Base!$V:$V,A41,Base!$O:$O,"Concluído")),"-")</f>
        <v>-</v>
      </c>
      <c r="M41" s="292">
        <f>IF(
  (
    IFERROR(COUNTIF(Base!$W:$W, A41), 0) +
    IFERROR(COUNTIF(Base!$X:$X, A41), 0) +
    IFERROR(COUNTIF(Base!$Y:$Y, A41), 0) +
    IFERROR(COUNTIF(Base!$Z:$Z, A41), 0)
  ) = 0,
  "-",
  IF(
    (
      IFERROR(COUNTIFS(Base!$W:$W, A41, Base!$O:$O, "Finalizado"), 0) +
      IFERROR(COUNTIFS(Base!$W:$W, A41, Base!$O:$O, "Concluído"), 0) +
      IFERROR(COUNTIFS(Base!$X:$X, A41, Base!$O:$O, "Finalizado"), 0) +
      IFERROR(COUNTIFS(Base!$X:$X, A41, Base!$O:$O, "Concluído"), 0) +
      IFERROR(COUNTIFS(Base!$Y:$Y, A41, Base!$O:$O, "Finalizado"), 0) +
      IFERROR(COUNTIFS(Base!$Y:$Y, A41, Base!$O:$O, "Concluído"), 0) +
      IFERROR(COUNTIFS(Base!$Z:$Z, A41, Base!$O:$O, "Finalizado"), 0) +
      IFERROR(COUNTIFS(Base!$Z:$Z, A41, Base!$O:$O, "Concluído"), 0)
    ) = 0,
    "-",
    (
      IFERROR(COUNTIFS(Base!$W:$W, A41, Base!$U:$U, TRUE), 0) +
      IFERROR(COUNTIFS(Base!$X:$X, A41, Base!$U:$U, TRUE), 0) +
      IFERROR(COUNTIFS(Base!$Y:$Y, A41, Base!$U:$U, TRUE), 0) +
      IFERROR(COUNTIFS(Base!$Z:$Z, A41, Base!$U:$U, TRUE), 0)
    ) /
    (
      IFERROR(COUNTIFS(Base!$W:$W, A41, Base!$O:$O, "Finalizado"), 0) +
      IFERROR(COUNTIFS(Base!$W:$W, A41, Base!$O:$O, "Concluído"), 0) +
      IFERROR(COUNTIFS(Base!$X:$X, A41, Base!$O:$O, "Finalizado"), 0) +
      IFERROR(COUNTIFS(Base!$X:$X, A41, Base!$O:$O, "Concluído"), 0) +
      IFERROR(COUNTIFS(Base!$Y:$Y, A41, Base!$O:$O, "Finalizado"), 0) +
      IFERROR(COUNTIFS(Base!$Y:$Y, A41, Base!$O:$O, "Concluído"), 0) +
      IFERROR(COUNTIFS(Base!$Z:$Z, A41, Base!$O:$O, "Finalizado"), 0) +
      IFERROR(COUNTIFS(Base!$Z:$Z, A41, Base!$O:$O, "Concluído"), 0)
    )
  )
)
</f>
        <v>0.4</v>
      </c>
      <c r="N41" s="120">
        <f>COUNTIF(Base!V:V,$A41)</f>
        <v>0</v>
      </c>
      <c r="O41" s="120">
        <f>COUNTIF(Base!W:W,$A41)</f>
        <v>4</v>
      </c>
      <c r="P41" s="120">
        <f>COUNTIF(Base!X:X,$A41)</f>
        <v>1</v>
      </c>
      <c r="Q41" s="120">
        <f>COUNTIF(Base!Y:Y,$A41)</f>
        <v>2</v>
      </c>
      <c r="R41" s="120">
        <f>COUNTIF(Base!Z:Z,$A41)</f>
        <v>0</v>
      </c>
      <c r="S41" s="120">
        <f t="shared" si="3"/>
        <v>7</v>
      </c>
      <c r="T41" s="120">
        <f t="shared" si="4"/>
        <v>7</v>
      </c>
      <c r="V41" s="293">
        <f>IF(
  (
    COUNTIF('Acompanhamento quinzenal'!$N:$N, A41) +
    COUNTIF('Acompanhamento quinzenal'!$T:$T, A41) +
    COUNTIF('Acompanhamento quinzenal'!$Z:$Z, A41) +
    COUNTIF('Acompanhamento quinzenal'!$AF:$AF, A41)
  ) = 0,
  "-",
  (
    IFERROR(SUMIFS('Acompanhamento quinzenal'!$S:$S, 'Acompanhamento quinzenal'!$N:$N, A41), 0) +
    IFERROR(SUMIFS('Acompanhamento quinzenal'!$Y:$Y, 'Acompanhamento quinzenal'!$T:$T, A41), 0) +
    IFERROR(SUMIFS('Acompanhamento quinzenal'!$AE:$AE, 'Acompanhamento quinzenal'!$Z:$Z, A41), 0) +
    IFERROR(SUMIFS('Acompanhamento quinzenal'!$AK:$AK, 'Acompanhamento quinzenal'!$AF:$AF, A41), 0)
  ) /
  (
    COUNTIF('Acompanhamento quinzenal'!$N:$N, A41) +
    COUNTIF('Acompanhamento quinzenal'!$T:$T, A41) +
    COUNTIF('Acompanhamento quinzenal'!$Z:$Z, A41) +
    COUNTIF('Acompanhamento quinzenal'!$AF:$AF, A41)
  )
)
</f>
        <v>2.25</v>
      </c>
      <c r="W41" s="293">
        <f>IF(
  (
    COUNTIF('Acompanhamento quinzenal'!$N:$N, A41) +
    COUNTIF('Acompanhamento quinzenal'!$T:$T, A41) +
    COUNTIF('Acompanhamento quinzenal'!$Z:$Z, A41) +
    COUNTIF('Acompanhamento quinzenal'!$AF:$AF, A41)
  ) = 0,
  "-",
  (
    IFERROR(SUMIFS('Acompanhamento quinzenal'!$O:$O, 'Acompanhamento quinzenal'!$N:$N, A41), 0) +
    IFERROR(SUMIFS('Acompanhamento quinzenal'!$U:$U, 'Acompanhamento quinzenal'!$T:$T, A41), 0) +
    IFERROR(SUMIFS('Acompanhamento quinzenal'!$AA:$AA, 'Acompanhamento quinzenal'!$Z:$Z, A41), 0) +
    IFERROR(SUMIFS('Acompanhamento quinzenal'!$AG:$AG, 'Acompanhamento quinzenal'!$AF:$AF, A41), 0)
  ) /
  (
    COUNTIF('Acompanhamento quinzenal'!$N:$N, A41) +
    COUNTIF('Acompanhamento quinzenal'!$T:$T, A41) +
    COUNTIF('Acompanhamento quinzenal'!$Z:$Z, A41) +
    COUNTIF('Acompanhamento quinzenal'!$AF:$AF, A41)
  )
)
</f>
        <v>3.75</v>
      </c>
      <c r="X41" s="294">
        <f>IF(
  (
    COUNTIF('Acompanhamento quinzenal'!$N:$N, A41) +
    COUNTIF('Acompanhamento quinzenal'!$T:$T, A41) +
    COUNTIF('Acompanhamento quinzenal'!$Z:$Z, A41) +
    COUNTIF('Acompanhamento quinzenal'!$AF:$AF, A41)
  ) = 0,
  "-",
  (
    IFERROR(SUMIFS('Acompanhamento quinzenal'!$P:$P, 'Acompanhamento quinzenal'!$N:$N, A41), 0) +
    IFERROR(SUMIFS('Acompanhamento quinzenal'!$V:$V, 'Acompanhamento quinzenal'!$T:$T, A41), 0) +
    IFERROR(SUMIFS('Acompanhamento quinzenal'!$AB:$AB, 'Acompanhamento quinzenal'!$Z:$Z, A41), 0) +
    IFERROR(SUMIFS('Acompanhamento quinzenal'!$AH:$AH, 'Acompanhamento quinzenal'!$AF:$AF, A41), 0)
  ) /
  (
    COUNTIF('Acompanhamento quinzenal'!$N:$N, A41) +
    COUNTIF('Acompanhamento quinzenal'!$T:$T, A41) +
    COUNTIF('Acompanhamento quinzenal'!$Z:$Z, A41) +
    COUNTIF('Acompanhamento quinzenal'!$AF:$AF, A41)
  )
)
</f>
        <v>2.75</v>
      </c>
      <c r="Y41" s="293">
        <f>IF(
  (
    COUNTIF('Acompanhamento quinzenal'!$N:$N, A41) +
    COUNTIF('Acompanhamento quinzenal'!$T:$T, A41) +
    COUNTIF('Acompanhamento quinzenal'!$Z:$Z, A41) +
    COUNTIF('Acompanhamento quinzenal'!$AF:$AF, A41)
  ) = 0,
  "-",
  (
    IFERROR(SUMIFS('Acompanhamento quinzenal'!$Q:$Q, 'Acompanhamento quinzenal'!$N:$N, A41), 0) +
    IFERROR(SUMIFS('Acompanhamento quinzenal'!$W:$W, 'Acompanhamento quinzenal'!$T:$T, A41), 0) +
    IFERROR(SUMIFS('Acompanhamento quinzenal'!$AC:$AC, 'Acompanhamento quinzenal'!$Z:$Z, A41), 0) +
    IFERROR(SUMIFS('Acompanhamento quinzenal'!$AI:$AI, 'Acompanhamento quinzenal'!$AF:$AF, A41), 0)
  ) /
  (
    COUNTIF('Acompanhamento quinzenal'!$N:$N, A41) +
    COUNTIF('Acompanhamento quinzenal'!$T:$T, A41) +
    COUNTIF('Acompanhamento quinzenal'!$Z:$Z, A41) +
    COUNTIF('Acompanhamento quinzenal'!$AF:$AF, A41)
  )
)
</f>
        <v>2.25</v>
      </c>
    </row>
    <row r="42">
      <c r="A42" s="291" t="str">
        <f>IFERROR(__xludf.DUMMYFUNCTION("""COMPUTED_VALUE"""),"david.aguina")</f>
        <v>david.aguina</v>
      </c>
      <c r="B42" s="120" t="str">
        <f>IFERROR(__xludf.DUMMYFUNCTION("""COMPUTED_VALUE"""),"Trainee")</f>
        <v>Trainee</v>
      </c>
      <c r="C42" s="120" t="str">
        <f>IFERROR(__xludf.DUMMYFUNCTION("""COMPUTED_VALUE"""),"NDados")</f>
        <v>NDados</v>
      </c>
      <c r="D42" s="292" t="str">
        <f>IFERROR((COUNTIFS(Base!$V:$V,A42,Base!$S:$S,"&gt;8") - COUNTIFS(Base!$V:$V,A42,Base!$S:$S,"&lt;7"))/COUNTIFS(Base!$V:$V,A42,Base!$S:$S,"&lt;&gt;"),"-")</f>
        <v>-</v>
      </c>
      <c r="E42" s="292" t="str">
        <f>IF(
  (
    COUNTIFS(Base!$W:$W, A42, Base!$S:$S, "&lt;&gt;") +
    COUNTIFS(Base!$X:$X, A42, Base!$S:$S, "&lt;&gt;") +
    COUNTIFS(Base!$Y:$Y, A42, Base!$S:$S, "&lt;&gt;") +
    COUNTIFS(Base!$Z:$Z, A42, Base!$S:$S, "&lt;&gt;")
  ) = 0,
  "-",
  (
    COUNTIFS(Base!$W:$W, A42, Base!$S:$S, "&gt;8") - COUNTIFS(Base!$W:$W, A42, Base!$S:$S, "&lt;7") +
    COUNTIFS(Base!$X:$X, A42, Base!$S:$S, "&gt;8") - COUNTIFS(Base!$X:$X, A42, Base!$S:$S, "&lt;7") +
    COUNTIFS(Base!$Y:$Y, A42, Base!$S:$S, "&gt;8") - COUNTIFS(Base!$Y:$Y, A42, Base!$S:$S, "&lt;7") +
    COUNTIFS(Base!$Z:$Z, A42, Base!$S:$S, "&gt;8") - COUNTIFS(Base!$Z:$Z, A42, Base!$S:$S, "&lt;7")
  ) /
  (
    COUNTIFS(Base!$W:$W, A42, Base!$S:$S, "&lt;&gt;") +
    COUNTIFS(Base!$X:$X, A42, Base!$S:$S, "&lt;&gt;") +
    COUNTIFS(Base!$Y:$Y, A42, Base!$S:$S, "&lt;&gt;") +
    COUNTIFS(Base!$Z:$Z, A42, Base!$S:$S, "&lt;&gt;")
  )
)
</f>
        <v>-</v>
      </c>
      <c r="F42" s="290">
        <f>SUMIFS(Base!$N:$N,Base!$V:$V,A42,Base!$N:$N,"&lt;&gt;")-SUMIFS(Base!$K:$K,Base!$V:$V,A42,Base!$N:$N,"&lt;&gt;")-(SUMIFS(Base!$L:$L,Base!$V:$V,A42,Base!$N:$N,"&lt;&gt;")*7)</f>
        <v>0</v>
      </c>
      <c r="G42" s="290"/>
      <c r="H42" s="290">
        <f>SUMIFS(Base!$F:$F,Base!$V:$V,A42,Base!$N:$N,"&lt;&gt;")*7</f>
        <v>0</v>
      </c>
      <c r="I42" s="290"/>
      <c r="J42" s="292" t="str">
        <f t="shared" ref="J42:K42" si="43">IFERROR(F42/H42,"-")</f>
        <v>-</v>
      </c>
      <c r="K42" s="292" t="str">
        <f t="shared" si="43"/>
        <v>-</v>
      </c>
      <c r="L42" s="292" t="str">
        <f>IFERROR((COUNTIFS(Base!$V:$V,A42,Base!$U:$U,TRUE))/(COUNTIFS(Base!$V:$V,A42,Base!$O:$O,"Finalizado")+COUNTIFS(Base!$V:$V,A42,Base!$O:$O,"Concluído")),"-")</f>
        <v>-</v>
      </c>
      <c r="M42" s="292" t="str">
        <f>IF(
  (
    IFERROR(COUNTIF(Base!$W:$W, A42), 0) +
    IFERROR(COUNTIF(Base!$X:$X, A42), 0) +
    IFERROR(COUNTIF(Base!$Y:$Y, A42), 0) +
    IFERROR(COUNTIF(Base!$Z:$Z, A42), 0)
  ) = 0,
  "-",
  IF(
    (
      IFERROR(COUNTIFS(Base!$W:$W, A42, Base!$O:$O, "Finalizado"), 0) +
      IFERROR(COUNTIFS(Base!$W:$W, A42, Base!$O:$O, "Concluído"), 0) +
      IFERROR(COUNTIFS(Base!$X:$X, A42, Base!$O:$O, "Finalizado"), 0) +
      IFERROR(COUNTIFS(Base!$X:$X, A42, Base!$O:$O, "Concluído"), 0) +
      IFERROR(COUNTIFS(Base!$Y:$Y, A42, Base!$O:$O, "Finalizado"), 0) +
      IFERROR(COUNTIFS(Base!$Y:$Y, A42, Base!$O:$O, "Concluído"), 0) +
      IFERROR(COUNTIFS(Base!$Z:$Z, A42, Base!$O:$O, "Finalizado"), 0) +
      IFERROR(COUNTIFS(Base!$Z:$Z, A42, Base!$O:$O, "Concluído"), 0)
    ) = 0,
    "-",
    (
      IFERROR(COUNTIFS(Base!$W:$W, A42, Base!$U:$U, TRUE), 0) +
      IFERROR(COUNTIFS(Base!$X:$X, A42, Base!$U:$U, TRUE), 0) +
      IFERROR(COUNTIFS(Base!$Y:$Y, A42, Base!$U:$U, TRUE), 0) +
      IFERROR(COUNTIFS(Base!$Z:$Z, A42, Base!$U:$U, TRUE), 0)
    ) /
    (
      IFERROR(COUNTIFS(Base!$W:$W, A42, Base!$O:$O, "Finalizado"), 0) +
      IFERROR(COUNTIFS(Base!$W:$W, A42, Base!$O:$O, "Concluído"), 0) +
      IFERROR(COUNTIFS(Base!$X:$X, A42, Base!$O:$O, "Finalizado"), 0) +
      IFERROR(COUNTIFS(Base!$X:$X, A42, Base!$O:$O, "Concluído"), 0) +
      IFERROR(COUNTIFS(Base!$Y:$Y, A42, Base!$O:$O, "Finalizado"), 0) +
      IFERROR(COUNTIFS(Base!$Y:$Y, A42, Base!$O:$O, "Concluído"), 0) +
      IFERROR(COUNTIFS(Base!$Z:$Z, A42, Base!$O:$O, "Finalizado"), 0) +
      IFERROR(COUNTIFS(Base!$Z:$Z, A42, Base!$O:$O, "Concluído"), 0)
    )
  )
)
</f>
        <v>-</v>
      </c>
      <c r="N42" s="120">
        <f>COUNTIF(Base!V:V,$A42)</f>
        <v>0</v>
      </c>
      <c r="O42" s="120">
        <f>COUNTIF(Base!W:W,$A42)</f>
        <v>1</v>
      </c>
      <c r="P42" s="120">
        <f>COUNTIF(Base!X:X,$A42)</f>
        <v>0</v>
      </c>
      <c r="Q42" s="120">
        <f>COUNTIF(Base!Y:Y,$A42)</f>
        <v>0</v>
      </c>
      <c r="R42" s="120">
        <f>COUNTIF(Base!Z:Z,$A42)</f>
        <v>0</v>
      </c>
      <c r="S42" s="120">
        <f t="shared" si="3"/>
        <v>1</v>
      </c>
      <c r="T42" s="120">
        <f t="shared" si="4"/>
        <v>1</v>
      </c>
      <c r="V42" s="293" t="str">
        <f>IF(
  (
    COUNTIF('Acompanhamento quinzenal'!$N:$N, A42) +
    COUNTIF('Acompanhamento quinzenal'!$T:$T, A42) +
    COUNTIF('Acompanhamento quinzenal'!$Z:$Z, A42) +
    COUNTIF('Acompanhamento quinzenal'!$AF:$AF, A42)
  ) = 0,
  "-",
  (
    IFERROR(SUMIFS('Acompanhamento quinzenal'!$S:$S, 'Acompanhamento quinzenal'!$N:$N, A42), 0) +
    IFERROR(SUMIFS('Acompanhamento quinzenal'!$Y:$Y, 'Acompanhamento quinzenal'!$T:$T, A42), 0) +
    IFERROR(SUMIFS('Acompanhamento quinzenal'!$AE:$AE, 'Acompanhamento quinzenal'!$Z:$Z, A42), 0) +
    IFERROR(SUMIFS('Acompanhamento quinzenal'!$AK:$AK, 'Acompanhamento quinzenal'!$AF:$AF, A42), 0)
  ) /
  (
    COUNTIF('Acompanhamento quinzenal'!$N:$N, A42) +
    COUNTIF('Acompanhamento quinzenal'!$T:$T, A42) +
    COUNTIF('Acompanhamento quinzenal'!$Z:$Z, A42) +
    COUNTIF('Acompanhamento quinzenal'!$AF:$AF, A42)
  )
)
</f>
        <v>-</v>
      </c>
      <c r="W42" s="293" t="str">
        <f>IF(
  (
    COUNTIF('Acompanhamento quinzenal'!$N:$N, A42) +
    COUNTIF('Acompanhamento quinzenal'!$T:$T, A42) +
    COUNTIF('Acompanhamento quinzenal'!$Z:$Z, A42) +
    COUNTIF('Acompanhamento quinzenal'!$AF:$AF, A42)
  ) = 0,
  "-",
  (
    IFERROR(SUMIFS('Acompanhamento quinzenal'!$O:$O, 'Acompanhamento quinzenal'!$N:$N, A42), 0) +
    IFERROR(SUMIFS('Acompanhamento quinzenal'!$U:$U, 'Acompanhamento quinzenal'!$T:$T, A42), 0) +
    IFERROR(SUMIFS('Acompanhamento quinzenal'!$AA:$AA, 'Acompanhamento quinzenal'!$Z:$Z, A42), 0) +
    IFERROR(SUMIFS('Acompanhamento quinzenal'!$AG:$AG, 'Acompanhamento quinzenal'!$AF:$AF, A42), 0)
  ) /
  (
    COUNTIF('Acompanhamento quinzenal'!$N:$N, A42) +
    COUNTIF('Acompanhamento quinzenal'!$T:$T, A42) +
    COUNTIF('Acompanhamento quinzenal'!$Z:$Z, A42) +
    COUNTIF('Acompanhamento quinzenal'!$AF:$AF, A42)
  )
)
</f>
        <v>-</v>
      </c>
      <c r="X42" s="294" t="str">
        <f>IF(
  (
    COUNTIF('Acompanhamento quinzenal'!$N:$N, A42) +
    COUNTIF('Acompanhamento quinzenal'!$T:$T, A42) +
    COUNTIF('Acompanhamento quinzenal'!$Z:$Z, A42) +
    COUNTIF('Acompanhamento quinzenal'!$AF:$AF, A42)
  ) = 0,
  "-",
  (
    IFERROR(SUMIFS('Acompanhamento quinzenal'!$P:$P, 'Acompanhamento quinzenal'!$N:$N, A42), 0) +
    IFERROR(SUMIFS('Acompanhamento quinzenal'!$V:$V, 'Acompanhamento quinzenal'!$T:$T, A42), 0) +
    IFERROR(SUMIFS('Acompanhamento quinzenal'!$AB:$AB, 'Acompanhamento quinzenal'!$Z:$Z, A42), 0) +
    IFERROR(SUMIFS('Acompanhamento quinzenal'!$AH:$AH, 'Acompanhamento quinzenal'!$AF:$AF, A42), 0)
  ) /
  (
    COUNTIF('Acompanhamento quinzenal'!$N:$N, A42) +
    COUNTIF('Acompanhamento quinzenal'!$T:$T, A42) +
    COUNTIF('Acompanhamento quinzenal'!$Z:$Z, A42) +
    COUNTIF('Acompanhamento quinzenal'!$AF:$AF, A42)
  )
)
</f>
        <v>-</v>
      </c>
      <c r="Y42" s="293" t="str">
        <f>IF(
  (
    COUNTIF('Acompanhamento quinzenal'!$N:$N, A42) +
    COUNTIF('Acompanhamento quinzenal'!$T:$T, A42) +
    COUNTIF('Acompanhamento quinzenal'!$Z:$Z, A42) +
    COUNTIF('Acompanhamento quinzenal'!$AF:$AF, A42)
  ) = 0,
  "-",
  (
    IFERROR(SUMIFS('Acompanhamento quinzenal'!$Q:$Q, 'Acompanhamento quinzenal'!$N:$N, A42), 0) +
    IFERROR(SUMIFS('Acompanhamento quinzenal'!$W:$W, 'Acompanhamento quinzenal'!$T:$T, A42), 0) +
    IFERROR(SUMIFS('Acompanhamento quinzenal'!$AC:$AC, 'Acompanhamento quinzenal'!$Z:$Z, A42), 0) +
    IFERROR(SUMIFS('Acompanhamento quinzenal'!$AI:$AI, 'Acompanhamento quinzenal'!$AF:$AF, A42), 0)
  ) /
  (
    COUNTIF('Acompanhamento quinzenal'!$N:$N, A42) +
    COUNTIF('Acompanhamento quinzenal'!$T:$T, A42) +
    COUNTIF('Acompanhamento quinzenal'!$Z:$Z, A42) +
    COUNTIF('Acompanhamento quinzenal'!$AF:$AF, A42)
  )
)
</f>
        <v>-</v>
      </c>
    </row>
    <row r="43" hidden="1">
      <c r="A43" s="291" t="str">
        <f>IFERROR(__xludf.DUMMYFUNCTION("""COMPUTED_VALUE"""),"diego.nozawa")</f>
        <v>diego.nozawa</v>
      </c>
      <c r="B43" s="120" t="str">
        <f>IFERROR(__xludf.DUMMYFUNCTION("""COMPUTED_VALUE"""),"Trainee")</f>
        <v>Trainee</v>
      </c>
      <c r="C43" s="120" t="str">
        <f>IFERROR(__xludf.DUMMYFUNCTION("""COMPUTED_VALUE"""),"NCon")</f>
        <v>NCon</v>
      </c>
      <c r="D43" s="292" t="str">
        <f>IFERROR((COUNTIFS(Base!$V:$V,A43,Base!$S:$S,"&gt;8") - COUNTIFS(Base!$V:$V,A43,Base!$S:$S,"&lt;7"))/COUNTIFS(Base!$V:$V,A43,Base!$S:$S,"&lt;&gt;"),"-")</f>
        <v>-</v>
      </c>
      <c r="E43" s="292" t="str">
        <f>IF(
  (
    COUNTIFS(Base!$W:$W, A43, Base!$S:$S, "&lt;&gt;") +
    COUNTIFS(Base!$X:$X, A43, Base!$S:$S, "&lt;&gt;") +
    COUNTIFS(Base!$Y:$Y, A43, Base!$S:$S, "&lt;&gt;") +
    COUNTIFS(Base!$Z:$Z, A43, Base!$S:$S, "&lt;&gt;")
  ) = 0,
  "-",
  (
    COUNTIFS(Base!$W:$W, A43, Base!$S:$S, "&gt;8") - COUNTIFS(Base!$W:$W, A43, Base!$S:$S, "&lt;7") +
    COUNTIFS(Base!$X:$X, A43, Base!$S:$S, "&gt;8") - COUNTIFS(Base!$X:$X, A43, Base!$S:$S, "&lt;7") +
    COUNTIFS(Base!$Y:$Y, A43, Base!$S:$S, "&gt;8") - COUNTIFS(Base!$Y:$Y, A43, Base!$S:$S, "&lt;7") +
    COUNTIFS(Base!$Z:$Z, A43, Base!$S:$S, "&gt;8") - COUNTIFS(Base!$Z:$Z, A43, Base!$S:$S, "&lt;7")
  ) /
  (
    COUNTIFS(Base!$W:$W, A43, Base!$S:$S, "&lt;&gt;") +
    COUNTIFS(Base!$X:$X, A43, Base!$S:$S, "&lt;&gt;") +
    COUNTIFS(Base!$Y:$Y, A43, Base!$S:$S, "&lt;&gt;") +
    COUNTIFS(Base!$Z:$Z, A43, Base!$S:$S, "&lt;&gt;")
  )
)
</f>
        <v>-</v>
      </c>
      <c r="F43" s="290">
        <f>SUMIFS(Base!$N:$N,Base!$V:$V,A43,Base!$N:$N,"&lt;&gt;")-SUMIFS(Base!$K:$K,Base!$V:$V,A43,Base!$N:$N,"&lt;&gt;")-(SUMIFS(Base!$L:$L,Base!$V:$V,A43,Base!$N:$N,"&lt;&gt;")*7)</f>
        <v>0</v>
      </c>
      <c r="G43" s="290"/>
      <c r="H43" s="290">
        <f>SUMIFS(Base!$F:$F,Base!$V:$V,A43,Base!$N:$N,"&lt;&gt;")*7</f>
        <v>0</v>
      </c>
      <c r="I43" s="290"/>
      <c r="J43" s="292" t="str">
        <f t="shared" ref="J43:K43" si="44">IFERROR(F43/H43,"-")</f>
        <v>-</v>
      </c>
      <c r="K43" s="292" t="str">
        <f t="shared" si="44"/>
        <v>-</v>
      </c>
      <c r="L43" s="292" t="str">
        <f>IFERROR((COUNTIFS(Base!$V:$V,A43,Base!$U:$U,TRUE))/(COUNTIFS(Base!$V:$V,A43,Base!$O:$O,"Finalizado")+COUNTIFS(Base!$V:$V,A43,Base!$O:$O,"Concluído")),"-")</f>
        <v>-</v>
      </c>
      <c r="M43" s="292" t="str">
        <f>IF(
  (
    IFERROR(COUNTIF(Base!$W:$W, A43), 0) +
    IFERROR(COUNTIF(Base!$X:$X, A43), 0) +
    IFERROR(COUNTIF(Base!$Y:$Y, A43), 0) +
    IFERROR(COUNTIF(Base!$Z:$Z, A43), 0)
  ) = 0,
  "-",
  IF(
    (
      IFERROR(COUNTIFS(Base!$W:$W, A43, Base!$O:$O, "Finalizado"), 0) +
      IFERROR(COUNTIFS(Base!$W:$W, A43, Base!$O:$O, "Concluído"), 0) +
      IFERROR(COUNTIFS(Base!$X:$X, A43, Base!$O:$O, "Finalizado"), 0) +
      IFERROR(COUNTIFS(Base!$X:$X, A43, Base!$O:$O, "Concluído"), 0) +
      IFERROR(COUNTIFS(Base!$Y:$Y, A43, Base!$O:$O, "Finalizado"), 0) +
      IFERROR(COUNTIFS(Base!$Y:$Y, A43, Base!$O:$O, "Concluído"), 0) +
      IFERROR(COUNTIFS(Base!$Z:$Z, A43, Base!$O:$O, "Finalizado"), 0) +
      IFERROR(COUNTIFS(Base!$Z:$Z, A43, Base!$O:$O, "Concluído"), 0)
    ) = 0,
    "-",
    (
      IFERROR(COUNTIFS(Base!$W:$W, A43, Base!$U:$U, TRUE), 0) +
      IFERROR(COUNTIFS(Base!$X:$X, A43, Base!$U:$U, TRUE), 0) +
      IFERROR(COUNTIFS(Base!$Y:$Y, A43, Base!$U:$U, TRUE), 0) +
      IFERROR(COUNTIFS(Base!$Z:$Z, A43, Base!$U:$U, TRUE), 0)
    ) /
    (
      IFERROR(COUNTIFS(Base!$W:$W, A43, Base!$O:$O, "Finalizado"), 0) +
      IFERROR(COUNTIFS(Base!$W:$W, A43, Base!$O:$O, "Concluído"), 0) +
      IFERROR(COUNTIFS(Base!$X:$X, A43, Base!$O:$O, "Finalizado"), 0) +
      IFERROR(COUNTIFS(Base!$X:$X, A43, Base!$O:$O, "Concluído"), 0) +
      IFERROR(COUNTIFS(Base!$Y:$Y, A43, Base!$O:$O, "Finalizado"), 0) +
      IFERROR(COUNTIFS(Base!$Y:$Y, A43, Base!$O:$O, "Concluído"), 0) +
      IFERROR(COUNTIFS(Base!$Z:$Z, A43, Base!$O:$O, "Finalizado"), 0) +
      IFERROR(COUNTIFS(Base!$Z:$Z, A43, Base!$O:$O, "Concluído"), 0)
    )
  )
)
</f>
        <v>-</v>
      </c>
      <c r="N43" s="120">
        <f>COUNTIF(Base!V:V,$A43)</f>
        <v>0</v>
      </c>
      <c r="O43" s="120">
        <f>COUNTIF(Base!W:W,$A43)</f>
        <v>1</v>
      </c>
      <c r="P43" s="120">
        <f>COUNTIF(Base!X:X,$A43)</f>
        <v>0</v>
      </c>
      <c r="Q43" s="120">
        <f>COUNTIF(Base!Y:Y,$A43)</f>
        <v>1</v>
      </c>
      <c r="R43" s="120">
        <f>COUNTIF(Base!Z:Z,$A43)</f>
        <v>0</v>
      </c>
      <c r="S43" s="120">
        <f t="shared" si="3"/>
        <v>2</v>
      </c>
      <c r="T43" s="120">
        <f t="shared" si="4"/>
        <v>2</v>
      </c>
      <c r="V43" s="293">
        <f>IF(
  (
    COUNTIF('Acompanhamento quinzenal'!$N:$N, A43) +
    COUNTIF('Acompanhamento quinzenal'!$T:$T, A43) +
    COUNTIF('Acompanhamento quinzenal'!$Z:$Z, A43) +
    COUNTIF('Acompanhamento quinzenal'!$AF:$AF, A43)
  ) = 0,
  "-",
  (
    IFERROR(SUMIFS('Acompanhamento quinzenal'!$S:$S, 'Acompanhamento quinzenal'!$N:$N, A43), 0) +
    IFERROR(SUMIFS('Acompanhamento quinzenal'!$Y:$Y, 'Acompanhamento quinzenal'!$T:$T, A43), 0) +
    IFERROR(SUMIFS('Acompanhamento quinzenal'!$AE:$AE, 'Acompanhamento quinzenal'!$Z:$Z, A43), 0) +
    IFERROR(SUMIFS('Acompanhamento quinzenal'!$AK:$AK, 'Acompanhamento quinzenal'!$AF:$AF, A43), 0)
  ) /
  (
    COUNTIF('Acompanhamento quinzenal'!$N:$N, A43) +
    COUNTIF('Acompanhamento quinzenal'!$T:$T, A43) +
    COUNTIF('Acompanhamento quinzenal'!$Z:$Z, A43) +
    COUNTIF('Acompanhamento quinzenal'!$AF:$AF, A43)
  )
)
</f>
        <v>3.555555556</v>
      </c>
      <c r="W43" s="293">
        <f>IF(
  (
    COUNTIF('Acompanhamento quinzenal'!$N:$N, A43) +
    COUNTIF('Acompanhamento quinzenal'!$T:$T, A43) +
    COUNTIF('Acompanhamento quinzenal'!$Z:$Z, A43) +
    COUNTIF('Acompanhamento quinzenal'!$AF:$AF, A43)
  ) = 0,
  "-",
  (
    IFERROR(SUMIFS('Acompanhamento quinzenal'!$O:$O, 'Acompanhamento quinzenal'!$N:$N, A43), 0) +
    IFERROR(SUMIFS('Acompanhamento quinzenal'!$U:$U, 'Acompanhamento quinzenal'!$T:$T, A43), 0) +
    IFERROR(SUMIFS('Acompanhamento quinzenal'!$AA:$AA, 'Acompanhamento quinzenal'!$Z:$Z, A43), 0) +
    IFERROR(SUMIFS('Acompanhamento quinzenal'!$AG:$AG, 'Acompanhamento quinzenal'!$AF:$AF, A43), 0)
  ) /
  (
    COUNTIF('Acompanhamento quinzenal'!$N:$N, A43) +
    COUNTIF('Acompanhamento quinzenal'!$T:$T, A43) +
    COUNTIF('Acompanhamento quinzenal'!$Z:$Z, A43) +
    COUNTIF('Acompanhamento quinzenal'!$AF:$AF, A43)
  )
)
</f>
        <v>3.333333333</v>
      </c>
      <c r="X43" s="294">
        <f>IF(
  (
    COUNTIF('Acompanhamento quinzenal'!$N:$N, A43) +
    COUNTIF('Acompanhamento quinzenal'!$T:$T, A43) +
    COUNTIF('Acompanhamento quinzenal'!$Z:$Z, A43) +
    COUNTIF('Acompanhamento quinzenal'!$AF:$AF, A43)
  ) = 0,
  "-",
  (
    IFERROR(SUMIFS('Acompanhamento quinzenal'!$P:$P, 'Acompanhamento quinzenal'!$N:$N, A43), 0) +
    IFERROR(SUMIFS('Acompanhamento quinzenal'!$V:$V, 'Acompanhamento quinzenal'!$T:$T, A43), 0) +
    IFERROR(SUMIFS('Acompanhamento quinzenal'!$AB:$AB, 'Acompanhamento quinzenal'!$Z:$Z, A43), 0) +
    IFERROR(SUMIFS('Acompanhamento quinzenal'!$AH:$AH, 'Acompanhamento quinzenal'!$AF:$AF, A43), 0)
  ) /
  (
    COUNTIF('Acompanhamento quinzenal'!$N:$N, A43) +
    COUNTIF('Acompanhamento quinzenal'!$T:$T, A43) +
    COUNTIF('Acompanhamento quinzenal'!$Z:$Z, A43) +
    COUNTIF('Acompanhamento quinzenal'!$AF:$AF, A43)
  )
)
</f>
        <v>4</v>
      </c>
      <c r="Y43" s="293">
        <f>IF(
  (
    COUNTIF('Acompanhamento quinzenal'!$N:$N, A43) +
    COUNTIF('Acompanhamento quinzenal'!$T:$T, A43) +
    COUNTIF('Acompanhamento quinzenal'!$Z:$Z, A43) +
    COUNTIF('Acompanhamento quinzenal'!$AF:$AF, A43)
  ) = 0,
  "-",
  (
    IFERROR(SUMIFS('Acompanhamento quinzenal'!$Q:$Q, 'Acompanhamento quinzenal'!$N:$N, A43), 0) +
    IFERROR(SUMIFS('Acompanhamento quinzenal'!$W:$W, 'Acompanhamento quinzenal'!$T:$T, A43), 0) +
    IFERROR(SUMIFS('Acompanhamento quinzenal'!$AC:$AC, 'Acompanhamento quinzenal'!$Z:$Z, A43), 0) +
    IFERROR(SUMIFS('Acompanhamento quinzenal'!$AI:$AI, 'Acompanhamento quinzenal'!$AF:$AF, A43), 0)
  ) /
  (
    COUNTIF('Acompanhamento quinzenal'!$N:$N, A43) +
    COUNTIF('Acompanhamento quinzenal'!$T:$T, A43) +
    COUNTIF('Acompanhamento quinzenal'!$Z:$Z, A43) +
    COUNTIF('Acompanhamento quinzenal'!$AF:$AF, A43)
  )
)
</f>
        <v>3.333333333</v>
      </c>
    </row>
    <row r="44">
      <c r="A44" s="291" t="str">
        <f>IFERROR(__xludf.DUMMYFUNCTION("""COMPUTED_VALUE"""),"diogo.kenzo")</f>
        <v>diogo.kenzo</v>
      </c>
      <c r="B44" s="120" t="str">
        <f>IFERROR(__xludf.DUMMYFUNCTION("""COMPUTED_VALUE"""),"Trainee")</f>
        <v>Trainee</v>
      </c>
      <c r="C44" s="120" t="str">
        <f>IFERROR(__xludf.DUMMYFUNCTION("""COMPUTED_VALUE"""),"NDados")</f>
        <v>NDados</v>
      </c>
      <c r="D44" s="292" t="str">
        <f>IFERROR((COUNTIFS(Base!$V:$V,A44,Base!$S:$S,"&gt;8") - COUNTIFS(Base!$V:$V,A44,Base!$S:$S,"&lt;7"))/COUNTIFS(Base!$V:$V,A44,Base!$S:$S,"&lt;&gt;"),"-")</f>
        <v>-</v>
      </c>
      <c r="E44" s="292" t="str">
        <f>IF(
  (
    COUNTIFS(Base!$W:$W, A44, Base!$S:$S, "&lt;&gt;") +
    COUNTIFS(Base!$X:$X, A44, Base!$S:$S, "&lt;&gt;") +
    COUNTIFS(Base!$Y:$Y, A44, Base!$S:$S, "&lt;&gt;") +
    COUNTIFS(Base!$Z:$Z, A44, Base!$S:$S, "&lt;&gt;")
  ) = 0,
  "-",
  (
    COUNTIFS(Base!$W:$W, A44, Base!$S:$S, "&gt;8") - COUNTIFS(Base!$W:$W, A44, Base!$S:$S, "&lt;7") +
    COUNTIFS(Base!$X:$X, A44, Base!$S:$S, "&gt;8") - COUNTIFS(Base!$X:$X, A44, Base!$S:$S, "&lt;7") +
    COUNTIFS(Base!$Y:$Y, A44, Base!$S:$S, "&gt;8") - COUNTIFS(Base!$Y:$Y, A44, Base!$S:$S, "&lt;7") +
    COUNTIFS(Base!$Z:$Z, A44, Base!$S:$S, "&gt;8") - COUNTIFS(Base!$Z:$Z, A44, Base!$S:$S, "&lt;7")
  ) /
  (
    COUNTIFS(Base!$W:$W, A44, Base!$S:$S, "&lt;&gt;") +
    COUNTIFS(Base!$X:$X, A44, Base!$S:$S, "&lt;&gt;") +
    COUNTIFS(Base!$Y:$Y, A44, Base!$S:$S, "&lt;&gt;") +
    COUNTIFS(Base!$Z:$Z, A44, Base!$S:$S, "&lt;&gt;")
  )
)
</f>
        <v>-</v>
      </c>
      <c r="F44" s="290">
        <f>SUMIFS(Base!$N:$N,Base!$V:$V,A44,Base!$N:$N,"&lt;&gt;")-SUMIFS(Base!$K:$K,Base!$V:$V,A44,Base!$N:$N,"&lt;&gt;")-(SUMIFS(Base!$L:$L,Base!$V:$V,A44,Base!$N:$N,"&lt;&gt;")*7)</f>
        <v>0</v>
      </c>
      <c r="G44" s="290"/>
      <c r="H44" s="290">
        <f>SUMIFS(Base!$F:$F,Base!$V:$V,A44,Base!$N:$N,"&lt;&gt;")*7</f>
        <v>0</v>
      </c>
      <c r="I44" s="290"/>
      <c r="J44" s="292" t="str">
        <f t="shared" ref="J44:K44" si="45">IFERROR(F44/H44,"-")</f>
        <v>-</v>
      </c>
      <c r="K44" s="292" t="str">
        <f t="shared" si="45"/>
        <v>-</v>
      </c>
      <c r="L44" s="292" t="str">
        <f>IFERROR((COUNTIFS(Base!$V:$V,A44,Base!$U:$U,TRUE))/(COUNTIFS(Base!$V:$V,A44,Base!$O:$O,"Finalizado")+COUNTIFS(Base!$V:$V,A44,Base!$O:$O,"Concluído")),"-")</f>
        <v>-</v>
      </c>
      <c r="M44" s="292" t="str">
        <f>IF(
  (
    IFERROR(COUNTIF(Base!$W:$W, A44), 0) +
    IFERROR(COUNTIF(Base!$X:$X, A44), 0) +
    IFERROR(COUNTIF(Base!$Y:$Y, A44), 0) +
    IFERROR(COUNTIF(Base!$Z:$Z, A44), 0)
  ) = 0,
  "-",
  IF(
    (
      IFERROR(COUNTIFS(Base!$W:$W, A44, Base!$O:$O, "Finalizado"), 0) +
      IFERROR(COUNTIFS(Base!$W:$W, A44, Base!$O:$O, "Concluído"), 0) +
      IFERROR(COUNTIFS(Base!$X:$X, A44, Base!$O:$O, "Finalizado"), 0) +
      IFERROR(COUNTIFS(Base!$X:$X, A44, Base!$O:$O, "Concluído"), 0) +
      IFERROR(COUNTIFS(Base!$Y:$Y, A44, Base!$O:$O, "Finalizado"), 0) +
      IFERROR(COUNTIFS(Base!$Y:$Y, A44, Base!$O:$O, "Concluído"), 0) +
      IFERROR(COUNTIFS(Base!$Z:$Z, A44, Base!$O:$O, "Finalizado"), 0) +
      IFERROR(COUNTIFS(Base!$Z:$Z, A44, Base!$O:$O, "Concluído"), 0)
    ) = 0,
    "-",
    (
      IFERROR(COUNTIFS(Base!$W:$W, A44, Base!$U:$U, TRUE), 0) +
      IFERROR(COUNTIFS(Base!$X:$X, A44, Base!$U:$U, TRUE), 0) +
      IFERROR(COUNTIFS(Base!$Y:$Y, A44, Base!$U:$U, TRUE), 0) +
      IFERROR(COUNTIFS(Base!$Z:$Z, A44, Base!$U:$U, TRUE), 0)
    ) /
    (
      IFERROR(COUNTIFS(Base!$W:$W, A44, Base!$O:$O, "Finalizado"), 0) +
      IFERROR(COUNTIFS(Base!$W:$W, A44, Base!$O:$O, "Concluído"), 0) +
      IFERROR(COUNTIFS(Base!$X:$X, A44, Base!$O:$O, "Finalizado"), 0) +
      IFERROR(COUNTIFS(Base!$X:$X, A44, Base!$O:$O, "Concluído"), 0) +
      IFERROR(COUNTIFS(Base!$Y:$Y, A44, Base!$O:$O, "Finalizado"), 0) +
      IFERROR(COUNTIFS(Base!$Y:$Y, A44, Base!$O:$O, "Concluído"), 0) +
      IFERROR(COUNTIFS(Base!$Z:$Z, A44, Base!$O:$O, "Finalizado"), 0) +
      IFERROR(COUNTIFS(Base!$Z:$Z, A44, Base!$O:$O, "Concluído"), 0)
    )
  )
)
</f>
        <v>-</v>
      </c>
      <c r="N44" s="120">
        <f>COUNTIF(Base!V:V,$A44)</f>
        <v>0</v>
      </c>
      <c r="O44" s="120">
        <f>COUNTIF(Base!W:W,$A44)</f>
        <v>1</v>
      </c>
      <c r="P44" s="120">
        <f>COUNTIF(Base!X:X,$A44)</f>
        <v>1</v>
      </c>
      <c r="Q44" s="120">
        <f>COUNTIF(Base!Y:Y,$A44)</f>
        <v>0</v>
      </c>
      <c r="R44" s="120">
        <f>COUNTIF(Base!Z:Z,$A44)</f>
        <v>0</v>
      </c>
      <c r="S44" s="120">
        <f t="shared" si="3"/>
        <v>2</v>
      </c>
      <c r="T44" s="120">
        <f t="shared" si="4"/>
        <v>2</v>
      </c>
      <c r="V44" s="293" t="str">
        <f>IF(
  (
    COUNTIF('Acompanhamento quinzenal'!$N:$N, A44) +
    COUNTIF('Acompanhamento quinzenal'!$T:$T, A44) +
    COUNTIF('Acompanhamento quinzenal'!$Z:$Z, A44) +
    COUNTIF('Acompanhamento quinzenal'!$AF:$AF, A44)
  ) = 0,
  "-",
  (
    IFERROR(SUMIFS('Acompanhamento quinzenal'!$S:$S, 'Acompanhamento quinzenal'!$N:$N, A44), 0) +
    IFERROR(SUMIFS('Acompanhamento quinzenal'!$Y:$Y, 'Acompanhamento quinzenal'!$T:$T, A44), 0) +
    IFERROR(SUMIFS('Acompanhamento quinzenal'!$AE:$AE, 'Acompanhamento quinzenal'!$Z:$Z, A44), 0) +
    IFERROR(SUMIFS('Acompanhamento quinzenal'!$AK:$AK, 'Acompanhamento quinzenal'!$AF:$AF, A44), 0)
  ) /
  (
    COUNTIF('Acompanhamento quinzenal'!$N:$N, A44) +
    COUNTIF('Acompanhamento quinzenal'!$T:$T, A44) +
    COUNTIF('Acompanhamento quinzenal'!$Z:$Z, A44) +
    COUNTIF('Acompanhamento quinzenal'!$AF:$AF, A44)
  )
)
</f>
        <v>-</v>
      </c>
      <c r="W44" s="293" t="str">
        <f>IF(
  (
    COUNTIF('Acompanhamento quinzenal'!$N:$N, A44) +
    COUNTIF('Acompanhamento quinzenal'!$T:$T, A44) +
    COUNTIF('Acompanhamento quinzenal'!$Z:$Z, A44) +
    COUNTIF('Acompanhamento quinzenal'!$AF:$AF, A44)
  ) = 0,
  "-",
  (
    IFERROR(SUMIFS('Acompanhamento quinzenal'!$O:$O, 'Acompanhamento quinzenal'!$N:$N, A44), 0) +
    IFERROR(SUMIFS('Acompanhamento quinzenal'!$U:$U, 'Acompanhamento quinzenal'!$T:$T, A44), 0) +
    IFERROR(SUMIFS('Acompanhamento quinzenal'!$AA:$AA, 'Acompanhamento quinzenal'!$Z:$Z, A44), 0) +
    IFERROR(SUMIFS('Acompanhamento quinzenal'!$AG:$AG, 'Acompanhamento quinzenal'!$AF:$AF, A44), 0)
  ) /
  (
    COUNTIF('Acompanhamento quinzenal'!$N:$N, A44) +
    COUNTIF('Acompanhamento quinzenal'!$T:$T, A44) +
    COUNTIF('Acompanhamento quinzenal'!$Z:$Z, A44) +
    COUNTIF('Acompanhamento quinzenal'!$AF:$AF, A44)
  )
)
</f>
        <v>-</v>
      </c>
      <c r="X44" s="294" t="str">
        <f>IF(
  (
    COUNTIF('Acompanhamento quinzenal'!$N:$N, A44) +
    COUNTIF('Acompanhamento quinzenal'!$T:$T, A44) +
    COUNTIF('Acompanhamento quinzenal'!$Z:$Z, A44) +
    COUNTIF('Acompanhamento quinzenal'!$AF:$AF, A44)
  ) = 0,
  "-",
  (
    IFERROR(SUMIFS('Acompanhamento quinzenal'!$P:$P, 'Acompanhamento quinzenal'!$N:$N, A44), 0) +
    IFERROR(SUMIFS('Acompanhamento quinzenal'!$V:$V, 'Acompanhamento quinzenal'!$T:$T, A44), 0) +
    IFERROR(SUMIFS('Acompanhamento quinzenal'!$AB:$AB, 'Acompanhamento quinzenal'!$Z:$Z, A44), 0) +
    IFERROR(SUMIFS('Acompanhamento quinzenal'!$AH:$AH, 'Acompanhamento quinzenal'!$AF:$AF, A44), 0)
  ) /
  (
    COUNTIF('Acompanhamento quinzenal'!$N:$N, A44) +
    COUNTIF('Acompanhamento quinzenal'!$T:$T, A44) +
    COUNTIF('Acompanhamento quinzenal'!$Z:$Z, A44) +
    COUNTIF('Acompanhamento quinzenal'!$AF:$AF, A44)
  )
)
</f>
        <v>-</v>
      </c>
      <c r="Y44" s="293" t="str">
        <f>IF(
  (
    COUNTIF('Acompanhamento quinzenal'!$N:$N, A44) +
    COUNTIF('Acompanhamento quinzenal'!$T:$T, A44) +
    COUNTIF('Acompanhamento quinzenal'!$Z:$Z, A44) +
    COUNTIF('Acompanhamento quinzenal'!$AF:$AF, A44)
  ) = 0,
  "-",
  (
    IFERROR(SUMIFS('Acompanhamento quinzenal'!$Q:$Q, 'Acompanhamento quinzenal'!$N:$N, A44), 0) +
    IFERROR(SUMIFS('Acompanhamento quinzenal'!$W:$W, 'Acompanhamento quinzenal'!$T:$T, A44), 0) +
    IFERROR(SUMIFS('Acompanhamento quinzenal'!$AC:$AC, 'Acompanhamento quinzenal'!$Z:$Z, A44), 0) +
    IFERROR(SUMIFS('Acompanhamento quinzenal'!$AI:$AI, 'Acompanhamento quinzenal'!$AF:$AF, A44), 0)
  ) /
  (
    COUNTIF('Acompanhamento quinzenal'!$N:$N, A44) +
    COUNTIF('Acompanhamento quinzenal'!$T:$T, A44) +
    COUNTIF('Acompanhamento quinzenal'!$Z:$Z, A44) +
    COUNTIF('Acompanhamento quinzenal'!$AF:$AF, A44)
  )
)
</f>
        <v>-</v>
      </c>
    </row>
    <row r="45" hidden="1">
      <c r="A45" s="291" t="str">
        <f>IFERROR(__xludf.DUMMYFUNCTION("""COMPUTED_VALUE"""),"eduardo.goncalves")</f>
        <v>eduardo.goncalves</v>
      </c>
      <c r="B45" s="120" t="str">
        <f>IFERROR(__xludf.DUMMYFUNCTION("""COMPUTED_VALUE"""),"Consultor")</f>
        <v>Consultor</v>
      </c>
      <c r="C45" s="120" t="str">
        <f>IFERROR(__xludf.DUMMYFUNCTION("""COMPUTED_VALUE"""),"WI")</f>
        <v>WI</v>
      </c>
      <c r="D45" s="292" t="str">
        <f>IFERROR((COUNTIFS(Base!$V:$V,A45,Base!$S:$S,"&gt;8") - COUNTIFS(Base!$V:$V,A45,Base!$S:$S,"&lt;7"))/COUNTIFS(Base!$V:$V,A45,Base!$S:$S,"&lt;&gt;"),"-")</f>
        <v>-</v>
      </c>
      <c r="E45" s="292" t="str">
        <f>IF(
  (
    COUNTIFS(Base!$W:$W, A45, Base!$S:$S, "&lt;&gt;") +
    COUNTIFS(Base!$X:$X, A45, Base!$S:$S, "&lt;&gt;") +
    COUNTIFS(Base!$Y:$Y, A45, Base!$S:$S, "&lt;&gt;") +
    COUNTIFS(Base!$Z:$Z, A45, Base!$S:$S, "&lt;&gt;")
  ) = 0,
  "-",
  (
    COUNTIFS(Base!$W:$W, A45, Base!$S:$S, "&gt;8") - COUNTIFS(Base!$W:$W, A45, Base!$S:$S, "&lt;7") +
    COUNTIFS(Base!$X:$X, A45, Base!$S:$S, "&gt;8") - COUNTIFS(Base!$X:$X, A45, Base!$S:$S, "&lt;7") +
    COUNTIFS(Base!$Y:$Y, A45, Base!$S:$S, "&gt;8") - COUNTIFS(Base!$Y:$Y, A45, Base!$S:$S, "&lt;7") +
    COUNTIFS(Base!$Z:$Z, A45, Base!$S:$S, "&gt;8") - COUNTIFS(Base!$Z:$Z, A45, Base!$S:$S, "&lt;7")
  ) /
  (
    COUNTIFS(Base!$W:$W, A45, Base!$S:$S, "&lt;&gt;") +
    COUNTIFS(Base!$X:$X, A45, Base!$S:$S, "&lt;&gt;") +
    COUNTIFS(Base!$Y:$Y, A45, Base!$S:$S, "&lt;&gt;") +
    COUNTIFS(Base!$Z:$Z, A45, Base!$S:$S, "&lt;&gt;")
  )
)
</f>
        <v>-</v>
      </c>
      <c r="F45" s="290">
        <f>SUMIFS(Base!$N:$N,Base!$V:$V,A45,Base!$N:$N,"&lt;&gt;")-SUMIFS(Base!$K:$K,Base!$V:$V,A45,Base!$N:$N,"&lt;&gt;")-(SUMIFS(Base!$L:$L,Base!$V:$V,A45,Base!$N:$N,"&lt;&gt;")*7)</f>
        <v>0</v>
      </c>
      <c r="G45" s="290"/>
      <c r="H45" s="290">
        <f>SUMIFS(Base!$F:$F,Base!$V:$V,A45,Base!$N:$N,"&lt;&gt;")*7</f>
        <v>0</v>
      </c>
      <c r="I45" s="290"/>
      <c r="J45" s="292" t="str">
        <f t="shared" ref="J45:K45" si="46">IFERROR(F45/H45,"-")</f>
        <v>-</v>
      </c>
      <c r="K45" s="292" t="str">
        <f t="shared" si="46"/>
        <v>-</v>
      </c>
      <c r="L45" s="292" t="str">
        <f>IFERROR((COUNTIFS(Base!$V:$V,A45,Base!$U:$U,TRUE))/(COUNTIFS(Base!$V:$V,A45,Base!$O:$O,"Finalizado")+COUNTIFS(Base!$V:$V,A45,Base!$O:$O,"Concluído")),"-")</f>
        <v>-</v>
      </c>
      <c r="M45" s="292">
        <f>IF(
  (
    IFERROR(COUNTIF(Base!$W:$W, A45), 0) +
    IFERROR(COUNTIF(Base!$X:$X, A45), 0) +
    IFERROR(COUNTIF(Base!$Y:$Y, A45), 0) +
    IFERROR(COUNTIF(Base!$Z:$Z, A45), 0)
  ) = 0,
  "-",
  IF(
    (
      IFERROR(COUNTIFS(Base!$W:$W, A45, Base!$O:$O, "Finalizado"), 0) +
      IFERROR(COUNTIFS(Base!$W:$W, A45, Base!$O:$O, "Concluído"), 0) +
      IFERROR(COUNTIFS(Base!$X:$X, A45, Base!$O:$O, "Finalizado"), 0) +
      IFERROR(COUNTIFS(Base!$X:$X, A45, Base!$O:$O, "Concluído"), 0) +
      IFERROR(COUNTIFS(Base!$Y:$Y, A45, Base!$O:$O, "Finalizado"), 0) +
      IFERROR(COUNTIFS(Base!$Y:$Y, A45, Base!$O:$O, "Concluído"), 0) +
      IFERROR(COUNTIFS(Base!$Z:$Z, A45, Base!$O:$O, "Finalizado"), 0) +
      IFERROR(COUNTIFS(Base!$Z:$Z, A45, Base!$O:$O, "Concluído"), 0)
    ) = 0,
    "-",
    (
      IFERROR(COUNTIFS(Base!$W:$W, A45, Base!$U:$U, TRUE), 0) +
      IFERROR(COUNTIFS(Base!$X:$X, A45, Base!$U:$U, TRUE), 0) +
      IFERROR(COUNTIFS(Base!$Y:$Y, A45, Base!$U:$U, TRUE), 0) +
      IFERROR(COUNTIFS(Base!$Z:$Z, A45, Base!$U:$U, TRUE), 0)
    ) /
    (
      IFERROR(COUNTIFS(Base!$W:$W, A45, Base!$O:$O, "Finalizado"), 0) +
      IFERROR(COUNTIFS(Base!$W:$W, A45, Base!$O:$O, "Concluído"), 0) +
      IFERROR(COUNTIFS(Base!$X:$X, A45, Base!$O:$O, "Finalizado"), 0) +
      IFERROR(COUNTIFS(Base!$X:$X, A45, Base!$O:$O, "Concluído"), 0) +
      IFERROR(COUNTIFS(Base!$Y:$Y, A45, Base!$O:$O, "Finalizado"), 0) +
      IFERROR(COUNTIFS(Base!$Y:$Y, A45, Base!$O:$O, "Concluído"), 0) +
      IFERROR(COUNTIFS(Base!$Z:$Z, A45, Base!$O:$O, "Finalizado"), 0) +
      IFERROR(COUNTIFS(Base!$Z:$Z, A45, Base!$O:$O, "Concluído"), 0)
    )
  )
)
</f>
        <v>0</v>
      </c>
      <c r="N45" s="120">
        <f>COUNTIF(Base!V:V,$A45)</f>
        <v>0</v>
      </c>
      <c r="O45" s="120">
        <f>COUNTIF(Base!W:W,$A45)</f>
        <v>2</v>
      </c>
      <c r="P45" s="120">
        <f>COUNTIF(Base!X:X,$A45)</f>
        <v>1</v>
      </c>
      <c r="Q45" s="120">
        <f>COUNTIF(Base!Y:Y,$A45)</f>
        <v>0</v>
      </c>
      <c r="R45" s="120">
        <f>COUNTIF(Base!Z:Z,$A45)</f>
        <v>0</v>
      </c>
      <c r="S45" s="120">
        <f t="shared" si="3"/>
        <v>3</v>
      </c>
      <c r="T45" s="120">
        <f t="shared" si="4"/>
        <v>3</v>
      </c>
      <c r="V45" s="293">
        <f>IF(
  (
    COUNTIF('Acompanhamento quinzenal'!$N:$N, A45) +
    COUNTIF('Acompanhamento quinzenal'!$T:$T, A45) +
    COUNTIF('Acompanhamento quinzenal'!$Z:$Z, A45) +
    COUNTIF('Acompanhamento quinzenal'!$AF:$AF, A45)
  ) = 0,
  "-",
  (
    IFERROR(SUMIFS('Acompanhamento quinzenal'!$S:$S, 'Acompanhamento quinzenal'!$N:$N, A45), 0) +
    IFERROR(SUMIFS('Acompanhamento quinzenal'!$Y:$Y, 'Acompanhamento quinzenal'!$T:$T, A45), 0) +
    IFERROR(SUMIFS('Acompanhamento quinzenal'!$AE:$AE, 'Acompanhamento quinzenal'!$Z:$Z, A45), 0) +
    IFERROR(SUMIFS('Acompanhamento quinzenal'!$AK:$AK, 'Acompanhamento quinzenal'!$AF:$AF, A45), 0)
  ) /
  (
    COUNTIF('Acompanhamento quinzenal'!$N:$N, A45) +
    COUNTIF('Acompanhamento quinzenal'!$T:$T, A45) +
    COUNTIF('Acompanhamento quinzenal'!$Z:$Z, A45) +
    COUNTIF('Acompanhamento quinzenal'!$AF:$AF, A45)
  )
)
</f>
        <v>3.833333333</v>
      </c>
      <c r="W45" s="293">
        <f>IF(
  (
    COUNTIF('Acompanhamento quinzenal'!$N:$N, A45) +
    COUNTIF('Acompanhamento quinzenal'!$T:$T, A45) +
    COUNTIF('Acompanhamento quinzenal'!$Z:$Z, A45) +
    COUNTIF('Acompanhamento quinzenal'!$AF:$AF, A45)
  ) = 0,
  "-",
  (
    IFERROR(SUMIFS('Acompanhamento quinzenal'!$O:$O, 'Acompanhamento quinzenal'!$N:$N, A45), 0) +
    IFERROR(SUMIFS('Acompanhamento quinzenal'!$U:$U, 'Acompanhamento quinzenal'!$T:$T, A45), 0) +
    IFERROR(SUMIFS('Acompanhamento quinzenal'!$AA:$AA, 'Acompanhamento quinzenal'!$Z:$Z, A45), 0) +
    IFERROR(SUMIFS('Acompanhamento quinzenal'!$AG:$AG, 'Acompanhamento quinzenal'!$AF:$AF, A45), 0)
  ) /
  (
    COUNTIF('Acompanhamento quinzenal'!$N:$N, A45) +
    COUNTIF('Acompanhamento quinzenal'!$T:$T, A45) +
    COUNTIF('Acompanhamento quinzenal'!$Z:$Z, A45) +
    COUNTIF('Acompanhamento quinzenal'!$AF:$AF, A45)
  )
)
</f>
        <v>4</v>
      </c>
      <c r="X45" s="294">
        <f>IF(
  (
    COUNTIF('Acompanhamento quinzenal'!$N:$N, A45) +
    COUNTIF('Acompanhamento quinzenal'!$T:$T, A45) +
    COUNTIF('Acompanhamento quinzenal'!$Z:$Z, A45) +
    COUNTIF('Acompanhamento quinzenal'!$AF:$AF, A45)
  ) = 0,
  "-",
  (
    IFERROR(SUMIFS('Acompanhamento quinzenal'!$P:$P, 'Acompanhamento quinzenal'!$N:$N, A45), 0) +
    IFERROR(SUMIFS('Acompanhamento quinzenal'!$V:$V, 'Acompanhamento quinzenal'!$T:$T, A45), 0) +
    IFERROR(SUMIFS('Acompanhamento quinzenal'!$AB:$AB, 'Acompanhamento quinzenal'!$Z:$Z, A45), 0) +
    IFERROR(SUMIFS('Acompanhamento quinzenal'!$AH:$AH, 'Acompanhamento quinzenal'!$AF:$AF, A45), 0)
  ) /
  (
    COUNTIF('Acompanhamento quinzenal'!$N:$N, A45) +
    COUNTIF('Acompanhamento quinzenal'!$T:$T, A45) +
    COUNTIF('Acompanhamento quinzenal'!$Z:$Z, A45) +
    COUNTIF('Acompanhamento quinzenal'!$AF:$AF, A45)
  )
)
</f>
        <v>4</v>
      </c>
      <c r="Y45" s="293">
        <f>IF(
  (
    COUNTIF('Acompanhamento quinzenal'!$N:$N, A45) +
    COUNTIF('Acompanhamento quinzenal'!$T:$T, A45) +
    COUNTIF('Acompanhamento quinzenal'!$Z:$Z, A45) +
    COUNTIF('Acompanhamento quinzenal'!$AF:$AF, A45)
  ) = 0,
  "-",
  (
    IFERROR(SUMIFS('Acompanhamento quinzenal'!$Q:$Q, 'Acompanhamento quinzenal'!$N:$N, A45), 0) +
    IFERROR(SUMIFS('Acompanhamento quinzenal'!$W:$W, 'Acompanhamento quinzenal'!$T:$T, A45), 0) +
    IFERROR(SUMIFS('Acompanhamento quinzenal'!$AC:$AC, 'Acompanhamento quinzenal'!$Z:$Z, A45), 0) +
    IFERROR(SUMIFS('Acompanhamento quinzenal'!$AI:$AI, 'Acompanhamento quinzenal'!$AF:$AF, A45), 0)
  ) /
  (
    COUNTIF('Acompanhamento quinzenal'!$N:$N, A45) +
    COUNTIF('Acompanhamento quinzenal'!$T:$T, A45) +
    COUNTIF('Acompanhamento quinzenal'!$Z:$Z, A45) +
    COUNTIF('Acompanhamento quinzenal'!$AF:$AF, A45)
  )
)
</f>
        <v>3.5</v>
      </c>
    </row>
    <row r="46" hidden="1">
      <c r="A46" s="291" t="str">
        <f>IFERROR(__xludf.DUMMYFUNCTION("""COMPUTED_VALUE"""),"eduardo.lindenberg")</f>
        <v>eduardo.lindenberg</v>
      </c>
      <c r="B46" s="120" t="str">
        <f>IFERROR(__xludf.DUMMYFUNCTION("""COMPUTED_VALUE"""),"Trainee")</f>
        <v>Trainee</v>
      </c>
      <c r="C46" s="120" t="str">
        <f>IFERROR(__xludf.DUMMYFUNCTION("""COMPUTED_VALUE"""),"NCon")</f>
        <v>NCon</v>
      </c>
      <c r="D46" s="292" t="str">
        <f>IFERROR((COUNTIFS(Base!$V:$V,A46,Base!$S:$S,"&gt;8") - COUNTIFS(Base!$V:$V,A46,Base!$S:$S,"&lt;7"))/COUNTIFS(Base!$V:$V,A46,Base!$S:$S,"&lt;&gt;"),"-")</f>
        <v>-</v>
      </c>
      <c r="E46" s="292" t="str">
        <f>IF(
  (
    COUNTIFS(Base!$W:$W, A46, Base!$S:$S, "&lt;&gt;") +
    COUNTIFS(Base!$X:$X, A46, Base!$S:$S, "&lt;&gt;") +
    COUNTIFS(Base!$Y:$Y, A46, Base!$S:$S, "&lt;&gt;") +
    COUNTIFS(Base!$Z:$Z, A46, Base!$S:$S, "&lt;&gt;")
  ) = 0,
  "-",
  (
    COUNTIFS(Base!$W:$W, A46, Base!$S:$S, "&gt;8") - COUNTIFS(Base!$W:$W, A46, Base!$S:$S, "&lt;7") +
    COUNTIFS(Base!$X:$X, A46, Base!$S:$S, "&gt;8") - COUNTIFS(Base!$X:$X, A46, Base!$S:$S, "&lt;7") +
    COUNTIFS(Base!$Y:$Y, A46, Base!$S:$S, "&gt;8") - COUNTIFS(Base!$Y:$Y, A46, Base!$S:$S, "&lt;7") +
    COUNTIFS(Base!$Z:$Z, A46, Base!$S:$S, "&gt;8") - COUNTIFS(Base!$Z:$Z, A46, Base!$S:$S, "&lt;7")
  ) /
  (
    COUNTIFS(Base!$W:$W, A46, Base!$S:$S, "&lt;&gt;") +
    COUNTIFS(Base!$X:$X, A46, Base!$S:$S, "&lt;&gt;") +
    COUNTIFS(Base!$Y:$Y, A46, Base!$S:$S, "&lt;&gt;") +
    COUNTIFS(Base!$Z:$Z, A46, Base!$S:$S, "&lt;&gt;")
  )
)
</f>
        <v>-</v>
      </c>
      <c r="F46" s="290">
        <f>SUMIFS(Base!$N:$N,Base!$V:$V,A46,Base!$N:$N,"&lt;&gt;")-SUMIFS(Base!$K:$K,Base!$V:$V,A46,Base!$N:$N,"&lt;&gt;")-(SUMIFS(Base!$L:$L,Base!$V:$V,A46,Base!$N:$N,"&lt;&gt;")*7)</f>
        <v>0</v>
      </c>
      <c r="G46" s="290"/>
      <c r="H46" s="290">
        <f>SUMIFS(Base!$F:$F,Base!$V:$V,A46,Base!$N:$N,"&lt;&gt;")*7</f>
        <v>0</v>
      </c>
      <c r="I46" s="290"/>
      <c r="J46" s="292" t="str">
        <f t="shared" ref="J46:K46" si="47">IFERROR(F46/H46,"-")</f>
        <v>-</v>
      </c>
      <c r="K46" s="292" t="str">
        <f t="shared" si="47"/>
        <v>-</v>
      </c>
      <c r="L46" s="292" t="str">
        <f>IFERROR((COUNTIFS(Base!$V:$V,A46,Base!$U:$U,TRUE))/(COUNTIFS(Base!$V:$V,A46,Base!$O:$O,"Finalizado")+COUNTIFS(Base!$V:$V,A46,Base!$O:$O,"Concluído")),"-")</f>
        <v>-</v>
      </c>
      <c r="M46" s="292" t="str">
        <f>IF(
  (
    IFERROR(COUNTIF(Base!$W:$W, A46), 0) +
    IFERROR(COUNTIF(Base!$X:$X, A46), 0) +
    IFERROR(COUNTIF(Base!$Y:$Y, A46), 0) +
    IFERROR(COUNTIF(Base!$Z:$Z, A46), 0)
  ) = 0,
  "-",
  IF(
    (
      IFERROR(COUNTIFS(Base!$W:$W, A46, Base!$O:$O, "Finalizado"), 0) +
      IFERROR(COUNTIFS(Base!$W:$W, A46, Base!$O:$O, "Concluído"), 0) +
      IFERROR(COUNTIFS(Base!$X:$X, A46, Base!$O:$O, "Finalizado"), 0) +
      IFERROR(COUNTIFS(Base!$X:$X, A46, Base!$O:$O, "Concluído"), 0) +
      IFERROR(COUNTIFS(Base!$Y:$Y, A46, Base!$O:$O, "Finalizado"), 0) +
      IFERROR(COUNTIFS(Base!$Y:$Y, A46, Base!$O:$O, "Concluído"), 0) +
      IFERROR(COUNTIFS(Base!$Z:$Z, A46, Base!$O:$O, "Finalizado"), 0) +
      IFERROR(COUNTIFS(Base!$Z:$Z, A46, Base!$O:$O, "Concluído"), 0)
    ) = 0,
    "-",
    (
      IFERROR(COUNTIFS(Base!$W:$W, A46, Base!$U:$U, TRUE), 0) +
      IFERROR(COUNTIFS(Base!$X:$X, A46, Base!$U:$U, TRUE), 0) +
      IFERROR(COUNTIFS(Base!$Y:$Y, A46, Base!$U:$U, TRUE), 0) +
      IFERROR(COUNTIFS(Base!$Z:$Z, A46, Base!$U:$U, TRUE), 0)
    ) /
    (
      IFERROR(COUNTIFS(Base!$W:$W, A46, Base!$O:$O, "Finalizado"), 0) +
      IFERROR(COUNTIFS(Base!$W:$W, A46, Base!$O:$O, "Concluído"), 0) +
      IFERROR(COUNTIFS(Base!$X:$X, A46, Base!$O:$O, "Finalizado"), 0) +
      IFERROR(COUNTIFS(Base!$X:$X, A46, Base!$O:$O, "Concluído"), 0) +
      IFERROR(COUNTIFS(Base!$Y:$Y, A46, Base!$O:$O, "Finalizado"), 0) +
      IFERROR(COUNTIFS(Base!$Y:$Y, A46, Base!$O:$O, "Concluído"), 0) +
      IFERROR(COUNTIFS(Base!$Z:$Z, A46, Base!$O:$O, "Finalizado"), 0) +
      IFERROR(COUNTIFS(Base!$Z:$Z, A46, Base!$O:$O, "Concluído"), 0)
    )
  )
)
</f>
        <v>-</v>
      </c>
      <c r="N46" s="120">
        <f>COUNTIF(Base!V:V,$A46)</f>
        <v>0</v>
      </c>
      <c r="O46" s="120">
        <f>COUNTIF(Base!W:W,$A46)</f>
        <v>1</v>
      </c>
      <c r="P46" s="120">
        <f>COUNTIF(Base!X:X,$A46)</f>
        <v>2</v>
      </c>
      <c r="Q46" s="120">
        <f>COUNTIF(Base!Y:Y,$A46)</f>
        <v>0</v>
      </c>
      <c r="R46" s="120">
        <f>COUNTIF(Base!Z:Z,$A46)</f>
        <v>0</v>
      </c>
      <c r="S46" s="120">
        <f t="shared" si="3"/>
        <v>3</v>
      </c>
      <c r="T46" s="120">
        <f t="shared" si="4"/>
        <v>3</v>
      </c>
      <c r="V46" s="293">
        <f>IF(
  (
    COUNTIF('Acompanhamento quinzenal'!$N:$N, A46) +
    COUNTIF('Acompanhamento quinzenal'!$T:$T, A46) +
    COUNTIF('Acompanhamento quinzenal'!$Z:$Z, A46) +
    COUNTIF('Acompanhamento quinzenal'!$AF:$AF, A46)
  ) = 0,
  "-",
  (
    IFERROR(SUMIFS('Acompanhamento quinzenal'!$S:$S, 'Acompanhamento quinzenal'!$N:$N, A46), 0) +
    IFERROR(SUMIFS('Acompanhamento quinzenal'!$Y:$Y, 'Acompanhamento quinzenal'!$T:$T, A46), 0) +
    IFERROR(SUMIFS('Acompanhamento quinzenal'!$AE:$AE, 'Acompanhamento quinzenal'!$Z:$Z, A46), 0) +
    IFERROR(SUMIFS('Acompanhamento quinzenal'!$AK:$AK, 'Acompanhamento quinzenal'!$AF:$AF, A46), 0)
  ) /
  (
    COUNTIF('Acompanhamento quinzenal'!$N:$N, A46) +
    COUNTIF('Acompanhamento quinzenal'!$T:$T, A46) +
    COUNTIF('Acompanhamento quinzenal'!$Z:$Z, A46) +
    COUNTIF('Acompanhamento quinzenal'!$AF:$AF, A46)
  )
)
</f>
        <v>0</v>
      </c>
      <c r="W46" s="293">
        <f>IF(
  (
    COUNTIF('Acompanhamento quinzenal'!$N:$N, A46) +
    COUNTIF('Acompanhamento quinzenal'!$T:$T, A46) +
    COUNTIF('Acompanhamento quinzenal'!$Z:$Z, A46) +
    COUNTIF('Acompanhamento quinzenal'!$AF:$AF, A46)
  ) = 0,
  "-",
  (
    IFERROR(SUMIFS('Acompanhamento quinzenal'!$O:$O, 'Acompanhamento quinzenal'!$N:$N, A46), 0) +
    IFERROR(SUMIFS('Acompanhamento quinzenal'!$U:$U, 'Acompanhamento quinzenal'!$T:$T, A46), 0) +
    IFERROR(SUMIFS('Acompanhamento quinzenal'!$AA:$AA, 'Acompanhamento quinzenal'!$Z:$Z, A46), 0) +
    IFERROR(SUMIFS('Acompanhamento quinzenal'!$AG:$AG, 'Acompanhamento quinzenal'!$AF:$AF, A46), 0)
  ) /
  (
    COUNTIF('Acompanhamento quinzenal'!$N:$N, A46) +
    COUNTIF('Acompanhamento quinzenal'!$T:$T, A46) +
    COUNTIF('Acompanhamento quinzenal'!$Z:$Z, A46) +
    COUNTIF('Acompanhamento quinzenal'!$AF:$AF, A46)
  )
)
</f>
        <v>3</v>
      </c>
      <c r="X46" s="294">
        <f>IF(
  (
    COUNTIF('Acompanhamento quinzenal'!$N:$N, A46) +
    COUNTIF('Acompanhamento quinzenal'!$T:$T, A46) +
    COUNTIF('Acompanhamento quinzenal'!$Z:$Z, A46) +
    COUNTIF('Acompanhamento quinzenal'!$AF:$AF, A46)
  ) = 0,
  "-",
  (
    IFERROR(SUMIFS('Acompanhamento quinzenal'!$P:$P, 'Acompanhamento quinzenal'!$N:$N, A46), 0) +
    IFERROR(SUMIFS('Acompanhamento quinzenal'!$V:$V, 'Acompanhamento quinzenal'!$T:$T, A46), 0) +
    IFERROR(SUMIFS('Acompanhamento quinzenal'!$AB:$AB, 'Acompanhamento quinzenal'!$Z:$Z, A46), 0) +
    IFERROR(SUMIFS('Acompanhamento quinzenal'!$AH:$AH, 'Acompanhamento quinzenal'!$AF:$AF, A46), 0)
  ) /
  (
    COUNTIF('Acompanhamento quinzenal'!$N:$N, A46) +
    COUNTIF('Acompanhamento quinzenal'!$T:$T, A46) +
    COUNTIF('Acompanhamento quinzenal'!$Z:$Z, A46) +
    COUNTIF('Acompanhamento quinzenal'!$AF:$AF, A46)
  )
)
</f>
        <v>3</v>
      </c>
      <c r="Y46" s="293">
        <f>IF(
  (
    COUNTIF('Acompanhamento quinzenal'!$N:$N, A46) +
    COUNTIF('Acompanhamento quinzenal'!$T:$T, A46) +
    COUNTIF('Acompanhamento quinzenal'!$Z:$Z, A46) +
    COUNTIF('Acompanhamento quinzenal'!$AF:$AF, A46)
  ) = 0,
  "-",
  (
    IFERROR(SUMIFS('Acompanhamento quinzenal'!$Q:$Q, 'Acompanhamento quinzenal'!$N:$N, A46), 0) +
    IFERROR(SUMIFS('Acompanhamento quinzenal'!$W:$W, 'Acompanhamento quinzenal'!$T:$T, A46), 0) +
    IFERROR(SUMIFS('Acompanhamento quinzenal'!$AC:$AC, 'Acompanhamento quinzenal'!$Z:$Z, A46), 0) +
    IFERROR(SUMIFS('Acompanhamento quinzenal'!$AI:$AI, 'Acompanhamento quinzenal'!$AF:$AF, A46), 0)
  ) /
  (
    COUNTIF('Acompanhamento quinzenal'!$N:$N, A46) +
    COUNTIF('Acompanhamento quinzenal'!$T:$T, A46) +
    COUNTIF('Acompanhamento quinzenal'!$Z:$Z, A46) +
    COUNTIF('Acompanhamento quinzenal'!$AF:$AF, A46)
  )
)
</f>
        <v>3</v>
      </c>
    </row>
    <row r="47" hidden="1">
      <c r="A47" s="291" t="str">
        <f>IFERROR(__xludf.DUMMYFUNCTION("""COMPUTED_VALUE"""),"eduardo.kishi")</f>
        <v>eduardo.kishi</v>
      </c>
      <c r="B47" s="120" t="str">
        <f>IFERROR(__xludf.DUMMYFUNCTION("""COMPUTED_VALUE"""),"Trainee")</f>
        <v>Trainee</v>
      </c>
      <c r="C47" s="120" t="str">
        <f>IFERROR(__xludf.DUMMYFUNCTION("""COMPUTED_VALUE"""),"NTec")</f>
        <v>NTec</v>
      </c>
      <c r="D47" s="292" t="str">
        <f>IFERROR((COUNTIFS(Base!$V:$V,A47,Base!$S:$S,"&gt;8") - COUNTIFS(Base!$V:$V,A47,Base!$S:$S,"&lt;7"))/COUNTIFS(Base!$V:$V,A47,Base!$S:$S,"&lt;&gt;"),"-")</f>
        <v>-</v>
      </c>
      <c r="E47" s="292">
        <f>IF(
  (
    COUNTIFS(Base!$W:$W, A47, Base!$S:$S, "&lt;&gt;") +
    COUNTIFS(Base!$X:$X, A47, Base!$S:$S, "&lt;&gt;") +
    COUNTIFS(Base!$Y:$Y, A47, Base!$S:$S, "&lt;&gt;") +
    COUNTIFS(Base!$Z:$Z, A47, Base!$S:$S, "&lt;&gt;")
  ) = 0,
  "-",
  (
    COUNTIFS(Base!$W:$W, A47, Base!$S:$S, "&gt;8") - COUNTIFS(Base!$W:$W, A47, Base!$S:$S, "&lt;7") +
    COUNTIFS(Base!$X:$X, A47, Base!$S:$S, "&gt;8") - COUNTIFS(Base!$X:$X, A47, Base!$S:$S, "&lt;7") +
    COUNTIFS(Base!$Y:$Y, A47, Base!$S:$S, "&gt;8") - COUNTIFS(Base!$Y:$Y, A47, Base!$S:$S, "&lt;7") +
    COUNTIFS(Base!$Z:$Z, A47, Base!$S:$S, "&gt;8") - COUNTIFS(Base!$Z:$Z, A47, Base!$S:$S, "&lt;7")
  ) /
  (
    COUNTIFS(Base!$W:$W, A47, Base!$S:$S, "&lt;&gt;") +
    COUNTIFS(Base!$X:$X, A47, Base!$S:$S, "&lt;&gt;") +
    COUNTIFS(Base!$Y:$Y, A47, Base!$S:$S, "&lt;&gt;") +
    COUNTIFS(Base!$Z:$Z, A47, Base!$S:$S, "&lt;&gt;")
  )
)
</f>
        <v>1</v>
      </c>
      <c r="F47" s="290">
        <f>SUMIFS(Base!$N:$N,Base!$V:$V,A47,Base!$N:$N,"&lt;&gt;")-SUMIFS(Base!$K:$K,Base!$V:$V,A47,Base!$N:$N,"&lt;&gt;")-(SUMIFS(Base!$L:$L,Base!$V:$V,A47,Base!$N:$N,"&lt;&gt;")*7)</f>
        <v>0</v>
      </c>
      <c r="G47" s="290"/>
      <c r="H47" s="290">
        <f>SUMIFS(Base!$F:$F,Base!$V:$V,A47,Base!$N:$N,"&lt;&gt;")*7</f>
        <v>0</v>
      </c>
      <c r="I47" s="290"/>
      <c r="J47" s="292" t="str">
        <f t="shared" ref="J47:K47" si="48">IFERROR(F47/H47,"-")</f>
        <v>-</v>
      </c>
      <c r="K47" s="292" t="str">
        <f t="shared" si="48"/>
        <v>-</v>
      </c>
      <c r="L47" s="292" t="str">
        <f>IFERROR((COUNTIFS(Base!$V:$V,A47,Base!$U:$U,TRUE))/(COUNTIFS(Base!$V:$V,A47,Base!$O:$O,"Finalizado")+COUNTIFS(Base!$V:$V,A47,Base!$O:$O,"Concluído")),"-")</f>
        <v>-</v>
      </c>
      <c r="M47" s="292" t="str">
        <f>IF(
  (
    IFERROR(COUNTIF(Base!$W:$W, A47), 0) +
    IFERROR(COUNTIF(Base!$X:$X, A47), 0) +
    IFERROR(COUNTIF(Base!$Y:$Y, A47), 0) +
    IFERROR(COUNTIF(Base!$Z:$Z, A47), 0)
  ) = 0,
  "-",
  IF(
    (
      IFERROR(COUNTIFS(Base!$W:$W, A47, Base!$O:$O, "Finalizado"), 0) +
      IFERROR(COUNTIFS(Base!$W:$W, A47, Base!$O:$O, "Concluído"), 0) +
      IFERROR(COUNTIFS(Base!$X:$X, A47, Base!$O:$O, "Finalizado"), 0) +
      IFERROR(COUNTIFS(Base!$X:$X, A47, Base!$O:$O, "Concluído"), 0) +
      IFERROR(COUNTIFS(Base!$Y:$Y, A47, Base!$O:$O, "Finalizado"), 0) +
      IFERROR(COUNTIFS(Base!$Y:$Y, A47, Base!$O:$O, "Concluído"), 0) +
      IFERROR(COUNTIFS(Base!$Z:$Z, A47, Base!$O:$O, "Finalizado"), 0) +
      IFERROR(COUNTIFS(Base!$Z:$Z, A47, Base!$O:$O, "Concluído"), 0)
    ) = 0,
    "-",
    (
      IFERROR(COUNTIFS(Base!$W:$W, A47, Base!$U:$U, TRUE), 0) +
      IFERROR(COUNTIFS(Base!$X:$X, A47, Base!$U:$U, TRUE), 0) +
      IFERROR(COUNTIFS(Base!$Y:$Y, A47, Base!$U:$U, TRUE), 0) +
      IFERROR(COUNTIFS(Base!$Z:$Z, A47, Base!$U:$U, TRUE), 0)
    ) /
    (
      IFERROR(COUNTIFS(Base!$W:$W, A47, Base!$O:$O, "Finalizado"), 0) +
      IFERROR(COUNTIFS(Base!$W:$W, A47, Base!$O:$O, "Concluído"), 0) +
      IFERROR(COUNTIFS(Base!$X:$X, A47, Base!$O:$O, "Finalizado"), 0) +
      IFERROR(COUNTIFS(Base!$X:$X, A47, Base!$O:$O, "Concluído"), 0) +
      IFERROR(COUNTIFS(Base!$Y:$Y, A47, Base!$O:$O, "Finalizado"), 0) +
      IFERROR(COUNTIFS(Base!$Y:$Y, A47, Base!$O:$O, "Concluído"), 0) +
      IFERROR(COUNTIFS(Base!$Z:$Z, A47, Base!$O:$O, "Finalizado"), 0) +
      IFERROR(COUNTIFS(Base!$Z:$Z, A47, Base!$O:$O, "Concluído"), 0)
    )
  )
)
</f>
        <v>-</v>
      </c>
      <c r="N47" s="120">
        <f>COUNTIF(Base!V:V,$A47)</f>
        <v>0</v>
      </c>
      <c r="O47" s="120">
        <f>COUNTIF(Base!W:W,$A47)</f>
        <v>1</v>
      </c>
      <c r="P47" s="120">
        <f>COUNTIF(Base!X:X,$A47)</f>
        <v>2</v>
      </c>
      <c r="Q47" s="120">
        <f>COUNTIF(Base!Y:Y,$A47)</f>
        <v>0</v>
      </c>
      <c r="R47" s="120">
        <f>COUNTIF(Base!Z:Z,$A47)</f>
        <v>0</v>
      </c>
      <c r="S47" s="120">
        <f t="shared" si="3"/>
        <v>3</v>
      </c>
      <c r="T47" s="120">
        <f t="shared" si="4"/>
        <v>3</v>
      </c>
      <c r="V47" s="293" t="str">
        <f>IF(
  (
    COUNTIF('Acompanhamento quinzenal'!$N:$N, A47) +
    COUNTIF('Acompanhamento quinzenal'!$T:$T, A47) +
    COUNTIF('Acompanhamento quinzenal'!$Z:$Z, A47) +
    COUNTIF('Acompanhamento quinzenal'!$AF:$AF, A47)
  ) = 0,
  "-",
  (
    IFERROR(SUMIFS('Acompanhamento quinzenal'!$S:$S, 'Acompanhamento quinzenal'!$N:$N, A47), 0) +
    IFERROR(SUMIFS('Acompanhamento quinzenal'!$Y:$Y, 'Acompanhamento quinzenal'!$T:$T, A47), 0) +
    IFERROR(SUMIFS('Acompanhamento quinzenal'!$AE:$AE, 'Acompanhamento quinzenal'!$Z:$Z, A47), 0) +
    IFERROR(SUMIFS('Acompanhamento quinzenal'!$AK:$AK, 'Acompanhamento quinzenal'!$AF:$AF, A47), 0)
  ) /
  (
    COUNTIF('Acompanhamento quinzenal'!$N:$N, A47) +
    COUNTIF('Acompanhamento quinzenal'!$T:$T, A47) +
    COUNTIF('Acompanhamento quinzenal'!$Z:$Z, A47) +
    COUNTIF('Acompanhamento quinzenal'!$AF:$AF, A47)
  )
)
</f>
        <v>-</v>
      </c>
      <c r="W47" s="293" t="str">
        <f>IF(
  (
    COUNTIF('Acompanhamento quinzenal'!$N:$N, A47) +
    COUNTIF('Acompanhamento quinzenal'!$T:$T, A47) +
    COUNTIF('Acompanhamento quinzenal'!$Z:$Z, A47) +
    COUNTIF('Acompanhamento quinzenal'!$AF:$AF, A47)
  ) = 0,
  "-",
  (
    IFERROR(SUMIFS('Acompanhamento quinzenal'!$O:$O, 'Acompanhamento quinzenal'!$N:$N, A47), 0) +
    IFERROR(SUMIFS('Acompanhamento quinzenal'!$U:$U, 'Acompanhamento quinzenal'!$T:$T, A47), 0) +
    IFERROR(SUMIFS('Acompanhamento quinzenal'!$AA:$AA, 'Acompanhamento quinzenal'!$Z:$Z, A47), 0) +
    IFERROR(SUMIFS('Acompanhamento quinzenal'!$AG:$AG, 'Acompanhamento quinzenal'!$AF:$AF, A47), 0)
  ) /
  (
    COUNTIF('Acompanhamento quinzenal'!$N:$N, A47) +
    COUNTIF('Acompanhamento quinzenal'!$T:$T, A47) +
    COUNTIF('Acompanhamento quinzenal'!$Z:$Z, A47) +
    COUNTIF('Acompanhamento quinzenal'!$AF:$AF, A47)
  )
)
</f>
        <v>-</v>
      </c>
      <c r="X47" s="294" t="str">
        <f>IF(
  (
    COUNTIF('Acompanhamento quinzenal'!$N:$N, A47) +
    COUNTIF('Acompanhamento quinzenal'!$T:$T, A47) +
    COUNTIF('Acompanhamento quinzenal'!$Z:$Z, A47) +
    COUNTIF('Acompanhamento quinzenal'!$AF:$AF, A47)
  ) = 0,
  "-",
  (
    IFERROR(SUMIFS('Acompanhamento quinzenal'!$P:$P, 'Acompanhamento quinzenal'!$N:$N, A47), 0) +
    IFERROR(SUMIFS('Acompanhamento quinzenal'!$V:$V, 'Acompanhamento quinzenal'!$T:$T, A47), 0) +
    IFERROR(SUMIFS('Acompanhamento quinzenal'!$AB:$AB, 'Acompanhamento quinzenal'!$Z:$Z, A47), 0) +
    IFERROR(SUMIFS('Acompanhamento quinzenal'!$AH:$AH, 'Acompanhamento quinzenal'!$AF:$AF, A47), 0)
  ) /
  (
    COUNTIF('Acompanhamento quinzenal'!$N:$N, A47) +
    COUNTIF('Acompanhamento quinzenal'!$T:$T, A47) +
    COUNTIF('Acompanhamento quinzenal'!$Z:$Z, A47) +
    COUNTIF('Acompanhamento quinzenal'!$AF:$AF, A47)
  )
)
</f>
        <v>-</v>
      </c>
      <c r="Y47" s="293" t="str">
        <f>IF(
  (
    COUNTIF('Acompanhamento quinzenal'!$N:$N, A47) +
    COUNTIF('Acompanhamento quinzenal'!$T:$T, A47) +
    COUNTIF('Acompanhamento quinzenal'!$Z:$Z, A47) +
    COUNTIF('Acompanhamento quinzenal'!$AF:$AF, A47)
  ) = 0,
  "-",
  (
    IFERROR(SUMIFS('Acompanhamento quinzenal'!$Q:$Q, 'Acompanhamento quinzenal'!$N:$N, A47), 0) +
    IFERROR(SUMIFS('Acompanhamento quinzenal'!$W:$W, 'Acompanhamento quinzenal'!$T:$T, A47), 0) +
    IFERROR(SUMIFS('Acompanhamento quinzenal'!$AC:$AC, 'Acompanhamento quinzenal'!$Z:$Z, A47), 0) +
    IFERROR(SUMIFS('Acompanhamento quinzenal'!$AI:$AI, 'Acompanhamento quinzenal'!$AF:$AF, A47), 0)
  ) /
  (
    COUNTIF('Acompanhamento quinzenal'!$N:$N, A47) +
    COUNTIF('Acompanhamento quinzenal'!$T:$T, A47) +
    COUNTIF('Acompanhamento quinzenal'!$Z:$Z, A47) +
    COUNTIF('Acompanhamento quinzenal'!$AF:$AF, A47)
  )
)
</f>
        <v>-</v>
      </c>
    </row>
    <row r="48">
      <c r="A48" s="291" t="str">
        <f>IFERROR(__xludf.DUMMYFUNCTION("""COMPUTED_VALUE"""),"enzo.giannoni")</f>
        <v>enzo.giannoni</v>
      </c>
      <c r="B48" s="120" t="str">
        <f>IFERROR(__xludf.DUMMYFUNCTION("""COMPUTED_VALUE"""),"Trainee")</f>
        <v>Trainee</v>
      </c>
      <c r="C48" s="120" t="str">
        <f>IFERROR(__xludf.DUMMYFUNCTION("""COMPUTED_VALUE"""),"NDados")</f>
        <v>NDados</v>
      </c>
      <c r="D48" s="292" t="str">
        <f>IFERROR((COUNTIFS(Base!$V:$V,A48,Base!$S:$S,"&gt;8") - COUNTIFS(Base!$V:$V,A48,Base!$S:$S,"&lt;7"))/COUNTIFS(Base!$V:$V,A48,Base!$S:$S,"&lt;&gt;"),"-")</f>
        <v>-</v>
      </c>
      <c r="E48" s="292" t="str">
        <f>IF(
  (
    COUNTIFS(Base!$W:$W, A48, Base!$S:$S, "&lt;&gt;") +
    COUNTIFS(Base!$X:$X, A48, Base!$S:$S, "&lt;&gt;") +
    COUNTIFS(Base!$Y:$Y, A48, Base!$S:$S, "&lt;&gt;") +
    COUNTIFS(Base!$Z:$Z, A48, Base!$S:$S, "&lt;&gt;")
  ) = 0,
  "-",
  (
    COUNTIFS(Base!$W:$W, A48, Base!$S:$S, "&gt;8") - COUNTIFS(Base!$W:$W, A48, Base!$S:$S, "&lt;7") +
    COUNTIFS(Base!$X:$X, A48, Base!$S:$S, "&gt;8") - COUNTIFS(Base!$X:$X, A48, Base!$S:$S, "&lt;7") +
    COUNTIFS(Base!$Y:$Y, A48, Base!$S:$S, "&gt;8") - COUNTIFS(Base!$Y:$Y, A48, Base!$S:$S, "&lt;7") +
    COUNTIFS(Base!$Z:$Z, A48, Base!$S:$S, "&gt;8") - COUNTIFS(Base!$Z:$Z, A48, Base!$S:$S, "&lt;7")
  ) /
  (
    COUNTIFS(Base!$W:$W, A48, Base!$S:$S, "&lt;&gt;") +
    COUNTIFS(Base!$X:$X, A48, Base!$S:$S, "&lt;&gt;") +
    COUNTIFS(Base!$Y:$Y, A48, Base!$S:$S, "&lt;&gt;") +
    COUNTIFS(Base!$Z:$Z, A48, Base!$S:$S, "&lt;&gt;")
  )
)
</f>
        <v>-</v>
      </c>
      <c r="F48" s="290">
        <f>SUMIFS(Base!$N:$N,Base!$V:$V,A48,Base!$N:$N,"&lt;&gt;")-SUMIFS(Base!$K:$K,Base!$V:$V,A48,Base!$N:$N,"&lt;&gt;")-(SUMIFS(Base!$L:$L,Base!$V:$V,A48,Base!$N:$N,"&lt;&gt;")*7)</f>
        <v>0</v>
      </c>
      <c r="G48" s="290"/>
      <c r="H48" s="290">
        <f>SUMIFS(Base!$F:$F,Base!$V:$V,A48,Base!$N:$N,"&lt;&gt;")*7</f>
        <v>0</v>
      </c>
      <c r="I48" s="290"/>
      <c r="J48" s="292" t="str">
        <f t="shared" ref="J48:K48" si="49">IFERROR(F48/H48,"-")</f>
        <v>-</v>
      </c>
      <c r="K48" s="292" t="str">
        <f t="shared" si="49"/>
        <v>-</v>
      </c>
      <c r="L48" s="292" t="str">
        <f>IFERROR((COUNTIFS(Base!$V:$V,A48,Base!$U:$U,TRUE))/(COUNTIFS(Base!$V:$V,A48,Base!$O:$O,"Finalizado")+COUNTIFS(Base!$V:$V,A48,Base!$O:$O,"Concluído")),"-")</f>
        <v>-</v>
      </c>
      <c r="M48" s="292" t="str">
        <f>IF(
  (
    IFERROR(COUNTIF(Base!$W:$W, A48), 0) +
    IFERROR(COUNTIF(Base!$X:$X, A48), 0) +
    IFERROR(COUNTIF(Base!$Y:$Y, A48), 0) +
    IFERROR(COUNTIF(Base!$Z:$Z, A48), 0)
  ) = 0,
  "-",
  IF(
    (
      IFERROR(COUNTIFS(Base!$W:$W, A48, Base!$O:$O, "Finalizado"), 0) +
      IFERROR(COUNTIFS(Base!$W:$W, A48, Base!$O:$O, "Concluído"), 0) +
      IFERROR(COUNTIFS(Base!$X:$X, A48, Base!$O:$O, "Finalizado"), 0) +
      IFERROR(COUNTIFS(Base!$X:$X, A48, Base!$O:$O, "Concluído"), 0) +
      IFERROR(COUNTIFS(Base!$Y:$Y, A48, Base!$O:$O, "Finalizado"), 0) +
      IFERROR(COUNTIFS(Base!$Y:$Y, A48, Base!$O:$O, "Concluído"), 0) +
      IFERROR(COUNTIFS(Base!$Z:$Z, A48, Base!$O:$O, "Finalizado"), 0) +
      IFERROR(COUNTIFS(Base!$Z:$Z, A48, Base!$O:$O, "Concluído"), 0)
    ) = 0,
    "-",
    (
      IFERROR(COUNTIFS(Base!$W:$W, A48, Base!$U:$U, TRUE), 0) +
      IFERROR(COUNTIFS(Base!$X:$X, A48, Base!$U:$U, TRUE), 0) +
      IFERROR(COUNTIFS(Base!$Y:$Y, A48, Base!$U:$U, TRUE), 0) +
      IFERROR(COUNTIFS(Base!$Z:$Z, A48, Base!$U:$U, TRUE), 0)
    ) /
    (
      IFERROR(COUNTIFS(Base!$W:$W, A48, Base!$O:$O, "Finalizado"), 0) +
      IFERROR(COUNTIFS(Base!$W:$W, A48, Base!$O:$O, "Concluído"), 0) +
      IFERROR(COUNTIFS(Base!$X:$X, A48, Base!$O:$O, "Finalizado"), 0) +
      IFERROR(COUNTIFS(Base!$X:$X, A48, Base!$O:$O, "Concluído"), 0) +
      IFERROR(COUNTIFS(Base!$Y:$Y, A48, Base!$O:$O, "Finalizado"), 0) +
      IFERROR(COUNTIFS(Base!$Y:$Y, A48, Base!$O:$O, "Concluído"), 0) +
      IFERROR(COUNTIFS(Base!$Z:$Z, A48, Base!$O:$O, "Finalizado"), 0) +
      IFERROR(COUNTIFS(Base!$Z:$Z, A48, Base!$O:$O, "Concluído"), 0)
    )
  )
)
</f>
        <v>-</v>
      </c>
      <c r="N48" s="120">
        <f>COUNTIF(Base!V:V,$A48)</f>
        <v>1</v>
      </c>
      <c r="O48" s="120">
        <f>COUNTIF(Base!W:W,$A48)</f>
        <v>1</v>
      </c>
      <c r="P48" s="120">
        <f>COUNTIF(Base!X:X,$A48)</f>
        <v>1</v>
      </c>
      <c r="Q48" s="120">
        <f>COUNTIF(Base!Y:Y,$A48)</f>
        <v>0</v>
      </c>
      <c r="R48" s="120">
        <f>COUNTIF(Base!Z:Z,$A48)</f>
        <v>0</v>
      </c>
      <c r="S48" s="120">
        <f t="shared" si="3"/>
        <v>3</v>
      </c>
      <c r="T48" s="120">
        <f t="shared" si="4"/>
        <v>2</v>
      </c>
      <c r="V48" s="293">
        <f>IF(
  (
    COUNTIF('Acompanhamento quinzenal'!$N:$N, A48) +
    COUNTIF('Acompanhamento quinzenal'!$T:$T, A48) +
    COUNTIF('Acompanhamento quinzenal'!$Z:$Z, A48) +
    COUNTIF('Acompanhamento quinzenal'!$AF:$AF, A48)
  ) = 0,
  "-",
  (
    IFERROR(SUMIFS('Acompanhamento quinzenal'!$S:$S, 'Acompanhamento quinzenal'!$N:$N, A48), 0) +
    IFERROR(SUMIFS('Acompanhamento quinzenal'!$Y:$Y, 'Acompanhamento quinzenal'!$T:$T, A48), 0) +
    IFERROR(SUMIFS('Acompanhamento quinzenal'!$AE:$AE, 'Acompanhamento quinzenal'!$Z:$Z, A48), 0) +
    IFERROR(SUMIFS('Acompanhamento quinzenal'!$AK:$AK, 'Acompanhamento quinzenal'!$AF:$AF, A48), 0)
  ) /
  (
    COUNTIF('Acompanhamento quinzenal'!$N:$N, A48) +
    COUNTIF('Acompanhamento quinzenal'!$T:$T, A48) +
    COUNTIF('Acompanhamento quinzenal'!$Z:$Z, A48) +
    COUNTIF('Acompanhamento quinzenal'!$AF:$AF, A48)
  )
)
</f>
        <v>3</v>
      </c>
      <c r="W48" s="293">
        <f>IF(
  (
    COUNTIF('Acompanhamento quinzenal'!$N:$N, A48) +
    COUNTIF('Acompanhamento quinzenal'!$T:$T, A48) +
    COUNTIF('Acompanhamento quinzenal'!$Z:$Z, A48) +
    COUNTIF('Acompanhamento quinzenal'!$AF:$AF, A48)
  ) = 0,
  "-",
  (
    IFERROR(SUMIFS('Acompanhamento quinzenal'!$O:$O, 'Acompanhamento quinzenal'!$N:$N, A48), 0) +
    IFERROR(SUMIFS('Acompanhamento quinzenal'!$U:$U, 'Acompanhamento quinzenal'!$T:$T, A48), 0) +
    IFERROR(SUMIFS('Acompanhamento quinzenal'!$AA:$AA, 'Acompanhamento quinzenal'!$Z:$Z, A48), 0) +
    IFERROR(SUMIFS('Acompanhamento quinzenal'!$AG:$AG, 'Acompanhamento quinzenal'!$AF:$AF, A48), 0)
  ) /
  (
    COUNTIF('Acompanhamento quinzenal'!$N:$N, A48) +
    COUNTIF('Acompanhamento quinzenal'!$T:$T, A48) +
    COUNTIF('Acompanhamento quinzenal'!$Z:$Z, A48) +
    COUNTIF('Acompanhamento quinzenal'!$AF:$AF, A48)
  )
)
</f>
        <v>3</v>
      </c>
      <c r="X48" s="294">
        <f>IF(
  (
    COUNTIF('Acompanhamento quinzenal'!$N:$N, A48) +
    COUNTIF('Acompanhamento quinzenal'!$T:$T, A48) +
    COUNTIF('Acompanhamento quinzenal'!$Z:$Z, A48) +
    COUNTIF('Acompanhamento quinzenal'!$AF:$AF, A48)
  ) = 0,
  "-",
  (
    IFERROR(SUMIFS('Acompanhamento quinzenal'!$P:$P, 'Acompanhamento quinzenal'!$N:$N, A48), 0) +
    IFERROR(SUMIFS('Acompanhamento quinzenal'!$V:$V, 'Acompanhamento quinzenal'!$T:$T, A48), 0) +
    IFERROR(SUMIFS('Acompanhamento quinzenal'!$AB:$AB, 'Acompanhamento quinzenal'!$Z:$Z, A48), 0) +
    IFERROR(SUMIFS('Acompanhamento quinzenal'!$AH:$AH, 'Acompanhamento quinzenal'!$AF:$AF, A48), 0)
  ) /
  (
    COUNTIF('Acompanhamento quinzenal'!$N:$N, A48) +
    COUNTIF('Acompanhamento quinzenal'!$T:$T, A48) +
    COUNTIF('Acompanhamento quinzenal'!$Z:$Z, A48) +
    COUNTIF('Acompanhamento quinzenal'!$AF:$AF, A48)
  )
)
</f>
        <v>3</v>
      </c>
      <c r="Y48" s="293">
        <f>IF(
  (
    COUNTIF('Acompanhamento quinzenal'!$N:$N, A48) +
    COUNTIF('Acompanhamento quinzenal'!$T:$T, A48) +
    COUNTIF('Acompanhamento quinzenal'!$Z:$Z, A48) +
    COUNTIF('Acompanhamento quinzenal'!$AF:$AF, A48)
  ) = 0,
  "-",
  (
    IFERROR(SUMIFS('Acompanhamento quinzenal'!$Q:$Q, 'Acompanhamento quinzenal'!$N:$N, A48), 0) +
    IFERROR(SUMIFS('Acompanhamento quinzenal'!$W:$W, 'Acompanhamento quinzenal'!$T:$T, A48), 0) +
    IFERROR(SUMIFS('Acompanhamento quinzenal'!$AC:$AC, 'Acompanhamento quinzenal'!$Z:$Z, A48), 0) +
    IFERROR(SUMIFS('Acompanhamento quinzenal'!$AI:$AI, 'Acompanhamento quinzenal'!$AF:$AF, A48), 0)
  ) /
  (
    COUNTIF('Acompanhamento quinzenal'!$N:$N, A48) +
    COUNTIF('Acompanhamento quinzenal'!$T:$T, A48) +
    COUNTIF('Acompanhamento quinzenal'!$Z:$Z, A48) +
    COUNTIF('Acompanhamento quinzenal'!$AF:$AF, A48)
  )
)
</f>
        <v>3</v>
      </c>
    </row>
    <row r="49" hidden="1">
      <c r="A49" s="291" t="str">
        <f>IFERROR(__xludf.DUMMYFUNCTION("""COMPUTED_VALUE"""),"felipe.tanabe")</f>
        <v>felipe.tanabe</v>
      </c>
      <c r="B49" s="120" t="str">
        <f>IFERROR(__xludf.DUMMYFUNCTION("""COMPUTED_VALUE"""),"Trainee")</f>
        <v>Trainee</v>
      </c>
      <c r="C49" s="120" t="str">
        <f>IFERROR(__xludf.DUMMYFUNCTION("""COMPUTED_VALUE"""),"NCon")</f>
        <v>NCon</v>
      </c>
      <c r="D49" s="292" t="str">
        <f>IFERROR((COUNTIFS(Base!$V:$V,A49,Base!$S:$S,"&gt;8") - COUNTIFS(Base!$V:$V,A49,Base!$S:$S,"&lt;7"))/COUNTIFS(Base!$V:$V,A49,Base!$S:$S,"&lt;&gt;"),"-")</f>
        <v>-</v>
      </c>
      <c r="E49" s="292" t="str">
        <f>IF(
  (
    COUNTIFS(Base!$W:$W, A49, Base!$S:$S, "&lt;&gt;") +
    COUNTIFS(Base!$X:$X, A49, Base!$S:$S, "&lt;&gt;") +
    COUNTIFS(Base!$Y:$Y, A49, Base!$S:$S, "&lt;&gt;") +
    COUNTIFS(Base!$Z:$Z, A49, Base!$S:$S, "&lt;&gt;")
  ) = 0,
  "-",
  (
    COUNTIFS(Base!$W:$W, A49, Base!$S:$S, "&gt;8") - COUNTIFS(Base!$W:$W, A49, Base!$S:$S, "&lt;7") +
    COUNTIFS(Base!$X:$X, A49, Base!$S:$S, "&gt;8") - COUNTIFS(Base!$X:$X, A49, Base!$S:$S, "&lt;7") +
    COUNTIFS(Base!$Y:$Y, A49, Base!$S:$S, "&gt;8") - COUNTIFS(Base!$Y:$Y, A49, Base!$S:$S, "&lt;7") +
    COUNTIFS(Base!$Z:$Z, A49, Base!$S:$S, "&gt;8") - COUNTIFS(Base!$Z:$Z, A49, Base!$S:$S, "&lt;7")
  ) /
  (
    COUNTIFS(Base!$W:$W, A49, Base!$S:$S, "&lt;&gt;") +
    COUNTIFS(Base!$X:$X, A49, Base!$S:$S, "&lt;&gt;") +
    COUNTIFS(Base!$Y:$Y, A49, Base!$S:$S, "&lt;&gt;") +
    COUNTIFS(Base!$Z:$Z, A49, Base!$S:$S, "&lt;&gt;")
  )
)
</f>
        <v>-</v>
      </c>
      <c r="F49" s="290">
        <f>SUMIFS(Base!$N:$N,Base!$V:$V,A49,Base!$N:$N,"&lt;&gt;")-SUMIFS(Base!$K:$K,Base!$V:$V,A49,Base!$N:$N,"&lt;&gt;")-(SUMIFS(Base!$L:$L,Base!$V:$V,A49,Base!$N:$N,"&lt;&gt;")*7)</f>
        <v>0</v>
      </c>
      <c r="G49" s="290"/>
      <c r="H49" s="290">
        <f>SUMIFS(Base!$F:$F,Base!$V:$V,A49,Base!$N:$N,"&lt;&gt;")*7</f>
        <v>0</v>
      </c>
      <c r="I49" s="290"/>
      <c r="J49" s="292" t="str">
        <f t="shared" ref="J49:K49" si="50">IFERROR(F49/H49,"-")</f>
        <v>-</v>
      </c>
      <c r="K49" s="292" t="str">
        <f t="shared" si="50"/>
        <v>-</v>
      </c>
      <c r="L49" s="292" t="str">
        <f>IFERROR((COUNTIFS(Base!$V:$V,A49,Base!$U:$U,TRUE))/(COUNTIFS(Base!$V:$V,A49,Base!$O:$O,"Finalizado")+COUNTIFS(Base!$V:$V,A49,Base!$O:$O,"Concluído")),"-")</f>
        <v>-</v>
      </c>
      <c r="M49" s="292" t="str">
        <f>IF(
  (
    IFERROR(COUNTIF(Base!$W:$W, A49), 0) +
    IFERROR(COUNTIF(Base!$X:$X, A49), 0) +
    IFERROR(COUNTIF(Base!$Y:$Y, A49), 0) +
    IFERROR(COUNTIF(Base!$Z:$Z, A49), 0)
  ) = 0,
  "-",
  IF(
    (
      IFERROR(COUNTIFS(Base!$W:$W, A49, Base!$O:$O, "Finalizado"), 0) +
      IFERROR(COUNTIFS(Base!$W:$W, A49, Base!$O:$O, "Concluído"), 0) +
      IFERROR(COUNTIFS(Base!$X:$X, A49, Base!$O:$O, "Finalizado"), 0) +
      IFERROR(COUNTIFS(Base!$X:$X, A49, Base!$O:$O, "Concluído"), 0) +
      IFERROR(COUNTIFS(Base!$Y:$Y, A49, Base!$O:$O, "Finalizado"), 0) +
      IFERROR(COUNTIFS(Base!$Y:$Y, A49, Base!$O:$O, "Concluído"), 0) +
      IFERROR(COUNTIFS(Base!$Z:$Z, A49, Base!$O:$O, "Finalizado"), 0) +
      IFERROR(COUNTIFS(Base!$Z:$Z, A49, Base!$O:$O, "Concluído"), 0)
    ) = 0,
    "-",
    (
      IFERROR(COUNTIFS(Base!$W:$W, A49, Base!$U:$U, TRUE), 0) +
      IFERROR(COUNTIFS(Base!$X:$X, A49, Base!$U:$U, TRUE), 0) +
      IFERROR(COUNTIFS(Base!$Y:$Y, A49, Base!$U:$U, TRUE), 0) +
      IFERROR(COUNTIFS(Base!$Z:$Z, A49, Base!$U:$U, TRUE), 0)
    ) /
    (
      IFERROR(COUNTIFS(Base!$W:$W, A49, Base!$O:$O, "Finalizado"), 0) +
      IFERROR(COUNTIFS(Base!$W:$W, A49, Base!$O:$O, "Concluído"), 0) +
      IFERROR(COUNTIFS(Base!$X:$X, A49, Base!$O:$O, "Finalizado"), 0) +
      IFERROR(COUNTIFS(Base!$X:$X, A49, Base!$O:$O, "Concluído"), 0) +
      IFERROR(COUNTIFS(Base!$Y:$Y, A49, Base!$O:$O, "Finalizado"), 0) +
      IFERROR(COUNTIFS(Base!$Y:$Y, A49, Base!$O:$O, "Concluído"), 0) +
      IFERROR(COUNTIFS(Base!$Z:$Z, A49, Base!$O:$O, "Finalizado"), 0) +
      IFERROR(COUNTIFS(Base!$Z:$Z, A49, Base!$O:$O, "Concluído"), 0)
    )
  )
)
</f>
        <v>-</v>
      </c>
      <c r="N49" s="120">
        <f>COUNTIF(Base!V:V,$A49)</f>
        <v>0</v>
      </c>
      <c r="O49" s="120">
        <f>COUNTIF(Base!W:W,$A49)</f>
        <v>2</v>
      </c>
      <c r="P49" s="120">
        <f>COUNTIF(Base!X:X,$A49)</f>
        <v>0</v>
      </c>
      <c r="Q49" s="120">
        <f>COUNTIF(Base!Y:Y,$A49)</f>
        <v>0</v>
      </c>
      <c r="R49" s="120">
        <f>COUNTIF(Base!Z:Z,$A49)</f>
        <v>0</v>
      </c>
      <c r="S49" s="120">
        <f t="shared" si="3"/>
        <v>2</v>
      </c>
      <c r="T49" s="120">
        <f t="shared" si="4"/>
        <v>2</v>
      </c>
      <c r="V49" s="293">
        <f>IF(
  (
    COUNTIF('Acompanhamento quinzenal'!$N:$N, A49) +
    COUNTIF('Acompanhamento quinzenal'!$T:$T, A49) +
    COUNTIF('Acompanhamento quinzenal'!$Z:$Z, A49) +
    COUNTIF('Acompanhamento quinzenal'!$AF:$AF, A49)
  ) = 0,
  "-",
  (
    IFERROR(SUMIFS('Acompanhamento quinzenal'!$S:$S, 'Acompanhamento quinzenal'!$N:$N, A49), 0) +
    IFERROR(SUMIFS('Acompanhamento quinzenal'!$Y:$Y, 'Acompanhamento quinzenal'!$T:$T, A49), 0) +
    IFERROR(SUMIFS('Acompanhamento quinzenal'!$AE:$AE, 'Acompanhamento quinzenal'!$Z:$Z, A49), 0) +
    IFERROR(SUMIFS('Acompanhamento quinzenal'!$AK:$AK, 'Acompanhamento quinzenal'!$AF:$AF, A49), 0)
  ) /
  (
    COUNTIF('Acompanhamento quinzenal'!$N:$N, A49) +
    COUNTIF('Acompanhamento quinzenal'!$T:$T, A49) +
    COUNTIF('Acompanhamento quinzenal'!$Z:$Z, A49) +
    COUNTIF('Acompanhamento quinzenal'!$AF:$AF, A49)
  )
)
</f>
        <v>0</v>
      </c>
      <c r="W49" s="293">
        <f>IF(
  (
    COUNTIF('Acompanhamento quinzenal'!$N:$N, A49) +
    COUNTIF('Acompanhamento quinzenal'!$T:$T, A49) +
    COUNTIF('Acompanhamento quinzenal'!$Z:$Z, A49) +
    COUNTIF('Acompanhamento quinzenal'!$AF:$AF, A49)
  ) = 0,
  "-",
  (
    IFERROR(SUMIFS('Acompanhamento quinzenal'!$O:$O, 'Acompanhamento quinzenal'!$N:$N, A49), 0) +
    IFERROR(SUMIFS('Acompanhamento quinzenal'!$U:$U, 'Acompanhamento quinzenal'!$T:$T, A49), 0) +
    IFERROR(SUMIFS('Acompanhamento quinzenal'!$AA:$AA, 'Acompanhamento quinzenal'!$Z:$Z, A49), 0) +
    IFERROR(SUMIFS('Acompanhamento quinzenal'!$AG:$AG, 'Acompanhamento quinzenal'!$AF:$AF, A49), 0)
  ) /
  (
    COUNTIF('Acompanhamento quinzenal'!$N:$N, A49) +
    COUNTIF('Acompanhamento quinzenal'!$T:$T, A49) +
    COUNTIF('Acompanhamento quinzenal'!$Z:$Z, A49) +
    COUNTIF('Acompanhamento quinzenal'!$AF:$AF, A49)
  )
)
</f>
        <v>3</v>
      </c>
      <c r="X49" s="294">
        <f>IF(
  (
    COUNTIF('Acompanhamento quinzenal'!$N:$N, A49) +
    COUNTIF('Acompanhamento quinzenal'!$T:$T, A49) +
    COUNTIF('Acompanhamento quinzenal'!$Z:$Z, A49) +
    COUNTIF('Acompanhamento quinzenal'!$AF:$AF, A49)
  ) = 0,
  "-",
  (
    IFERROR(SUMIFS('Acompanhamento quinzenal'!$P:$P, 'Acompanhamento quinzenal'!$N:$N, A49), 0) +
    IFERROR(SUMIFS('Acompanhamento quinzenal'!$V:$V, 'Acompanhamento quinzenal'!$T:$T, A49), 0) +
    IFERROR(SUMIFS('Acompanhamento quinzenal'!$AB:$AB, 'Acompanhamento quinzenal'!$Z:$Z, A49), 0) +
    IFERROR(SUMIFS('Acompanhamento quinzenal'!$AH:$AH, 'Acompanhamento quinzenal'!$AF:$AF, A49), 0)
  ) /
  (
    COUNTIF('Acompanhamento quinzenal'!$N:$N, A49) +
    COUNTIF('Acompanhamento quinzenal'!$T:$T, A49) +
    COUNTIF('Acompanhamento quinzenal'!$Z:$Z, A49) +
    COUNTIF('Acompanhamento quinzenal'!$AF:$AF, A49)
  )
)
</f>
        <v>3</v>
      </c>
      <c r="Y49" s="293">
        <f>IF(
  (
    COUNTIF('Acompanhamento quinzenal'!$N:$N, A49) +
    COUNTIF('Acompanhamento quinzenal'!$T:$T, A49) +
    COUNTIF('Acompanhamento quinzenal'!$Z:$Z, A49) +
    COUNTIF('Acompanhamento quinzenal'!$AF:$AF, A49)
  ) = 0,
  "-",
  (
    IFERROR(SUMIFS('Acompanhamento quinzenal'!$Q:$Q, 'Acompanhamento quinzenal'!$N:$N, A49), 0) +
    IFERROR(SUMIFS('Acompanhamento quinzenal'!$W:$W, 'Acompanhamento quinzenal'!$T:$T, A49), 0) +
    IFERROR(SUMIFS('Acompanhamento quinzenal'!$AC:$AC, 'Acompanhamento quinzenal'!$Z:$Z, A49), 0) +
    IFERROR(SUMIFS('Acompanhamento quinzenal'!$AI:$AI, 'Acompanhamento quinzenal'!$AF:$AF, A49), 0)
  ) /
  (
    COUNTIF('Acompanhamento quinzenal'!$N:$N, A49) +
    COUNTIF('Acompanhamento quinzenal'!$T:$T, A49) +
    COUNTIF('Acompanhamento quinzenal'!$Z:$Z, A49) +
    COUNTIF('Acompanhamento quinzenal'!$AF:$AF, A49)
  )
)
</f>
        <v>4</v>
      </c>
    </row>
    <row r="50" hidden="1">
      <c r="A50" s="291" t="str">
        <f>IFERROR(__xludf.DUMMYFUNCTION("""COMPUTED_VALUE"""),"felipe.buttler")</f>
        <v>felipe.buttler</v>
      </c>
      <c r="B50" s="120" t="str">
        <f>IFERROR(__xludf.DUMMYFUNCTION("""COMPUTED_VALUE"""),"Consultor")</f>
        <v>Consultor</v>
      </c>
      <c r="C50" s="120" t="str">
        <f>IFERROR(__xludf.DUMMYFUNCTION("""COMPUTED_VALUE"""),"NCon")</f>
        <v>NCon</v>
      </c>
      <c r="D50" s="292" t="str">
        <f>IFERROR((COUNTIFS(Base!$V:$V,A50,Base!$S:$S,"&gt;8") - COUNTIFS(Base!$V:$V,A50,Base!$S:$S,"&lt;7"))/COUNTIFS(Base!$V:$V,A50,Base!$S:$S,"&lt;&gt;"),"-")</f>
        <v>-</v>
      </c>
      <c r="E50" s="292">
        <f>IF(
  (
    COUNTIFS(Base!$W:$W, A50, Base!$S:$S, "&lt;&gt;") +
    COUNTIFS(Base!$X:$X, A50, Base!$S:$S, "&lt;&gt;") +
    COUNTIFS(Base!$Y:$Y, A50, Base!$S:$S, "&lt;&gt;") +
    COUNTIFS(Base!$Z:$Z, A50, Base!$S:$S, "&lt;&gt;")
  ) = 0,
  "-",
  (
    COUNTIFS(Base!$W:$W, A50, Base!$S:$S, "&gt;8") - COUNTIFS(Base!$W:$W, A50, Base!$S:$S, "&lt;7") +
    COUNTIFS(Base!$X:$X, A50, Base!$S:$S, "&gt;8") - COUNTIFS(Base!$X:$X, A50, Base!$S:$S, "&lt;7") +
    COUNTIFS(Base!$Y:$Y, A50, Base!$S:$S, "&gt;8") - COUNTIFS(Base!$Y:$Y, A50, Base!$S:$S, "&lt;7") +
    COUNTIFS(Base!$Z:$Z, A50, Base!$S:$S, "&gt;8") - COUNTIFS(Base!$Z:$Z, A50, Base!$S:$S, "&lt;7")
  ) /
  (
    COUNTIFS(Base!$W:$W, A50, Base!$S:$S, "&lt;&gt;") +
    COUNTIFS(Base!$X:$X, A50, Base!$S:$S, "&lt;&gt;") +
    COUNTIFS(Base!$Y:$Y, A50, Base!$S:$S, "&lt;&gt;") +
    COUNTIFS(Base!$Z:$Z, A50, Base!$S:$S, "&lt;&gt;")
  )
)
</f>
        <v>0</v>
      </c>
      <c r="F50" s="290">
        <f>SUMIFS(Base!$N:$N,Base!$V:$V,A50,Base!$N:$N,"&lt;&gt;")-SUMIFS(Base!$K:$K,Base!$V:$V,A50,Base!$N:$N,"&lt;&gt;")-(SUMIFS(Base!$L:$L,Base!$V:$V,A50,Base!$N:$N,"&lt;&gt;")*7)</f>
        <v>0</v>
      </c>
      <c r="G50" s="290">
        <f>SUMIFS(Base!$N:$N,Base!$W:$W,A50,Base!$N:$N,"&lt;&gt;")-SUMIFS(Base!$K:$K,Base!$W:$W,A50,Base!$N:$N,"&lt;&gt;")-(SUMIFS(Base!$L:$L,Base!$W:$W,A50,Base!$N:$N,"&lt;&gt;")*7)</f>
        <v>150</v>
      </c>
      <c r="H50" s="290">
        <f>SUMIFS(Base!$F:$F,Base!$V:$V,A50,Base!$N:$N,"&lt;&gt;")*7</f>
        <v>0</v>
      </c>
      <c r="I50" s="290">
        <f>SUMIFS(Base!$F:$F,Base!$W:$W,A50,Base!$N:$N,"&lt;&gt;")*7</f>
        <v>112</v>
      </c>
      <c r="J50" s="292" t="str">
        <f t="shared" ref="J50:K50" si="51">IFERROR(F50/H50,"-")</f>
        <v>-</v>
      </c>
      <c r="K50" s="292">
        <f t="shared" si="51"/>
        <v>1.339285714</v>
      </c>
      <c r="L50" s="292" t="str">
        <f>IFERROR((COUNTIFS(Base!$V:$V,A50,Base!$U:$U,TRUE))/(COUNTIFS(Base!$V:$V,A50,Base!$O:$O,"Finalizado")+COUNTIFS(Base!$V:$V,A50,Base!$O:$O,"Concluído")),"-")</f>
        <v>-</v>
      </c>
      <c r="M50" s="292">
        <f>IF(
  (
    IFERROR(COUNTIF(Base!$W:$W, A50), 0) +
    IFERROR(COUNTIF(Base!$X:$X, A50), 0) +
    IFERROR(COUNTIF(Base!$Y:$Y, A50), 0) +
    IFERROR(COUNTIF(Base!$Z:$Z, A50), 0)
  ) = 0,
  "-",
  IF(
    (
      IFERROR(COUNTIFS(Base!$W:$W, A50, Base!$O:$O, "Finalizado"), 0) +
      IFERROR(COUNTIFS(Base!$W:$W, A50, Base!$O:$O, "Concluído"), 0) +
      IFERROR(COUNTIFS(Base!$X:$X, A50, Base!$O:$O, "Finalizado"), 0) +
      IFERROR(COUNTIFS(Base!$X:$X, A50, Base!$O:$O, "Concluído"), 0) +
      IFERROR(COUNTIFS(Base!$Y:$Y, A50, Base!$O:$O, "Finalizado"), 0) +
      IFERROR(COUNTIFS(Base!$Y:$Y, A50, Base!$O:$O, "Concluído"), 0) +
      IFERROR(COUNTIFS(Base!$Z:$Z, A50, Base!$O:$O, "Finalizado"), 0) +
      IFERROR(COUNTIFS(Base!$Z:$Z, A50, Base!$O:$O, "Concluído"), 0)
    ) = 0,
    "-",
    (
      IFERROR(COUNTIFS(Base!$W:$W, A50, Base!$U:$U, TRUE), 0) +
      IFERROR(COUNTIFS(Base!$X:$X, A50, Base!$U:$U, TRUE), 0) +
      IFERROR(COUNTIFS(Base!$Y:$Y, A50, Base!$U:$U, TRUE), 0) +
      IFERROR(COUNTIFS(Base!$Z:$Z, A50, Base!$U:$U, TRUE), 0)
    ) /
    (
      IFERROR(COUNTIFS(Base!$W:$W, A50, Base!$O:$O, "Finalizado"), 0) +
      IFERROR(COUNTIFS(Base!$W:$W, A50, Base!$O:$O, "Concluído"), 0) +
      IFERROR(COUNTIFS(Base!$X:$X, A50, Base!$O:$O, "Finalizado"), 0) +
      IFERROR(COUNTIFS(Base!$X:$X, A50, Base!$O:$O, "Concluído"), 0) +
      IFERROR(COUNTIFS(Base!$Y:$Y, A50, Base!$O:$O, "Finalizado"), 0) +
      IFERROR(COUNTIFS(Base!$Y:$Y, A50, Base!$O:$O, "Concluído"), 0) +
      IFERROR(COUNTIFS(Base!$Z:$Z, A50, Base!$O:$O, "Finalizado"), 0) +
      IFERROR(COUNTIFS(Base!$Z:$Z, A50, Base!$O:$O, "Concluído"), 0)
    )
  )
)
</f>
        <v>0</v>
      </c>
      <c r="N50" s="120">
        <f>COUNTIF(Base!V:V,$A50)</f>
        <v>0</v>
      </c>
      <c r="O50" s="120">
        <f>COUNTIF(Base!W:W,$A50)</f>
        <v>2</v>
      </c>
      <c r="P50" s="120">
        <f>COUNTIF(Base!X:X,$A50)</f>
        <v>2</v>
      </c>
      <c r="Q50" s="120">
        <f>COUNTIF(Base!Y:Y,$A50)</f>
        <v>0</v>
      </c>
      <c r="R50" s="120">
        <f>COUNTIF(Base!Z:Z,$A50)</f>
        <v>0</v>
      </c>
      <c r="S50" s="120">
        <f t="shared" si="3"/>
        <v>4</v>
      </c>
      <c r="T50" s="120">
        <f t="shared" si="4"/>
        <v>4</v>
      </c>
      <c r="V50" s="293">
        <f>IF(
  (
    COUNTIF('Acompanhamento quinzenal'!$N:$N, A50) +
    COUNTIF('Acompanhamento quinzenal'!$T:$T, A50) +
    COUNTIF('Acompanhamento quinzenal'!$Z:$Z, A50) +
    COUNTIF('Acompanhamento quinzenal'!$AF:$AF, A50)
  ) = 0,
  "-",
  (
    IFERROR(SUMIFS('Acompanhamento quinzenal'!$S:$S, 'Acompanhamento quinzenal'!$N:$N, A50), 0) +
    IFERROR(SUMIFS('Acompanhamento quinzenal'!$Y:$Y, 'Acompanhamento quinzenal'!$T:$T, A50), 0) +
    IFERROR(SUMIFS('Acompanhamento quinzenal'!$AE:$AE, 'Acompanhamento quinzenal'!$Z:$Z, A50), 0) +
    IFERROR(SUMIFS('Acompanhamento quinzenal'!$AK:$AK, 'Acompanhamento quinzenal'!$AF:$AF, A50), 0)
  ) /
  (
    COUNTIF('Acompanhamento quinzenal'!$N:$N, A50) +
    COUNTIF('Acompanhamento quinzenal'!$T:$T, A50) +
    COUNTIF('Acompanhamento quinzenal'!$Z:$Z, A50) +
    COUNTIF('Acompanhamento quinzenal'!$AF:$AF, A50)
  )
)
</f>
        <v>2.714285714</v>
      </c>
      <c r="W50" s="293">
        <f>IF(
  (
    COUNTIF('Acompanhamento quinzenal'!$N:$N, A50) +
    COUNTIF('Acompanhamento quinzenal'!$T:$T, A50) +
    COUNTIF('Acompanhamento quinzenal'!$Z:$Z, A50) +
    COUNTIF('Acompanhamento quinzenal'!$AF:$AF, A50)
  ) = 0,
  "-",
  (
    IFERROR(SUMIFS('Acompanhamento quinzenal'!$O:$O, 'Acompanhamento quinzenal'!$N:$N, A50), 0) +
    IFERROR(SUMIFS('Acompanhamento quinzenal'!$U:$U, 'Acompanhamento quinzenal'!$T:$T, A50), 0) +
    IFERROR(SUMIFS('Acompanhamento quinzenal'!$AA:$AA, 'Acompanhamento quinzenal'!$Z:$Z, A50), 0) +
    IFERROR(SUMIFS('Acompanhamento quinzenal'!$AG:$AG, 'Acompanhamento quinzenal'!$AF:$AF, A50), 0)
  ) /
  (
    COUNTIF('Acompanhamento quinzenal'!$N:$N, A50) +
    COUNTIF('Acompanhamento quinzenal'!$T:$T, A50) +
    COUNTIF('Acompanhamento quinzenal'!$Z:$Z, A50) +
    COUNTIF('Acompanhamento quinzenal'!$AF:$AF, A50)
  )
)
</f>
        <v>3</v>
      </c>
      <c r="X50" s="294">
        <f>IF(
  (
    COUNTIF('Acompanhamento quinzenal'!$N:$N, A50) +
    COUNTIF('Acompanhamento quinzenal'!$T:$T, A50) +
    COUNTIF('Acompanhamento quinzenal'!$Z:$Z, A50) +
    COUNTIF('Acompanhamento quinzenal'!$AF:$AF, A50)
  ) = 0,
  "-",
  (
    IFERROR(SUMIFS('Acompanhamento quinzenal'!$P:$P, 'Acompanhamento quinzenal'!$N:$N, A50), 0) +
    IFERROR(SUMIFS('Acompanhamento quinzenal'!$V:$V, 'Acompanhamento quinzenal'!$T:$T, A50), 0) +
    IFERROR(SUMIFS('Acompanhamento quinzenal'!$AB:$AB, 'Acompanhamento quinzenal'!$Z:$Z, A50), 0) +
    IFERROR(SUMIFS('Acompanhamento quinzenal'!$AH:$AH, 'Acompanhamento quinzenal'!$AF:$AF, A50), 0)
  ) /
  (
    COUNTIF('Acompanhamento quinzenal'!$N:$N, A50) +
    COUNTIF('Acompanhamento quinzenal'!$T:$T, A50) +
    COUNTIF('Acompanhamento quinzenal'!$Z:$Z, A50) +
    COUNTIF('Acompanhamento quinzenal'!$AF:$AF, A50)
  )
)
</f>
        <v>2.714285714</v>
      </c>
      <c r="Y50" s="293">
        <f>IF(
  (
    COUNTIF('Acompanhamento quinzenal'!$N:$N, A50) +
    COUNTIF('Acompanhamento quinzenal'!$T:$T, A50) +
    COUNTIF('Acompanhamento quinzenal'!$Z:$Z, A50) +
    COUNTIF('Acompanhamento quinzenal'!$AF:$AF, A50)
  ) = 0,
  "-",
  (
    IFERROR(SUMIFS('Acompanhamento quinzenal'!$Q:$Q, 'Acompanhamento quinzenal'!$N:$N, A50), 0) +
    IFERROR(SUMIFS('Acompanhamento quinzenal'!$W:$W, 'Acompanhamento quinzenal'!$T:$T, A50), 0) +
    IFERROR(SUMIFS('Acompanhamento quinzenal'!$AC:$AC, 'Acompanhamento quinzenal'!$Z:$Z, A50), 0) +
    IFERROR(SUMIFS('Acompanhamento quinzenal'!$AI:$AI, 'Acompanhamento quinzenal'!$AF:$AF, A50), 0)
  ) /
  (
    COUNTIF('Acompanhamento quinzenal'!$N:$N, A50) +
    COUNTIF('Acompanhamento quinzenal'!$T:$T, A50) +
    COUNTIF('Acompanhamento quinzenal'!$Z:$Z, A50) +
    COUNTIF('Acompanhamento quinzenal'!$AF:$AF, A50)
  )
)
</f>
        <v>2.428571429</v>
      </c>
    </row>
    <row r="51" hidden="1">
      <c r="A51" s="291" t="str">
        <f>IFERROR(__xludf.DUMMYFUNCTION("""COMPUTED_VALUE"""),"fernanda.ortiz")</f>
        <v>fernanda.ortiz</v>
      </c>
      <c r="B51" s="120" t="str">
        <f>IFERROR(__xludf.DUMMYFUNCTION("""COMPUTED_VALUE"""),"Consultor")</f>
        <v>Consultor</v>
      </c>
      <c r="C51" s="120" t="str">
        <f>IFERROR(__xludf.DUMMYFUNCTION("""COMPUTED_VALUE"""),"NTec")</f>
        <v>NTec</v>
      </c>
      <c r="D51" s="292" t="str">
        <f>IFERROR((COUNTIFS(Base!$V:$V,A51,Base!$S:$S,"&gt;8") - COUNTIFS(Base!$V:$V,A51,Base!$S:$S,"&lt;7"))/COUNTIFS(Base!$V:$V,A51,Base!$S:$S,"&lt;&gt;"),"-")</f>
        <v>-</v>
      </c>
      <c r="E51" s="292" t="str">
        <f>IF(
  (
    COUNTIFS(Base!$W:$W, A51, Base!$S:$S, "&lt;&gt;") +
    COUNTIFS(Base!$X:$X, A51, Base!$S:$S, "&lt;&gt;") +
    COUNTIFS(Base!$Y:$Y, A51, Base!$S:$S, "&lt;&gt;") +
    COUNTIFS(Base!$Z:$Z, A51, Base!$S:$S, "&lt;&gt;")
  ) = 0,
  "-",
  (
    COUNTIFS(Base!$W:$W, A51, Base!$S:$S, "&gt;8") - COUNTIFS(Base!$W:$W, A51, Base!$S:$S, "&lt;7") +
    COUNTIFS(Base!$X:$X, A51, Base!$S:$S, "&gt;8") - COUNTIFS(Base!$X:$X, A51, Base!$S:$S, "&lt;7") +
    COUNTIFS(Base!$Y:$Y, A51, Base!$S:$S, "&gt;8") - COUNTIFS(Base!$Y:$Y, A51, Base!$S:$S, "&lt;7") +
    COUNTIFS(Base!$Z:$Z, A51, Base!$S:$S, "&gt;8") - COUNTIFS(Base!$Z:$Z, A51, Base!$S:$S, "&lt;7")
  ) /
  (
    COUNTIFS(Base!$W:$W, A51, Base!$S:$S, "&lt;&gt;") +
    COUNTIFS(Base!$X:$X, A51, Base!$S:$S, "&lt;&gt;") +
    COUNTIFS(Base!$Y:$Y, A51, Base!$S:$S, "&lt;&gt;") +
    COUNTIFS(Base!$Z:$Z, A51, Base!$S:$S, "&lt;&gt;")
  )
)
</f>
        <v>-</v>
      </c>
      <c r="F51" s="290">
        <f>SUMIFS(Base!$N:$N,Base!$V:$V,A51,Base!$N:$N,"&lt;&gt;")-SUMIFS(Base!$K:$K,Base!$V:$V,A51,Base!$N:$N,"&lt;&gt;")-(SUMIFS(Base!$L:$L,Base!$V:$V,A51,Base!$N:$N,"&lt;&gt;")*7)</f>
        <v>0</v>
      </c>
      <c r="G51" s="290"/>
      <c r="H51" s="290">
        <f>SUMIFS(Base!$F:$F,Base!$V:$V,A51,Base!$N:$N,"&lt;&gt;")*7</f>
        <v>0</v>
      </c>
      <c r="I51" s="290"/>
      <c r="J51" s="292" t="str">
        <f t="shared" ref="J51:K51" si="52">IFERROR(F51/H51,"-")</f>
        <v>-</v>
      </c>
      <c r="K51" s="292" t="str">
        <f t="shared" si="52"/>
        <v>-</v>
      </c>
      <c r="L51" s="292" t="str">
        <f>IFERROR((COUNTIFS(Base!$V:$V,A51,Base!$U:$U,TRUE))/(COUNTIFS(Base!$V:$V,A51,Base!$O:$O,"Finalizado")+COUNTIFS(Base!$V:$V,A51,Base!$O:$O,"Concluído")),"-")</f>
        <v>-</v>
      </c>
      <c r="M51" s="292" t="str">
        <f>IF(
  (
    IFERROR(COUNTIF(Base!$W:$W, A51), 0) +
    IFERROR(COUNTIF(Base!$X:$X, A51), 0) +
    IFERROR(COUNTIF(Base!$Y:$Y, A51), 0) +
    IFERROR(COUNTIF(Base!$Z:$Z, A51), 0)
  ) = 0,
  "-",
  IF(
    (
      IFERROR(COUNTIFS(Base!$W:$W, A51, Base!$O:$O, "Finalizado"), 0) +
      IFERROR(COUNTIFS(Base!$W:$W, A51, Base!$O:$O, "Concluído"), 0) +
      IFERROR(COUNTIFS(Base!$X:$X, A51, Base!$O:$O, "Finalizado"), 0) +
      IFERROR(COUNTIFS(Base!$X:$X, A51, Base!$O:$O, "Concluído"), 0) +
      IFERROR(COUNTIFS(Base!$Y:$Y, A51, Base!$O:$O, "Finalizado"), 0) +
      IFERROR(COUNTIFS(Base!$Y:$Y, A51, Base!$O:$O, "Concluído"), 0) +
      IFERROR(COUNTIFS(Base!$Z:$Z, A51, Base!$O:$O, "Finalizado"), 0) +
      IFERROR(COUNTIFS(Base!$Z:$Z, A51, Base!$O:$O, "Concluído"), 0)
    ) = 0,
    "-",
    (
      IFERROR(COUNTIFS(Base!$W:$W, A51, Base!$U:$U, TRUE), 0) +
      IFERROR(COUNTIFS(Base!$X:$X, A51, Base!$U:$U, TRUE), 0) +
      IFERROR(COUNTIFS(Base!$Y:$Y, A51, Base!$U:$U, TRUE), 0) +
      IFERROR(COUNTIFS(Base!$Z:$Z, A51, Base!$U:$U, TRUE), 0)
    ) /
    (
      IFERROR(COUNTIFS(Base!$W:$W, A51, Base!$O:$O, "Finalizado"), 0) +
      IFERROR(COUNTIFS(Base!$W:$W, A51, Base!$O:$O, "Concluído"), 0) +
      IFERROR(COUNTIFS(Base!$X:$X, A51, Base!$O:$O, "Finalizado"), 0) +
      IFERROR(COUNTIFS(Base!$X:$X, A51, Base!$O:$O, "Concluído"), 0) +
      IFERROR(COUNTIFS(Base!$Y:$Y, A51, Base!$O:$O, "Finalizado"), 0) +
      IFERROR(COUNTIFS(Base!$Y:$Y, A51, Base!$O:$O, "Concluído"), 0) +
      IFERROR(COUNTIFS(Base!$Z:$Z, A51, Base!$O:$O, "Finalizado"), 0) +
      IFERROR(COUNTIFS(Base!$Z:$Z, A51, Base!$O:$O, "Concluído"), 0)
    )
  )
)
</f>
        <v>-</v>
      </c>
      <c r="N51" s="120">
        <f>COUNTIF(Base!V:V,$A51)</f>
        <v>3</v>
      </c>
      <c r="O51" s="120">
        <f>COUNTIF(Base!W:W,$A51)</f>
        <v>0</v>
      </c>
      <c r="P51" s="120">
        <f>COUNTIF(Base!X:X,$A51)</f>
        <v>0</v>
      </c>
      <c r="Q51" s="120">
        <f>COUNTIF(Base!Y:Y,$A51)</f>
        <v>0</v>
      </c>
      <c r="R51" s="120">
        <f>COUNTIF(Base!Z:Z,$A51)</f>
        <v>1</v>
      </c>
      <c r="S51" s="120">
        <f t="shared" si="3"/>
        <v>4</v>
      </c>
      <c r="T51" s="120">
        <f t="shared" si="4"/>
        <v>1</v>
      </c>
      <c r="V51" s="293">
        <f>IF(
  (
    COUNTIF('Acompanhamento quinzenal'!$N:$N, A51) +
    COUNTIF('Acompanhamento quinzenal'!$T:$T, A51) +
    COUNTIF('Acompanhamento quinzenal'!$Z:$Z, A51) +
    COUNTIF('Acompanhamento quinzenal'!$AF:$AF, A51)
  ) = 0,
  "-",
  (
    IFERROR(SUMIFS('Acompanhamento quinzenal'!$S:$S, 'Acompanhamento quinzenal'!$N:$N, A51), 0) +
    IFERROR(SUMIFS('Acompanhamento quinzenal'!$Y:$Y, 'Acompanhamento quinzenal'!$T:$T, A51), 0) +
    IFERROR(SUMIFS('Acompanhamento quinzenal'!$AE:$AE, 'Acompanhamento quinzenal'!$Z:$Z, A51), 0) +
    IFERROR(SUMIFS('Acompanhamento quinzenal'!$AK:$AK, 'Acompanhamento quinzenal'!$AF:$AF, A51), 0)
  ) /
  (
    COUNTIF('Acompanhamento quinzenal'!$N:$N, A51) +
    COUNTIF('Acompanhamento quinzenal'!$T:$T, A51) +
    COUNTIF('Acompanhamento quinzenal'!$Z:$Z, A51) +
    COUNTIF('Acompanhamento quinzenal'!$AF:$AF, A51)
  )
)
</f>
        <v>5</v>
      </c>
      <c r="W51" s="293">
        <f>IF(
  (
    COUNTIF('Acompanhamento quinzenal'!$N:$N, A51) +
    COUNTIF('Acompanhamento quinzenal'!$T:$T, A51) +
    COUNTIF('Acompanhamento quinzenal'!$Z:$Z, A51) +
    COUNTIF('Acompanhamento quinzenal'!$AF:$AF, A51)
  ) = 0,
  "-",
  (
    IFERROR(SUMIFS('Acompanhamento quinzenal'!$O:$O, 'Acompanhamento quinzenal'!$N:$N, A51), 0) +
    IFERROR(SUMIFS('Acompanhamento quinzenal'!$U:$U, 'Acompanhamento quinzenal'!$T:$T, A51), 0) +
    IFERROR(SUMIFS('Acompanhamento quinzenal'!$AA:$AA, 'Acompanhamento quinzenal'!$Z:$Z, A51), 0) +
    IFERROR(SUMIFS('Acompanhamento quinzenal'!$AG:$AG, 'Acompanhamento quinzenal'!$AF:$AF, A51), 0)
  ) /
  (
    COUNTIF('Acompanhamento quinzenal'!$N:$N, A51) +
    COUNTIF('Acompanhamento quinzenal'!$T:$T, A51) +
    COUNTIF('Acompanhamento quinzenal'!$Z:$Z, A51) +
    COUNTIF('Acompanhamento quinzenal'!$AF:$AF, A51)
  )
)
</f>
        <v>5</v>
      </c>
      <c r="X51" s="294">
        <f>IF(
  (
    COUNTIF('Acompanhamento quinzenal'!$N:$N, A51) +
    COUNTIF('Acompanhamento quinzenal'!$T:$T, A51) +
    COUNTIF('Acompanhamento quinzenal'!$Z:$Z, A51) +
    COUNTIF('Acompanhamento quinzenal'!$AF:$AF, A51)
  ) = 0,
  "-",
  (
    IFERROR(SUMIFS('Acompanhamento quinzenal'!$P:$P, 'Acompanhamento quinzenal'!$N:$N, A51), 0) +
    IFERROR(SUMIFS('Acompanhamento quinzenal'!$V:$V, 'Acompanhamento quinzenal'!$T:$T, A51), 0) +
    IFERROR(SUMIFS('Acompanhamento quinzenal'!$AB:$AB, 'Acompanhamento quinzenal'!$Z:$Z, A51), 0) +
    IFERROR(SUMIFS('Acompanhamento quinzenal'!$AH:$AH, 'Acompanhamento quinzenal'!$AF:$AF, A51), 0)
  ) /
  (
    COUNTIF('Acompanhamento quinzenal'!$N:$N, A51) +
    COUNTIF('Acompanhamento quinzenal'!$T:$T, A51) +
    COUNTIF('Acompanhamento quinzenal'!$Z:$Z, A51) +
    COUNTIF('Acompanhamento quinzenal'!$AF:$AF, A51)
  )
)
</f>
        <v>5</v>
      </c>
      <c r="Y51" s="293">
        <f>IF(
  (
    COUNTIF('Acompanhamento quinzenal'!$N:$N, A51) +
    COUNTIF('Acompanhamento quinzenal'!$T:$T, A51) +
    COUNTIF('Acompanhamento quinzenal'!$Z:$Z, A51) +
    COUNTIF('Acompanhamento quinzenal'!$AF:$AF, A51)
  ) = 0,
  "-",
  (
    IFERROR(SUMIFS('Acompanhamento quinzenal'!$Q:$Q, 'Acompanhamento quinzenal'!$N:$N, A51), 0) +
    IFERROR(SUMIFS('Acompanhamento quinzenal'!$W:$W, 'Acompanhamento quinzenal'!$T:$T, A51), 0) +
    IFERROR(SUMIFS('Acompanhamento quinzenal'!$AC:$AC, 'Acompanhamento quinzenal'!$Z:$Z, A51), 0) +
    IFERROR(SUMIFS('Acompanhamento quinzenal'!$AI:$AI, 'Acompanhamento quinzenal'!$AF:$AF, A51), 0)
  ) /
  (
    COUNTIF('Acompanhamento quinzenal'!$N:$N, A51) +
    COUNTIF('Acompanhamento quinzenal'!$T:$T, A51) +
    COUNTIF('Acompanhamento quinzenal'!$Z:$Z, A51) +
    COUNTIF('Acompanhamento quinzenal'!$AF:$AF, A51)
  )
)
</f>
        <v>5</v>
      </c>
    </row>
    <row r="52" hidden="1">
      <c r="A52" s="291" t="str">
        <f>IFERROR(__xludf.DUMMYFUNCTION("""COMPUTED_VALUE"""),"fernanda.sula")</f>
        <v>fernanda.sula</v>
      </c>
      <c r="B52" s="120" t="str">
        <f>IFERROR(__xludf.DUMMYFUNCTION("""COMPUTED_VALUE"""),"Coordenador")</f>
        <v>Coordenador</v>
      </c>
      <c r="C52" s="120" t="str">
        <f>IFERROR(__xludf.DUMMYFUNCTION("""COMPUTED_VALUE"""),"NCon")</f>
        <v>NCon</v>
      </c>
      <c r="D52" s="292" t="str">
        <f>IFERROR((COUNTIFS(Base!$V:$V,A52,Base!$S:$S,"&gt;8") - COUNTIFS(Base!$V:$V,A52,Base!$S:$S,"&lt;7"))/COUNTIFS(Base!$V:$V,A52,Base!$S:$S,"&lt;&gt;"),"-")</f>
        <v>-</v>
      </c>
      <c r="E52" s="292">
        <f>IF(
  (
    COUNTIFS(Base!$W:$W, A52, Base!$S:$S, "&lt;&gt;") +
    COUNTIFS(Base!$X:$X, A52, Base!$S:$S, "&lt;&gt;") +
    COUNTIFS(Base!$Y:$Y, A52, Base!$S:$S, "&lt;&gt;") +
    COUNTIFS(Base!$Z:$Z, A52, Base!$S:$S, "&lt;&gt;")
  ) = 0,
  "-",
  (
    COUNTIFS(Base!$W:$W, A52, Base!$S:$S, "&gt;8") - COUNTIFS(Base!$W:$W, A52, Base!$S:$S, "&lt;7") +
    COUNTIFS(Base!$X:$X, A52, Base!$S:$S, "&gt;8") - COUNTIFS(Base!$X:$X, A52, Base!$S:$S, "&lt;7") +
    COUNTIFS(Base!$Y:$Y, A52, Base!$S:$S, "&gt;8") - COUNTIFS(Base!$Y:$Y, A52, Base!$S:$S, "&lt;7") +
    COUNTIFS(Base!$Z:$Z, A52, Base!$S:$S, "&gt;8") - COUNTIFS(Base!$Z:$Z, A52, Base!$S:$S, "&lt;7")
  ) /
  (
    COUNTIFS(Base!$W:$W, A52, Base!$S:$S, "&lt;&gt;") +
    COUNTIFS(Base!$X:$X, A52, Base!$S:$S, "&lt;&gt;") +
    COUNTIFS(Base!$Y:$Y, A52, Base!$S:$S, "&lt;&gt;") +
    COUNTIFS(Base!$Z:$Z, A52, Base!$S:$S, "&lt;&gt;")
  )
)
</f>
        <v>1</v>
      </c>
      <c r="F52" s="290">
        <f>SUMIFS(Base!$N:$N,Base!$V:$V,A52,Base!$N:$N,"&lt;&gt;")-SUMIFS(Base!$K:$K,Base!$V:$V,A52,Base!$N:$N,"&lt;&gt;")-(SUMIFS(Base!$L:$L,Base!$V:$V,A52,Base!$N:$N,"&lt;&gt;")*7)</f>
        <v>0</v>
      </c>
      <c r="G52" s="290"/>
      <c r="H52" s="290">
        <f>SUMIFS(Base!$F:$F,Base!$V:$V,A52,Base!$N:$N,"&lt;&gt;")*7</f>
        <v>0</v>
      </c>
      <c r="I52" s="290"/>
      <c r="J52" s="292" t="str">
        <f t="shared" ref="J52:K52" si="53">IFERROR(F52/H52,"-")</f>
        <v>-</v>
      </c>
      <c r="K52" s="292" t="str">
        <f t="shared" si="53"/>
        <v>-</v>
      </c>
      <c r="L52" s="292" t="str">
        <f>IFERROR((COUNTIFS(Base!$V:$V,A52,Base!$U:$U,TRUE))/(COUNTIFS(Base!$V:$V,A52,Base!$O:$O,"Finalizado")+COUNTIFS(Base!$V:$V,A52,Base!$O:$O,"Concluído")),"-")</f>
        <v>-</v>
      </c>
      <c r="M52" s="292">
        <f>IF(
  (
    IFERROR(COUNTIF(Base!$W:$W, A52), 0) +
    IFERROR(COUNTIF(Base!$X:$X, A52), 0) +
    IFERROR(COUNTIF(Base!$Y:$Y, A52), 0) +
    IFERROR(COUNTIF(Base!$Z:$Z, A52), 0)
  ) = 0,
  "-",
  IF(
    (
      IFERROR(COUNTIFS(Base!$W:$W, A52, Base!$O:$O, "Finalizado"), 0) +
      IFERROR(COUNTIFS(Base!$W:$W, A52, Base!$O:$O, "Concluído"), 0) +
      IFERROR(COUNTIFS(Base!$X:$X, A52, Base!$O:$O, "Finalizado"), 0) +
      IFERROR(COUNTIFS(Base!$X:$X, A52, Base!$O:$O, "Concluído"), 0) +
      IFERROR(COUNTIFS(Base!$Y:$Y, A52, Base!$O:$O, "Finalizado"), 0) +
      IFERROR(COUNTIFS(Base!$Y:$Y, A52, Base!$O:$O, "Concluído"), 0) +
      IFERROR(COUNTIFS(Base!$Z:$Z, A52, Base!$O:$O, "Finalizado"), 0) +
      IFERROR(COUNTIFS(Base!$Z:$Z, A52, Base!$O:$O, "Concluído"), 0)
    ) = 0,
    "-",
    (
      IFERROR(COUNTIFS(Base!$W:$W, A52, Base!$U:$U, TRUE), 0) +
      IFERROR(COUNTIFS(Base!$X:$X, A52, Base!$U:$U, TRUE), 0) +
      IFERROR(COUNTIFS(Base!$Y:$Y, A52, Base!$U:$U, TRUE), 0) +
      IFERROR(COUNTIFS(Base!$Z:$Z, A52, Base!$U:$U, TRUE), 0)
    ) /
    (
      IFERROR(COUNTIFS(Base!$W:$W, A52, Base!$O:$O, "Finalizado"), 0) +
      IFERROR(COUNTIFS(Base!$W:$W, A52, Base!$O:$O, "Concluído"), 0) +
      IFERROR(COUNTIFS(Base!$X:$X, A52, Base!$O:$O, "Finalizado"), 0) +
      IFERROR(COUNTIFS(Base!$X:$X, A52, Base!$O:$O, "Concluído"), 0) +
      IFERROR(COUNTIFS(Base!$Y:$Y, A52, Base!$O:$O, "Finalizado"), 0) +
      IFERROR(COUNTIFS(Base!$Y:$Y, A52, Base!$O:$O, "Concluído"), 0) +
      IFERROR(COUNTIFS(Base!$Z:$Z, A52, Base!$O:$O, "Finalizado"), 0) +
      IFERROR(COUNTIFS(Base!$Z:$Z, A52, Base!$O:$O, "Concluído"), 0)
    )
  )
)
</f>
        <v>1</v>
      </c>
      <c r="N52" s="120">
        <f>COUNTIF(Base!V:V,$A52)</f>
        <v>0</v>
      </c>
      <c r="O52" s="120">
        <f>COUNTIF(Base!W:W,$A52)</f>
        <v>1</v>
      </c>
      <c r="P52" s="120">
        <f>COUNTIF(Base!X:X,$A52)</f>
        <v>0</v>
      </c>
      <c r="Q52" s="120">
        <f>COUNTIF(Base!Y:Y,$A52)</f>
        <v>0</v>
      </c>
      <c r="R52" s="120">
        <f>COUNTIF(Base!Z:Z,$A52)</f>
        <v>0</v>
      </c>
      <c r="S52" s="120">
        <f t="shared" si="3"/>
        <v>1</v>
      </c>
      <c r="T52" s="120">
        <f t="shared" si="4"/>
        <v>1</v>
      </c>
      <c r="V52" s="293" t="str">
        <f>IF(
  (
    COUNTIF('Acompanhamento quinzenal'!$N:$N, A52) +
    COUNTIF('Acompanhamento quinzenal'!$T:$T, A52) +
    COUNTIF('Acompanhamento quinzenal'!$Z:$Z, A52) +
    COUNTIF('Acompanhamento quinzenal'!$AF:$AF, A52)
  ) = 0,
  "-",
  (
    IFERROR(SUMIFS('Acompanhamento quinzenal'!$S:$S, 'Acompanhamento quinzenal'!$N:$N, A52), 0) +
    IFERROR(SUMIFS('Acompanhamento quinzenal'!$Y:$Y, 'Acompanhamento quinzenal'!$T:$T, A52), 0) +
    IFERROR(SUMIFS('Acompanhamento quinzenal'!$AE:$AE, 'Acompanhamento quinzenal'!$Z:$Z, A52), 0) +
    IFERROR(SUMIFS('Acompanhamento quinzenal'!$AK:$AK, 'Acompanhamento quinzenal'!$AF:$AF, A52), 0)
  ) /
  (
    COUNTIF('Acompanhamento quinzenal'!$N:$N, A52) +
    COUNTIF('Acompanhamento quinzenal'!$T:$T, A52) +
    COUNTIF('Acompanhamento quinzenal'!$Z:$Z, A52) +
    COUNTIF('Acompanhamento quinzenal'!$AF:$AF, A52)
  )
)
</f>
        <v>-</v>
      </c>
      <c r="W52" s="293" t="str">
        <f>IF(
  (
    COUNTIF('Acompanhamento quinzenal'!$N:$N, A52) +
    COUNTIF('Acompanhamento quinzenal'!$T:$T, A52) +
    COUNTIF('Acompanhamento quinzenal'!$Z:$Z, A52) +
    COUNTIF('Acompanhamento quinzenal'!$AF:$AF, A52)
  ) = 0,
  "-",
  (
    IFERROR(SUMIFS('Acompanhamento quinzenal'!$O:$O, 'Acompanhamento quinzenal'!$N:$N, A52), 0) +
    IFERROR(SUMIFS('Acompanhamento quinzenal'!$U:$U, 'Acompanhamento quinzenal'!$T:$T, A52), 0) +
    IFERROR(SUMIFS('Acompanhamento quinzenal'!$AA:$AA, 'Acompanhamento quinzenal'!$Z:$Z, A52), 0) +
    IFERROR(SUMIFS('Acompanhamento quinzenal'!$AG:$AG, 'Acompanhamento quinzenal'!$AF:$AF, A52), 0)
  ) /
  (
    COUNTIF('Acompanhamento quinzenal'!$N:$N, A52) +
    COUNTIF('Acompanhamento quinzenal'!$T:$T, A52) +
    COUNTIF('Acompanhamento quinzenal'!$Z:$Z, A52) +
    COUNTIF('Acompanhamento quinzenal'!$AF:$AF, A52)
  )
)
</f>
        <v>-</v>
      </c>
      <c r="X52" s="294" t="str">
        <f>IF(
  (
    COUNTIF('Acompanhamento quinzenal'!$N:$N, A52) +
    COUNTIF('Acompanhamento quinzenal'!$T:$T, A52) +
    COUNTIF('Acompanhamento quinzenal'!$Z:$Z, A52) +
    COUNTIF('Acompanhamento quinzenal'!$AF:$AF, A52)
  ) = 0,
  "-",
  (
    IFERROR(SUMIFS('Acompanhamento quinzenal'!$P:$P, 'Acompanhamento quinzenal'!$N:$N, A52), 0) +
    IFERROR(SUMIFS('Acompanhamento quinzenal'!$V:$V, 'Acompanhamento quinzenal'!$T:$T, A52), 0) +
    IFERROR(SUMIFS('Acompanhamento quinzenal'!$AB:$AB, 'Acompanhamento quinzenal'!$Z:$Z, A52), 0) +
    IFERROR(SUMIFS('Acompanhamento quinzenal'!$AH:$AH, 'Acompanhamento quinzenal'!$AF:$AF, A52), 0)
  ) /
  (
    COUNTIF('Acompanhamento quinzenal'!$N:$N, A52) +
    COUNTIF('Acompanhamento quinzenal'!$T:$T, A52) +
    COUNTIF('Acompanhamento quinzenal'!$Z:$Z, A52) +
    COUNTIF('Acompanhamento quinzenal'!$AF:$AF, A52)
  )
)
</f>
        <v>-</v>
      </c>
      <c r="Y52" s="293" t="str">
        <f>IF(
  (
    COUNTIF('Acompanhamento quinzenal'!$N:$N, A52) +
    COUNTIF('Acompanhamento quinzenal'!$T:$T, A52) +
    COUNTIF('Acompanhamento quinzenal'!$Z:$Z, A52) +
    COUNTIF('Acompanhamento quinzenal'!$AF:$AF, A52)
  ) = 0,
  "-",
  (
    IFERROR(SUMIFS('Acompanhamento quinzenal'!$Q:$Q, 'Acompanhamento quinzenal'!$N:$N, A52), 0) +
    IFERROR(SUMIFS('Acompanhamento quinzenal'!$W:$W, 'Acompanhamento quinzenal'!$T:$T, A52), 0) +
    IFERROR(SUMIFS('Acompanhamento quinzenal'!$AC:$AC, 'Acompanhamento quinzenal'!$Z:$Z, A52), 0) +
    IFERROR(SUMIFS('Acompanhamento quinzenal'!$AI:$AI, 'Acompanhamento quinzenal'!$AF:$AF, A52), 0)
  ) /
  (
    COUNTIF('Acompanhamento quinzenal'!$N:$N, A52) +
    COUNTIF('Acompanhamento quinzenal'!$T:$T, A52) +
    COUNTIF('Acompanhamento quinzenal'!$Z:$Z, A52) +
    COUNTIF('Acompanhamento quinzenal'!$AF:$AF, A52)
  )
)
</f>
        <v>-</v>
      </c>
    </row>
    <row r="53">
      <c r="A53" s="291" t="str">
        <f>IFERROR(__xludf.DUMMYFUNCTION("""COMPUTED_VALUE"""),"fernando.seraco")</f>
        <v>fernando.seraco</v>
      </c>
      <c r="B53" s="120" t="str">
        <f>IFERROR(__xludf.DUMMYFUNCTION("""COMPUTED_VALUE"""),"Trainee")</f>
        <v>Trainee</v>
      </c>
      <c r="C53" s="120" t="str">
        <f>IFERROR(__xludf.DUMMYFUNCTION("""COMPUTED_VALUE"""),"NDados")</f>
        <v>NDados</v>
      </c>
      <c r="D53" s="292" t="str">
        <f>IFERROR((COUNTIFS(Base!$V:$V,A53,Base!$S:$S,"&gt;8") - COUNTIFS(Base!$V:$V,A53,Base!$S:$S,"&lt;7"))/COUNTIFS(Base!$V:$V,A53,Base!$S:$S,"&lt;&gt;"),"-")</f>
        <v>-</v>
      </c>
      <c r="E53" s="292" t="str">
        <f>IF(
  (
    COUNTIFS(Base!$W:$W, A53, Base!$S:$S, "&lt;&gt;") +
    COUNTIFS(Base!$X:$X, A53, Base!$S:$S, "&lt;&gt;") +
    COUNTIFS(Base!$Y:$Y, A53, Base!$S:$S, "&lt;&gt;") +
    COUNTIFS(Base!$Z:$Z, A53, Base!$S:$S, "&lt;&gt;")
  ) = 0,
  "-",
  (
    COUNTIFS(Base!$W:$W, A53, Base!$S:$S, "&gt;8") - COUNTIFS(Base!$W:$W, A53, Base!$S:$S, "&lt;7") +
    COUNTIFS(Base!$X:$X, A53, Base!$S:$S, "&gt;8") - COUNTIFS(Base!$X:$X, A53, Base!$S:$S, "&lt;7") +
    COUNTIFS(Base!$Y:$Y, A53, Base!$S:$S, "&gt;8") - COUNTIFS(Base!$Y:$Y, A53, Base!$S:$S, "&lt;7") +
    COUNTIFS(Base!$Z:$Z, A53, Base!$S:$S, "&gt;8") - COUNTIFS(Base!$Z:$Z, A53, Base!$S:$S, "&lt;7")
  ) /
  (
    COUNTIFS(Base!$W:$W, A53, Base!$S:$S, "&lt;&gt;") +
    COUNTIFS(Base!$X:$X, A53, Base!$S:$S, "&lt;&gt;") +
    COUNTIFS(Base!$Y:$Y, A53, Base!$S:$S, "&lt;&gt;") +
    COUNTIFS(Base!$Z:$Z, A53, Base!$S:$S, "&lt;&gt;")
  )
)
</f>
        <v>-</v>
      </c>
      <c r="F53" s="290">
        <f>SUMIFS(Base!$N:$N,Base!$V:$V,A53,Base!$N:$N,"&lt;&gt;")-SUMIFS(Base!$K:$K,Base!$V:$V,A53,Base!$N:$N,"&lt;&gt;")-(SUMIFS(Base!$L:$L,Base!$V:$V,A53,Base!$N:$N,"&lt;&gt;")*7)</f>
        <v>0</v>
      </c>
      <c r="G53" s="290"/>
      <c r="H53" s="290">
        <f>SUMIFS(Base!$F:$F,Base!$V:$V,A53,Base!$N:$N,"&lt;&gt;")*7</f>
        <v>0</v>
      </c>
      <c r="I53" s="290"/>
      <c r="J53" s="292" t="str">
        <f t="shared" ref="J53:K53" si="54">IFERROR(F53/H53,"-")</f>
        <v>-</v>
      </c>
      <c r="K53" s="292" t="str">
        <f t="shared" si="54"/>
        <v>-</v>
      </c>
      <c r="L53" s="292" t="str">
        <f>IFERROR((COUNTIFS(Base!$V:$V,A53,Base!$U:$U,TRUE))/(COUNTIFS(Base!$V:$V,A53,Base!$O:$O,"Finalizado")+COUNTIFS(Base!$V:$V,A53,Base!$O:$O,"Concluído")),"-")</f>
        <v>-</v>
      </c>
      <c r="M53" s="292" t="str">
        <f>IF(
  (
    IFERROR(COUNTIF(Base!$W:$W, A53), 0) +
    IFERROR(COUNTIF(Base!$X:$X, A53), 0) +
    IFERROR(COUNTIF(Base!$Y:$Y, A53), 0) +
    IFERROR(COUNTIF(Base!$Z:$Z, A53), 0)
  ) = 0,
  "-",
  IF(
    (
      IFERROR(COUNTIFS(Base!$W:$W, A53, Base!$O:$O, "Finalizado"), 0) +
      IFERROR(COUNTIFS(Base!$W:$W, A53, Base!$O:$O, "Concluído"), 0) +
      IFERROR(COUNTIFS(Base!$X:$X, A53, Base!$O:$O, "Finalizado"), 0) +
      IFERROR(COUNTIFS(Base!$X:$X, A53, Base!$O:$O, "Concluído"), 0) +
      IFERROR(COUNTIFS(Base!$Y:$Y, A53, Base!$O:$O, "Finalizado"), 0) +
      IFERROR(COUNTIFS(Base!$Y:$Y, A53, Base!$O:$O, "Concluído"), 0) +
      IFERROR(COUNTIFS(Base!$Z:$Z, A53, Base!$O:$O, "Finalizado"), 0) +
      IFERROR(COUNTIFS(Base!$Z:$Z, A53, Base!$O:$O, "Concluído"), 0)
    ) = 0,
    "-",
    (
      IFERROR(COUNTIFS(Base!$W:$W, A53, Base!$U:$U, TRUE), 0) +
      IFERROR(COUNTIFS(Base!$X:$X, A53, Base!$U:$U, TRUE), 0) +
      IFERROR(COUNTIFS(Base!$Y:$Y, A53, Base!$U:$U, TRUE), 0) +
      IFERROR(COUNTIFS(Base!$Z:$Z, A53, Base!$U:$U, TRUE), 0)
    ) /
    (
      IFERROR(COUNTIFS(Base!$W:$W, A53, Base!$O:$O, "Finalizado"), 0) +
      IFERROR(COUNTIFS(Base!$W:$W, A53, Base!$O:$O, "Concluído"), 0) +
      IFERROR(COUNTIFS(Base!$X:$X, A53, Base!$O:$O, "Finalizado"), 0) +
      IFERROR(COUNTIFS(Base!$X:$X, A53, Base!$O:$O, "Concluído"), 0) +
      IFERROR(COUNTIFS(Base!$Y:$Y, A53, Base!$O:$O, "Finalizado"), 0) +
      IFERROR(COUNTIFS(Base!$Y:$Y, A53, Base!$O:$O, "Concluído"), 0) +
      IFERROR(COUNTIFS(Base!$Z:$Z, A53, Base!$O:$O, "Finalizado"), 0) +
      IFERROR(COUNTIFS(Base!$Z:$Z, A53, Base!$O:$O, "Concluído"), 0)
    )
  )
)
</f>
        <v>-</v>
      </c>
      <c r="N53" s="120">
        <f>COUNTIF(Base!V:V,$A53)</f>
        <v>0</v>
      </c>
      <c r="O53" s="120">
        <f>COUNTIF(Base!W:W,$A53)</f>
        <v>0</v>
      </c>
      <c r="P53" s="120">
        <f>COUNTIF(Base!X:X,$A53)</f>
        <v>1</v>
      </c>
      <c r="Q53" s="120">
        <f>COUNTIF(Base!Y:Y,$A53)</f>
        <v>0</v>
      </c>
      <c r="R53" s="120">
        <f>COUNTIF(Base!Z:Z,$A53)</f>
        <v>0</v>
      </c>
      <c r="S53" s="120">
        <f t="shared" si="3"/>
        <v>1</v>
      </c>
      <c r="T53" s="120">
        <f t="shared" si="4"/>
        <v>1</v>
      </c>
      <c r="V53" s="293" t="str">
        <f>IF(
  (
    COUNTIF('Acompanhamento quinzenal'!$N:$N, A53) +
    COUNTIF('Acompanhamento quinzenal'!$T:$T, A53) +
    COUNTIF('Acompanhamento quinzenal'!$Z:$Z, A53) +
    COUNTIF('Acompanhamento quinzenal'!$AF:$AF, A53)
  ) = 0,
  "-",
  (
    IFERROR(SUMIFS('Acompanhamento quinzenal'!$S:$S, 'Acompanhamento quinzenal'!$N:$N, A53), 0) +
    IFERROR(SUMIFS('Acompanhamento quinzenal'!$Y:$Y, 'Acompanhamento quinzenal'!$T:$T, A53), 0) +
    IFERROR(SUMIFS('Acompanhamento quinzenal'!$AE:$AE, 'Acompanhamento quinzenal'!$Z:$Z, A53), 0) +
    IFERROR(SUMIFS('Acompanhamento quinzenal'!$AK:$AK, 'Acompanhamento quinzenal'!$AF:$AF, A53), 0)
  ) /
  (
    COUNTIF('Acompanhamento quinzenal'!$N:$N, A53) +
    COUNTIF('Acompanhamento quinzenal'!$T:$T, A53) +
    COUNTIF('Acompanhamento quinzenal'!$Z:$Z, A53) +
    COUNTIF('Acompanhamento quinzenal'!$AF:$AF, A53)
  )
)
</f>
        <v>-</v>
      </c>
      <c r="W53" s="293" t="str">
        <f>IF(
  (
    COUNTIF('Acompanhamento quinzenal'!$N:$N, A53) +
    COUNTIF('Acompanhamento quinzenal'!$T:$T, A53) +
    COUNTIF('Acompanhamento quinzenal'!$Z:$Z, A53) +
    COUNTIF('Acompanhamento quinzenal'!$AF:$AF, A53)
  ) = 0,
  "-",
  (
    IFERROR(SUMIFS('Acompanhamento quinzenal'!$O:$O, 'Acompanhamento quinzenal'!$N:$N, A53), 0) +
    IFERROR(SUMIFS('Acompanhamento quinzenal'!$U:$U, 'Acompanhamento quinzenal'!$T:$T, A53), 0) +
    IFERROR(SUMIFS('Acompanhamento quinzenal'!$AA:$AA, 'Acompanhamento quinzenal'!$Z:$Z, A53), 0) +
    IFERROR(SUMIFS('Acompanhamento quinzenal'!$AG:$AG, 'Acompanhamento quinzenal'!$AF:$AF, A53), 0)
  ) /
  (
    COUNTIF('Acompanhamento quinzenal'!$N:$N, A53) +
    COUNTIF('Acompanhamento quinzenal'!$T:$T, A53) +
    COUNTIF('Acompanhamento quinzenal'!$Z:$Z, A53) +
    COUNTIF('Acompanhamento quinzenal'!$AF:$AF, A53)
  )
)
</f>
        <v>-</v>
      </c>
      <c r="X53" s="294" t="str">
        <f>IF(
  (
    COUNTIF('Acompanhamento quinzenal'!$N:$N, A53) +
    COUNTIF('Acompanhamento quinzenal'!$T:$T, A53) +
    COUNTIF('Acompanhamento quinzenal'!$Z:$Z, A53) +
    COUNTIF('Acompanhamento quinzenal'!$AF:$AF, A53)
  ) = 0,
  "-",
  (
    IFERROR(SUMIFS('Acompanhamento quinzenal'!$P:$P, 'Acompanhamento quinzenal'!$N:$N, A53), 0) +
    IFERROR(SUMIFS('Acompanhamento quinzenal'!$V:$V, 'Acompanhamento quinzenal'!$T:$T, A53), 0) +
    IFERROR(SUMIFS('Acompanhamento quinzenal'!$AB:$AB, 'Acompanhamento quinzenal'!$Z:$Z, A53), 0) +
    IFERROR(SUMIFS('Acompanhamento quinzenal'!$AH:$AH, 'Acompanhamento quinzenal'!$AF:$AF, A53), 0)
  ) /
  (
    COUNTIF('Acompanhamento quinzenal'!$N:$N, A53) +
    COUNTIF('Acompanhamento quinzenal'!$T:$T, A53) +
    COUNTIF('Acompanhamento quinzenal'!$Z:$Z, A53) +
    COUNTIF('Acompanhamento quinzenal'!$AF:$AF, A53)
  )
)
</f>
        <v>-</v>
      </c>
      <c r="Y53" s="293" t="str">
        <f>IF(
  (
    COUNTIF('Acompanhamento quinzenal'!$N:$N, A53) +
    COUNTIF('Acompanhamento quinzenal'!$T:$T, A53) +
    COUNTIF('Acompanhamento quinzenal'!$Z:$Z, A53) +
    COUNTIF('Acompanhamento quinzenal'!$AF:$AF, A53)
  ) = 0,
  "-",
  (
    IFERROR(SUMIFS('Acompanhamento quinzenal'!$Q:$Q, 'Acompanhamento quinzenal'!$N:$N, A53), 0) +
    IFERROR(SUMIFS('Acompanhamento quinzenal'!$W:$W, 'Acompanhamento quinzenal'!$T:$T, A53), 0) +
    IFERROR(SUMIFS('Acompanhamento quinzenal'!$AC:$AC, 'Acompanhamento quinzenal'!$Z:$Z, A53), 0) +
    IFERROR(SUMIFS('Acompanhamento quinzenal'!$AI:$AI, 'Acompanhamento quinzenal'!$AF:$AF, A53), 0)
  ) /
  (
    COUNTIF('Acompanhamento quinzenal'!$N:$N, A53) +
    COUNTIF('Acompanhamento quinzenal'!$T:$T, A53) +
    COUNTIF('Acompanhamento quinzenal'!$Z:$Z, A53) +
    COUNTIF('Acompanhamento quinzenal'!$AF:$AF, A53)
  )
)
</f>
        <v>-</v>
      </c>
    </row>
    <row r="54">
      <c r="A54" s="291" t="str">
        <f>IFERROR(__xludf.DUMMYFUNCTION("""COMPUTED_VALUE"""),"gabriel.agra")</f>
        <v>gabriel.agra</v>
      </c>
      <c r="B54" s="120" t="str">
        <f>IFERROR(__xludf.DUMMYFUNCTION("""COMPUTED_VALUE"""),"Trainee")</f>
        <v>Trainee</v>
      </c>
      <c r="C54" s="120" t="str">
        <f>IFERROR(__xludf.DUMMYFUNCTION("""COMPUTED_VALUE"""),"NDados")</f>
        <v>NDados</v>
      </c>
      <c r="D54" s="292" t="str">
        <f>IFERROR((COUNTIFS(Base!$V:$V,A54,Base!$S:$S,"&gt;8") - COUNTIFS(Base!$V:$V,A54,Base!$S:$S,"&lt;7"))/COUNTIFS(Base!$V:$V,A54,Base!$S:$S,"&lt;&gt;"),"-")</f>
        <v>-</v>
      </c>
      <c r="E54" s="292" t="str">
        <f>IF(
  (
    COUNTIFS(Base!$W:$W, A54, Base!$S:$S, "&lt;&gt;") +
    COUNTIFS(Base!$X:$X, A54, Base!$S:$S, "&lt;&gt;") +
    COUNTIFS(Base!$Y:$Y, A54, Base!$S:$S, "&lt;&gt;") +
    COUNTIFS(Base!$Z:$Z, A54, Base!$S:$S, "&lt;&gt;")
  ) = 0,
  "-",
  (
    COUNTIFS(Base!$W:$W, A54, Base!$S:$S, "&gt;8") - COUNTIFS(Base!$W:$W, A54, Base!$S:$S, "&lt;7") +
    COUNTIFS(Base!$X:$X, A54, Base!$S:$S, "&gt;8") - COUNTIFS(Base!$X:$X, A54, Base!$S:$S, "&lt;7") +
    COUNTIFS(Base!$Y:$Y, A54, Base!$S:$S, "&gt;8") - COUNTIFS(Base!$Y:$Y, A54, Base!$S:$S, "&lt;7") +
    COUNTIFS(Base!$Z:$Z, A54, Base!$S:$S, "&gt;8") - COUNTIFS(Base!$Z:$Z, A54, Base!$S:$S, "&lt;7")
  ) /
  (
    COUNTIFS(Base!$W:$W, A54, Base!$S:$S, "&lt;&gt;") +
    COUNTIFS(Base!$X:$X, A54, Base!$S:$S, "&lt;&gt;") +
    COUNTIFS(Base!$Y:$Y, A54, Base!$S:$S, "&lt;&gt;") +
    COUNTIFS(Base!$Z:$Z, A54, Base!$S:$S, "&lt;&gt;")
  )
)
</f>
        <v>-</v>
      </c>
      <c r="F54" s="290">
        <f>SUMIFS(Base!$N:$N,Base!$V:$V,A54,Base!$N:$N,"&lt;&gt;")-SUMIFS(Base!$K:$K,Base!$V:$V,A54,Base!$N:$N,"&lt;&gt;")-(SUMIFS(Base!$L:$L,Base!$V:$V,A54,Base!$N:$N,"&lt;&gt;")*7)</f>
        <v>0</v>
      </c>
      <c r="G54" s="290"/>
      <c r="H54" s="290">
        <f>SUMIFS(Base!$F:$F,Base!$V:$V,A54,Base!$N:$N,"&lt;&gt;")*7</f>
        <v>0</v>
      </c>
      <c r="I54" s="290"/>
      <c r="J54" s="292" t="str">
        <f t="shared" ref="J54:K54" si="55">IFERROR(F54/H54,"-")</f>
        <v>-</v>
      </c>
      <c r="K54" s="292" t="str">
        <f t="shared" si="55"/>
        <v>-</v>
      </c>
      <c r="L54" s="292" t="str">
        <f>IFERROR((COUNTIFS(Base!$V:$V,A54,Base!$U:$U,TRUE))/(COUNTIFS(Base!$V:$V,A54,Base!$O:$O,"Finalizado")+COUNTIFS(Base!$V:$V,A54,Base!$O:$O,"Concluído")),"-")</f>
        <v>-</v>
      </c>
      <c r="M54" s="292" t="str">
        <f>IF(
  (
    IFERROR(COUNTIF(Base!$W:$W, A54), 0) +
    IFERROR(COUNTIF(Base!$X:$X, A54), 0) +
    IFERROR(COUNTIF(Base!$Y:$Y, A54), 0) +
    IFERROR(COUNTIF(Base!$Z:$Z, A54), 0)
  ) = 0,
  "-",
  IF(
    (
      IFERROR(COUNTIFS(Base!$W:$W, A54, Base!$O:$O, "Finalizado"), 0) +
      IFERROR(COUNTIFS(Base!$W:$W, A54, Base!$O:$O, "Concluído"), 0) +
      IFERROR(COUNTIFS(Base!$X:$X, A54, Base!$O:$O, "Finalizado"), 0) +
      IFERROR(COUNTIFS(Base!$X:$X, A54, Base!$O:$O, "Concluído"), 0) +
      IFERROR(COUNTIFS(Base!$Y:$Y, A54, Base!$O:$O, "Finalizado"), 0) +
      IFERROR(COUNTIFS(Base!$Y:$Y, A54, Base!$O:$O, "Concluído"), 0) +
      IFERROR(COUNTIFS(Base!$Z:$Z, A54, Base!$O:$O, "Finalizado"), 0) +
      IFERROR(COUNTIFS(Base!$Z:$Z, A54, Base!$O:$O, "Concluído"), 0)
    ) = 0,
    "-",
    (
      IFERROR(COUNTIFS(Base!$W:$W, A54, Base!$U:$U, TRUE), 0) +
      IFERROR(COUNTIFS(Base!$X:$X, A54, Base!$U:$U, TRUE), 0) +
      IFERROR(COUNTIFS(Base!$Y:$Y, A54, Base!$U:$U, TRUE), 0) +
      IFERROR(COUNTIFS(Base!$Z:$Z, A54, Base!$U:$U, TRUE), 0)
    ) /
    (
      IFERROR(COUNTIFS(Base!$W:$W, A54, Base!$O:$O, "Finalizado"), 0) +
      IFERROR(COUNTIFS(Base!$W:$W, A54, Base!$O:$O, "Concluído"), 0) +
      IFERROR(COUNTIFS(Base!$X:$X, A54, Base!$O:$O, "Finalizado"), 0) +
      IFERROR(COUNTIFS(Base!$X:$X, A54, Base!$O:$O, "Concluído"), 0) +
      IFERROR(COUNTIFS(Base!$Y:$Y, A54, Base!$O:$O, "Finalizado"), 0) +
      IFERROR(COUNTIFS(Base!$Y:$Y, A54, Base!$O:$O, "Concluído"), 0) +
      IFERROR(COUNTIFS(Base!$Z:$Z, A54, Base!$O:$O, "Finalizado"), 0) +
      IFERROR(COUNTIFS(Base!$Z:$Z, A54, Base!$O:$O, "Concluído"), 0)
    )
  )
)
</f>
        <v>-</v>
      </c>
      <c r="N54" s="120">
        <f>COUNTIF(Base!V:V,$A54)</f>
        <v>0</v>
      </c>
      <c r="O54" s="120">
        <f>COUNTIF(Base!W:W,$A54)</f>
        <v>0</v>
      </c>
      <c r="P54" s="120">
        <f>COUNTIF(Base!X:X,$A54)</f>
        <v>1</v>
      </c>
      <c r="Q54" s="120">
        <f>COUNTIF(Base!Y:Y,$A54)</f>
        <v>0</v>
      </c>
      <c r="R54" s="120">
        <f>COUNTIF(Base!Z:Z,$A54)</f>
        <v>0</v>
      </c>
      <c r="S54" s="120">
        <f t="shared" si="3"/>
        <v>1</v>
      </c>
      <c r="T54" s="120">
        <f t="shared" si="4"/>
        <v>1</v>
      </c>
      <c r="V54" s="293" t="str">
        <f>IF(
  (
    COUNTIF('Acompanhamento quinzenal'!$N:$N, A54) +
    COUNTIF('Acompanhamento quinzenal'!$T:$T, A54) +
    COUNTIF('Acompanhamento quinzenal'!$Z:$Z, A54) +
    COUNTIF('Acompanhamento quinzenal'!$AF:$AF, A54)
  ) = 0,
  "-",
  (
    IFERROR(SUMIFS('Acompanhamento quinzenal'!$S:$S, 'Acompanhamento quinzenal'!$N:$N, A54), 0) +
    IFERROR(SUMIFS('Acompanhamento quinzenal'!$Y:$Y, 'Acompanhamento quinzenal'!$T:$T, A54), 0) +
    IFERROR(SUMIFS('Acompanhamento quinzenal'!$AE:$AE, 'Acompanhamento quinzenal'!$Z:$Z, A54), 0) +
    IFERROR(SUMIFS('Acompanhamento quinzenal'!$AK:$AK, 'Acompanhamento quinzenal'!$AF:$AF, A54), 0)
  ) /
  (
    COUNTIF('Acompanhamento quinzenal'!$N:$N, A54) +
    COUNTIF('Acompanhamento quinzenal'!$T:$T, A54) +
    COUNTIF('Acompanhamento quinzenal'!$Z:$Z, A54) +
    COUNTIF('Acompanhamento quinzenal'!$AF:$AF, A54)
  )
)
</f>
        <v>-</v>
      </c>
      <c r="W54" s="293" t="str">
        <f>IF(
  (
    COUNTIF('Acompanhamento quinzenal'!$N:$N, A54) +
    COUNTIF('Acompanhamento quinzenal'!$T:$T, A54) +
    COUNTIF('Acompanhamento quinzenal'!$Z:$Z, A54) +
    COUNTIF('Acompanhamento quinzenal'!$AF:$AF, A54)
  ) = 0,
  "-",
  (
    IFERROR(SUMIFS('Acompanhamento quinzenal'!$O:$O, 'Acompanhamento quinzenal'!$N:$N, A54), 0) +
    IFERROR(SUMIFS('Acompanhamento quinzenal'!$U:$U, 'Acompanhamento quinzenal'!$T:$T, A54), 0) +
    IFERROR(SUMIFS('Acompanhamento quinzenal'!$AA:$AA, 'Acompanhamento quinzenal'!$Z:$Z, A54), 0) +
    IFERROR(SUMIFS('Acompanhamento quinzenal'!$AG:$AG, 'Acompanhamento quinzenal'!$AF:$AF, A54), 0)
  ) /
  (
    COUNTIF('Acompanhamento quinzenal'!$N:$N, A54) +
    COUNTIF('Acompanhamento quinzenal'!$T:$T, A54) +
    COUNTIF('Acompanhamento quinzenal'!$Z:$Z, A54) +
    COUNTIF('Acompanhamento quinzenal'!$AF:$AF, A54)
  )
)
</f>
        <v>-</v>
      </c>
      <c r="X54" s="294" t="str">
        <f>IF(
  (
    COUNTIF('Acompanhamento quinzenal'!$N:$N, A54) +
    COUNTIF('Acompanhamento quinzenal'!$T:$T, A54) +
    COUNTIF('Acompanhamento quinzenal'!$Z:$Z, A54) +
    COUNTIF('Acompanhamento quinzenal'!$AF:$AF, A54)
  ) = 0,
  "-",
  (
    IFERROR(SUMIFS('Acompanhamento quinzenal'!$P:$P, 'Acompanhamento quinzenal'!$N:$N, A54), 0) +
    IFERROR(SUMIFS('Acompanhamento quinzenal'!$V:$V, 'Acompanhamento quinzenal'!$T:$T, A54), 0) +
    IFERROR(SUMIFS('Acompanhamento quinzenal'!$AB:$AB, 'Acompanhamento quinzenal'!$Z:$Z, A54), 0) +
    IFERROR(SUMIFS('Acompanhamento quinzenal'!$AH:$AH, 'Acompanhamento quinzenal'!$AF:$AF, A54), 0)
  ) /
  (
    COUNTIF('Acompanhamento quinzenal'!$N:$N, A54) +
    COUNTIF('Acompanhamento quinzenal'!$T:$T, A54) +
    COUNTIF('Acompanhamento quinzenal'!$Z:$Z, A54) +
    COUNTIF('Acompanhamento quinzenal'!$AF:$AF, A54)
  )
)
</f>
        <v>-</v>
      </c>
      <c r="Y54" s="293" t="str">
        <f>IF(
  (
    COUNTIF('Acompanhamento quinzenal'!$N:$N, A54) +
    COUNTIF('Acompanhamento quinzenal'!$T:$T, A54) +
    COUNTIF('Acompanhamento quinzenal'!$Z:$Z, A54) +
    COUNTIF('Acompanhamento quinzenal'!$AF:$AF, A54)
  ) = 0,
  "-",
  (
    IFERROR(SUMIFS('Acompanhamento quinzenal'!$Q:$Q, 'Acompanhamento quinzenal'!$N:$N, A54), 0) +
    IFERROR(SUMIFS('Acompanhamento quinzenal'!$W:$W, 'Acompanhamento quinzenal'!$T:$T, A54), 0) +
    IFERROR(SUMIFS('Acompanhamento quinzenal'!$AC:$AC, 'Acompanhamento quinzenal'!$Z:$Z, A54), 0) +
    IFERROR(SUMIFS('Acompanhamento quinzenal'!$AI:$AI, 'Acompanhamento quinzenal'!$AF:$AF, A54), 0)
  ) /
  (
    COUNTIF('Acompanhamento quinzenal'!$N:$N, A54) +
    COUNTIF('Acompanhamento quinzenal'!$T:$T, A54) +
    COUNTIF('Acompanhamento quinzenal'!$Z:$Z, A54) +
    COUNTIF('Acompanhamento quinzenal'!$AF:$AF, A54)
  )
)
</f>
        <v>-</v>
      </c>
    </row>
    <row r="55">
      <c r="A55" s="291" t="str">
        <f>IFERROR(__xludf.DUMMYFUNCTION("""COMPUTED_VALUE"""),"gabriel.moraes")</f>
        <v>gabriel.moraes</v>
      </c>
      <c r="B55" s="120" t="str">
        <f>IFERROR(__xludf.DUMMYFUNCTION("""COMPUTED_VALUE"""),"Consultor")</f>
        <v>Consultor</v>
      </c>
      <c r="C55" s="120" t="str">
        <f>IFERROR(__xludf.DUMMYFUNCTION("""COMPUTED_VALUE"""),"NDados")</f>
        <v>NDados</v>
      </c>
      <c r="D55" s="292" t="str">
        <f>IFERROR((COUNTIFS(Base!$V:$V,A55,Base!$S:$S,"&gt;8") - COUNTIFS(Base!$V:$V,A55,Base!$S:$S,"&lt;7"))/COUNTIFS(Base!$V:$V,A55,Base!$S:$S,"&lt;&gt;"),"-")</f>
        <v>-</v>
      </c>
      <c r="E55" s="292">
        <f>IF(
  (
    COUNTIFS(Base!$W:$W, A55, Base!$S:$S, "&lt;&gt;") +
    COUNTIFS(Base!$X:$X, A55, Base!$S:$S, "&lt;&gt;") +
    COUNTIFS(Base!$Y:$Y, A55, Base!$S:$S, "&lt;&gt;") +
    COUNTIFS(Base!$Z:$Z, A55, Base!$S:$S, "&lt;&gt;")
  ) = 0,
  "-",
  (
    COUNTIFS(Base!$W:$W, A55, Base!$S:$S, "&gt;8") - COUNTIFS(Base!$W:$W, A55, Base!$S:$S, "&lt;7") +
    COUNTIFS(Base!$X:$X, A55, Base!$S:$S, "&gt;8") - COUNTIFS(Base!$X:$X, A55, Base!$S:$S, "&lt;7") +
    COUNTIFS(Base!$Y:$Y, A55, Base!$S:$S, "&gt;8") - COUNTIFS(Base!$Y:$Y, A55, Base!$S:$S, "&lt;7") +
    COUNTIFS(Base!$Z:$Z, A55, Base!$S:$S, "&gt;8") - COUNTIFS(Base!$Z:$Z, A55, Base!$S:$S, "&lt;7")
  ) /
  (
    COUNTIFS(Base!$W:$W, A55, Base!$S:$S, "&lt;&gt;") +
    COUNTIFS(Base!$X:$X, A55, Base!$S:$S, "&lt;&gt;") +
    COUNTIFS(Base!$Y:$Y, A55, Base!$S:$S, "&lt;&gt;") +
    COUNTIFS(Base!$Z:$Z, A55, Base!$S:$S, "&lt;&gt;")
  )
)
</f>
        <v>0.3333333333</v>
      </c>
      <c r="F55" s="290">
        <f>SUMIFS(Base!$N:$N,Base!$V:$V,A55,Base!$N:$N,"&lt;&gt;")-SUMIFS(Base!$K:$K,Base!$V:$V,A55,Base!$N:$N,"&lt;&gt;")-(SUMIFS(Base!$L:$L,Base!$V:$V,A55,Base!$N:$N,"&lt;&gt;")*7)</f>
        <v>0</v>
      </c>
      <c r="G55" s="290"/>
      <c r="H55" s="290">
        <f>SUMIFS(Base!$F:$F,Base!$V:$V,A55,Base!$N:$N,"&lt;&gt;")*7</f>
        <v>0</v>
      </c>
      <c r="I55" s="290"/>
      <c r="J55" s="292" t="str">
        <f t="shared" ref="J55:K55" si="56">IFERROR(F55/H55,"-")</f>
        <v>-</v>
      </c>
      <c r="K55" s="292" t="str">
        <f t="shared" si="56"/>
        <v>-</v>
      </c>
      <c r="L55" s="292" t="str">
        <f>IFERROR((COUNTIFS(Base!$V:$V,A55,Base!$U:$U,TRUE))/(COUNTIFS(Base!$V:$V,A55,Base!$O:$O,"Finalizado")+COUNTIFS(Base!$V:$V,A55,Base!$O:$O,"Concluído")),"-")</f>
        <v>-</v>
      </c>
      <c r="M55" s="292">
        <f>IF(
  (
    IFERROR(COUNTIF(Base!$W:$W, A55), 0) +
    IFERROR(COUNTIF(Base!$X:$X, A55), 0) +
    IFERROR(COUNTIF(Base!$Y:$Y, A55), 0) +
    IFERROR(COUNTIF(Base!$Z:$Z, A55), 0)
  ) = 0,
  "-",
  IF(
    (
      IFERROR(COUNTIFS(Base!$W:$W, A55, Base!$O:$O, "Finalizado"), 0) +
      IFERROR(COUNTIFS(Base!$W:$W, A55, Base!$O:$O, "Concluído"), 0) +
      IFERROR(COUNTIFS(Base!$X:$X, A55, Base!$O:$O, "Finalizado"), 0) +
      IFERROR(COUNTIFS(Base!$X:$X, A55, Base!$O:$O, "Concluído"), 0) +
      IFERROR(COUNTIFS(Base!$Y:$Y, A55, Base!$O:$O, "Finalizado"), 0) +
      IFERROR(COUNTIFS(Base!$Y:$Y, A55, Base!$O:$O, "Concluído"), 0) +
      IFERROR(COUNTIFS(Base!$Z:$Z, A55, Base!$O:$O, "Finalizado"), 0) +
      IFERROR(COUNTIFS(Base!$Z:$Z, A55, Base!$O:$O, "Concluído"), 0)
    ) = 0,
    "-",
    (
      IFERROR(COUNTIFS(Base!$W:$W, A55, Base!$U:$U, TRUE), 0) +
      IFERROR(COUNTIFS(Base!$X:$X, A55, Base!$U:$U, TRUE), 0) +
      IFERROR(COUNTIFS(Base!$Y:$Y, A55, Base!$U:$U, TRUE), 0) +
      IFERROR(COUNTIFS(Base!$Z:$Z, A55, Base!$U:$U, TRUE), 0)
    ) /
    (
      IFERROR(COUNTIFS(Base!$W:$W, A55, Base!$O:$O, "Finalizado"), 0) +
      IFERROR(COUNTIFS(Base!$W:$W, A55, Base!$O:$O, "Concluído"), 0) +
      IFERROR(COUNTIFS(Base!$X:$X, A55, Base!$O:$O, "Finalizado"), 0) +
      IFERROR(COUNTIFS(Base!$X:$X, A55, Base!$O:$O, "Concluído"), 0) +
      IFERROR(COUNTIFS(Base!$Y:$Y, A55, Base!$O:$O, "Finalizado"), 0) +
      IFERROR(COUNTIFS(Base!$Y:$Y, A55, Base!$O:$O, "Concluído"), 0) +
      IFERROR(COUNTIFS(Base!$Z:$Z, A55, Base!$O:$O, "Finalizado"), 0) +
      IFERROR(COUNTIFS(Base!$Z:$Z, A55, Base!$O:$O, "Concluído"), 0)
    )
  )
)
</f>
        <v>0.3333333333</v>
      </c>
      <c r="N55" s="120">
        <f>COUNTIF(Base!V:V,$A55)</f>
        <v>4</v>
      </c>
      <c r="O55" s="120">
        <f>COUNTIF(Base!W:W,$A55)</f>
        <v>3</v>
      </c>
      <c r="P55" s="120">
        <f>COUNTIF(Base!X:X,$A55)</f>
        <v>3</v>
      </c>
      <c r="Q55" s="120">
        <f>COUNTIF(Base!Y:Y,$A55)</f>
        <v>0</v>
      </c>
      <c r="R55" s="120">
        <f>COUNTIF(Base!Z:Z,$A55)</f>
        <v>0</v>
      </c>
      <c r="S55" s="120">
        <f t="shared" si="3"/>
        <v>10</v>
      </c>
      <c r="T55" s="120">
        <f t="shared" si="4"/>
        <v>6</v>
      </c>
      <c r="V55" s="293">
        <f>IF(
  (
    COUNTIF('Acompanhamento quinzenal'!$N:$N, A55) +
    COUNTIF('Acompanhamento quinzenal'!$T:$T, A55) +
    COUNTIF('Acompanhamento quinzenal'!$Z:$Z, A55) +
    COUNTIF('Acompanhamento quinzenal'!$AF:$AF, A55)
  ) = 0,
  "-",
  (
    IFERROR(SUMIFS('Acompanhamento quinzenal'!$S:$S, 'Acompanhamento quinzenal'!$N:$N, A55), 0) +
    IFERROR(SUMIFS('Acompanhamento quinzenal'!$Y:$Y, 'Acompanhamento quinzenal'!$T:$T, A55), 0) +
    IFERROR(SUMIFS('Acompanhamento quinzenal'!$AE:$AE, 'Acompanhamento quinzenal'!$Z:$Z, A55), 0) +
    IFERROR(SUMIFS('Acompanhamento quinzenal'!$AK:$AK, 'Acompanhamento quinzenal'!$AF:$AF, A55), 0)
  ) /
  (
    COUNTIF('Acompanhamento quinzenal'!$N:$N, A55) +
    COUNTIF('Acompanhamento quinzenal'!$T:$T, A55) +
    COUNTIF('Acompanhamento quinzenal'!$Z:$Z, A55) +
    COUNTIF('Acompanhamento quinzenal'!$AF:$AF, A55)
  )
)
</f>
        <v>2.75</v>
      </c>
      <c r="W55" s="293">
        <f>IF(
  (
    COUNTIF('Acompanhamento quinzenal'!$N:$N, A55) +
    COUNTIF('Acompanhamento quinzenal'!$T:$T, A55) +
    COUNTIF('Acompanhamento quinzenal'!$Z:$Z, A55) +
    COUNTIF('Acompanhamento quinzenal'!$AF:$AF, A55)
  ) = 0,
  "-",
  (
    IFERROR(SUMIFS('Acompanhamento quinzenal'!$O:$O, 'Acompanhamento quinzenal'!$N:$N, A55), 0) +
    IFERROR(SUMIFS('Acompanhamento quinzenal'!$U:$U, 'Acompanhamento quinzenal'!$T:$T, A55), 0) +
    IFERROR(SUMIFS('Acompanhamento quinzenal'!$AA:$AA, 'Acompanhamento quinzenal'!$Z:$Z, A55), 0) +
    IFERROR(SUMIFS('Acompanhamento quinzenal'!$AG:$AG, 'Acompanhamento quinzenal'!$AF:$AF, A55), 0)
  ) /
  (
    COUNTIF('Acompanhamento quinzenal'!$N:$N, A55) +
    COUNTIF('Acompanhamento quinzenal'!$T:$T, A55) +
    COUNTIF('Acompanhamento quinzenal'!$Z:$Z, A55) +
    COUNTIF('Acompanhamento quinzenal'!$AF:$AF, A55)
  )
)
</f>
        <v>3.25</v>
      </c>
      <c r="X55" s="294">
        <f>IF(
  (
    COUNTIF('Acompanhamento quinzenal'!$N:$N, A55) +
    COUNTIF('Acompanhamento quinzenal'!$T:$T, A55) +
    COUNTIF('Acompanhamento quinzenal'!$Z:$Z, A55) +
    COUNTIF('Acompanhamento quinzenal'!$AF:$AF, A55)
  ) = 0,
  "-",
  (
    IFERROR(SUMIFS('Acompanhamento quinzenal'!$P:$P, 'Acompanhamento quinzenal'!$N:$N, A55), 0) +
    IFERROR(SUMIFS('Acompanhamento quinzenal'!$V:$V, 'Acompanhamento quinzenal'!$T:$T, A55), 0) +
    IFERROR(SUMIFS('Acompanhamento quinzenal'!$AB:$AB, 'Acompanhamento quinzenal'!$Z:$Z, A55), 0) +
    IFERROR(SUMIFS('Acompanhamento quinzenal'!$AH:$AH, 'Acompanhamento quinzenal'!$AF:$AF, A55), 0)
  ) /
  (
    COUNTIF('Acompanhamento quinzenal'!$N:$N, A55) +
    COUNTIF('Acompanhamento quinzenal'!$T:$T, A55) +
    COUNTIF('Acompanhamento quinzenal'!$Z:$Z, A55) +
    COUNTIF('Acompanhamento quinzenal'!$AF:$AF, A55)
  )
)
</f>
        <v>2.5</v>
      </c>
      <c r="Y55" s="293">
        <f>IF(
  (
    COUNTIF('Acompanhamento quinzenal'!$N:$N, A55) +
    COUNTIF('Acompanhamento quinzenal'!$T:$T, A55) +
    COUNTIF('Acompanhamento quinzenal'!$Z:$Z, A55) +
    COUNTIF('Acompanhamento quinzenal'!$AF:$AF, A55)
  ) = 0,
  "-",
  (
    IFERROR(SUMIFS('Acompanhamento quinzenal'!$Q:$Q, 'Acompanhamento quinzenal'!$N:$N, A55), 0) +
    IFERROR(SUMIFS('Acompanhamento quinzenal'!$W:$W, 'Acompanhamento quinzenal'!$T:$T, A55), 0) +
    IFERROR(SUMIFS('Acompanhamento quinzenal'!$AC:$AC, 'Acompanhamento quinzenal'!$Z:$Z, A55), 0) +
    IFERROR(SUMIFS('Acompanhamento quinzenal'!$AI:$AI, 'Acompanhamento quinzenal'!$AF:$AF, A55), 0)
  ) /
  (
    COUNTIF('Acompanhamento quinzenal'!$N:$N, A55) +
    COUNTIF('Acompanhamento quinzenal'!$T:$T, A55) +
    COUNTIF('Acompanhamento quinzenal'!$Z:$Z, A55) +
    COUNTIF('Acompanhamento quinzenal'!$AF:$AF, A55)
  )
)
</f>
        <v>2.5</v>
      </c>
    </row>
    <row r="56" hidden="1">
      <c r="A56" s="291" t="str">
        <f>IFERROR(__xludf.DUMMYFUNCTION("""COMPUTED_VALUE"""),"gabriel.baraldi")</f>
        <v>gabriel.baraldi</v>
      </c>
      <c r="B56" s="120" t="str">
        <f>IFERROR(__xludf.DUMMYFUNCTION("""COMPUTED_VALUE"""),"Consultor")</f>
        <v>Consultor</v>
      </c>
      <c r="C56" s="120" t="str">
        <f>IFERROR(__xludf.DUMMYFUNCTION("""COMPUTED_VALUE"""),"NTec")</f>
        <v>NTec</v>
      </c>
      <c r="D56" s="292" t="str">
        <f>IFERROR((COUNTIFS(Base!$V:$V,A56,Base!$S:$S,"&gt;8") - COUNTIFS(Base!$V:$V,A56,Base!$S:$S,"&lt;7"))/COUNTIFS(Base!$V:$V,A56,Base!$S:$S,"&lt;&gt;"),"-")</f>
        <v>-</v>
      </c>
      <c r="E56" s="292" t="str">
        <f>IF(
  (
    COUNTIFS(Base!$W:$W, A56, Base!$S:$S, "&lt;&gt;") +
    COUNTIFS(Base!$X:$X, A56, Base!$S:$S, "&lt;&gt;") +
    COUNTIFS(Base!$Y:$Y, A56, Base!$S:$S, "&lt;&gt;") +
    COUNTIFS(Base!$Z:$Z, A56, Base!$S:$S, "&lt;&gt;")
  ) = 0,
  "-",
  (
    COUNTIFS(Base!$W:$W, A56, Base!$S:$S, "&gt;8") - COUNTIFS(Base!$W:$W, A56, Base!$S:$S, "&lt;7") +
    COUNTIFS(Base!$X:$X, A56, Base!$S:$S, "&gt;8") - COUNTIFS(Base!$X:$X, A56, Base!$S:$S, "&lt;7") +
    COUNTIFS(Base!$Y:$Y, A56, Base!$S:$S, "&gt;8") - COUNTIFS(Base!$Y:$Y, A56, Base!$S:$S, "&lt;7") +
    COUNTIFS(Base!$Z:$Z, A56, Base!$S:$S, "&gt;8") - COUNTIFS(Base!$Z:$Z, A56, Base!$S:$S, "&lt;7")
  ) /
  (
    COUNTIFS(Base!$W:$W, A56, Base!$S:$S, "&lt;&gt;") +
    COUNTIFS(Base!$X:$X, A56, Base!$S:$S, "&lt;&gt;") +
    COUNTIFS(Base!$Y:$Y, A56, Base!$S:$S, "&lt;&gt;") +
    COUNTIFS(Base!$Z:$Z, A56, Base!$S:$S, "&lt;&gt;")
  )
)
</f>
        <v>-</v>
      </c>
      <c r="F56" s="290">
        <f>SUMIFS(Base!$N:$N,Base!$V:$V,A56,Base!$N:$N,"&lt;&gt;")-SUMIFS(Base!$K:$K,Base!$V:$V,A56,Base!$N:$N,"&lt;&gt;")-(SUMIFS(Base!$L:$L,Base!$V:$V,A56,Base!$N:$N,"&lt;&gt;")*7)</f>
        <v>0</v>
      </c>
      <c r="G56" s="290"/>
      <c r="H56" s="290">
        <f>SUMIFS(Base!$F:$F,Base!$V:$V,A56,Base!$N:$N,"&lt;&gt;")*7</f>
        <v>0</v>
      </c>
      <c r="I56" s="290"/>
      <c r="J56" s="292" t="str">
        <f t="shared" ref="J56:K56" si="57">IFERROR(F56/H56,"-")</f>
        <v>-</v>
      </c>
      <c r="K56" s="292" t="str">
        <f t="shared" si="57"/>
        <v>-</v>
      </c>
      <c r="L56" s="292" t="str">
        <f>IFERROR((COUNTIFS(Base!$V:$V,A56,Base!$U:$U,TRUE))/(COUNTIFS(Base!$V:$V,A56,Base!$O:$O,"Finalizado")+COUNTIFS(Base!$V:$V,A56,Base!$O:$O,"Concluído")),"-")</f>
        <v>-</v>
      </c>
      <c r="M56" s="292">
        <f>IF(
  (
    IFERROR(COUNTIF(Base!$W:$W, A56), 0) +
    IFERROR(COUNTIF(Base!$X:$X, A56), 0) +
    IFERROR(COUNTIF(Base!$Y:$Y, A56), 0) +
    IFERROR(COUNTIF(Base!$Z:$Z, A56), 0)
  ) = 0,
  "-",
  IF(
    (
      IFERROR(COUNTIFS(Base!$W:$W, A56, Base!$O:$O, "Finalizado"), 0) +
      IFERROR(COUNTIFS(Base!$W:$W, A56, Base!$O:$O, "Concluído"), 0) +
      IFERROR(COUNTIFS(Base!$X:$X, A56, Base!$O:$O, "Finalizado"), 0) +
      IFERROR(COUNTIFS(Base!$X:$X, A56, Base!$O:$O, "Concluído"), 0) +
      IFERROR(COUNTIFS(Base!$Y:$Y, A56, Base!$O:$O, "Finalizado"), 0) +
      IFERROR(COUNTIFS(Base!$Y:$Y, A56, Base!$O:$O, "Concluído"), 0) +
      IFERROR(COUNTIFS(Base!$Z:$Z, A56, Base!$O:$O, "Finalizado"), 0) +
      IFERROR(COUNTIFS(Base!$Z:$Z, A56, Base!$O:$O, "Concluído"), 0)
    ) = 0,
    "-",
    (
      IFERROR(COUNTIFS(Base!$W:$W, A56, Base!$U:$U, TRUE), 0) +
      IFERROR(COUNTIFS(Base!$X:$X, A56, Base!$U:$U, TRUE), 0) +
      IFERROR(COUNTIFS(Base!$Y:$Y, A56, Base!$U:$U, TRUE), 0) +
      IFERROR(COUNTIFS(Base!$Z:$Z, A56, Base!$U:$U, TRUE), 0)
    ) /
    (
      IFERROR(COUNTIFS(Base!$W:$W, A56, Base!$O:$O, "Finalizado"), 0) +
      IFERROR(COUNTIFS(Base!$W:$W, A56, Base!$O:$O, "Concluído"), 0) +
      IFERROR(COUNTIFS(Base!$X:$X, A56, Base!$O:$O, "Finalizado"), 0) +
      IFERROR(COUNTIFS(Base!$X:$X, A56, Base!$O:$O, "Concluído"), 0) +
      IFERROR(COUNTIFS(Base!$Y:$Y, A56, Base!$O:$O, "Finalizado"), 0) +
      IFERROR(COUNTIFS(Base!$Y:$Y, A56, Base!$O:$O, "Concluído"), 0) +
      IFERROR(COUNTIFS(Base!$Z:$Z, A56, Base!$O:$O, "Finalizado"), 0) +
      IFERROR(COUNTIFS(Base!$Z:$Z, A56, Base!$O:$O, "Concluído"), 0)
    )
  )
)
</f>
        <v>0</v>
      </c>
      <c r="N56" s="120">
        <f>COUNTIF(Base!V:V,$A56)</f>
        <v>0</v>
      </c>
      <c r="O56" s="120">
        <f>COUNTIF(Base!W:W,$A56)</f>
        <v>1</v>
      </c>
      <c r="P56" s="120">
        <f>COUNTIF(Base!X:X,$A56)</f>
        <v>0</v>
      </c>
      <c r="Q56" s="120">
        <f>COUNTIF(Base!Y:Y,$A56)</f>
        <v>0</v>
      </c>
      <c r="R56" s="120">
        <f>COUNTIF(Base!Z:Z,$A56)</f>
        <v>4</v>
      </c>
      <c r="S56" s="120">
        <f t="shared" si="3"/>
        <v>5</v>
      </c>
      <c r="T56" s="120">
        <f t="shared" si="4"/>
        <v>5</v>
      </c>
      <c r="V56" s="293">
        <f>IF(
  (
    COUNTIF('Acompanhamento quinzenal'!$N:$N, A56) +
    COUNTIF('Acompanhamento quinzenal'!$T:$T, A56) +
    COUNTIF('Acompanhamento quinzenal'!$Z:$Z, A56) +
    COUNTIF('Acompanhamento quinzenal'!$AF:$AF, A56)
  ) = 0,
  "-",
  (
    IFERROR(SUMIFS('Acompanhamento quinzenal'!$S:$S, 'Acompanhamento quinzenal'!$N:$N, A56), 0) +
    IFERROR(SUMIFS('Acompanhamento quinzenal'!$Y:$Y, 'Acompanhamento quinzenal'!$T:$T, A56), 0) +
    IFERROR(SUMIFS('Acompanhamento quinzenal'!$AE:$AE, 'Acompanhamento quinzenal'!$Z:$Z, A56), 0) +
    IFERROR(SUMIFS('Acompanhamento quinzenal'!$AK:$AK, 'Acompanhamento quinzenal'!$AF:$AF, A56), 0)
  ) /
  (
    COUNTIF('Acompanhamento quinzenal'!$N:$N, A56) +
    COUNTIF('Acompanhamento quinzenal'!$T:$T, A56) +
    COUNTIF('Acompanhamento quinzenal'!$Z:$Z, A56) +
    COUNTIF('Acompanhamento quinzenal'!$AF:$AF, A56)
  )
)
</f>
        <v>5</v>
      </c>
      <c r="W56" s="293">
        <f>IF(
  (
    COUNTIF('Acompanhamento quinzenal'!$N:$N, A56) +
    COUNTIF('Acompanhamento quinzenal'!$T:$T, A56) +
    COUNTIF('Acompanhamento quinzenal'!$Z:$Z, A56) +
    COUNTIF('Acompanhamento quinzenal'!$AF:$AF, A56)
  ) = 0,
  "-",
  (
    IFERROR(SUMIFS('Acompanhamento quinzenal'!$O:$O, 'Acompanhamento quinzenal'!$N:$N, A56), 0) +
    IFERROR(SUMIFS('Acompanhamento quinzenal'!$U:$U, 'Acompanhamento quinzenal'!$T:$T, A56), 0) +
    IFERROR(SUMIFS('Acompanhamento quinzenal'!$AA:$AA, 'Acompanhamento quinzenal'!$Z:$Z, A56), 0) +
    IFERROR(SUMIFS('Acompanhamento quinzenal'!$AG:$AG, 'Acompanhamento quinzenal'!$AF:$AF, A56), 0)
  ) /
  (
    COUNTIF('Acompanhamento quinzenal'!$N:$N, A56) +
    COUNTIF('Acompanhamento quinzenal'!$T:$T, A56) +
    COUNTIF('Acompanhamento quinzenal'!$Z:$Z, A56) +
    COUNTIF('Acompanhamento quinzenal'!$AF:$AF, A56)
  )
)
</f>
        <v>5</v>
      </c>
      <c r="X56" s="294">
        <f>IF(
  (
    COUNTIF('Acompanhamento quinzenal'!$N:$N, A56) +
    COUNTIF('Acompanhamento quinzenal'!$T:$T, A56) +
    COUNTIF('Acompanhamento quinzenal'!$Z:$Z, A56) +
    COUNTIF('Acompanhamento quinzenal'!$AF:$AF, A56)
  ) = 0,
  "-",
  (
    IFERROR(SUMIFS('Acompanhamento quinzenal'!$P:$P, 'Acompanhamento quinzenal'!$N:$N, A56), 0) +
    IFERROR(SUMIFS('Acompanhamento quinzenal'!$V:$V, 'Acompanhamento quinzenal'!$T:$T, A56), 0) +
    IFERROR(SUMIFS('Acompanhamento quinzenal'!$AB:$AB, 'Acompanhamento quinzenal'!$Z:$Z, A56), 0) +
    IFERROR(SUMIFS('Acompanhamento quinzenal'!$AH:$AH, 'Acompanhamento quinzenal'!$AF:$AF, A56), 0)
  ) /
  (
    COUNTIF('Acompanhamento quinzenal'!$N:$N, A56) +
    COUNTIF('Acompanhamento quinzenal'!$T:$T, A56) +
    COUNTIF('Acompanhamento quinzenal'!$Z:$Z, A56) +
    COUNTIF('Acompanhamento quinzenal'!$AF:$AF, A56)
  )
)
</f>
        <v>5</v>
      </c>
      <c r="Y56" s="293">
        <f>IF(
  (
    COUNTIF('Acompanhamento quinzenal'!$N:$N, A56) +
    COUNTIF('Acompanhamento quinzenal'!$T:$T, A56) +
    COUNTIF('Acompanhamento quinzenal'!$Z:$Z, A56) +
    COUNTIF('Acompanhamento quinzenal'!$AF:$AF, A56)
  ) = 0,
  "-",
  (
    IFERROR(SUMIFS('Acompanhamento quinzenal'!$Q:$Q, 'Acompanhamento quinzenal'!$N:$N, A56), 0) +
    IFERROR(SUMIFS('Acompanhamento quinzenal'!$W:$W, 'Acompanhamento quinzenal'!$T:$T, A56), 0) +
    IFERROR(SUMIFS('Acompanhamento quinzenal'!$AC:$AC, 'Acompanhamento quinzenal'!$Z:$Z, A56), 0) +
    IFERROR(SUMIFS('Acompanhamento quinzenal'!$AI:$AI, 'Acompanhamento quinzenal'!$AF:$AF, A56), 0)
  ) /
  (
    COUNTIF('Acompanhamento quinzenal'!$N:$N, A56) +
    COUNTIF('Acompanhamento quinzenal'!$T:$T, A56) +
    COUNTIF('Acompanhamento quinzenal'!$Z:$Z, A56) +
    COUNTIF('Acompanhamento quinzenal'!$AF:$AF, A56)
  )
)
</f>
        <v>5</v>
      </c>
    </row>
    <row r="57" hidden="1">
      <c r="A57" s="291" t="str">
        <f>IFERROR(__xludf.DUMMYFUNCTION("""COMPUTED_VALUE"""),"Gabriel.araujo")</f>
        <v>Gabriel.araujo</v>
      </c>
      <c r="B57" s="120" t="str">
        <f>IFERROR(__xludf.DUMMYFUNCTION("""COMPUTED_VALUE"""),"Trainee")</f>
        <v>Trainee</v>
      </c>
      <c r="C57" s="120" t="str">
        <f>IFERROR(__xludf.DUMMYFUNCTION("""COMPUTED_VALUE"""),"NCon")</f>
        <v>NCon</v>
      </c>
      <c r="D57" s="292" t="str">
        <f>IFERROR((COUNTIFS(Base!$V:$V,A57,Base!$S:$S,"&gt;8") - COUNTIFS(Base!$V:$V,A57,Base!$S:$S,"&lt;7"))/COUNTIFS(Base!$V:$V,A57,Base!$S:$S,"&lt;&gt;"),"-")</f>
        <v>-</v>
      </c>
      <c r="E57" s="292" t="str">
        <f>IF(
  (
    COUNTIFS(Base!$W:$W, A57, Base!$S:$S, "&lt;&gt;") +
    COUNTIFS(Base!$X:$X, A57, Base!$S:$S, "&lt;&gt;") +
    COUNTIFS(Base!$Y:$Y, A57, Base!$S:$S, "&lt;&gt;") +
    COUNTIFS(Base!$Z:$Z, A57, Base!$S:$S, "&lt;&gt;")
  ) = 0,
  "-",
  (
    COUNTIFS(Base!$W:$W, A57, Base!$S:$S, "&gt;8") - COUNTIFS(Base!$W:$W, A57, Base!$S:$S, "&lt;7") +
    COUNTIFS(Base!$X:$X, A57, Base!$S:$S, "&gt;8") - COUNTIFS(Base!$X:$X, A57, Base!$S:$S, "&lt;7") +
    COUNTIFS(Base!$Y:$Y, A57, Base!$S:$S, "&gt;8") - COUNTIFS(Base!$Y:$Y, A57, Base!$S:$S, "&lt;7") +
    COUNTIFS(Base!$Z:$Z, A57, Base!$S:$S, "&gt;8") - COUNTIFS(Base!$Z:$Z, A57, Base!$S:$S, "&lt;7")
  ) /
  (
    COUNTIFS(Base!$W:$W, A57, Base!$S:$S, "&lt;&gt;") +
    COUNTIFS(Base!$X:$X, A57, Base!$S:$S, "&lt;&gt;") +
    COUNTIFS(Base!$Y:$Y, A57, Base!$S:$S, "&lt;&gt;") +
    COUNTIFS(Base!$Z:$Z, A57, Base!$S:$S, "&lt;&gt;")
  )
)
</f>
        <v>-</v>
      </c>
      <c r="F57" s="290">
        <f>SUMIFS(Base!$N:$N,Base!$V:$V,A57,Base!$N:$N,"&lt;&gt;")-SUMIFS(Base!$K:$K,Base!$V:$V,A57,Base!$N:$N,"&lt;&gt;")-(SUMIFS(Base!$L:$L,Base!$V:$V,A57,Base!$N:$N,"&lt;&gt;")*7)</f>
        <v>0</v>
      </c>
      <c r="G57" s="290"/>
      <c r="H57" s="290">
        <f>SUMIFS(Base!$F:$F,Base!$V:$V,A57,Base!$N:$N,"&lt;&gt;")*7</f>
        <v>0</v>
      </c>
      <c r="I57" s="290"/>
      <c r="J57" s="292" t="str">
        <f t="shared" ref="J57:K57" si="58">IFERROR(F57/H57,"-")</f>
        <v>-</v>
      </c>
      <c r="K57" s="292" t="str">
        <f t="shared" si="58"/>
        <v>-</v>
      </c>
      <c r="L57" s="292" t="str">
        <f>IFERROR((COUNTIFS(Base!$V:$V,A57,Base!$U:$U,TRUE))/(COUNTIFS(Base!$V:$V,A57,Base!$O:$O,"Finalizado")+COUNTIFS(Base!$V:$V,A57,Base!$O:$O,"Concluído")),"-")</f>
        <v>-</v>
      </c>
      <c r="M57" s="292" t="str">
        <f>IF(
  (
    IFERROR(COUNTIF(Base!$W:$W, A57), 0) +
    IFERROR(COUNTIF(Base!$X:$X, A57), 0) +
    IFERROR(COUNTIF(Base!$Y:$Y, A57), 0) +
    IFERROR(COUNTIF(Base!$Z:$Z, A57), 0)
  ) = 0,
  "-",
  IF(
    (
      IFERROR(COUNTIFS(Base!$W:$W, A57, Base!$O:$O, "Finalizado"), 0) +
      IFERROR(COUNTIFS(Base!$W:$W, A57, Base!$O:$O, "Concluído"), 0) +
      IFERROR(COUNTIFS(Base!$X:$X, A57, Base!$O:$O, "Finalizado"), 0) +
      IFERROR(COUNTIFS(Base!$X:$X, A57, Base!$O:$O, "Concluído"), 0) +
      IFERROR(COUNTIFS(Base!$Y:$Y, A57, Base!$O:$O, "Finalizado"), 0) +
      IFERROR(COUNTIFS(Base!$Y:$Y, A57, Base!$O:$O, "Concluído"), 0) +
      IFERROR(COUNTIFS(Base!$Z:$Z, A57, Base!$O:$O, "Finalizado"), 0) +
      IFERROR(COUNTIFS(Base!$Z:$Z, A57, Base!$O:$O, "Concluído"), 0)
    ) = 0,
    "-",
    (
      IFERROR(COUNTIFS(Base!$W:$W, A57, Base!$U:$U, TRUE), 0) +
      IFERROR(COUNTIFS(Base!$X:$X, A57, Base!$U:$U, TRUE), 0) +
      IFERROR(COUNTIFS(Base!$Y:$Y, A57, Base!$U:$U, TRUE), 0) +
      IFERROR(COUNTIFS(Base!$Z:$Z, A57, Base!$U:$U, TRUE), 0)
    ) /
    (
      IFERROR(COUNTIFS(Base!$W:$W, A57, Base!$O:$O, "Finalizado"), 0) +
      IFERROR(COUNTIFS(Base!$W:$W, A57, Base!$O:$O, "Concluído"), 0) +
      IFERROR(COUNTIFS(Base!$X:$X, A57, Base!$O:$O, "Finalizado"), 0) +
      IFERROR(COUNTIFS(Base!$X:$X, A57, Base!$O:$O, "Concluído"), 0) +
      IFERROR(COUNTIFS(Base!$Y:$Y, A57, Base!$O:$O, "Finalizado"), 0) +
      IFERROR(COUNTIFS(Base!$Y:$Y, A57, Base!$O:$O, "Concluído"), 0) +
      IFERROR(COUNTIFS(Base!$Z:$Z, A57, Base!$O:$O, "Finalizado"), 0) +
      IFERROR(COUNTIFS(Base!$Z:$Z, A57, Base!$O:$O, "Concluído"), 0)
    )
  )
)
</f>
        <v>-</v>
      </c>
      <c r="N57" s="120">
        <f>COUNTIF(Base!V:V,$A57)</f>
        <v>0</v>
      </c>
      <c r="O57" s="120">
        <f>COUNTIF(Base!W:W,$A57)</f>
        <v>1</v>
      </c>
      <c r="P57" s="120">
        <f>COUNTIF(Base!X:X,$A57)</f>
        <v>0</v>
      </c>
      <c r="Q57" s="120">
        <f>COUNTIF(Base!Y:Y,$A57)</f>
        <v>0</v>
      </c>
      <c r="R57" s="120">
        <f>COUNTIF(Base!Z:Z,$A57)</f>
        <v>0</v>
      </c>
      <c r="S57" s="120">
        <f t="shared" si="3"/>
        <v>1</v>
      </c>
      <c r="T57" s="120">
        <f t="shared" si="4"/>
        <v>1</v>
      </c>
      <c r="V57" s="293" t="str">
        <f>IF(
  (
    COUNTIF('Acompanhamento quinzenal'!$N:$N, A57) +
    COUNTIF('Acompanhamento quinzenal'!$T:$T, A57) +
    COUNTIF('Acompanhamento quinzenal'!$Z:$Z, A57) +
    COUNTIF('Acompanhamento quinzenal'!$AF:$AF, A57)
  ) = 0,
  "-",
  (
    IFERROR(SUMIFS('Acompanhamento quinzenal'!$S:$S, 'Acompanhamento quinzenal'!$N:$N, A57), 0) +
    IFERROR(SUMIFS('Acompanhamento quinzenal'!$Y:$Y, 'Acompanhamento quinzenal'!$T:$T, A57), 0) +
    IFERROR(SUMIFS('Acompanhamento quinzenal'!$AE:$AE, 'Acompanhamento quinzenal'!$Z:$Z, A57), 0) +
    IFERROR(SUMIFS('Acompanhamento quinzenal'!$AK:$AK, 'Acompanhamento quinzenal'!$AF:$AF, A57), 0)
  ) /
  (
    COUNTIF('Acompanhamento quinzenal'!$N:$N, A57) +
    COUNTIF('Acompanhamento quinzenal'!$T:$T, A57) +
    COUNTIF('Acompanhamento quinzenal'!$Z:$Z, A57) +
    COUNTIF('Acompanhamento quinzenal'!$AF:$AF, A57)
  )
)
</f>
        <v>-</v>
      </c>
      <c r="W57" s="293" t="str">
        <f>IF(
  (
    COUNTIF('Acompanhamento quinzenal'!$N:$N, A57) +
    COUNTIF('Acompanhamento quinzenal'!$T:$T, A57) +
    COUNTIF('Acompanhamento quinzenal'!$Z:$Z, A57) +
    COUNTIF('Acompanhamento quinzenal'!$AF:$AF, A57)
  ) = 0,
  "-",
  (
    IFERROR(SUMIFS('Acompanhamento quinzenal'!$O:$O, 'Acompanhamento quinzenal'!$N:$N, A57), 0) +
    IFERROR(SUMIFS('Acompanhamento quinzenal'!$U:$U, 'Acompanhamento quinzenal'!$T:$T, A57), 0) +
    IFERROR(SUMIFS('Acompanhamento quinzenal'!$AA:$AA, 'Acompanhamento quinzenal'!$Z:$Z, A57), 0) +
    IFERROR(SUMIFS('Acompanhamento quinzenal'!$AG:$AG, 'Acompanhamento quinzenal'!$AF:$AF, A57), 0)
  ) /
  (
    COUNTIF('Acompanhamento quinzenal'!$N:$N, A57) +
    COUNTIF('Acompanhamento quinzenal'!$T:$T, A57) +
    COUNTIF('Acompanhamento quinzenal'!$Z:$Z, A57) +
    COUNTIF('Acompanhamento quinzenal'!$AF:$AF, A57)
  )
)
</f>
        <v>-</v>
      </c>
      <c r="X57" s="294" t="str">
        <f>IF(
  (
    COUNTIF('Acompanhamento quinzenal'!$N:$N, A57) +
    COUNTIF('Acompanhamento quinzenal'!$T:$T, A57) +
    COUNTIF('Acompanhamento quinzenal'!$Z:$Z, A57) +
    COUNTIF('Acompanhamento quinzenal'!$AF:$AF, A57)
  ) = 0,
  "-",
  (
    IFERROR(SUMIFS('Acompanhamento quinzenal'!$P:$P, 'Acompanhamento quinzenal'!$N:$N, A57), 0) +
    IFERROR(SUMIFS('Acompanhamento quinzenal'!$V:$V, 'Acompanhamento quinzenal'!$T:$T, A57), 0) +
    IFERROR(SUMIFS('Acompanhamento quinzenal'!$AB:$AB, 'Acompanhamento quinzenal'!$Z:$Z, A57), 0) +
    IFERROR(SUMIFS('Acompanhamento quinzenal'!$AH:$AH, 'Acompanhamento quinzenal'!$AF:$AF, A57), 0)
  ) /
  (
    COUNTIF('Acompanhamento quinzenal'!$N:$N, A57) +
    COUNTIF('Acompanhamento quinzenal'!$T:$T, A57) +
    COUNTIF('Acompanhamento quinzenal'!$Z:$Z, A57) +
    COUNTIF('Acompanhamento quinzenal'!$AF:$AF, A57)
  )
)
</f>
        <v>-</v>
      </c>
      <c r="Y57" s="293" t="str">
        <f>IF(
  (
    COUNTIF('Acompanhamento quinzenal'!$N:$N, A57) +
    COUNTIF('Acompanhamento quinzenal'!$T:$T, A57) +
    COUNTIF('Acompanhamento quinzenal'!$Z:$Z, A57) +
    COUNTIF('Acompanhamento quinzenal'!$AF:$AF, A57)
  ) = 0,
  "-",
  (
    IFERROR(SUMIFS('Acompanhamento quinzenal'!$Q:$Q, 'Acompanhamento quinzenal'!$N:$N, A57), 0) +
    IFERROR(SUMIFS('Acompanhamento quinzenal'!$W:$W, 'Acompanhamento quinzenal'!$T:$T, A57), 0) +
    IFERROR(SUMIFS('Acompanhamento quinzenal'!$AC:$AC, 'Acompanhamento quinzenal'!$Z:$Z, A57), 0) +
    IFERROR(SUMIFS('Acompanhamento quinzenal'!$AI:$AI, 'Acompanhamento quinzenal'!$AF:$AF, A57), 0)
  ) /
  (
    COUNTIF('Acompanhamento quinzenal'!$N:$N, A57) +
    COUNTIF('Acompanhamento quinzenal'!$T:$T, A57) +
    COUNTIF('Acompanhamento quinzenal'!$Z:$Z, A57) +
    COUNTIF('Acompanhamento quinzenal'!$AF:$AF, A57)
  )
)
</f>
        <v>-</v>
      </c>
    </row>
    <row r="58">
      <c r="A58" s="291" t="str">
        <f>IFERROR(__xludf.DUMMYFUNCTION("""COMPUTED_VALUE"""),"gabriel.margon")</f>
        <v>gabriel.margon</v>
      </c>
      <c r="B58" s="120" t="str">
        <f>IFERROR(__xludf.DUMMYFUNCTION("""COMPUTED_VALUE"""),"Trainee")</f>
        <v>Trainee</v>
      </c>
      <c r="C58" s="120" t="str">
        <f>IFERROR(__xludf.DUMMYFUNCTION("""COMPUTED_VALUE"""),"NDados")</f>
        <v>NDados</v>
      </c>
      <c r="D58" s="292" t="str">
        <f>IFERROR((COUNTIFS(Base!$V:$V,A58,Base!$S:$S,"&gt;8") - COUNTIFS(Base!$V:$V,A58,Base!$S:$S,"&lt;7"))/COUNTIFS(Base!$V:$V,A58,Base!$S:$S,"&lt;&gt;"),"-")</f>
        <v>-</v>
      </c>
      <c r="E58" s="292" t="str">
        <f>IF(
  (
    COUNTIFS(Base!$W:$W, A58, Base!$S:$S, "&lt;&gt;") +
    COUNTIFS(Base!$X:$X, A58, Base!$S:$S, "&lt;&gt;") +
    COUNTIFS(Base!$Y:$Y, A58, Base!$S:$S, "&lt;&gt;") +
    COUNTIFS(Base!$Z:$Z, A58, Base!$S:$S, "&lt;&gt;")
  ) = 0,
  "-",
  (
    COUNTIFS(Base!$W:$W, A58, Base!$S:$S, "&gt;8") - COUNTIFS(Base!$W:$W, A58, Base!$S:$S, "&lt;7") +
    COUNTIFS(Base!$X:$X, A58, Base!$S:$S, "&gt;8") - COUNTIFS(Base!$X:$X, A58, Base!$S:$S, "&lt;7") +
    COUNTIFS(Base!$Y:$Y, A58, Base!$S:$S, "&gt;8") - COUNTIFS(Base!$Y:$Y, A58, Base!$S:$S, "&lt;7") +
    COUNTIFS(Base!$Z:$Z, A58, Base!$S:$S, "&gt;8") - COUNTIFS(Base!$Z:$Z, A58, Base!$S:$S, "&lt;7")
  ) /
  (
    COUNTIFS(Base!$W:$W, A58, Base!$S:$S, "&lt;&gt;") +
    COUNTIFS(Base!$X:$X, A58, Base!$S:$S, "&lt;&gt;") +
    COUNTIFS(Base!$Y:$Y, A58, Base!$S:$S, "&lt;&gt;") +
    COUNTIFS(Base!$Z:$Z, A58, Base!$S:$S, "&lt;&gt;")
  )
)
</f>
        <v>-</v>
      </c>
      <c r="F58" s="290">
        <f>SUMIFS(Base!$N:$N,Base!$V:$V,A58,Base!$N:$N,"&lt;&gt;")-SUMIFS(Base!$K:$K,Base!$V:$V,A58,Base!$N:$N,"&lt;&gt;")-(SUMIFS(Base!$L:$L,Base!$V:$V,A58,Base!$N:$N,"&lt;&gt;")*7)</f>
        <v>0</v>
      </c>
      <c r="G58" s="290"/>
      <c r="H58" s="290">
        <f>SUMIFS(Base!$F:$F,Base!$V:$V,A58,Base!$N:$N,"&lt;&gt;")*7</f>
        <v>0</v>
      </c>
      <c r="I58" s="290"/>
      <c r="J58" s="292" t="str">
        <f t="shared" ref="J58:K58" si="59">IFERROR(F58/H58,"-")</f>
        <v>-</v>
      </c>
      <c r="K58" s="292" t="str">
        <f t="shared" si="59"/>
        <v>-</v>
      </c>
      <c r="L58" s="292" t="str">
        <f>IFERROR((COUNTIFS(Base!$V:$V,A58,Base!$U:$U,TRUE))/(COUNTIFS(Base!$V:$V,A58,Base!$O:$O,"Finalizado")+COUNTIFS(Base!$V:$V,A58,Base!$O:$O,"Concluído")),"-")</f>
        <v>-</v>
      </c>
      <c r="M58" s="292" t="str">
        <f>IF(
  (
    IFERROR(COUNTIF(Base!$W:$W, A58), 0) +
    IFERROR(COUNTIF(Base!$X:$X, A58), 0) +
    IFERROR(COUNTIF(Base!$Y:$Y, A58), 0) +
    IFERROR(COUNTIF(Base!$Z:$Z, A58), 0)
  ) = 0,
  "-",
  IF(
    (
      IFERROR(COUNTIFS(Base!$W:$W, A58, Base!$O:$O, "Finalizado"), 0) +
      IFERROR(COUNTIFS(Base!$W:$W, A58, Base!$O:$O, "Concluído"), 0) +
      IFERROR(COUNTIFS(Base!$X:$X, A58, Base!$O:$O, "Finalizado"), 0) +
      IFERROR(COUNTIFS(Base!$X:$X, A58, Base!$O:$O, "Concluído"), 0) +
      IFERROR(COUNTIFS(Base!$Y:$Y, A58, Base!$O:$O, "Finalizado"), 0) +
      IFERROR(COUNTIFS(Base!$Y:$Y, A58, Base!$O:$O, "Concluído"), 0) +
      IFERROR(COUNTIFS(Base!$Z:$Z, A58, Base!$O:$O, "Finalizado"), 0) +
      IFERROR(COUNTIFS(Base!$Z:$Z, A58, Base!$O:$O, "Concluído"), 0)
    ) = 0,
    "-",
    (
      IFERROR(COUNTIFS(Base!$W:$W, A58, Base!$U:$U, TRUE), 0) +
      IFERROR(COUNTIFS(Base!$X:$X, A58, Base!$U:$U, TRUE), 0) +
      IFERROR(COUNTIFS(Base!$Y:$Y, A58, Base!$U:$U, TRUE), 0) +
      IFERROR(COUNTIFS(Base!$Z:$Z, A58, Base!$U:$U, TRUE), 0)
    ) /
    (
      IFERROR(COUNTIFS(Base!$W:$W, A58, Base!$O:$O, "Finalizado"), 0) +
      IFERROR(COUNTIFS(Base!$W:$W, A58, Base!$O:$O, "Concluído"), 0) +
      IFERROR(COUNTIFS(Base!$X:$X, A58, Base!$O:$O, "Finalizado"), 0) +
      IFERROR(COUNTIFS(Base!$X:$X, A58, Base!$O:$O, "Concluído"), 0) +
      IFERROR(COUNTIFS(Base!$Y:$Y, A58, Base!$O:$O, "Finalizado"), 0) +
      IFERROR(COUNTIFS(Base!$Y:$Y, A58, Base!$O:$O, "Concluído"), 0) +
      IFERROR(COUNTIFS(Base!$Z:$Z, A58, Base!$O:$O, "Finalizado"), 0) +
      IFERROR(COUNTIFS(Base!$Z:$Z, A58, Base!$O:$O, "Concluído"), 0)
    )
  )
)
</f>
        <v>-</v>
      </c>
      <c r="N58" s="120">
        <f>COUNTIF(Base!V:V,$A58)</f>
        <v>0</v>
      </c>
      <c r="O58" s="120">
        <f>COUNTIF(Base!W:W,$A58)</f>
        <v>0</v>
      </c>
      <c r="P58" s="120">
        <f>COUNTIF(Base!X:X,$A58)</f>
        <v>1</v>
      </c>
      <c r="Q58" s="120">
        <f>COUNTIF(Base!Y:Y,$A58)</f>
        <v>0</v>
      </c>
      <c r="R58" s="120">
        <f>COUNTIF(Base!Z:Z,$A58)</f>
        <v>0</v>
      </c>
      <c r="S58" s="120">
        <f t="shared" si="3"/>
        <v>1</v>
      </c>
      <c r="T58" s="120">
        <f t="shared" si="4"/>
        <v>1</v>
      </c>
      <c r="V58" s="293" t="str">
        <f>IF(
  (
    COUNTIF('Acompanhamento quinzenal'!$N:$N, A58) +
    COUNTIF('Acompanhamento quinzenal'!$T:$T, A58) +
    COUNTIF('Acompanhamento quinzenal'!$Z:$Z, A58) +
    COUNTIF('Acompanhamento quinzenal'!$AF:$AF, A58)
  ) = 0,
  "-",
  (
    IFERROR(SUMIFS('Acompanhamento quinzenal'!$S:$S, 'Acompanhamento quinzenal'!$N:$N, A58), 0) +
    IFERROR(SUMIFS('Acompanhamento quinzenal'!$Y:$Y, 'Acompanhamento quinzenal'!$T:$T, A58), 0) +
    IFERROR(SUMIFS('Acompanhamento quinzenal'!$AE:$AE, 'Acompanhamento quinzenal'!$Z:$Z, A58), 0) +
    IFERROR(SUMIFS('Acompanhamento quinzenal'!$AK:$AK, 'Acompanhamento quinzenal'!$AF:$AF, A58), 0)
  ) /
  (
    COUNTIF('Acompanhamento quinzenal'!$N:$N, A58) +
    COUNTIF('Acompanhamento quinzenal'!$T:$T, A58) +
    COUNTIF('Acompanhamento quinzenal'!$Z:$Z, A58) +
    COUNTIF('Acompanhamento quinzenal'!$AF:$AF, A58)
  )
)
</f>
        <v>-</v>
      </c>
      <c r="W58" s="293" t="str">
        <f>IF(
  (
    COUNTIF('Acompanhamento quinzenal'!$N:$N, A58) +
    COUNTIF('Acompanhamento quinzenal'!$T:$T, A58) +
    COUNTIF('Acompanhamento quinzenal'!$Z:$Z, A58) +
    COUNTIF('Acompanhamento quinzenal'!$AF:$AF, A58)
  ) = 0,
  "-",
  (
    IFERROR(SUMIFS('Acompanhamento quinzenal'!$O:$O, 'Acompanhamento quinzenal'!$N:$N, A58), 0) +
    IFERROR(SUMIFS('Acompanhamento quinzenal'!$U:$U, 'Acompanhamento quinzenal'!$T:$T, A58), 0) +
    IFERROR(SUMIFS('Acompanhamento quinzenal'!$AA:$AA, 'Acompanhamento quinzenal'!$Z:$Z, A58), 0) +
    IFERROR(SUMIFS('Acompanhamento quinzenal'!$AG:$AG, 'Acompanhamento quinzenal'!$AF:$AF, A58), 0)
  ) /
  (
    COUNTIF('Acompanhamento quinzenal'!$N:$N, A58) +
    COUNTIF('Acompanhamento quinzenal'!$T:$T, A58) +
    COUNTIF('Acompanhamento quinzenal'!$Z:$Z, A58) +
    COUNTIF('Acompanhamento quinzenal'!$AF:$AF, A58)
  )
)
</f>
        <v>-</v>
      </c>
      <c r="X58" s="294" t="str">
        <f>IF(
  (
    COUNTIF('Acompanhamento quinzenal'!$N:$N, A58) +
    COUNTIF('Acompanhamento quinzenal'!$T:$T, A58) +
    COUNTIF('Acompanhamento quinzenal'!$Z:$Z, A58) +
    COUNTIF('Acompanhamento quinzenal'!$AF:$AF, A58)
  ) = 0,
  "-",
  (
    IFERROR(SUMIFS('Acompanhamento quinzenal'!$P:$P, 'Acompanhamento quinzenal'!$N:$N, A58), 0) +
    IFERROR(SUMIFS('Acompanhamento quinzenal'!$V:$V, 'Acompanhamento quinzenal'!$T:$T, A58), 0) +
    IFERROR(SUMIFS('Acompanhamento quinzenal'!$AB:$AB, 'Acompanhamento quinzenal'!$Z:$Z, A58), 0) +
    IFERROR(SUMIFS('Acompanhamento quinzenal'!$AH:$AH, 'Acompanhamento quinzenal'!$AF:$AF, A58), 0)
  ) /
  (
    COUNTIF('Acompanhamento quinzenal'!$N:$N, A58) +
    COUNTIF('Acompanhamento quinzenal'!$T:$T, A58) +
    COUNTIF('Acompanhamento quinzenal'!$Z:$Z, A58) +
    COUNTIF('Acompanhamento quinzenal'!$AF:$AF, A58)
  )
)
</f>
        <v>-</v>
      </c>
      <c r="Y58" s="293" t="str">
        <f>IF(
  (
    COUNTIF('Acompanhamento quinzenal'!$N:$N, A58) +
    COUNTIF('Acompanhamento quinzenal'!$T:$T, A58) +
    COUNTIF('Acompanhamento quinzenal'!$Z:$Z, A58) +
    COUNTIF('Acompanhamento quinzenal'!$AF:$AF, A58)
  ) = 0,
  "-",
  (
    IFERROR(SUMIFS('Acompanhamento quinzenal'!$Q:$Q, 'Acompanhamento quinzenal'!$N:$N, A58), 0) +
    IFERROR(SUMIFS('Acompanhamento quinzenal'!$W:$W, 'Acompanhamento quinzenal'!$T:$T, A58), 0) +
    IFERROR(SUMIFS('Acompanhamento quinzenal'!$AC:$AC, 'Acompanhamento quinzenal'!$Z:$Z, A58), 0) +
    IFERROR(SUMIFS('Acompanhamento quinzenal'!$AI:$AI, 'Acompanhamento quinzenal'!$AF:$AF, A58), 0)
  ) /
  (
    COUNTIF('Acompanhamento quinzenal'!$N:$N, A58) +
    COUNTIF('Acompanhamento quinzenal'!$T:$T, A58) +
    COUNTIF('Acompanhamento quinzenal'!$Z:$Z, A58) +
    COUNTIF('Acompanhamento quinzenal'!$AF:$AF, A58)
  )
)
</f>
        <v>-</v>
      </c>
    </row>
    <row r="59" hidden="1">
      <c r="A59" s="291" t="str">
        <f>IFERROR(__xludf.DUMMYFUNCTION("""COMPUTED_VALUE"""),"gabriel.saad")</f>
        <v>gabriel.saad</v>
      </c>
      <c r="B59" s="120" t="str">
        <f>IFERROR(__xludf.DUMMYFUNCTION("""COMPUTED_VALUE"""),"Coordenador")</f>
        <v>Coordenador</v>
      </c>
      <c r="C59" s="120" t="str">
        <f>IFERROR(__xludf.DUMMYFUNCTION("""COMPUTED_VALUE"""),"NCiv")</f>
        <v>NCiv</v>
      </c>
      <c r="D59" s="292" t="str">
        <f>IFERROR((COUNTIFS(Base!$V:$V,A59,Base!$S:$S,"&gt;8") - COUNTIFS(Base!$V:$V,A59,Base!$S:$S,"&lt;7"))/COUNTIFS(Base!$V:$V,A59,Base!$S:$S,"&lt;&gt;"),"-")</f>
        <v>-</v>
      </c>
      <c r="E59" s="292" t="str">
        <f>IF(
  (
    COUNTIFS(Base!$W:$W, A59, Base!$S:$S, "&lt;&gt;") +
    COUNTIFS(Base!$X:$X, A59, Base!$S:$S, "&lt;&gt;") +
    COUNTIFS(Base!$Y:$Y, A59, Base!$S:$S, "&lt;&gt;") +
    COUNTIFS(Base!$Z:$Z, A59, Base!$S:$S, "&lt;&gt;")
  ) = 0,
  "-",
  (
    COUNTIFS(Base!$W:$W, A59, Base!$S:$S, "&gt;8") - COUNTIFS(Base!$W:$W, A59, Base!$S:$S, "&lt;7") +
    COUNTIFS(Base!$X:$X, A59, Base!$S:$S, "&gt;8") - COUNTIFS(Base!$X:$X, A59, Base!$S:$S, "&lt;7") +
    COUNTIFS(Base!$Y:$Y, A59, Base!$S:$S, "&gt;8") - COUNTIFS(Base!$Y:$Y, A59, Base!$S:$S, "&lt;7") +
    COUNTIFS(Base!$Z:$Z, A59, Base!$S:$S, "&gt;8") - COUNTIFS(Base!$Z:$Z, A59, Base!$S:$S, "&lt;7")
  ) /
  (
    COUNTIFS(Base!$W:$W, A59, Base!$S:$S, "&lt;&gt;") +
    COUNTIFS(Base!$X:$X, A59, Base!$S:$S, "&lt;&gt;") +
    COUNTIFS(Base!$Y:$Y, A59, Base!$S:$S, "&lt;&gt;") +
    COUNTIFS(Base!$Z:$Z, A59, Base!$S:$S, "&lt;&gt;")
  )
)
</f>
        <v>-</v>
      </c>
      <c r="F59" s="290">
        <f>SUMIFS(Base!$N:$N,Base!$V:$V,A59,Base!$N:$N,"&lt;&gt;")-SUMIFS(Base!$K:$K,Base!$V:$V,A59,Base!$N:$N,"&lt;&gt;")-(SUMIFS(Base!$L:$L,Base!$V:$V,A59,Base!$N:$N,"&lt;&gt;")*7)</f>
        <v>0</v>
      </c>
      <c r="G59" s="290"/>
      <c r="H59" s="290">
        <f>SUMIFS(Base!$F:$F,Base!$V:$V,A59,Base!$N:$N,"&lt;&gt;")*7</f>
        <v>0</v>
      </c>
      <c r="I59" s="290"/>
      <c r="J59" s="292" t="str">
        <f t="shared" ref="J59:K59" si="60">IFERROR(F59/H59,"-")</f>
        <v>-</v>
      </c>
      <c r="K59" s="292" t="str">
        <f t="shared" si="60"/>
        <v>-</v>
      </c>
      <c r="L59" s="292">
        <f>IFERROR((COUNTIFS(Base!$V:$V,A59,Base!$U:$U,TRUE))/(COUNTIFS(Base!$V:$V,A59,Base!$O:$O,"Finalizado")+COUNTIFS(Base!$V:$V,A59,Base!$O:$O,"Concluído")),"-")</f>
        <v>0</v>
      </c>
      <c r="M59" s="292" t="str">
        <f>IF(
  (
    IFERROR(COUNTIF(Base!$W:$W, A59), 0) +
    IFERROR(COUNTIF(Base!$X:$X, A59), 0) +
    IFERROR(COUNTIF(Base!$Y:$Y, A59), 0) +
    IFERROR(COUNTIF(Base!$Z:$Z, A59), 0)
  ) = 0,
  "-",
  IF(
    (
      IFERROR(COUNTIFS(Base!$W:$W, A59, Base!$O:$O, "Finalizado"), 0) +
      IFERROR(COUNTIFS(Base!$W:$W, A59, Base!$O:$O, "Concluído"), 0) +
      IFERROR(COUNTIFS(Base!$X:$X, A59, Base!$O:$O, "Finalizado"), 0) +
      IFERROR(COUNTIFS(Base!$X:$X, A59, Base!$O:$O, "Concluído"), 0) +
      IFERROR(COUNTIFS(Base!$Y:$Y, A59, Base!$O:$O, "Finalizado"), 0) +
      IFERROR(COUNTIFS(Base!$Y:$Y, A59, Base!$O:$O, "Concluído"), 0) +
      IFERROR(COUNTIFS(Base!$Z:$Z, A59, Base!$O:$O, "Finalizado"), 0) +
      IFERROR(COUNTIFS(Base!$Z:$Z, A59, Base!$O:$O, "Concluído"), 0)
    ) = 0,
    "-",
    (
      IFERROR(COUNTIFS(Base!$W:$W, A59, Base!$U:$U, TRUE), 0) +
      IFERROR(COUNTIFS(Base!$X:$X, A59, Base!$U:$U, TRUE), 0) +
      IFERROR(COUNTIFS(Base!$Y:$Y, A59, Base!$U:$U, TRUE), 0) +
      IFERROR(COUNTIFS(Base!$Z:$Z, A59, Base!$U:$U, TRUE), 0)
    ) /
    (
      IFERROR(COUNTIFS(Base!$W:$W, A59, Base!$O:$O, "Finalizado"), 0) +
      IFERROR(COUNTIFS(Base!$W:$W, A59, Base!$O:$O, "Concluído"), 0) +
      IFERROR(COUNTIFS(Base!$X:$X, A59, Base!$O:$O, "Finalizado"), 0) +
      IFERROR(COUNTIFS(Base!$X:$X, A59, Base!$O:$O, "Concluído"), 0) +
      IFERROR(COUNTIFS(Base!$Y:$Y, A59, Base!$O:$O, "Finalizado"), 0) +
      IFERROR(COUNTIFS(Base!$Y:$Y, A59, Base!$O:$O, "Concluído"), 0) +
      IFERROR(COUNTIFS(Base!$Z:$Z, A59, Base!$O:$O, "Finalizado"), 0) +
      IFERROR(COUNTIFS(Base!$Z:$Z, A59, Base!$O:$O, "Concluído"), 0)
    )
  )
)
</f>
        <v>-</v>
      </c>
      <c r="N59" s="120">
        <f>COUNTIF(Base!V:V,$A59)</f>
        <v>3</v>
      </c>
      <c r="O59" s="120">
        <f>COUNTIF(Base!W:W,$A59)</f>
        <v>1</v>
      </c>
      <c r="P59" s="120">
        <f>COUNTIF(Base!X:X,$A59)</f>
        <v>0</v>
      </c>
      <c r="Q59" s="120">
        <f>COUNTIF(Base!Y:Y,$A59)</f>
        <v>0</v>
      </c>
      <c r="R59" s="120">
        <f>COUNTIF(Base!Z:Z,$A59)</f>
        <v>0</v>
      </c>
      <c r="S59" s="120">
        <f t="shared" si="3"/>
        <v>4</v>
      </c>
      <c r="T59" s="120">
        <f t="shared" si="4"/>
        <v>1</v>
      </c>
      <c r="V59" s="293" t="str">
        <f>IF(
  (
    COUNTIF('Acompanhamento quinzenal'!$N:$N, A59) +
    COUNTIF('Acompanhamento quinzenal'!$T:$T, A59) +
    COUNTIF('Acompanhamento quinzenal'!$Z:$Z, A59) +
    COUNTIF('Acompanhamento quinzenal'!$AF:$AF, A59)
  ) = 0,
  "-",
  (
    IFERROR(SUMIFS('Acompanhamento quinzenal'!$S:$S, 'Acompanhamento quinzenal'!$N:$N, A59), 0) +
    IFERROR(SUMIFS('Acompanhamento quinzenal'!$Y:$Y, 'Acompanhamento quinzenal'!$T:$T, A59), 0) +
    IFERROR(SUMIFS('Acompanhamento quinzenal'!$AE:$AE, 'Acompanhamento quinzenal'!$Z:$Z, A59), 0) +
    IFERROR(SUMIFS('Acompanhamento quinzenal'!$AK:$AK, 'Acompanhamento quinzenal'!$AF:$AF, A59), 0)
  ) /
  (
    COUNTIF('Acompanhamento quinzenal'!$N:$N, A59) +
    COUNTIF('Acompanhamento quinzenal'!$T:$T, A59) +
    COUNTIF('Acompanhamento quinzenal'!$Z:$Z, A59) +
    COUNTIF('Acompanhamento quinzenal'!$AF:$AF, A59)
  )
)
</f>
        <v>-</v>
      </c>
      <c r="W59" s="293" t="str">
        <f>IF(
  (
    COUNTIF('Acompanhamento quinzenal'!$N:$N, A59) +
    COUNTIF('Acompanhamento quinzenal'!$T:$T, A59) +
    COUNTIF('Acompanhamento quinzenal'!$Z:$Z, A59) +
    COUNTIF('Acompanhamento quinzenal'!$AF:$AF, A59)
  ) = 0,
  "-",
  (
    IFERROR(SUMIFS('Acompanhamento quinzenal'!$O:$O, 'Acompanhamento quinzenal'!$N:$N, A59), 0) +
    IFERROR(SUMIFS('Acompanhamento quinzenal'!$U:$U, 'Acompanhamento quinzenal'!$T:$T, A59), 0) +
    IFERROR(SUMIFS('Acompanhamento quinzenal'!$AA:$AA, 'Acompanhamento quinzenal'!$Z:$Z, A59), 0) +
    IFERROR(SUMIFS('Acompanhamento quinzenal'!$AG:$AG, 'Acompanhamento quinzenal'!$AF:$AF, A59), 0)
  ) /
  (
    COUNTIF('Acompanhamento quinzenal'!$N:$N, A59) +
    COUNTIF('Acompanhamento quinzenal'!$T:$T, A59) +
    COUNTIF('Acompanhamento quinzenal'!$Z:$Z, A59) +
    COUNTIF('Acompanhamento quinzenal'!$AF:$AF, A59)
  )
)
</f>
        <v>-</v>
      </c>
      <c r="X59" s="294" t="str">
        <f>IF(
  (
    COUNTIF('Acompanhamento quinzenal'!$N:$N, A59) +
    COUNTIF('Acompanhamento quinzenal'!$T:$T, A59) +
    COUNTIF('Acompanhamento quinzenal'!$Z:$Z, A59) +
    COUNTIF('Acompanhamento quinzenal'!$AF:$AF, A59)
  ) = 0,
  "-",
  (
    IFERROR(SUMIFS('Acompanhamento quinzenal'!$P:$P, 'Acompanhamento quinzenal'!$N:$N, A59), 0) +
    IFERROR(SUMIFS('Acompanhamento quinzenal'!$V:$V, 'Acompanhamento quinzenal'!$T:$T, A59), 0) +
    IFERROR(SUMIFS('Acompanhamento quinzenal'!$AB:$AB, 'Acompanhamento quinzenal'!$Z:$Z, A59), 0) +
    IFERROR(SUMIFS('Acompanhamento quinzenal'!$AH:$AH, 'Acompanhamento quinzenal'!$AF:$AF, A59), 0)
  ) /
  (
    COUNTIF('Acompanhamento quinzenal'!$N:$N, A59) +
    COUNTIF('Acompanhamento quinzenal'!$T:$T, A59) +
    COUNTIF('Acompanhamento quinzenal'!$Z:$Z, A59) +
    COUNTIF('Acompanhamento quinzenal'!$AF:$AF, A59)
  )
)
</f>
        <v>-</v>
      </c>
      <c r="Y59" s="293" t="str">
        <f>IF(
  (
    COUNTIF('Acompanhamento quinzenal'!$N:$N, A59) +
    COUNTIF('Acompanhamento quinzenal'!$T:$T, A59) +
    COUNTIF('Acompanhamento quinzenal'!$Z:$Z, A59) +
    COUNTIF('Acompanhamento quinzenal'!$AF:$AF, A59)
  ) = 0,
  "-",
  (
    IFERROR(SUMIFS('Acompanhamento quinzenal'!$Q:$Q, 'Acompanhamento quinzenal'!$N:$N, A59), 0) +
    IFERROR(SUMIFS('Acompanhamento quinzenal'!$W:$W, 'Acompanhamento quinzenal'!$T:$T, A59), 0) +
    IFERROR(SUMIFS('Acompanhamento quinzenal'!$AC:$AC, 'Acompanhamento quinzenal'!$Z:$Z, A59), 0) +
    IFERROR(SUMIFS('Acompanhamento quinzenal'!$AI:$AI, 'Acompanhamento quinzenal'!$AF:$AF, A59), 0)
  ) /
  (
    COUNTIF('Acompanhamento quinzenal'!$N:$N, A59) +
    COUNTIF('Acompanhamento quinzenal'!$T:$T, A59) +
    COUNTIF('Acompanhamento quinzenal'!$Z:$Z, A59) +
    COUNTIF('Acompanhamento quinzenal'!$AF:$AF, A59)
  )
)
</f>
        <v>-</v>
      </c>
    </row>
    <row r="60" hidden="1">
      <c r="A60" s="291" t="str">
        <f>IFERROR(__xludf.DUMMYFUNCTION("""COMPUTED_VALUE"""),"gabriela.fernandes")</f>
        <v>gabriela.fernandes</v>
      </c>
      <c r="B60" s="120" t="str">
        <f>IFERROR(__xludf.DUMMYFUNCTION("""COMPUTED_VALUE"""),"Trainee")</f>
        <v>Trainee</v>
      </c>
      <c r="C60" s="120" t="str">
        <f>IFERROR(__xludf.DUMMYFUNCTION("""COMPUTED_VALUE"""),"NCiv")</f>
        <v>NCiv</v>
      </c>
      <c r="D60" s="292" t="str">
        <f>IFERROR((COUNTIFS(Base!$V:$V,A60,Base!$S:$S,"&gt;8") - COUNTIFS(Base!$V:$V,A60,Base!$S:$S,"&lt;7"))/COUNTIFS(Base!$V:$V,A60,Base!$S:$S,"&lt;&gt;"),"-")</f>
        <v>-</v>
      </c>
      <c r="E60" s="292">
        <f>IF(
  (
    COUNTIFS(Base!$W:$W, A60, Base!$S:$S, "&lt;&gt;") +
    COUNTIFS(Base!$X:$X, A60, Base!$S:$S, "&lt;&gt;") +
    COUNTIFS(Base!$Y:$Y, A60, Base!$S:$S, "&lt;&gt;") +
    COUNTIFS(Base!$Z:$Z, A60, Base!$S:$S, "&lt;&gt;")
  ) = 0,
  "-",
  (
    COUNTIFS(Base!$W:$W, A60, Base!$S:$S, "&gt;8") - COUNTIFS(Base!$W:$W, A60, Base!$S:$S, "&lt;7") +
    COUNTIFS(Base!$X:$X, A60, Base!$S:$S, "&gt;8") - COUNTIFS(Base!$X:$X, A60, Base!$S:$S, "&lt;7") +
    COUNTIFS(Base!$Y:$Y, A60, Base!$S:$S, "&gt;8") - COUNTIFS(Base!$Y:$Y, A60, Base!$S:$S, "&lt;7") +
    COUNTIFS(Base!$Z:$Z, A60, Base!$S:$S, "&gt;8") - COUNTIFS(Base!$Z:$Z, A60, Base!$S:$S, "&lt;7")
  ) /
  (
    COUNTIFS(Base!$W:$W, A60, Base!$S:$S, "&lt;&gt;") +
    COUNTIFS(Base!$X:$X, A60, Base!$S:$S, "&lt;&gt;") +
    COUNTIFS(Base!$Y:$Y, A60, Base!$S:$S, "&lt;&gt;") +
    COUNTIFS(Base!$Z:$Z, A60, Base!$S:$S, "&lt;&gt;")
  )
)
</f>
        <v>0</v>
      </c>
      <c r="F60" s="290">
        <f>SUMIFS(Base!$N:$N,Base!$V:$V,A60,Base!$N:$N,"&lt;&gt;")-SUMIFS(Base!$K:$K,Base!$V:$V,A60,Base!$N:$N,"&lt;&gt;")-(SUMIFS(Base!$L:$L,Base!$V:$V,A60,Base!$N:$N,"&lt;&gt;")*7)</f>
        <v>0</v>
      </c>
      <c r="G60" s="290"/>
      <c r="H60" s="290">
        <f>SUMIFS(Base!$F:$F,Base!$V:$V,A60,Base!$N:$N,"&lt;&gt;")*7</f>
        <v>0</v>
      </c>
      <c r="I60" s="290"/>
      <c r="J60" s="292" t="str">
        <f t="shared" ref="J60:K60" si="61">IFERROR(F60/H60,"-")</f>
        <v>-</v>
      </c>
      <c r="K60" s="292" t="str">
        <f t="shared" si="61"/>
        <v>-</v>
      </c>
      <c r="L60" s="292" t="str">
        <f>IFERROR((COUNTIFS(Base!$V:$V,A60,Base!$U:$U,TRUE))/(COUNTIFS(Base!$V:$V,A60,Base!$O:$O,"Finalizado")+COUNTIFS(Base!$V:$V,A60,Base!$O:$O,"Concluído")),"-")</f>
        <v>-</v>
      </c>
      <c r="M60" s="292">
        <f>IF(
  (
    IFERROR(COUNTIF(Base!$W:$W, A60), 0) +
    IFERROR(COUNTIF(Base!$X:$X, A60), 0) +
    IFERROR(COUNTIF(Base!$Y:$Y, A60), 0) +
    IFERROR(COUNTIF(Base!$Z:$Z, A60), 0)
  ) = 0,
  "-",
  IF(
    (
      IFERROR(COUNTIFS(Base!$W:$W, A60, Base!$O:$O, "Finalizado"), 0) +
      IFERROR(COUNTIFS(Base!$W:$W, A60, Base!$O:$O, "Concluído"), 0) +
      IFERROR(COUNTIFS(Base!$X:$X, A60, Base!$O:$O, "Finalizado"), 0) +
      IFERROR(COUNTIFS(Base!$X:$X, A60, Base!$O:$O, "Concluído"), 0) +
      IFERROR(COUNTIFS(Base!$Y:$Y, A60, Base!$O:$O, "Finalizado"), 0) +
      IFERROR(COUNTIFS(Base!$Y:$Y, A60, Base!$O:$O, "Concluído"), 0) +
      IFERROR(COUNTIFS(Base!$Z:$Z, A60, Base!$O:$O, "Finalizado"), 0) +
      IFERROR(COUNTIFS(Base!$Z:$Z, A60, Base!$O:$O, "Concluído"), 0)
    ) = 0,
    "-",
    (
      IFERROR(COUNTIFS(Base!$W:$W, A60, Base!$U:$U, TRUE), 0) +
      IFERROR(COUNTIFS(Base!$X:$X, A60, Base!$U:$U, TRUE), 0) +
      IFERROR(COUNTIFS(Base!$Y:$Y, A60, Base!$U:$U, TRUE), 0) +
      IFERROR(COUNTIFS(Base!$Z:$Z, A60, Base!$U:$U, TRUE), 0)
    ) /
    (
      IFERROR(COUNTIFS(Base!$W:$W, A60, Base!$O:$O, "Finalizado"), 0) +
      IFERROR(COUNTIFS(Base!$W:$W, A60, Base!$O:$O, "Concluído"), 0) +
      IFERROR(COUNTIFS(Base!$X:$X, A60, Base!$O:$O, "Finalizado"), 0) +
      IFERROR(COUNTIFS(Base!$X:$X, A60, Base!$O:$O, "Concluído"), 0) +
      IFERROR(COUNTIFS(Base!$Y:$Y, A60, Base!$O:$O, "Finalizado"), 0) +
      IFERROR(COUNTIFS(Base!$Y:$Y, A60, Base!$O:$O, "Concluído"), 0) +
      IFERROR(COUNTIFS(Base!$Z:$Z, A60, Base!$O:$O, "Finalizado"), 0) +
      IFERROR(COUNTIFS(Base!$Z:$Z, A60, Base!$O:$O, "Concluído"), 0)
    )
  )
)
</f>
        <v>0</v>
      </c>
      <c r="N60" s="120">
        <f>COUNTIF(Base!V:V,$A60)</f>
        <v>0</v>
      </c>
      <c r="O60" s="120">
        <f>COUNTIF(Base!W:W,$A60)</f>
        <v>0</v>
      </c>
      <c r="P60" s="120">
        <f>COUNTIF(Base!X:X,$A60)</f>
        <v>1</v>
      </c>
      <c r="Q60" s="120">
        <f>COUNTIF(Base!Y:Y,$A60)</f>
        <v>0</v>
      </c>
      <c r="R60" s="120">
        <f>COUNTIF(Base!Z:Z,$A60)</f>
        <v>0</v>
      </c>
      <c r="S60" s="120">
        <f t="shared" si="3"/>
        <v>1</v>
      </c>
      <c r="T60" s="120">
        <f t="shared" si="4"/>
        <v>1</v>
      </c>
      <c r="V60" s="293">
        <f>IF(
  (
    COUNTIF('Acompanhamento quinzenal'!$N:$N, A60) +
    COUNTIF('Acompanhamento quinzenal'!$T:$T, A60) +
    COUNTIF('Acompanhamento quinzenal'!$Z:$Z, A60) +
    COUNTIF('Acompanhamento quinzenal'!$AF:$AF, A60)
  ) = 0,
  "-",
  (
    IFERROR(SUMIFS('Acompanhamento quinzenal'!$S:$S, 'Acompanhamento quinzenal'!$N:$N, A60), 0) +
    IFERROR(SUMIFS('Acompanhamento quinzenal'!$Y:$Y, 'Acompanhamento quinzenal'!$T:$T, A60), 0) +
    IFERROR(SUMIFS('Acompanhamento quinzenal'!$AE:$AE, 'Acompanhamento quinzenal'!$Z:$Z, A60), 0) +
    IFERROR(SUMIFS('Acompanhamento quinzenal'!$AK:$AK, 'Acompanhamento quinzenal'!$AF:$AF, A60), 0)
  ) /
  (
    COUNTIF('Acompanhamento quinzenal'!$N:$N, A60) +
    COUNTIF('Acompanhamento quinzenal'!$T:$T, A60) +
    COUNTIF('Acompanhamento quinzenal'!$Z:$Z, A60) +
    COUNTIF('Acompanhamento quinzenal'!$AF:$AF, A60)
  )
)
</f>
        <v>0</v>
      </c>
      <c r="W60" s="293">
        <f>IF(
  (
    COUNTIF('Acompanhamento quinzenal'!$N:$N, A60) +
    COUNTIF('Acompanhamento quinzenal'!$T:$T, A60) +
    COUNTIF('Acompanhamento quinzenal'!$Z:$Z, A60) +
    COUNTIF('Acompanhamento quinzenal'!$AF:$AF, A60)
  ) = 0,
  "-",
  (
    IFERROR(SUMIFS('Acompanhamento quinzenal'!$O:$O, 'Acompanhamento quinzenal'!$N:$N, A60), 0) +
    IFERROR(SUMIFS('Acompanhamento quinzenal'!$U:$U, 'Acompanhamento quinzenal'!$T:$T, A60), 0) +
    IFERROR(SUMIFS('Acompanhamento quinzenal'!$AA:$AA, 'Acompanhamento quinzenal'!$Z:$Z, A60), 0) +
    IFERROR(SUMIFS('Acompanhamento quinzenal'!$AG:$AG, 'Acompanhamento quinzenal'!$AF:$AF, A60), 0)
  ) /
  (
    COUNTIF('Acompanhamento quinzenal'!$N:$N, A60) +
    COUNTIF('Acompanhamento quinzenal'!$T:$T, A60) +
    COUNTIF('Acompanhamento quinzenal'!$Z:$Z, A60) +
    COUNTIF('Acompanhamento quinzenal'!$AF:$AF, A60)
  )
)
</f>
        <v>3</v>
      </c>
      <c r="X60" s="294">
        <f>IF(
  (
    COUNTIF('Acompanhamento quinzenal'!$N:$N, A60) +
    COUNTIF('Acompanhamento quinzenal'!$T:$T, A60) +
    COUNTIF('Acompanhamento quinzenal'!$Z:$Z, A60) +
    COUNTIF('Acompanhamento quinzenal'!$AF:$AF, A60)
  ) = 0,
  "-",
  (
    IFERROR(SUMIFS('Acompanhamento quinzenal'!$P:$P, 'Acompanhamento quinzenal'!$N:$N, A60), 0) +
    IFERROR(SUMIFS('Acompanhamento quinzenal'!$V:$V, 'Acompanhamento quinzenal'!$T:$T, A60), 0) +
    IFERROR(SUMIFS('Acompanhamento quinzenal'!$AB:$AB, 'Acompanhamento quinzenal'!$Z:$Z, A60), 0) +
    IFERROR(SUMIFS('Acompanhamento quinzenal'!$AH:$AH, 'Acompanhamento quinzenal'!$AF:$AF, A60), 0)
  ) /
  (
    COUNTIF('Acompanhamento quinzenal'!$N:$N, A60) +
    COUNTIF('Acompanhamento quinzenal'!$T:$T, A60) +
    COUNTIF('Acompanhamento quinzenal'!$Z:$Z, A60) +
    COUNTIF('Acompanhamento quinzenal'!$AF:$AF, A60)
  )
)
</f>
        <v>4</v>
      </c>
      <c r="Y60" s="293">
        <f>IF(
  (
    COUNTIF('Acompanhamento quinzenal'!$N:$N, A60) +
    COUNTIF('Acompanhamento quinzenal'!$T:$T, A60) +
    COUNTIF('Acompanhamento quinzenal'!$Z:$Z, A60) +
    COUNTIF('Acompanhamento quinzenal'!$AF:$AF, A60)
  ) = 0,
  "-",
  (
    IFERROR(SUMIFS('Acompanhamento quinzenal'!$Q:$Q, 'Acompanhamento quinzenal'!$N:$N, A60), 0) +
    IFERROR(SUMIFS('Acompanhamento quinzenal'!$W:$W, 'Acompanhamento quinzenal'!$T:$T, A60), 0) +
    IFERROR(SUMIFS('Acompanhamento quinzenal'!$AC:$AC, 'Acompanhamento quinzenal'!$Z:$Z, A60), 0) +
    IFERROR(SUMIFS('Acompanhamento quinzenal'!$AI:$AI, 'Acompanhamento quinzenal'!$AF:$AF, A60), 0)
  ) /
  (
    COUNTIF('Acompanhamento quinzenal'!$N:$N, A60) +
    COUNTIF('Acompanhamento quinzenal'!$T:$T, A60) +
    COUNTIF('Acompanhamento quinzenal'!$Z:$Z, A60) +
    COUNTIF('Acompanhamento quinzenal'!$AF:$AF, A60)
  )
)
</f>
        <v>3</v>
      </c>
    </row>
    <row r="61" hidden="1">
      <c r="A61" s="291" t="str">
        <f>IFERROR(__xludf.DUMMYFUNCTION("""COMPUTED_VALUE"""),"gabriele.shimizu")</f>
        <v>gabriele.shimizu</v>
      </c>
      <c r="B61" s="120" t="str">
        <f>IFERROR(__xludf.DUMMYFUNCTION("""COMPUTED_VALUE"""),"Consultor")</f>
        <v>Consultor</v>
      </c>
      <c r="C61" s="120" t="str">
        <f>IFERROR(__xludf.DUMMYFUNCTION("""COMPUTED_VALUE"""),"NTec")</f>
        <v>NTec</v>
      </c>
      <c r="D61" s="292" t="str">
        <f>IFERROR((COUNTIFS(Base!$V:$V,A61,Base!$S:$S,"&gt;8") - COUNTIFS(Base!$V:$V,A61,Base!$S:$S,"&lt;7"))/COUNTIFS(Base!$V:$V,A61,Base!$S:$S,"&lt;&gt;"),"-")</f>
        <v>-</v>
      </c>
      <c r="E61" s="292" t="str">
        <f>IF(
  (
    COUNTIFS(Base!$W:$W, A61, Base!$S:$S, "&lt;&gt;") +
    COUNTIFS(Base!$X:$X, A61, Base!$S:$S, "&lt;&gt;") +
    COUNTIFS(Base!$Y:$Y, A61, Base!$S:$S, "&lt;&gt;") +
    COUNTIFS(Base!$Z:$Z, A61, Base!$S:$S, "&lt;&gt;")
  ) = 0,
  "-",
  (
    COUNTIFS(Base!$W:$W, A61, Base!$S:$S, "&gt;8") - COUNTIFS(Base!$W:$W, A61, Base!$S:$S, "&lt;7") +
    COUNTIFS(Base!$X:$X, A61, Base!$S:$S, "&gt;8") - COUNTIFS(Base!$X:$X, A61, Base!$S:$S, "&lt;7") +
    COUNTIFS(Base!$Y:$Y, A61, Base!$S:$S, "&gt;8") - COUNTIFS(Base!$Y:$Y, A61, Base!$S:$S, "&lt;7") +
    COUNTIFS(Base!$Z:$Z, A61, Base!$S:$S, "&gt;8") - COUNTIFS(Base!$Z:$Z, A61, Base!$S:$S, "&lt;7")
  ) /
  (
    COUNTIFS(Base!$W:$W, A61, Base!$S:$S, "&lt;&gt;") +
    COUNTIFS(Base!$X:$X, A61, Base!$S:$S, "&lt;&gt;") +
    COUNTIFS(Base!$Y:$Y, A61, Base!$S:$S, "&lt;&gt;") +
    COUNTIFS(Base!$Z:$Z, A61, Base!$S:$S, "&lt;&gt;")
  )
)
</f>
        <v>-</v>
      </c>
      <c r="F61" s="290">
        <f>SUMIFS(Base!$N:$N,Base!$V:$V,A61,Base!$N:$N,"&lt;&gt;")-SUMIFS(Base!$K:$K,Base!$V:$V,A61,Base!$N:$N,"&lt;&gt;")-(SUMIFS(Base!$L:$L,Base!$V:$V,A61,Base!$N:$N,"&lt;&gt;")*7)</f>
        <v>0</v>
      </c>
      <c r="G61" s="290">
        <f>SUMIFS(Base!$N:$N,Base!$W:$W,A61,Base!$N:$N,"&lt;&gt;")-SUMIFS(Base!$K:$K,Base!$W:$W,A61,Base!$N:$N,"&lt;&gt;")-(SUMIFS(Base!$L:$L,Base!$W:$W,A61,Base!$N:$N,"&lt;&gt;")*7)</f>
        <v>0</v>
      </c>
      <c r="H61" s="290">
        <f>SUMIFS(Base!$F:$F,Base!$V:$V,A61,Base!$N:$N,"&lt;&gt;")*7</f>
        <v>0</v>
      </c>
      <c r="I61" s="290">
        <f>SUMIFS(Base!$F:$F,Base!$W:$W,A61,Base!$N:$N,"&lt;&gt;")*7</f>
        <v>0</v>
      </c>
      <c r="J61" s="292" t="str">
        <f t="shared" ref="J61:K61" si="62">IFERROR(F61/H61,"-")</f>
        <v>-</v>
      </c>
      <c r="K61" s="292" t="str">
        <f t="shared" si="62"/>
        <v>-</v>
      </c>
      <c r="L61" s="292" t="str">
        <f>IFERROR((COUNTIFS(Base!$V:$V,A61,Base!$U:$U,TRUE))/(COUNTIFS(Base!$V:$V,A61,Base!$O:$O,"Finalizado")+COUNTIFS(Base!$V:$V,A61,Base!$O:$O,"Concluído")),"-")</f>
        <v>-</v>
      </c>
      <c r="M61" s="292" t="str">
        <f>IF(
  (
    IFERROR(COUNTIF(Base!$W:$W, A61), 0) +
    IFERROR(COUNTIF(Base!$X:$X, A61), 0) +
    IFERROR(COUNTIF(Base!$Y:$Y, A61), 0) +
    IFERROR(COUNTIF(Base!$Z:$Z, A61), 0)
  ) = 0,
  "-",
  IF(
    (
      IFERROR(COUNTIFS(Base!$W:$W, A61, Base!$O:$O, "Finalizado"), 0) +
      IFERROR(COUNTIFS(Base!$W:$W, A61, Base!$O:$O, "Concluído"), 0) +
      IFERROR(COUNTIFS(Base!$X:$X, A61, Base!$O:$O, "Finalizado"), 0) +
      IFERROR(COUNTIFS(Base!$X:$X, A61, Base!$O:$O, "Concluído"), 0) +
      IFERROR(COUNTIFS(Base!$Y:$Y, A61, Base!$O:$O, "Finalizado"), 0) +
      IFERROR(COUNTIFS(Base!$Y:$Y, A61, Base!$O:$O, "Concluído"), 0) +
      IFERROR(COUNTIFS(Base!$Z:$Z, A61, Base!$O:$O, "Finalizado"), 0) +
      IFERROR(COUNTIFS(Base!$Z:$Z, A61, Base!$O:$O, "Concluído"), 0)
    ) = 0,
    "-",
    (
      IFERROR(COUNTIFS(Base!$W:$W, A61, Base!$U:$U, TRUE), 0) +
      IFERROR(COUNTIFS(Base!$X:$X, A61, Base!$U:$U, TRUE), 0) +
      IFERROR(COUNTIFS(Base!$Y:$Y, A61, Base!$U:$U, TRUE), 0) +
      IFERROR(COUNTIFS(Base!$Z:$Z, A61, Base!$U:$U, TRUE), 0)
    ) /
    (
      IFERROR(COUNTIFS(Base!$W:$W, A61, Base!$O:$O, "Finalizado"), 0) +
      IFERROR(COUNTIFS(Base!$W:$W, A61, Base!$O:$O, "Concluído"), 0) +
      IFERROR(COUNTIFS(Base!$X:$X, A61, Base!$O:$O, "Finalizado"), 0) +
      IFERROR(COUNTIFS(Base!$X:$X, A61, Base!$O:$O, "Concluído"), 0) +
      IFERROR(COUNTIFS(Base!$Y:$Y, A61, Base!$O:$O, "Finalizado"), 0) +
      IFERROR(COUNTIFS(Base!$Y:$Y, A61, Base!$O:$O, "Concluído"), 0) +
      IFERROR(COUNTIFS(Base!$Z:$Z, A61, Base!$O:$O, "Finalizado"), 0) +
      IFERROR(COUNTIFS(Base!$Z:$Z, A61, Base!$O:$O, "Concluído"), 0)
    )
  )
)
</f>
        <v>-</v>
      </c>
      <c r="N61" s="120">
        <f>COUNTIF(Base!V:V,$A61)</f>
        <v>0</v>
      </c>
      <c r="O61" s="120">
        <f>COUNTIF(Base!W:W,$A61)</f>
        <v>1</v>
      </c>
      <c r="P61" s="120">
        <f>COUNTIF(Base!X:X,$A61)</f>
        <v>0</v>
      </c>
      <c r="Q61" s="120">
        <f>COUNTIF(Base!Y:Y,$A61)</f>
        <v>1</v>
      </c>
      <c r="R61" s="120">
        <f>COUNTIF(Base!Z:Z,$A61)</f>
        <v>0</v>
      </c>
      <c r="S61" s="120">
        <f t="shared" si="3"/>
        <v>2</v>
      </c>
      <c r="T61" s="120">
        <f t="shared" si="4"/>
        <v>2</v>
      </c>
      <c r="V61" s="293">
        <f>IF(
  (
    COUNTIF('Acompanhamento quinzenal'!$N:$N, A61) +
    COUNTIF('Acompanhamento quinzenal'!$T:$T, A61) +
    COUNTIF('Acompanhamento quinzenal'!$Z:$Z, A61) +
    COUNTIF('Acompanhamento quinzenal'!$AF:$AF, A61)
  ) = 0,
  "-",
  (
    IFERROR(SUMIFS('Acompanhamento quinzenal'!$S:$S, 'Acompanhamento quinzenal'!$N:$N, A61), 0) +
    IFERROR(SUMIFS('Acompanhamento quinzenal'!$Y:$Y, 'Acompanhamento quinzenal'!$T:$T, A61), 0) +
    IFERROR(SUMIFS('Acompanhamento quinzenal'!$AE:$AE, 'Acompanhamento quinzenal'!$Z:$Z, A61), 0) +
    IFERROR(SUMIFS('Acompanhamento quinzenal'!$AK:$AK, 'Acompanhamento quinzenal'!$AF:$AF, A61), 0)
  ) /
  (
    COUNTIF('Acompanhamento quinzenal'!$N:$N, A61) +
    COUNTIF('Acompanhamento quinzenal'!$T:$T, A61) +
    COUNTIF('Acompanhamento quinzenal'!$Z:$Z, A61) +
    COUNTIF('Acompanhamento quinzenal'!$AF:$AF, A61)
  )
)
</f>
        <v>4.777777778</v>
      </c>
      <c r="W61" s="293">
        <f>IF(
  (
    COUNTIF('Acompanhamento quinzenal'!$N:$N, A61) +
    COUNTIF('Acompanhamento quinzenal'!$T:$T, A61) +
    COUNTIF('Acompanhamento quinzenal'!$Z:$Z, A61) +
    COUNTIF('Acompanhamento quinzenal'!$AF:$AF, A61)
  ) = 0,
  "-",
  (
    IFERROR(SUMIFS('Acompanhamento quinzenal'!$O:$O, 'Acompanhamento quinzenal'!$N:$N, A61), 0) +
    IFERROR(SUMIFS('Acompanhamento quinzenal'!$U:$U, 'Acompanhamento quinzenal'!$T:$T, A61), 0) +
    IFERROR(SUMIFS('Acompanhamento quinzenal'!$AA:$AA, 'Acompanhamento quinzenal'!$Z:$Z, A61), 0) +
    IFERROR(SUMIFS('Acompanhamento quinzenal'!$AG:$AG, 'Acompanhamento quinzenal'!$AF:$AF, A61), 0)
  ) /
  (
    COUNTIF('Acompanhamento quinzenal'!$N:$N, A61) +
    COUNTIF('Acompanhamento quinzenal'!$T:$T, A61) +
    COUNTIF('Acompanhamento quinzenal'!$Z:$Z, A61) +
    COUNTIF('Acompanhamento quinzenal'!$AF:$AF, A61)
  )
)
</f>
        <v>5</v>
      </c>
      <c r="X61" s="294">
        <f>IF(
  (
    COUNTIF('Acompanhamento quinzenal'!$N:$N, A61) +
    COUNTIF('Acompanhamento quinzenal'!$T:$T, A61) +
    COUNTIF('Acompanhamento quinzenal'!$Z:$Z, A61) +
    COUNTIF('Acompanhamento quinzenal'!$AF:$AF, A61)
  ) = 0,
  "-",
  (
    IFERROR(SUMIFS('Acompanhamento quinzenal'!$P:$P, 'Acompanhamento quinzenal'!$N:$N, A61), 0) +
    IFERROR(SUMIFS('Acompanhamento quinzenal'!$V:$V, 'Acompanhamento quinzenal'!$T:$T, A61), 0) +
    IFERROR(SUMIFS('Acompanhamento quinzenal'!$AB:$AB, 'Acompanhamento quinzenal'!$Z:$Z, A61), 0) +
    IFERROR(SUMIFS('Acompanhamento quinzenal'!$AH:$AH, 'Acompanhamento quinzenal'!$AF:$AF, A61), 0)
  ) /
  (
    COUNTIF('Acompanhamento quinzenal'!$N:$N, A61) +
    COUNTIF('Acompanhamento quinzenal'!$T:$T, A61) +
    COUNTIF('Acompanhamento quinzenal'!$Z:$Z, A61) +
    COUNTIF('Acompanhamento quinzenal'!$AF:$AF, A61)
  )
)
</f>
        <v>5</v>
      </c>
      <c r="Y61" s="293">
        <f>IF(
  (
    COUNTIF('Acompanhamento quinzenal'!$N:$N, A61) +
    COUNTIF('Acompanhamento quinzenal'!$T:$T, A61) +
    COUNTIF('Acompanhamento quinzenal'!$Z:$Z, A61) +
    COUNTIF('Acompanhamento quinzenal'!$AF:$AF, A61)
  ) = 0,
  "-",
  (
    IFERROR(SUMIFS('Acompanhamento quinzenal'!$Q:$Q, 'Acompanhamento quinzenal'!$N:$N, A61), 0) +
    IFERROR(SUMIFS('Acompanhamento quinzenal'!$W:$W, 'Acompanhamento quinzenal'!$T:$T, A61), 0) +
    IFERROR(SUMIFS('Acompanhamento quinzenal'!$AC:$AC, 'Acompanhamento quinzenal'!$Z:$Z, A61), 0) +
    IFERROR(SUMIFS('Acompanhamento quinzenal'!$AI:$AI, 'Acompanhamento quinzenal'!$AF:$AF, A61), 0)
  ) /
  (
    COUNTIF('Acompanhamento quinzenal'!$N:$N, A61) +
    COUNTIF('Acompanhamento quinzenal'!$T:$T, A61) +
    COUNTIF('Acompanhamento quinzenal'!$Z:$Z, A61) +
    COUNTIF('Acompanhamento quinzenal'!$AF:$AF, A61)
  )
)
</f>
        <v>4.333333333</v>
      </c>
    </row>
    <row r="62" hidden="1">
      <c r="A62" s="291" t="str">
        <f>IFERROR(__xludf.DUMMYFUNCTION("""COMPUTED_VALUE"""),"giovana.mattos")</f>
        <v>giovana.mattos</v>
      </c>
      <c r="B62" s="120" t="str">
        <f>IFERROR(__xludf.DUMMYFUNCTION("""COMPUTED_VALUE"""),"Consultor")</f>
        <v>Consultor</v>
      </c>
      <c r="C62" s="120" t="str">
        <f>IFERROR(__xludf.DUMMYFUNCTION("""COMPUTED_VALUE"""),"NCiv")</f>
        <v>NCiv</v>
      </c>
      <c r="D62" s="292" t="str">
        <f>IFERROR((COUNTIFS(Base!$V:$V,A62,Base!$S:$S,"&gt;8") - COUNTIFS(Base!$V:$V,A62,Base!$S:$S,"&lt;7"))/COUNTIFS(Base!$V:$V,A62,Base!$S:$S,"&lt;&gt;"),"-")</f>
        <v>-</v>
      </c>
      <c r="E62" s="292">
        <f>IF(
  (
    COUNTIFS(Base!$W:$W, A62, Base!$S:$S, "&lt;&gt;") +
    COUNTIFS(Base!$X:$X, A62, Base!$S:$S, "&lt;&gt;") +
    COUNTIFS(Base!$Y:$Y, A62, Base!$S:$S, "&lt;&gt;") +
    COUNTIFS(Base!$Z:$Z, A62, Base!$S:$S, "&lt;&gt;")
  ) = 0,
  "-",
  (
    COUNTIFS(Base!$W:$W, A62, Base!$S:$S, "&gt;8") - COUNTIFS(Base!$W:$W, A62, Base!$S:$S, "&lt;7") +
    COUNTIFS(Base!$X:$X, A62, Base!$S:$S, "&gt;8") - COUNTIFS(Base!$X:$X, A62, Base!$S:$S, "&lt;7") +
    COUNTIFS(Base!$Y:$Y, A62, Base!$S:$S, "&gt;8") - COUNTIFS(Base!$Y:$Y, A62, Base!$S:$S, "&lt;7") +
    COUNTIFS(Base!$Z:$Z, A62, Base!$S:$S, "&gt;8") - COUNTIFS(Base!$Z:$Z, A62, Base!$S:$S, "&lt;7")
  ) /
  (
    COUNTIFS(Base!$W:$W, A62, Base!$S:$S, "&lt;&gt;") +
    COUNTIFS(Base!$X:$X, A62, Base!$S:$S, "&lt;&gt;") +
    COUNTIFS(Base!$Y:$Y, A62, Base!$S:$S, "&lt;&gt;") +
    COUNTIFS(Base!$Z:$Z, A62, Base!$S:$S, "&lt;&gt;")
  )
)
</f>
        <v>1</v>
      </c>
      <c r="F62" s="290">
        <f>SUMIFS(Base!$N:$N,Base!$V:$V,A62,Base!$N:$N,"&lt;&gt;")-SUMIFS(Base!$K:$K,Base!$V:$V,A62,Base!$N:$N,"&lt;&gt;")-(SUMIFS(Base!$L:$L,Base!$V:$V,A62,Base!$N:$N,"&lt;&gt;")*7)</f>
        <v>0</v>
      </c>
      <c r="G62" s="290"/>
      <c r="H62" s="290">
        <f>SUMIFS(Base!$F:$F,Base!$V:$V,A62,Base!$N:$N,"&lt;&gt;")*7</f>
        <v>0</v>
      </c>
      <c r="I62" s="290"/>
      <c r="J62" s="292" t="str">
        <f t="shared" ref="J62:K62" si="63">IFERROR(F62/H62,"-")</f>
        <v>-</v>
      </c>
      <c r="K62" s="292" t="str">
        <f t="shared" si="63"/>
        <v>-</v>
      </c>
      <c r="L62" s="292" t="str">
        <f>IFERROR((COUNTIFS(Base!$V:$V,A62,Base!$U:$U,TRUE))/(COUNTIFS(Base!$V:$V,A62,Base!$O:$O,"Finalizado")+COUNTIFS(Base!$V:$V,A62,Base!$O:$O,"Concluído")),"-")</f>
        <v>-</v>
      </c>
      <c r="M62" s="292">
        <f>IF(
  (
    IFERROR(COUNTIF(Base!$W:$W, A62), 0) +
    IFERROR(COUNTIF(Base!$X:$X, A62), 0) +
    IFERROR(COUNTIF(Base!$Y:$Y, A62), 0) +
    IFERROR(COUNTIF(Base!$Z:$Z, A62), 0)
  ) = 0,
  "-",
  IF(
    (
      IFERROR(COUNTIFS(Base!$W:$W, A62, Base!$O:$O, "Finalizado"), 0) +
      IFERROR(COUNTIFS(Base!$W:$W, A62, Base!$O:$O, "Concluído"), 0) +
      IFERROR(COUNTIFS(Base!$X:$X, A62, Base!$O:$O, "Finalizado"), 0) +
      IFERROR(COUNTIFS(Base!$X:$X, A62, Base!$O:$O, "Concluído"), 0) +
      IFERROR(COUNTIFS(Base!$Y:$Y, A62, Base!$O:$O, "Finalizado"), 0) +
      IFERROR(COUNTIFS(Base!$Y:$Y, A62, Base!$O:$O, "Concluído"), 0) +
      IFERROR(COUNTIFS(Base!$Z:$Z, A62, Base!$O:$O, "Finalizado"), 0) +
      IFERROR(COUNTIFS(Base!$Z:$Z, A62, Base!$O:$O, "Concluído"), 0)
    ) = 0,
    "-",
    (
      IFERROR(COUNTIFS(Base!$W:$W, A62, Base!$U:$U, TRUE), 0) +
      IFERROR(COUNTIFS(Base!$X:$X, A62, Base!$U:$U, TRUE), 0) +
      IFERROR(COUNTIFS(Base!$Y:$Y, A62, Base!$U:$U, TRUE), 0) +
      IFERROR(COUNTIFS(Base!$Z:$Z, A62, Base!$U:$U, TRUE), 0)
    ) /
    (
      IFERROR(COUNTIFS(Base!$W:$W, A62, Base!$O:$O, "Finalizado"), 0) +
      IFERROR(COUNTIFS(Base!$W:$W, A62, Base!$O:$O, "Concluído"), 0) +
      IFERROR(COUNTIFS(Base!$X:$X, A62, Base!$O:$O, "Finalizado"), 0) +
      IFERROR(COUNTIFS(Base!$X:$X, A62, Base!$O:$O, "Concluído"), 0) +
      IFERROR(COUNTIFS(Base!$Y:$Y, A62, Base!$O:$O, "Finalizado"), 0) +
      IFERROR(COUNTIFS(Base!$Y:$Y, A62, Base!$O:$O, "Concluído"), 0) +
      IFERROR(COUNTIFS(Base!$Z:$Z, A62, Base!$O:$O, "Finalizado"), 0) +
      IFERROR(COUNTIFS(Base!$Z:$Z, A62, Base!$O:$O, "Concluído"), 0)
    )
  )
)
</f>
        <v>1</v>
      </c>
      <c r="N62" s="120">
        <f>COUNTIF(Base!V:V,$A62)</f>
        <v>0</v>
      </c>
      <c r="O62" s="120">
        <f>COUNTIF(Base!W:W,$A62)</f>
        <v>1</v>
      </c>
      <c r="P62" s="120">
        <f>COUNTIF(Base!X:X,$A62)</f>
        <v>0</v>
      </c>
      <c r="Q62" s="120">
        <f>COUNTIF(Base!Y:Y,$A62)</f>
        <v>0</v>
      </c>
      <c r="R62" s="120">
        <f>COUNTIF(Base!Z:Z,$A62)</f>
        <v>0</v>
      </c>
      <c r="S62" s="120">
        <f t="shared" si="3"/>
        <v>1</v>
      </c>
      <c r="T62" s="120">
        <f t="shared" si="4"/>
        <v>1</v>
      </c>
      <c r="V62" s="293">
        <f>IF(
  (
    COUNTIF('Acompanhamento quinzenal'!$N:$N, A62) +
    COUNTIF('Acompanhamento quinzenal'!$T:$T, A62) +
    COUNTIF('Acompanhamento quinzenal'!$Z:$Z, A62) +
    COUNTIF('Acompanhamento quinzenal'!$AF:$AF, A62)
  ) = 0,
  "-",
  (
    IFERROR(SUMIFS('Acompanhamento quinzenal'!$S:$S, 'Acompanhamento quinzenal'!$N:$N, A62), 0) +
    IFERROR(SUMIFS('Acompanhamento quinzenal'!$Y:$Y, 'Acompanhamento quinzenal'!$T:$T, A62), 0) +
    IFERROR(SUMIFS('Acompanhamento quinzenal'!$AE:$AE, 'Acompanhamento quinzenal'!$Z:$Z, A62), 0) +
    IFERROR(SUMIFS('Acompanhamento quinzenal'!$AK:$AK, 'Acompanhamento quinzenal'!$AF:$AF, A62), 0)
  ) /
  (
    COUNTIF('Acompanhamento quinzenal'!$N:$N, A62) +
    COUNTIF('Acompanhamento quinzenal'!$T:$T, A62) +
    COUNTIF('Acompanhamento quinzenal'!$Z:$Z, A62) +
    COUNTIF('Acompanhamento quinzenal'!$AF:$AF, A62)
  )
)
</f>
        <v>0</v>
      </c>
      <c r="W62" s="293">
        <f>IF(
  (
    COUNTIF('Acompanhamento quinzenal'!$N:$N, A62) +
    COUNTIF('Acompanhamento quinzenal'!$T:$T, A62) +
    COUNTIF('Acompanhamento quinzenal'!$Z:$Z, A62) +
    COUNTIF('Acompanhamento quinzenal'!$AF:$AF, A62)
  ) = 0,
  "-",
  (
    IFERROR(SUMIFS('Acompanhamento quinzenal'!$O:$O, 'Acompanhamento quinzenal'!$N:$N, A62), 0) +
    IFERROR(SUMIFS('Acompanhamento quinzenal'!$U:$U, 'Acompanhamento quinzenal'!$T:$T, A62), 0) +
    IFERROR(SUMIFS('Acompanhamento quinzenal'!$AA:$AA, 'Acompanhamento quinzenal'!$Z:$Z, A62), 0) +
    IFERROR(SUMIFS('Acompanhamento quinzenal'!$AG:$AG, 'Acompanhamento quinzenal'!$AF:$AF, A62), 0)
  ) /
  (
    COUNTIF('Acompanhamento quinzenal'!$N:$N, A62) +
    COUNTIF('Acompanhamento quinzenal'!$T:$T, A62) +
    COUNTIF('Acompanhamento quinzenal'!$Z:$Z, A62) +
    COUNTIF('Acompanhamento quinzenal'!$AF:$AF, A62)
  )
)
</f>
        <v>3</v>
      </c>
      <c r="X62" s="294">
        <f>IF(
  (
    COUNTIF('Acompanhamento quinzenal'!$N:$N, A62) +
    COUNTIF('Acompanhamento quinzenal'!$T:$T, A62) +
    COUNTIF('Acompanhamento quinzenal'!$Z:$Z, A62) +
    COUNTIF('Acompanhamento quinzenal'!$AF:$AF, A62)
  ) = 0,
  "-",
  (
    IFERROR(SUMIFS('Acompanhamento quinzenal'!$P:$P, 'Acompanhamento quinzenal'!$N:$N, A62), 0) +
    IFERROR(SUMIFS('Acompanhamento quinzenal'!$V:$V, 'Acompanhamento quinzenal'!$T:$T, A62), 0) +
    IFERROR(SUMIFS('Acompanhamento quinzenal'!$AB:$AB, 'Acompanhamento quinzenal'!$Z:$Z, A62), 0) +
    IFERROR(SUMIFS('Acompanhamento quinzenal'!$AH:$AH, 'Acompanhamento quinzenal'!$AF:$AF, A62), 0)
  ) /
  (
    COUNTIF('Acompanhamento quinzenal'!$N:$N, A62) +
    COUNTIF('Acompanhamento quinzenal'!$T:$T, A62) +
    COUNTIF('Acompanhamento quinzenal'!$Z:$Z, A62) +
    COUNTIF('Acompanhamento quinzenal'!$AF:$AF, A62)
  )
)
</f>
        <v>2</v>
      </c>
      <c r="Y62" s="293">
        <f>IF(
  (
    COUNTIF('Acompanhamento quinzenal'!$N:$N, A62) +
    COUNTIF('Acompanhamento quinzenal'!$T:$T, A62) +
    COUNTIF('Acompanhamento quinzenal'!$Z:$Z, A62) +
    COUNTIF('Acompanhamento quinzenal'!$AF:$AF, A62)
  ) = 0,
  "-",
  (
    IFERROR(SUMIFS('Acompanhamento quinzenal'!$Q:$Q, 'Acompanhamento quinzenal'!$N:$N, A62), 0) +
    IFERROR(SUMIFS('Acompanhamento quinzenal'!$W:$W, 'Acompanhamento quinzenal'!$T:$T, A62), 0) +
    IFERROR(SUMIFS('Acompanhamento quinzenal'!$AC:$AC, 'Acompanhamento quinzenal'!$Z:$Z, A62), 0) +
    IFERROR(SUMIFS('Acompanhamento quinzenal'!$AI:$AI, 'Acompanhamento quinzenal'!$AF:$AF, A62), 0)
  ) /
  (
    COUNTIF('Acompanhamento quinzenal'!$N:$N, A62) +
    COUNTIF('Acompanhamento quinzenal'!$T:$T, A62) +
    COUNTIF('Acompanhamento quinzenal'!$Z:$Z, A62) +
    COUNTIF('Acompanhamento quinzenal'!$AF:$AF, A62)
  )
)
</f>
        <v>3</v>
      </c>
    </row>
    <row r="63">
      <c r="A63" s="291" t="str">
        <f>IFERROR(__xludf.DUMMYFUNCTION("""COMPUTED_VALUE"""),"giovane.azevedo")</f>
        <v>giovane.azevedo</v>
      </c>
      <c r="B63" s="120" t="str">
        <f>IFERROR(__xludf.DUMMYFUNCTION("""COMPUTED_VALUE"""),"Consultor")</f>
        <v>Consultor</v>
      </c>
      <c r="C63" s="120" t="str">
        <f>IFERROR(__xludf.DUMMYFUNCTION("""COMPUTED_VALUE"""),"NDados")</f>
        <v>NDados</v>
      </c>
      <c r="D63" s="292">
        <f>IFERROR((COUNTIFS(Base!$V:$V,A63,Base!$S:$S,"&gt;8") - COUNTIFS(Base!$V:$V,A63,Base!$S:$S,"&lt;7"))/COUNTIFS(Base!$V:$V,A63,Base!$S:$S,"&lt;&gt;"),"-")</f>
        <v>1</v>
      </c>
      <c r="E63" s="292" t="str">
        <f>IF(
  (
    COUNTIFS(Base!$W:$W, A63, Base!$S:$S, "&lt;&gt;") +
    COUNTIFS(Base!$X:$X, A63, Base!$S:$S, "&lt;&gt;") +
    COUNTIFS(Base!$Y:$Y, A63, Base!$S:$S, "&lt;&gt;") +
    COUNTIFS(Base!$Z:$Z, A63, Base!$S:$S, "&lt;&gt;")
  ) = 0,
  "-",
  (
    COUNTIFS(Base!$W:$W, A63, Base!$S:$S, "&gt;8") - COUNTIFS(Base!$W:$W, A63, Base!$S:$S, "&lt;7") +
    COUNTIFS(Base!$X:$X, A63, Base!$S:$S, "&gt;8") - COUNTIFS(Base!$X:$X, A63, Base!$S:$S, "&lt;7") +
    COUNTIFS(Base!$Y:$Y, A63, Base!$S:$S, "&gt;8") - COUNTIFS(Base!$Y:$Y, A63, Base!$S:$S, "&lt;7") +
    COUNTIFS(Base!$Z:$Z, A63, Base!$S:$S, "&gt;8") - COUNTIFS(Base!$Z:$Z, A63, Base!$S:$S, "&lt;7")
  ) /
  (
    COUNTIFS(Base!$W:$W, A63, Base!$S:$S, "&lt;&gt;") +
    COUNTIFS(Base!$X:$X, A63, Base!$S:$S, "&lt;&gt;") +
    COUNTIFS(Base!$Y:$Y, A63, Base!$S:$S, "&lt;&gt;") +
    COUNTIFS(Base!$Z:$Z, A63, Base!$S:$S, "&lt;&gt;")
  )
)
</f>
        <v>-</v>
      </c>
      <c r="F63" s="290">
        <f>SUMIFS(Base!$N:$N,Base!$V:$V,A63,Base!$N:$N,"&lt;&gt;")-SUMIFS(Base!$K:$K,Base!$V:$V,A63,Base!$N:$N,"&lt;&gt;")-(SUMIFS(Base!$L:$L,Base!$V:$V,A63,Base!$N:$N,"&lt;&gt;")*7)</f>
        <v>35</v>
      </c>
      <c r="G63" s="290"/>
      <c r="H63" s="290">
        <f>SUMIFS(Base!$F:$F,Base!$V:$V,A63,Base!$N:$N,"&lt;&gt;")*7</f>
        <v>35</v>
      </c>
      <c r="I63" s="290"/>
      <c r="J63" s="292">
        <f t="shared" ref="J63:K63" si="64">IFERROR(F63/H63,"-")</f>
        <v>1</v>
      </c>
      <c r="K63" s="292" t="str">
        <f t="shared" si="64"/>
        <v>-</v>
      </c>
      <c r="L63" s="292">
        <f>IFERROR((COUNTIFS(Base!$V:$V,A63,Base!$U:$U,TRUE))/(COUNTIFS(Base!$V:$V,A63,Base!$O:$O,"Finalizado")+COUNTIFS(Base!$V:$V,A63,Base!$O:$O,"Concluído")),"-")</f>
        <v>1</v>
      </c>
      <c r="M63" s="292">
        <f>IF(
  (
    IFERROR(COUNTIF(Base!$W:$W, A63), 0) +
    IFERROR(COUNTIF(Base!$X:$X, A63), 0) +
    IFERROR(COUNTIF(Base!$Y:$Y, A63), 0) +
    IFERROR(COUNTIF(Base!$Z:$Z, A63), 0)
  ) = 0,
  "-",
  IF(
    (
      IFERROR(COUNTIFS(Base!$W:$W, A63, Base!$O:$O, "Finalizado"), 0) +
      IFERROR(COUNTIFS(Base!$W:$W, A63, Base!$O:$O, "Concluído"), 0) +
      IFERROR(COUNTIFS(Base!$X:$X, A63, Base!$O:$O, "Finalizado"), 0) +
      IFERROR(COUNTIFS(Base!$X:$X, A63, Base!$O:$O, "Concluído"), 0) +
      IFERROR(COUNTIFS(Base!$Y:$Y, A63, Base!$O:$O, "Finalizado"), 0) +
      IFERROR(COUNTIFS(Base!$Y:$Y, A63, Base!$O:$O, "Concluído"), 0) +
      IFERROR(COUNTIFS(Base!$Z:$Z, A63, Base!$O:$O, "Finalizado"), 0) +
      IFERROR(COUNTIFS(Base!$Z:$Z, A63, Base!$O:$O, "Concluído"), 0)
    ) = 0,
    "-",
    (
      IFERROR(COUNTIFS(Base!$W:$W, A63, Base!$U:$U, TRUE), 0) +
      IFERROR(COUNTIFS(Base!$X:$X, A63, Base!$U:$U, TRUE), 0) +
      IFERROR(COUNTIFS(Base!$Y:$Y, A63, Base!$U:$U, TRUE), 0) +
      IFERROR(COUNTIFS(Base!$Z:$Z, A63, Base!$U:$U, TRUE), 0)
    ) /
    (
      IFERROR(COUNTIFS(Base!$W:$W, A63, Base!$O:$O, "Finalizado"), 0) +
      IFERROR(COUNTIFS(Base!$W:$W, A63, Base!$O:$O, "Concluído"), 0) +
      IFERROR(COUNTIFS(Base!$X:$X, A63, Base!$O:$O, "Finalizado"), 0) +
      IFERROR(COUNTIFS(Base!$X:$X, A63, Base!$O:$O, "Concluído"), 0) +
      IFERROR(COUNTIFS(Base!$Y:$Y, A63, Base!$O:$O, "Finalizado"), 0) +
      IFERROR(COUNTIFS(Base!$Y:$Y, A63, Base!$O:$O, "Concluído"), 0) +
      IFERROR(COUNTIFS(Base!$Z:$Z, A63, Base!$O:$O, "Finalizado"), 0) +
      IFERROR(COUNTIFS(Base!$Z:$Z, A63, Base!$O:$O, "Concluído"), 0)
    )
  )
)
</f>
        <v>0</v>
      </c>
      <c r="N63" s="120">
        <f>COUNTIF(Base!V:V,$A63)</f>
        <v>5</v>
      </c>
      <c r="O63" s="120">
        <f>COUNTIF(Base!W:W,$A63)</f>
        <v>4</v>
      </c>
      <c r="P63" s="120">
        <f>COUNTIF(Base!X:X,$A63)</f>
        <v>0</v>
      </c>
      <c r="Q63" s="120">
        <f>COUNTIF(Base!Y:Y,$A63)</f>
        <v>0</v>
      </c>
      <c r="R63" s="120">
        <f>COUNTIF(Base!Z:Z,$A63)</f>
        <v>0</v>
      </c>
      <c r="S63" s="120">
        <f t="shared" si="3"/>
        <v>9</v>
      </c>
      <c r="T63" s="120">
        <f t="shared" si="4"/>
        <v>4</v>
      </c>
      <c r="V63" s="293">
        <f>IF(
  (
    COUNTIF('Acompanhamento quinzenal'!$N:$N, A63) +
    COUNTIF('Acompanhamento quinzenal'!$T:$T, A63) +
    COUNTIF('Acompanhamento quinzenal'!$Z:$Z, A63) +
    COUNTIF('Acompanhamento quinzenal'!$AF:$AF, A63)
  ) = 0,
  "-",
  (
    IFERROR(SUMIFS('Acompanhamento quinzenal'!$S:$S, 'Acompanhamento quinzenal'!$N:$N, A63), 0) +
    IFERROR(SUMIFS('Acompanhamento quinzenal'!$Y:$Y, 'Acompanhamento quinzenal'!$T:$T, A63), 0) +
    IFERROR(SUMIFS('Acompanhamento quinzenal'!$AE:$AE, 'Acompanhamento quinzenal'!$Z:$Z, A63), 0) +
    IFERROR(SUMIFS('Acompanhamento quinzenal'!$AK:$AK, 'Acompanhamento quinzenal'!$AF:$AF, A63), 0)
  ) /
  (
    COUNTIF('Acompanhamento quinzenal'!$N:$N, A63) +
    COUNTIF('Acompanhamento quinzenal'!$T:$T, A63) +
    COUNTIF('Acompanhamento quinzenal'!$Z:$Z, A63) +
    COUNTIF('Acompanhamento quinzenal'!$AF:$AF, A63)
  )
)
</f>
        <v>3</v>
      </c>
      <c r="W63" s="293">
        <f>IF(
  (
    COUNTIF('Acompanhamento quinzenal'!$N:$N, A63) +
    COUNTIF('Acompanhamento quinzenal'!$T:$T, A63) +
    COUNTIF('Acompanhamento quinzenal'!$Z:$Z, A63) +
    COUNTIF('Acompanhamento quinzenal'!$AF:$AF, A63)
  ) = 0,
  "-",
  (
    IFERROR(SUMIFS('Acompanhamento quinzenal'!$O:$O, 'Acompanhamento quinzenal'!$N:$N, A63), 0) +
    IFERROR(SUMIFS('Acompanhamento quinzenal'!$U:$U, 'Acompanhamento quinzenal'!$T:$T, A63), 0) +
    IFERROR(SUMIFS('Acompanhamento quinzenal'!$AA:$AA, 'Acompanhamento quinzenal'!$Z:$Z, A63), 0) +
    IFERROR(SUMIFS('Acompanhamento quinzenal'!$AG:$AG, 'Acompanhamento quinzenal'!$AF:$AF, A63), 0)
  ) /
  (
    COUNTIF('Acompanhamento quinzenal'!$N:$N, A63) +
    COUNTIF('Acompanhamento quinzenal'!$T:$T, A63) +
    COUNTIF('Acompanhamento quinzenal'!$Z:$Z, A63) +
    COUNTIF('Acompanhamento quinzenal'!$AF:$AF, A63)
  )
)
</f>
        <v>3</v>
      </c>
      <c r="X63" s="294">
        <f>IF(
  (
    COUNTIF('Acompanhamento quinzenal'!$N:$N, A63) +
    COUNTIF('Acompanhamento quinzenal'!$T:$T, A63) +
    COUNTIF('Acompanhamento quinzenal'!$Z:$Z, A63) +
    COUNTIF('Acompanhamento quinzenal'!$AF:$AF, A63)
  ) = 0,
  "-",
  (
    IFERROR(SUMIFS('Acompanhamento quinzenal'!$P:$P, 'Acompanhamento quinzenal'!$N:$N, A63), 0) +
    IFERROR(SUMIFS('Acompanhamento quinzenal'!$V:$V, 'Acompanhamento quinzenal'!$T:$T, A63), 0) +
    IFERROR(SUMIFS('Acompanhamento quinzenal'!$AB:$AB, 'Acompanhamento quinzenal'!$Z:$Z, A63), 0) +
    IFERROR(SUMIFS('Acompanhamento quinzenal'!$AH:$AH, 'Acompanhamento quinzenal'!$AF:$AF, A63), 0)
  ) /
  (
    COUNTIF('Acompanhamento quinzenal'!$N:$N, A63) +
    COUNTIF('Acompanhamento quinzenal'!$T:$T, A63) +
    COUNTIF('Acompanhamento quinzenal'!$Z:$Z, A63) +
    COUNTIF('Acompanhamento quinzenal'!$AF:$AF, A63)
  )
)
</f>
        <v>3</v>
      </c>
      <c r="Y63" s="293">
        <f>IF(
  (
    COUNTIF('Acompanhamento quinzenal'!$N:$N, A63) +
    COUNTIF('Acompanhamento quinzenal'!$T:$T, A63) +
    COUNTIF('Acompanhamento quinzenal'!$Z:$Z, A63) +
    COUNTIF('Acompanhamento quinzenal'!$AF:$AF, A63)
  ) = 0,
  "-",
  (
    IFERROR(SUMIFS('Acompanhamento quinzenal'!$Q:$Q, 'Acompanhamento quinzenal'!$N:$N, A63), 0) +
    IFERROR(SUMIFS('Acompanhamento quinzenal'!$W:$W, 'Acompanhamento quinzenal'!$T:$T, A63), 0) +
    IFERROR(SUMIFS('Acompanhamento quinzenal'!$AC:$AC, 'Acompanhamento quinzenal'!$Z:$Z, A63), 0) +
    IFERROR(SUMIFS('Acompanhamento quinzenal'!$AI:$AI, 'Acompanhamento quinzenal'!$AF:$AF, A63), 0)
  ) /
  (
    COUNTIF('Acompanhamento quinzenal'!$N:$N, A63) +
    COUNTIF('Acompanhamento quinzenal'!$T:$T, A63) +
    COUNTIF('Acompanhamento quinzenal'!$Z:$Z, A63) +
    COUNTIF('Acompanhamento quinzenal'!$AF:$AF, A63)
  )
)
</f>
        <v>3</v>
      </c>
    </row>
    <row r="64" hidden="1">
      <c r="A64" s="291" t="str">
        <f>IFERROR(__xludf.DUMMYFUNCTION("""COMPUTED_VALUE"""),"guilherme.jacule")</f>
        <v>guilherme.jacule</v>
      </c>
      <c r="B64" s="120" t="str">
        <f>IFERROR(__xludf.DUMMYFUNCTION("""COMPUTED_VALUE"""),"Consultor")</f>
        <v>Consultor</v>
      </c>
      <c r="C64" s="120" t="str">
        <f>IFERROR(__xludf.DUMMYFUNCTION("""COMPUTED_VALUE"""),"NTec")</f>
        <v>NTec</v>
      </c>
      <c r="D64" s="292" t="str">
        <f>IFERROR((COUNTIFS(Base!$V:$V,A64,Base!$S:$S,"&gt;8") - COUNTIFS(Base!$V:$V,A64,Base!$S:$S,"&lt;7"))/COUNTIFS(Base!$V:$V,A64,Base!$S:$S,"&lt;&gt;"),"-")</f>
        <v>-</v>
      </c>
      <c r="E64" s="292">
        <f>IF(
  (
    COUNTIFS(Base!$W:$W, A64, Base!$S:$S, "&lt;&gt;") +
    COUNTIFS(Base!$X:$X, A64, Base!$S:$S, "&lt;&gt;") +
    COUNTIFS(Base!$Y:$Y, A64, Base!$S:$S, "&lt;&gt;") +
    COUNTIFS(Base!$Z:$Z, A64, Base!$S:$S, "&lt;&gt;")
  ) = 0,
  "-",
  (
    COUNTIFS(Base!$W:$W, A64, Base!$S:$S, "&gt;8") - COUNTIFS(Base!$W:$W, A64, Base!$S:$S, "&lt;7") +
    COUNTIFS(Base!$X:$X, A64, Base!$S:$S, "&gt;8") - COUNTIFS(Base!$X:$X, A64, Base!$S:$S, "&lt;7") +
    COUNTIFS(Base!$Y:$Y, A64, Base!$S:$S, "&gt;8") - COUNTIFS(Base!$Y:$Y, A64, Base!$S:$S, "&lt;7") +
    COUNTIFS(Base!$Z:$Z, A64, Base!$S:$S, "&gt;8") - COUNTIFS(Base!$Z:$Z, A64, Base!$S:$S, "&lt;7")
  ) /
  (
    COUNTIFS(Base!$W:$W, A64, Base!$S:$S, "&lt;&gt;") +
    COUNTIFS(Base!$X:$X, A64, Base!$S:$S, "&lt;&gt;") +
    COUNTIFS(Base!$Y:$Y, A64, Base!$S:$S, "&lt;&gt;") +
    COUNTIFS(Base!$Z:$Z, A64, Base!$S:$S, "&lt;&gt;")
  )
)
</f>
        <v>0</v>
      </c>
      <c r="F64" s="290">
        <f>SUMIFS(Base!$N:$N,Base!$V:$V,A64,Base!$N:$N,"&lt;&gt;")-SUMIFS(Base!$K:$K,Base!$V:$V,A64,Base!$N:$N,"&lt;&gt;")-(SUMIFS(Base!$L:$L,Base!$V:$V,A64,Base!$N:$N,"&lt;&gt;")*7)</f>
        <v>0</v>
      </c>
      <c r="G64" s="290"/>
      <c r="H64" s="290">
        <f>SUMIFS(Base!$F:$F,Base!$V:$V,A64,Base!$N:$N,"&lt;&gt;")*7</f>
        <v>0</v>
      </c>
      <c r="I64" s="290"/>
      <c r="J64" s="292" t="str">
        <f t="shared" ref="J64:K64" si="65">IFERROR(F64/H64,"-")</f>
        <v>-</v>
      </c>
      <c r="K64" s="292" t="str">
        <f t="shared" si="65"/>
        <v>-</v>
      </c>
      <c r="L64" s="292" t="str">
        <f>IFERROR((COUNTIFS(Base!$V:$V,A64,Base!$U:$U,TRUE))/(COUNTIFS(Base!$V:$V,A64,Base!$O:$O,"Finalizado")+COUNTIFS(Base!$V:$V,A64,Base!$O:$O,"Concluído")),"-")</f>
        <v>-</v>
      </c>
      <c r="M64" s="292">
        <f>IF(
  (
    IFERROR(COUNTIF(Base!$W:$W, A64), 0) +
    IFERROR(COUNTIF(Base!$X:$X, A64), 0) +
    IFERROR(COUNTIF(Base!$Y:$Y, A64), 0) +
    IFERROR(COUNTIF(Base!$Z:$Z, A64), 0)
  ) = 0,
  "-",
  IF(
    (
      IFERROR(COUNTIFS(Base!$W:$W, A64, Base!$O:$O, "Finalizado"), 0) +
      IFERROR(COUNTIFS(Base!$W:$W, A64, Base!$O:$O, "Concluído"), 0) +
      IFERROR(COUNTIFS(Base!$X:$X, A64, Base!$O:$O, "Finalizado"), 0) +
      IFERROR(COUNTIFS(Base!$X:$X, A64, Base!$O:$O, "Concluído"), 0) +
      IFERROR(COUNTIFS(Base!$Y:$Y, A64, Base!$O:$O, "Finalizado"), 0) +
      IFERROR(COUNTIFS(Base!$Y:$Y, A64, Base!$O:$O, "Concluído"), 0) +
      IFERROR(COUNTIFS(Base!$Z:$Z, A64, Base!$O:$O, "Finalizado"), 0) +
      IFERROR(COUNTIFS(Base!$Z:$Z, A64, Base!$O:$O, "Concluído"), 0)
    ) = 0,
    "-",
    (
      IFERROR(COUNTIFS(Base!$W:$W, A64, Base!$U:$U, TRUE), 0) +
      IFERROR(COUNTIFS(Base!$X:$X, A64, Base!$U:$U, TRUE), 0) +
      IFERROR(COUNTIFS(Base!$Y:$Y, A64, Base!$U:$U, TRUE), 0) +
      IFERROR(COUNTIFS(Base!$Z:$Z, A64, Base!$U:$U, TRUE), 0)
    ) /
    (
      IFERROR(COUNTIFS(Base!$W:$W, A64, Base!$O:$O, "Finalizado"), 0) +
      IFERROR(COUNTIFS(Base!$W:$W, A64, Base!$O:$O, "Concluído"), 0) +
      IFERROR(COUNTIFS(Base!$X:$X, A64, Base!$O:$O, "Finalizado"), 0) +
      IFERROR(COUNTIFS(Base!$X:$X, A64, Base!$O:$O, "Concluído"), 0) +
      IFERROR(COUNTIFS(Base!$Y:$Y, A64, Base!$O:$O, "Finalizado"), 0) +
      IFERROR(COUNTIFS(Base!$Y:$Y, A64, Base!$O:$O, "Concluído"), 0) +
      IFERROR(COUNTIFS(Base!$Z:$Z, A64, Base!$O:$O, "Finalizado"), 0) +
      IFERROR(COUNTIFS(Base!$Z:$Z, A64, Base!$O:$O, "Concluído"), 0)
    )
  )
)
</f>
        <v>0</v>
      </c>
      <c r="N64" s="120">
        <f>COUNTIF(Base!V:V,$A64)</f>
        <v>2</v>
      </c>
      <c r="O64" s="120">
        <f>COUNTIF(Base!W:W,$A64)</f>
        <v>5</v>
      </c>
      <c r="P64" s="120">
        <f>COUNTIF(Base!X:X,$A64)</f>
        <v>0</v>
      </c>
      <c r="Q64" s="120">
        <f>COUNTIF(Base!Y:Y,$A64)</f>
        <v>0</v>
      </c>
      <c r="R64" s="120">
        <f>COUNTIF(Base!Z:Z,$A64)</f>
        <v>0</v>
      </c>
      <c r="S64" s="120">
        <f t="shared" si="3"/>
        <v>7</v>
      </c>
      <c r="T64" s="120">
        <f t="shared" si="4"/>
        <v>5</v>
      </c>
      <c r="V64" s="293">
        <f>IF(
  (
    COUNTIF('Acompanhamento quinzenal'!$N:$N, A64) +
    COUNTIF('Acompanhamento quinzenal'!$T:$T, A64) +
    COUNTIF('Acompanhamento quinzenal'!$Z:$Z, A64) +
    COUNTIF('Acompanhamento quinzenal'!$AF:$AF, A64)
  ) = 0,
  "-",
  (
    IFERROR(SUMIFS('Acompanhamento quinzenal'!$S:$S, 'Acompanhamento quinzenal'!$N:$N, A64), 0) +
    IFERROR(SUMIFS('Acompanhamento quinzenal'!$Y:$Y, 'Acompanhamento quinzenal'!$T:$T, A64), 0) +
    IFERROR(SUMIFS('Acompanhamento quinzenal'!$AE:$AE, 'Acompanhamento quinzenal'!$Z:$Z, A64), 0) +
    IFERROR(SUMIFS('Acompanhamento quinzenal'!$AK:$AK, 'Acompanhamento quinzenal'!$AF:$AF, A64), 0)
  ) /
  (
    COUNTIF('Acompanhamento quinzenal'!$N:$N, A64) +
    COUNTIF('Acompanhamento quinzenal'!$T:$T, A64) +
    COUNTIF('Acompanhamento quinzenal'!$Z:$Z, A64) +
    COUNTIF('Acompanhamento quinzenal'!$AF:$AF, A64)
  )
)
</f>
        <v>3.555555556</v>
      </c>
      <c r="W64" s="293">
        <f>IF(
  (
    COUNTIF('Acompanhamento quinzenal'!$N:$N, A64) +
    COUNTIF('Acompanhamento quinzenal'!$T:$T, A64) +
    COUNTIF('Acompanhamento quinzenal'!$Z:$Z, A64) +
    COUNTIF('Acompanhamento quinzenal'!$AF:$AF, A64)
  ) = 0,
  "-",
  (
    IFERROR(SUMIFS('Acompanhamento quinzenal'!$O:$O, 'Acompanhamento quinzenal'!$N:$N, A64), 0) +
    IFERROR(SUMIFS('Acompanhamento quinzenal'!$U:$U, 'Acompanhamento quinzenal'!$T:$T, A64), 0) +
    IFERROR(SUMIFS('Acompanhamento quinzenal'!$AA:$AA, 'Acompanhamento quinzenal'!$Z:$Z, A64), 0) +
    IFERROR(SUMIFS('Acompanhamento quinzenal'!$AG:$AG, 'Acompanhamento quinzenal'!$AF:$AF, A64), 0)
  ) /
  (
    COUNTIF('Acompanhamento quinzenal'!$N:$N, A64) +
    COUNTIF('Acompanhamento quinzenal'!$T:$T, A64) +
    COUNTIF('Acompanhamento quinzenal'!$Z:$Z, A64) +
    COUNTIF('Acompanhamento quinzenal'!$AF:$AF, A64)
  )
)
</f>
        <v>4.333333333</v>
      </c>
      <c r="X64" s="294">
        <f>IF(
  (
    COUNTIF('Acompanhamento quinzenal'!$N:$N, A64) +
    COUNTIF('Acompanhamento quinzenal'!$T:$T, A64) +
    COUNTIF('Acompanhamento quinzenal'!$Z:$Z, A64) +
    COUNTIF('Acompanhamento quinzenal'!$AF:$AF, A64)
  ) = 0,
  "-",
  (
    IFERROR(SUMIFS('Acompanhamento quinzenal'!$P:$P, 'Acompanhamento quinzenal'!$N:$N, A64), 0) +
    IFERROR(SUMIFS('Acompanhamento quinzenal'!$V:$V, 'Acompanhamento quinzenal'!$T:$T, A64), 0) +
    IFERROR(SUMIFS('Acompanhamento quinzenal'!$AB:$AB, 'Acompanhamento quinzenal'!$Z:$Z, A64), 0) +
    IFERROR(SUMIFS('Acompanhamento quinzenal'!$AH:$AH, 'Acompanhamento quinzenal'!$AF:$AF, A64), 0)
  ) /
  (
    COUNTIF('Acompanhamento quinzenal'!$N:$N, A64) +
    COUNTIF('Acompanhamento quinzenal'!$T:$T, A64) +
    COUNTIF('Acompanhamento quinzenal'!$Z:$Z, A64) +
    COUNTIF('Acompanhamento quinzenal'!$AF:$AF, A64)
  )
)
</f>
        <v>3.333333333</v>
      </c>
      <c r="Y64" s="293">
        <f>IF(
  (
    COUNTIF('Acompanhamento quinzenal'!$N:$N, A64) +
    COUNTIF('Acompanhamento quinzenal'!$T:$T, A64) +
    COUNTIF('Acompanhamento quinzenal'!$Z:$Z, A64) +
    COUNTIF('Acompanhamento quinzenal'!$AF:$AF, A64)
  ) = 0,
  "-",
  (
    IFERROR(SUMIFS('Acompanhamento quinzenal'!$Q:$Q, 'Acompanhamento quinzenal'!$N:$N, A64), 0) +
    IFERROR(SUMIFS('Acompanhamento quinzenal'!$W:$W, 'Acompanhamento quinzenal'!$T:$T, A64), 0) +
    IFERROR(SUMIFS('Acompanhamento quinzenal'!$AC:$AC, 'Acompanhamento quinzenal'!$Z:$Z, A64), 0) +
    IFERROR(SUMIFS('Acompanhamento quinzenal'!$AI:$AI, 'Acompanhamento quinzenal'!$AF:$AF, A64), 0)
  ) /
  (
    COUNTIF('Acompanhamento quinzenal'!$N:$N, A64) +
    COUNTIF('Acompanhamento quinzenal'!$T:$T, A64) +
    COUNTIF('Acompanhamento quinzenal'!$Z:$Z, A64) +
    COUNTIF('Acompanhamento quinzenal'!$AF:$AF, A64)
  )
)
</f>
        <v>3</v>
      </c>
    </row>
    <row r="65" hidden="1">
      <c r="A65" s="291" t="str">
        <f>IFERROR(__xludf.DUMMYFUNCTION("""COMPUTED_VALUE"""),"guilherme.honda")</f>
        <v>guilherme.honda</v>
      </c>
      <c r="B65" s="120" t="str">
        <f>IFERROR(__xludf.DUMMYFUNCTION("""COMPUTED_VALUE"""),"Consultor")</f>
        <v>Consultor</v>
      </c>
      <c r="C65" s="120" t="str">
        <f>IFERROR(__xludf.DUMMYFUNCTION("""COMPUTED_VALUE"""),"NCiv")</f>
        <v>NCiv</v>
      </c>
      <c r="D65" s="292" t="str">
        <f>IFERROR((COUNTIFS(Base!$V:$V,A65,Base!$S:$S,"&gt;8") - COUNTIFS(Base!$V:$V,A65,Base!$S:$S,"&lt;7"))/COUNTIFS(Base!$V:$V,A65,Base!$S:$S,"&lt;&gt;"),"-")</f>
        <v>-</v>
      </c>
      <c r="E65" s="292" t="str">
        <f>IF(
  (
    COUNTIFS(Base!$W:$W, A65, Base!$S:$S, "&lt;&gt;") +
    COUNTIFS(Base!$X:$X, A65, Base!$S:$S, "&lt;&gt;") +
    COUNTIFS(Base!$Y:$Y, A65, Base!$S:$S, "&lt;&gt;") +
    COUNTIFS(Base!$Z:$Z, A65, Base!$S:$S, "&lt;&gt;")
  ) = 0,
  "-",
  (
    COUNTIFS(Base!$W:$W, A65, Base!$S:$S, "&gt;8") - COUNTIFS(Base!$W:$W, A65, Base!$S:$S, "&lt;7") +
    COUNTIFS(Base!$X:$X, A65, Base!$S:$S, "&gt;8") - COUNTIFS(Base!$X:$X, A65, Base!$S:$S, "&lt;7") +
    COUNTIFS(Base!$Y:$Y, A65, Base!$S:$S, "&gt;8") - COUNTIFS(Base!$Y:$Y, A65, Base!$S:$S, "&lt;7") +
    COUNTIFS(Base!$Z:$Z, A65, Base!$S:$S, "&gt;8") - COUNTIFS(Base!$Z:$Z, A65, Base!$S:$S, "&lt;7")
  ) /
  (
    COUNTIFS(Base!$W:$W, A65, Base!$S:$S, "&lt;&gt;") +
    COUNTIFS(Base!$X:$X, A65, Base!$S:$S, "&lt;&gt;") +
    COUNTIFS(Base!$Y:$Y, A65, Base!$S:$S, "&lt;&gt;") +
    COUNTIFS(Base!$Z:$Z, A65, Base!$S:$S, "&lt;&gt;")
  )
)
</f>
        <v>-</v>
      </c>
      <c r="F65" s="290">
        <f>SUMIFS(Base!$N:$N,Base!$V:$V,A65,Base!$N:$N,"&lt;&gt;")-SUMIFS(Base!$K:$K,Base!$V:$V,A65,Base!$N:$N,"&lt;&gt;")-(SUMIFS(Base!$L:$L,Base!$V:$V,A65,Base!$N:$N,"&lt;&gt;")*7)</f>
        <v>0</v>
      </c>
      <c r="G65" s="290"/>
      <c r="H65" s="290">
        <f>SUMIFS(Base!$F:$F,Base!$V:$V,A65,Base!$N:$N,"&lt;&gt;")*7</f>
        <v>0</v>
      </c>
      <c r="I65" s="290"/>
      <c r="J65" s="292" t="str">
        <f t="shared" ref="J65:K65" si="66">IFERROR(F65/H65,"-")</f>
        <v>-</v>
      </c>
      <c r="K65" s="292" t="str">
        <f t="shared" si="66"/>
        <v>-</v>
      </c>
      <c r="L65" s="292" t="str">
        <f>IFERROR((COUNTIFS(Base!$V:$V,A65,Base!$U:$U,TRUE))/(COUNTIFS(Base!$V:$V,A65,Base!$O:$O,"Finalizado")+COUNTIFS(Base!$V:$V,A65,Base!$O:$O,"Concluído")),"-")</f>
        <v>-</v>
      </c>
      <c r="M65" s="292" t="str">
        <f>IF(
  (
    IFERROR(COUNTIF(Base!$W:$W, A65), 0) +
    IFERROR(COUNTIF(Base!$X:$X, A65), 0) +
    IFERROR(COUNTIF(Base!$Y:$Y, A65), 0) +
    IFERROR(COUNTIF(Base!$Z:$Z, A65), 0)
  ) = 0,
  "-",
  IF(
    (
      IFERROR(COUNTIFS(Base!$W:$W, A65, Base!$O:$O, "Finalizado"), 0) +
      IFERROR(COUNTIFS(Base!$W:$W, A65, Base!$O:$O, "Concluído"), 0) +
      IFERROR(COUNTIFS(Base!$X:$X, A65, Base!$O:$O, "Finalizado"), 0) +
      IFERROR(COUNTIFS(Base!$X:$X, A65, Base!$O:$O, "Concluído"), 0) +
      IFERROR(COUNTIFS(Base!$Y:$Y, A65, Base!$O:$O, "Finalizado"), 0) +
      IFERROR(COUNTIFS(Base!$Y:$Y, A65, Base!$O:$O, "Concluído"), 0) +
      IFERROR(COUNTIFS(Base!$Z:$Z, A65, Base!$O:$O, "Finalizado"), 0) +
      IFERROR(COUNTIFS(Base!$Z:$Z, A65, Base!$O:$O, "Concluído"), 0)
    ) = 0,
    "-",
    (
      IFERROR(COUNTIFS(Base!$W:$W, A65, Base!$U:$U, TRUE), 0) +
      IFERROR(COUNTIFS(Base!$X:$X, A65, Base!$U:$U, TRUE), 0) +
      IFERROR(COUNTIFS(Base!$Y:$Y, A65, Base!$U:$U, TRUE), 0) +
      IFERROR(COUNTIFS(Base!$Z:$Z, A65, Base!$U:$U, TRUE), 0)
    ) /
    (
      IFERROR(COUNTIFS(Base!$W:$W, A65, Base!$O:$O, "Finalizado"), 0) +
      IFERROR(COUNTIFS(Base!$W:$W, A65, Base!$O:$O, "Concluído"), 0) +
      IFERROR(COUNTIFS(Base!$X:$X, A65, Base!$O:$O, "Finalizado"), 0) +
      IFERROR(COUNTIFS(Base!$X:$X, A65, Base!$O:$O, "Concluído"), 0) +
      IFERROR(COUNTIFS(Base!$Y:$Y, A65, Base!$O:$O, "Finalizado"), 0) +
      IFERROR(COUNTIFS(Base!$Y:$Y, A65, Base!$O:$O, "Concluído"), 0) +
      IFERROR(COUNTIFS(Base!$Z:$Z, A65, Base!$O:$O, "Finalizado"), 0) +
      IFERROR(COUNTIFS(Base!$Z:$Z, A65, Base!$O:$O, "Concluído"), 0)
    )
  )
)
</f>
        <v>-</v>
      </c>
      <c r="N65" s="120">
        <f>COUNTIF(Base!V:V,$A65)</f>
        <v>0</v>
      </c>
      <c r="O65" s="120">
        <f>COUNTIF(Base!W:W,$A65)</f>
        <v>0</v>
      </c>
      <c r="P65" s="120">
        <f>COUNTIF(Base!X:X,$A65)</f>
        <v>1</v>
      </c>
      <c r="Q65" s="120">
        <f>COUNTIF(Base!Y:Y,$A65)</f>
        <v>1</v>
      </c>
      <c r="R65" s="120">
        <f>COUNTIF(Base!Z:Z,$A65)</f>
        <v>0</v>
      </c>
      <c r="S65" s="120">
        <f t="shared" si="3"/>
        <v>2</v>
      </c>
      <c r="T65" s="120">
        <f t="shared" si="4"/>
        <v>2</v>
      </c>
      <c r="V65" s="293">
        <f>IF(
  (
    COUNTIF('Acompanhamento quinzenal'!$N:$N, A65) +
    COUNTIF('Acompanhamento quinzenal'!$T:$T, A65) +
    COUNTIF('Acompanhamento quinzenal'!$Z:$Z, A65) +
    COUNTIF('Acompanhamento quinzenal'!$AF:$AF, A65)
  ) = 0,
  "-",
  (
    IFERROR(SUMIFS('Acompanhamento quinzenal'!$S:$S, 'Acompanhamento quinzenal'!$N:$N, A65), 0) +
    IFERROR(SUMIFS('Acompanhamento quinzenal'!$Y:$Y, 'Acompanhamento quinzenal'!$T:$T, A65), 0) +
    IFERROR(SUMIFS('Acompanhamento quinzenal'!$AE:$AE, 'Acompanhamento quinzenal'!$Z:$Z, A65), 0) +
    IFERROR(SUMIFS('Acompanhamento quinzenal'!$AK:$AK, 'Acompanhamento quinzenal'!$AF:$AF, A65), 0)
  ) /
  (
    COUNTIF('Acompanhamento quinzenal'!$N:$N, A65) +
    COUNTIF('Acompanhamento quinzenal'!$T:$T, A65) +
    COUNTIF('Acompanhamento quinzenal'!$Z:$Z, A65) +
    COUNTIF('Acompanhamento quinzenal'!$AF:$AF, A65)
  )
)
</f>
        <v>4</v>
      </c>
      <c r="W65" s="293">
        <f>IF(
  (
    COUNTIF('Acompanhamento quinzenal'!$N:$N, A65) +
    COUNTIF('Acompanhamento quinzenal'!$T:$T, A65) +
    COUNTIF('Acompanhamento quinzenal'!$Z:$Z, A65) +
    COUNTIF('Acompanhamento quinzenal'!$AF:$AF, A65)
  ) = 0,
  "-",
  (
    IFERROR(SUMIFS('Acompanhamento quinzenal'!$O:$O, 'Acompanhamento quinzenal'!$N:$N, A65), 0) +
    IFERROR(SUMIFS('Acompanhamento quinzenal'!$U:$U, 'Acompanhamento quinzenal'!$T:$T, A65), 0) +
    IFERROR(SUMIFS('Acompanhamento quinzenal'!$AA:$AA, 'Acompanhamento quinzenal'!$Z:$Z, A65), 0) +
    IFERROR(SUMIFS('Acompanhamento quinzenal'!$AG:$AG, 'Acompanhamento quinzenal'!$AF:$AF, A65), 0)
  ) /
  (
    COUNTIF('Acompanhamento quinzenal'!$N:$N, A65) +
    COUNTIF('Acompanhamento quinzenal'!$T:$T, A65) +
    COUNTIF('Acompanhamento quinzenal'!$Z:$Z, A65) +
    COUNTIF('Acompanhamento quinzenal'!$AF:$AF, A65)
  )
)
</f>
        <v>4</v>
      </c>
      <c r="X65" s="294">
        <f>IF(
  (
    COUNTIF('Acompanhamento quinzenal'!$N:$N, A65) +
    COUNTIF('Acompanhamento quinzenal'!$T:$T, A65) +
    COUNTIF('Acompanhamento quinzenal'!$Z:$Z, A65) +
    COUNTIF('Acompanhamento quinzenal'!$AF:$AF, A65)
  ) = 0,
  "-",
  (
    IFERROR(SUMIFS('Acompanhamento quinzenal'!$P:$P, 'Acompanhamento quinzenal'!$N:$N, A65), 0) +
    IFERROR(SUMIFS('Acompanhamento quinzenal'!$V:$V, 'Acompanhamento quinzenal'!$T:$T, A65), 0) +
    IFERROR(SUMIFS('Acompanhamento quinzenal'!$AB:$AB, 'Acompanhamento quinzenal'!$Z:$Z, A65), 0) +
    IFERROR(SUMIFS('Acompanhamento quinzenal'!$AH:$AH, 'Acompanhamento quinzenal'!$AF:$AF, A65), 0)
  ) /
  (
    COUNTIF('Acompanhamento quinzenal'!$N:$N, A65) +
    COUNTIF('Acompanhamento quinzenal'!$T:$T, A65) +
    COUNTIF('Acompanhamento quinzenal'!$Z:$Z, A65) +
    COUNTIF('Acompanhamento quinzenal'!$AF:$AF, A65)
  )
)
</f>
        <v>3</v>
      </c>
      <c r="Y65" s="293">
        <f>IF(
  (
    COUNTIF('Acompanhamento quinzenal'!$N:$N, A65) +
    COUNTIF('Acompanhamento quinzenal'!$T:$T, A65) +
    COUNTIF('Acompanhamento quinzenal'!$Z:$Z, A65) +
    COUNTIF('Acompanhamento quinzenal'!$AF:$AF, A65)
  ) = 0,
  "-",
  (
    IFERROR(SUMIFS('Acompanhamento quinzenal'!$Q:$Q, 'Acompanhamento quinzenal'!$N:$N, A65), 0) +
    IFERROR(SUMIFS('Acompanhamento quinzenal'!$W:$W, 'Acompanhamento quinzenal'!$T:$T, A65), 0) +
    IFERROR(SUMIFS('Acompanhamento quinzenal'!$AC:$AC, 'Acompanhamento quinzenal'!$Z:$Z, A65), 0) +
    IFERROR(SUMIFS('Acompanhamento quinzenal'!$AI:$AI, 'Acompanhamento quinzenal'!$AF:$AF, A65), 0)
  ) /
  (
    COUNTIF('Acompanhamento quinzenal'!$N:$N, A65) +
    COUNTIF('Acompanhamento quinzenal'!$T:$T, A65) +
    COUNTIF('Acompanhamento quinzenal'!$Z:$Z, A65) +
    COUNTIF('Acompanhamento quinzenal'!$AF:$AF, A65)
  )
)
</f>
        <v>5</v>
      </c>
    </row>
    <row r="66" hidden="1">
      <c r="A66" s="291" t="str">
        <f>IFERROR(__xludf.DUMMYFUNCTION("""COMPUTED_VALUE"""),"guilherme.mendes")</f>
        <v>guilherme.mendes</v>
      </c>
      <c r="B66" s="120" t="str">
        <f>IFERROR(__xludf.DUMMYFUNCTION("""COMPUTED_VALUE"""),"Consultor")</f>
        <v>Consultor</v>
      </c>
      <c r="C66" s="120" t="str">
        <f>IFERROR(__xludf.DUMMYFUNCTION("""COMPUTED_VALUE"""),"NCiv")</f>
        <v>NCiv</v>
      </c>
      <c r="D66" s="292" t="str">
        <f>IFERROR((COUNTIFS(Base!$V:$V,A66,Base!$S:$S,"&gt;8") - COUNTIFS(Base!$V:$V,A66,Base!$S:$S,"&lt;7"))/COUNTIFS(Base!$V:$V,A66,Base!$S:$S,"&lt;&gt;"),"-")</f>
        <v>-</v>
      </c>
      <c r="E66" s="292">
        <f>IF(
  (
    COUNTIFS(Base!$W:$W, A66, Base!$S:$S, "&lt;&gt;") +
    COUNTIFS(Base!$X:$X, A66, Base!$S:$S, "&lt;&gt;") +
    COUNTIFS(Base!$Y:$Y, A66, Base!$S:$S, "&lt;&gt;") +
    COUNTIFS(Base!$Z:$Z, A66, Base!$S:$S, "&lt;&gt;")
  ) = 0,
  "-",
  (
    COUNTIFS(Base!$W:$W, A66, Base!$S:$S, "&gt;8") - COUNTIFS(Base!$W:$W, A66, Base!$S:$S, "&lt;7") +
    COUNTIFS(Base!$X:$X, A66, Base!$S:$S, "&gt;8") - COUNTIFS(Base!$X:$X, A66, Base!$S:$S, "&lt;7") +
    COUNTIFS(Base!$Y:$Y, A66, Base!$S:$S, "&gt;8") - COUNTIFS(Base!$Y:$Y, A66, Base!$S:$S, "&lt;7") +
    COUNTIFS(Base!$Z:$Z, A66, Base!$S:$S, "&gt;8") - COUNTIFS(Base!$Z:$Z, A66, Base!$S:$S, "&lt;7")
  ) /
  (
    COUNTIFS(Base!$W:$W, A66, Base!$S:$S, "&lt;&gt;") +
    COUNTIFS(Base!$X:$X, A66, Base!$S:$S, "&lt;&gt;") +
    COUNTIFS(Base!$Y:$Y, A66, Base!$S:$S, "&lt;&gt;") +
    COUNTIFS(Base!$Z:$Z, A66, Base!$S:$S, "&lt;&gt;")
  )
)
</f>
        <v>1</v>
      </c>
      <c r="F66" s="290">
        <f>SUMIFS(Base!$N:$N,Base!$V:$V,A66,Base!$N:$N,"&lt;&gt;")-SUMIFS(Base!$K:$K,Base!$V:$V,A66,Base!$N:$N,"&lt;&gt;")-(SUMIFS(Base!$L:$L,Base!$V:$V,A66,Base!$N:$N,"&lt;&gt;")*7)</f>
        <v>0</v>
      </c>
      <c r="G66" s="290"/>
      <c r="H66" s="290">
        <f>SUMIFS(Base!$F:$F,Base!$V:$V,A66,Base!$N:$N,"&lt;&gt;")*7</f>
        <v>0</v>
      </c>
      <c r="I66" s="290"/>
      <c r="J66" s="292" t="str">
        <f t="shared" ref="J66:K66" si="67">IFERROR(F66/H66,"-")</f>
        <v>-</v>
      </c>
      <c r="K66" s="292" t="str">
        <f t="shared" si="67"/>
        <v>-</v>
      </c>
      <c r="L66" s="292" t="str">
        <f>IFERROR((COUNTIFS(Base!$V:$V,A66,Base!$U:$U,TRUE))/(COUNTIFS(Base!$V:$V,A66,Base!$O:$O,"Finalizado")+COUNTIFS(Base!$V:$V,A66,Base!$O:$O,"Concluído")),"-")</f>
        <v>-</v>
      </c>
      <c r="M66" s="292">
        <f>IF(
  (
    IFERROR(COUNTIF(Base!$W:$W, A66), 0) +
    IFERROR(COUNTIF(Base!$X:$X, A66), 0) +
    IFERROR(COUNTIF(Base!$Y:$Y, A66), 0) +
    IFERROR(COUNTIF(Base!$Z:$Z, A66), 0)
  ) = 0,
  "-",
  IF(
    (
      IFERROR(COUNTIFS(Base!$W:$W, A66, Base!$O:$O, "Finalizado"), 0) +
      IFERROR(COUNTIFS(Base!$W:$W, A66, Base!$O:$O, "Concluído"), 0) +
      IFERROR(COUNTIFS(Base!$X:$X, A66, Base!$O:$O, "Finalizado"), 0) +
      IFERROR(COUNTIFS(Base!$X:$X, A66, Base!$O:$O, "Concluído"), 0) +
      IFERROR(COUNTIFS(Base!$Y:$Y, A66, Base!$O:$O, "Finalizado"), 0) +
      IFERROR(COUNTIFS(Base!$Y:$Y, A66, Base!$O:$O, "Concluído"), 0) +
      IFERROR(COUNTIFS(Base!$Z:$Z, A66, Base!$O:$O, "Finalizado"), 0) +
      IFERROR(COUNTIFS(Base!$Z:$Z, A66, Base!$O:$O, "Concluído"), 0)
    ) = 0,
    "-",
    (
      IFERROR(COUNTIFS(Base!$W:$W, A66, Base!$U:$U, TRUE), 0) +
      IFERROR(COUNTIFS(Base!$X:$X, A66, Base!$U:$U, TRUE), 0) +
      IFERROR(COUNTIFS(Base!$Y:$Y, A66, Base!$U:$U, TRUE), 0) +
      IFERROR(COUNTIFS(Base!$Z:$Z, A66, Base!$U:$U, TRUE), 0)
    ) /
    (
      IFERROR(COUNTIFS(Base!$W:$W, A66, Base!$O:$O, "Finalizado"), 0) +
      IFERROR(COUNTIFS(Base!$W:$W, A66, Base!$O:$O, "Concluído"), 0) +
      IFERROR(COUNTIFS(Base!$X:$X, A66, Base!$O:$O, "Finalizado"), 0) +
      IFERROR(COUNTIFS(Base!$X:$X, A66, Base!$O:$O, "Concluído"), 0) +
      IFERROR(COUNTIFS(Base!$Y:$Y, A66, Base!$O:$O, "Finalizado"), 0) +
      IFERROR(COUNTIFS(Base!$Y:$Y, A66, Base!$O:$O, "Concluído"), 0) +
      IFERROR(COUNTIFS(Base!$Z:$Z, A66, Base!$O:$O, "Finalizado"), 0) +
      IFERROR(COUNTIFS(Base!$Z:$Z, A66, Base!$O:$O, "Concluído"), 0)
    )
  )
)
</f>
        <v>1</v>
      </c>
      <c r="N66" s="120">
        <f>COUNTIF(Base!V:V,$A66)</f>
        <v>0</v>
      </c>
      <c r="O66" s="120">
        <f>COUNTIF(Base!W:W,$A66)</f>
        <v>1</v>
      </c>
      <c r="P66" s="120">
        <f>COUNTIF(Base!X:X,$A66)</f>
        <v>1</v>
      </c>
      <c r="Q66" s="120">
        <f>COUNTIF(Base!Y:Y,$A66)</f>
        <v>1</v>
      </c>
      <c r="R66" s="120">
        <f>COUNTIF(Base!Z:Z,$A66)</f>
        <v>0</v>
      </c>
      <c r="S66" s="120">
        <f t="shared" si="3"/>
        <v>3</v>
      </c>
      <c r="T66" s="120">
        <f t="shared" si="4"/>
        <v>3</v>
      </c>
      <c r="V66" s="293">
        <f>IF(
  (
    COUNTIF('Acompanhamento quinzenal'!$N:$N, A66) +
    COUNTIF('Acompanhamento quinzenal'!$T:$T, A66) +
    COUNTIF('Acompanhamento quinzenal'!$Z:$Z, A66) +
    COUNTIF('Acompanhamento quinzenal'!$AF:$AF, A66)
  ) = 0,
  "-",
  (
    IFERROR(SUMIFS('Acompanhamento quinzenal'!$S:$S, 'Acompanhamento quinzenal'!$N:$N, A66), 0) +
    IFERROR(SUMIFS('Acompanhamento quinzenal'!$Y:$Y, 'Acompanhamento quinzenal'!$T:$T, A66), 0) +
    IFERROR(SUMIFS('Acompanhamento quinzenal'!$AE:$AE, 'Acompanhamento quinzenal'!$Z:$Z, A66), 0) +
    IFERROR(SUMIFS('Acompanhamento quinzenal'!$AK:$AK, 'Acompanhamento quinzenal'!$AF:$AF, A66), 0)
  ) /
  (
    COUNTIF('Acompanhamento quinzenal'!$N:$N, A66) +
    COUNTIF('Acompanhamento quinzenal'!$T:$T, A66) +
    COUNTIF('Acompanhamento quinzenal'!$Z:$Z, A66) +
    COUNTIF('Acompanhamento quinzenal'!$AF:$AF, A66)
  )
)
</f>
        <v>2.166666667</v>
      </c>
      <c r="W66" s="293">
        <f>IF(
  (
    COUNTIF('Acompanhamento quinzenal'!$N:$N, A66) +
    COUNTIF('Acompanhamento quinzenal'!$T:$T, A66) +
    COUNTIF('Acompanhamento quinzenal'!$Z:$Z, A66) +
    COUNTIF('Acompanhamento quinzenal'!$AF:$AF, A66)
  ) = 0,
  "-",
  (
    IFERROR(SUMIFS('Acompanhamento quinzenal'!$O:$O, 'Acompanhamento quinzenal'!$N:$N, A66), 0) +
    IFERROR(SUMIFS('Acompanhamento quinzenal'!$U:$U, 'Acompanhamento quinzenal'!$T:$T, A66), 0) +
    IFERROR(SUMIFS('Acompanhamento quinzenal'!$AA:$AA, 'Acompanhamento quinzenal'!$Z:$Z, A66), 0) +
    IFERROR(SUMIFS('Acompanhamento quinzenal'!$AG:$AG, 'Acompanhamento quinzenal'!$AF:$AF, A66), 0)
  ) /
  (
    COUNTIF('Acompanhamento quinzenal'!$N:$N, A66) +
    COUNTIF('Acompanhamento quinzenal'!$T:$T, A66) +
    COUNTIF('Acompanhamento quinzenal'!$Z:$Z, A66) +
    COUNTIF('Acompanhamento quinzenal'!$AF:$AF, A66)
  )
)
</f>
        <v>3.25</v>
      </c>
      <c r="X66" s="294">
        <f>IF(
  (
    COUNTIF('Acompanhamento quinzenal'!$N:$N, A66) +
    COUNTIF('Acompanhamento quinzenal'!$T:$T, A66) +
    COUNTIF('Acompanhamento quinzenal'!$Z:$Z, A66) +
    COUNTIF('Acompanhamento quinzenal'!$AF:$AF, A66)
  ) = 0,
  "-",
  (
    IFERROR(SUMIFS('Acompanhamento quinzenal'!$P:$P, 'Acompanhamento quinzenal'!$N:$N, A66), 0) +
    IFERROR(SUMIFS('Acompanhamento quinzenal'!$V:$V, 'Acompanhamento quinzenal'!$T:$T, A66), 0) +
    IFERROR(SUMIFS('Acompanhamento quinzenal'!$AB:$AB, 'Acompanhamento quinzenal'!$Z:$Z, A66), 0) +
    IFERROR(SUMIFS('Acompanhamento quinzenal'!$AH:$AH, 'Acompanhamento quinzenal'!$AF:$AF, A66), 0)
  ) /
  (
    COUNTIF('Acompanhamento quinzenal'!$N:$N, A66) +
    COUNTIF('Acompanhamento quinzenal'!$T:$T, A66) +
    COUNTIF('Acompanhamento quinzenal'!$Z:$Z, A66) +
    COUNTIF('Acompanhamento quinzenal'!$AF:$AF, A66)
  )
)
</f>
        <v>2</v>
      </c>
      <c r="Y66" s="293">
        <f>IF(
  (
    COUNTIF('Acompanhamento quinzenal'!$N:$N, A66) +
    COUNTIF('Acompanhamento quinzenal'!$T:$T, A66) +
    COUNTIF('Acompanhamento quinzenal'!$Z:$Z, A66) +
    COUNTIF('Acompanhamento quinzenal'!$AF:$AF, A66)
  ) = 0,
  "-",
  (
    IFERROR(SUMIFS('Acompanhamento quinzenal'!$Q:$Q, 'Acompanhamento quinzenal'!$N:$N, A66), 0) +
    IFERROR(SUMIFS('Acompanhamento quinzenal'!$W:$W, 'Acompanhamento quinzenal'!$T:$T, A66), 0) +
    IFERROR(SUMIFS('Acompanhamento quinzenal'!$AC:$AC, 'Acompanhamento quinzenal'!$Z:$Z, A66), 0) +
    IFERROR(SUMIFS('Acompanhamento quinzenal'!$AI:$AI, 'Acompanhamento quinzenal'!$AF:$AF, A66), 0)
  ) /
  (
    COUNTIF('Acompanhamento quinzenal'!$N:$N, A66) +
    COUNTIF('Acompanhamento quinzenal'!$T:$T, A66) +
    COUNTIF('Acompanhamento quinzenal'!$Z:$Z, A66) +
    COUNTIF('Acompanhamento quinzenal'!$AF:$AF, A66)
  )
)
</f>
        <v>2.75</v>
      </c>
    </row>
    <row r="67" hidden="1">
      <c r="A67" s="291" t="str">
        <f>IFERROR(__xludf.DUMMYFUNCTION("""COMPUTED_VALUE"""),"guilherme.nunes")</f>
        <v>guilherme.nunes</v>
      </c>
      <c r="B67" s="120" t="str">
        <f>IFERROR(__xludf.DUMMYFUNCTION("""COMPUTED_VALUE"""),"Trainee")</f>
        <v>Trainee</v>
      </c>
      <c r="C67" s="120" t="str">
        <f>IFERROR(__xludf.DUMMYFUNCTION("""COMPUTED_VALUE"""),"NCiv")</f>
        <v>NCiv</v>
      </c>
      <c r="D67" s="292" t="str">
        <f>IFERROR((COUNTIFS(Base!$V:$V,A67,Base!$S:$S,"&gt;8") - COUNTIFS(Base!$V:$V,A67,Base!$S:$S,"&lt;7"))/COUNTIFS(Base!$V:$V,A67,Base!$S:$S,"&lt;&gt;"),"-")</f>
        <v>-</v>
      </c>
      <c r="E67" s="292" t="str">
        <f>IF(
  (
    COUNTIFS(Base!$W:$W, A67, Base!$S:$S, "&lt;&gt;") +
    COUNTIFS(Base!$X:$X, A67, Base!$S:$S, "&lt;&gt;") +
    COUNTIFS(Base!$Y:$Y, A67, Base!$S:$S, "&lt;&gt;") +
    COUNTIFS(Base!$Z:$Z, A67, Base!$S:$S, "&lt;&gt;")
  ) = 0,
  "-",
  (
    COUNTIFS(Base!$W:$W, A67, Base!$S:$S, "&gt;8") - COUNTIFS(Base!$W:$W, A67, Base!$S:$S, "&lt;7") +
    COUNTIFS(Base!$X:$X, A67, Base!$S:$S, "&gt;8") - COUNTIFS(Base!$X:$X, A67, Base!$S:$S, "&lt;7") +
    COUNTIFS(Base!$Y:$Y, A67, Base!$S:$S, "&gt;8") - COUNTIFS(Base!$Y:$Y, A67, Base!$S:$S, "&lt;7") +
    COUNTIFS(Base!$Z:$Z, A67, Base!$S:$S, "&gt;8") - COUNTIFS(Base!$Z:$Z, A67, Base!$S:$S, "&lt;7")
  ) /
  (
    COUNTIFS(Base!$W:$W, A67, Base!$S:$S, "&lt;&gt;") +
    COUNTIFS(Base!$X:$X, A67, Base!$S:$S, "&lt;&gt;") +
    COUNTIFS(Base!$Y:$Y, A67, Base!$S:$S, "&lt;&gt;") +
    COUNTIFS(Base!$Z:$Z, A67, Base!$S:$S, "&lt;&gt;")
  )
)
</f>
        <v>-</v>
      </c>
      <c r="F67" s="290">
        <f>SUMIFS(Base!$N:$N,Base!$V:$V,A67,Base!$N:$N,"&lt;&gt;")-SUMIFS(Base!$K:$K,Base!$V:$V,A67,Base!$N:$N,"&lt;&gt;")-(SUMIFS(Base!$L:$L,Base!$V:$V,A67,Base!$N:$N,"&lt;&gt;")*7)</f>
        <v>0</v>
      </c>
      <c r="G67" s="290"/>
      <c r="H67" s="290">
        <f>SUMIFS(Base!$F:$F,Base!$V:$V,A67,Base!$N:$N,"&lt;&gt;")*7</f>
        <v>0</v>
      </c>
      <c r="I67" s="290"/>
      <c r="J67" s="292" t="str">
        <f t="shared" ref="J67:K67" si="68">IFERROR(F67/H67,"-")</f>
        <v>-</v>
      </c>
      <c r="K67" s="292" t="str">
        <f t="shared" si="68"/>
        <v>-</v>
      </c>
      <c r="L67" s="292" t="str">
        <f>IFERROR((COUNTIFS(Base!$V:$V,A67,Base!$U:$U,TRUE))/(COUNTIFS(Base!$V:$V,A67,Base!$O:$O,"Finalizado")+COUNTIFS(Base!$V:$V,A67,Base!$O:$O,"Concluído")),"-")</f>
        <v>-</v>
      </c>
      <c r="M67" s="292" t="str">
        <f>IF(
  (
    IFERROR(COUNTIF(Base!$W:$W, A67), 0) +
    IFERROR(COUNTIF(Base!$X:$X, A67), 0) +
    IFERROR(COUNTIF(Base!$Y:$Y, A67), 0) +
    IFERROR(COUNTIF(Base!$Z:$Z, A67), 0)
  ) = 0,
  "-",
  IF(
    (
      IFERROR(COUNTIFS(Base!$W:$W, A67, Base!$O:$O, "Finalizado"), 0) +
      IFERROR(COUNTIFS(Base!$W:$W, A67, Base!$O:$O, "Concluído"), 0) +
      IFERROR(COUNTIFS(Base!$X:$X, A67, Base!$O:$O, "Finalizado"), 0) +
      IFERROR(COUNTIFS(Base!$X:$X, A67, Base!$O:$O, "Concluído"), 0) +
      IFERROR(COUNTIFS(Base!$Y:$Y, A67, Base!$O:$O, "Finalizado"), 0) +
      IFERROR(COUNTIFS(Base!$Y:$Y, A67, Base!$O:$O, "Concluído"), 0) +
      IFERROR(COUNTIFS(Base!$Z:$Z, A67, Base!$O:$O, "Finalizado"), 0) +
      IFERROR(COUNTIFS(Base!$Z:$Z, A67, Base!$O:$O, "Concluído"), 0)
    ) = 0,
    "-",
    (
      IFERROR(COUNTIFS(Base!$W:$W, A67, Base!$U:$U, TRUE), 0) +
      IFERROR(COUNTIFS(Base!$X:$X, A67, Base!$U:$U, TRUE), 0) +
      IFERROR(COUNTIFS(Base!$Y:$Y, A67, Base!$U:$U, TRUE), 0) +
      IFERROR(COUNTIFS(Base!$Z:$Z, A67, Base!$U:$U, TRUE), 0)
    ) /
    (
      IFERROR(COUNTIFS(Base!$W:$W, A67, Base!$O:$O, "Finalizado"), 0) +
      IFERROR(COUNTIFS(Base!$W:$W, A67, Base!$O:$O, "Concluído"), 0) +
      IFERROR(COUNTIFS(Base!$X:$X, A67, Base!$O:$O, "Finalizado"), 0) +
      IFERROR(COUNTIFS(Base!$X:$X, A67, Base!$O:$O, "Concluído"), 0) +
      IFERROR(COUNTIFS(Base!$Y:$Y, A67, Base!$O:$O, "Finalizado"), 0) +
      IFERROR(COUNTIFS(Base!$Y:$Y, A67, Base!$O:$O, "Concluído"), 0) +
      IFERROR(COUNTIFS(Base!$Z:$Z, A67, Base!$O:$O, "Finalizado"), 0) +
      IFERROR(COUNTIFS(Base!$Z:$Z, A67, Base!$O:$O, "Concluído"), 0)
    )
  )
)
</f>
        <v>-</v>
      </c>
      <c r="N67" s="120">
        <f>COUNTIF(Base!V:V,$A67)</f>
        <v>0</v>
      </c>
      <c r="O67" s="120">
        <f>COUNTIF(Base!W:W,$A67)</f>
        <v>1</v>
      </c>
      <c r="P67" s="120">
        <f>COUNTIF(Base!X:X,$A67)</f>
        <v>1</v>
      </c>
      <c r="Q67" s="120">
        <f>COUNTIF(Base!Y:Y,$A67)</f>
        <v>0</v>
      </c>
      <c r="R67" s="120">
        <f>COUNTIF(Base!Z:Z,$A67)</f>
        <v>1</v>
      </c>
      <c r="S67" s="120">
        <f t="shared" si="3"/>
        <v>3</v>
      </c>
      <c r="T67" s="120">
        <f t="shared" si="4"/>
        <v>3</v>
      </c>
      <c r="V67" s="293" t="str">
        <f>IF(
  (
    COUNTIF('Acompanhamento quinzenal'!$N:$N, A67) +
    COUNTIF('Acompanhamento quinzenal'!$T:$T, A67) +
    COUNTIF('Acompanhamento quinzenal'!$Z:$Z, A67) +
    COUNTIF('Acompanhamento quinzenal'!$AF:$AF, A67)
  ) = 0,
  "-",
  (
    IFERROR(SUMIFS('Acompanhamento quinzenal'!$S:$S, 'Acompanhamento quinzenal'!$N:$N, A67), 0) +
    IFERROR(SUMIFS('Acompanhamento quinzenal'!$Y:$Y, 'Acompanhamento quinzenal'!$T:$T, A67), 0) +
    IFERROR(SUMIFS('Acompanhamento quinzenal'!$AE:$AE, 'Acompanhamento quinzenal'!$Z:$Z, A67), 0) +
    IFERROR(SUMIFS('Acompanhamento quinzenal'!$AK:$AK, 'Acompanhamento quinzenal'!$AF:$AF, A67), 0)
  ) /
  (
    COUNTIF('Acompanhamento quinzenal'!$N:$N, A67) +
    COUNTIF('Acompanhamento quinzenal'!$T:$T, A67) +
    COUNTIF('Acompanhamento quinzenal'!$Z:$Z, A67) +
    COUNTIF('Acompanhamento quinzenal'!$AF:$AF, A67)
  )
)
</f>
        <v>-</v>
      </c>
      <c r="W67" s="293" t="str">
        <f>IF(
  (
    COUNTIF('Acompanhamento quinzenal'!$N:$N, A67) +
    COUNTIF('Acompanhamento quinzenal'!$T:$T, A67) +
    COUNTIF('Acompanhamento quinzenal'!$Z:$Z, A67) +
    COUNTIF('Acompanhamento quinzenal'!$AF:$AF, A67)
  ) = 0,
  "-",
  (
    IFERROR(SUMIFS('Acompanhamento quinzenal'!$O:$O, 'Acompanhamento quinzenal'!$N:$N, A67), 0) +
    IFERROR(SUMIFS('Acompanhamento quinzenal'!$U:$U, 'Acompanhamento quinzenal'!$T:$T, A67), 0) +
    IFERROR(SUMIFS('Acompanhamento quinzenal'!$AA:$AA, 'Acompanhamento quinzenal'!$Z:$Z, A67), 0) +
    IFERROR(SUMIFS('Acompanhamento quinzenal'!$AG:$AG, 'Acompanhamento quinzenal'!$AF:$AF, A67), 0)
  ) /
  (
    COUNTIF('Acompanhamento quinzenal'!$N:$N, A67) +
    COUNTIF('Acompanhamento quinzenal'!$T:$T, A67) +
    COUNTIF('Acompanhamento quinzenal'!$Z:$Z, A67) +
    COUNTIF('Acompanhamento quinzenal'!$AF:$AF, A67)
  )
)
</f>
        <v>-</v>
      </c>
      <c r="X67" s="294" t="str">
        <f>IF(
  (
    COUNTIF('Acompanhamento quinzenal'!$N:$N, A67) +
    COUNTIF('Acompanhamento quinzenal'!$T:$T, A67) +
    COUNTIF('Acompanhamento quinzenal'!$Z:$Z, A67) +
    COUNTIF('Acompanhamento quinzenal'!$AF:$AF, A67)
  ) = 0,
  "-",
  (
    IFERROR(SUMIFS('Acompanhamento quinzenal'!$P:$P, 'Acompanhamento quinzenal'!$N:$N, A67), 0) +
    IFERROR(SUMIFS('Acompanhamento quinzenal'!$V:$V, 'Acompanhamento quinzenal'!$T:$T, A67), 0) +
    IFERROR(SUMIFS('Acompanhamento quinzenal'!$AB:$AB, 'Acompanhamento quinzenal'!$Z:$Z, A67), 0) +
    IFERROR(SUMIFS('Acompanhamento quinzenal'!$AH:$AH, 'Acompanhamento quinzenal'!$AF:$AF, A67), 0)
  ) /
  (
    COUNTIF('Acompanhamento quinzenal'!$N:$N, A67) +
    COUNTIF('Acompanhamento quinzenal'!$T:$T, A67) +
    COUNTIF('Acompanhamento quinzenal'!$Z:$Z, A67) +
    COUNTIF('Acompanhamento quinzenal'!$AF:$AF, A67)
  )
)
</f>
        <v>-</v>
      </c>
      <c r="Y67" s="293" t="str">
        <f>IF(
  (
    COUNTIF('Acompanhamento quinzenal'!$N:$N, A67) +
    COUNTIF('Acompanhamento quinzenal'!$T:$T, A67) +
    COUNTIF('Acompanhamento quinzenal'!$Z:$Z, A67) +
    COUNTIF('Acompanhamento quinzenal'!$AF:$AF, A67)
  ) = 0,
  "-",
  (
    IFERROR(SUMIFS('Acompanhamento quinzenal'!$Q:$Q, 'Acompanhamento quinzenal'!$N:$N, A67), 0) +
    IFERROR(SUMIFS('Acompanhamento quinzenal'!$W:$W, 'Acompanhamento quinzenal'!$T:$T, A67), 0) +
    IFERROR(SUMIFS('Acompanhamento quinzenal'!$AC:$AC, 'Acompanhamento quinzenal'!$Z:$Z, A67), 0) +
    IFERROR(SUMIFS('Acompanhamento quinzenal'!$AI:$AI, 'Acompanhamento quinzenal'!$AF:$AF, A67), 0)
  ) /
  (
    COUNTIF('Acompanhamento quinzenal'!$N:$N, A67) +
    COUNTIF('Acompanhamento quinzenal'!$T:$T, A67) +
    COUNTIF('Acompanhamento quinzenal'!$Z:$Z, A67) +
    COUNTIF('Acompanhamento quinzenal'!$AF:$AF, A67)
  )
)
</f>
        <v>-</v>
      </c>
    </row>
    <row r="68" hidden="1">
      <c r="A68" s="291" t="str">
        <f>IFERROR(__xludf.DUMMYFUNCTION("""COMPUTED_VALUE"""),"guilherme.rodrigues")</f>
        <v>guilherme.rodrigues</v>
      </c>
      <c r="B68" s="120" t="str">
        <f>IFERROR(__xludf.DUMMYFUNCTION("""COMPUTED_VALUE"""),"Trainee")</f>
        <v>Trainee</v>
      </c>
      <c r="C68" s="120" t="str">
        <f>IFERROR(__xludf.DUMMYFUNCTION("""COMPUTED_VALUE"""),"NCiv")</f>
        <v>NCiv</v>
      </c>
      <c r="D68" s="292" t="str">
        <f>IFERROR((COUNTIFS(Base!$V:$V,A68,Base!$S:$S,"&gt;8") - COUNTIFS(Base!$V:$V,A68,Base!$S:$S,"&lt;7"))/COUNTIFS(Base!$V:$V,A68,Base!$S:$S,"&lt;&gt;"),"-")</f>
        <v>-</v>
      </c>
      <c r="E68" s="292" t="str">
        <f>IF(
  (
    COUNTIFS(Base!$W:$W, A68, Base!$S:$S, "&lt;&gt;") +
    COUNTIFS(Base!$X:$X, A68, Base!$S:$S, "&lt;&gt;") +
    COUNTIFS(Base!$Y:$Y, A68, Base!$S:$S, "&lt;&gt;") +
    COUNTIFS(Base!$Z:$Z, A68, Base!$S:$S, "&lt;&gt;")
  ) = 0,
  "-",
  (
    COUNTIFS(Base!$W:$W, A68, Base!$S:$S, "&gt;8") - COUNTIFS(Base!$W:$W, A68, Base!$S:$S, "&lt;7") +
    COUNTIFS(Base!$X:$X, A68, Base!$S:$S, "&gt;8") - COUNTIFS(Base!$X:$X, A68, Base!$S:$S, "&lt;7") +
    COUNTIFS(Base!$Y:$Y, A68, Base!$S:$S, "&gt;8") - COUNTIFS(Base!$Y:$Y, A68, Base!$S:$S, "&lt;7") +
    COUNTIFS(Base!$Z:$Z, A68, Base!$S:$S, "&gt;8") - COUNTIFS(Base!$Z:$Z, A68, Base!$S:$S, "&lt;7")
  ) /
  (
    COUNTIFS(Base!$W:$W, A68, Base!$S:$S, "&lt;&gt;") +
    COUNTIFS(Base!$X:$X, A68, Base!$S:$S, "&lt;&gt;") +
    COUNTIFS(Base!$Y:$Y, A68, Base!$S:$S, "&lt;&gt;") +
    COUNTIFS(Base!$Z:$Z, A68, Base!$S:$S, "&lt;&gt;")
  )
)
</f>
        <v>-</v>
      </c>
      <c r="F68" s="290">
        <f>SUMIFS(Base!$N:$N,Base!$V:$V,A68,Base!$N:$N,"&lt;&gt;")-SUMIFS(Base!$K:$K,Base!$V:$V,A68,Base!$N:$N,"&lt;&gt;")-(SUMIFS(Base!$L:$L,Base!$V:$V,A68,Base!$N:$N,"&lt;&gt;")*7)</f>
        <v>0</v>
      </c>
      <c r="G68" s="290">
        <f>SUMIFS(Base!$N:$N,Base!$W:$W,A68,Base!$N:$N,"&lt;&gt;")-SUMIFS(Base!$K:$K,Base!$W:$W,A68,Base!$N:$N,"&lt;&gt;")-(SUMIFS(Base!$L:$L,Base!$W:$W,A68,Base!$N:$N,"&lt;&gt;")*7)</f>
        <v>0</v>
      </c>
      <c r="H68" s="290">
        <f>SUMIFS(Base!$F:$F,Base!$V:$V,A68,Base!$N:$N,"&lt;&gt;")*7</f>
        <v>0</v>
      </c>
      <c r="I68" s="290">
        <f>SUMIFS(Base!$F:$F,Base!$W:$W,A68,Base!$N:$N,"&lt;&gt;")*7</f>
        <v>0</v>
      </c>
      <c r="J68" s="292" t="str">
        <f t="shared" ref="J68:K68" si="69">IFERROR(F68/H68,"-")</f>
        <v>-</v>
      </c>
      <c r="K68" s="292" t="str">
        <f t="shared" si="69"/>
        <v>-</v>
      </c>
      <c r="L68" s="292" t="str">
        <f>IFERROR((COUNTIFS(Base!$V:$V,A68,Base!$U:$U,TRUE))/(COUNTIFS(Base!$V:$V,A68,Base!$O:$O,"Finalizado")+COUNTIFS(Base!$V:$V,A68,Base!$O:$O,"Concluído")),"-")</f>
        <v>-</v>
      </c>
      <c r="M68" s="292" t="str">
        <f>IF(
  (
    IFERROR(COUNTIF(Base!$W:$W, A68), 0) +
    IFERROR(COUNTIF(Base!$X:$X, A68), 0) +
    IFERROR(COUNTIF(Base!$Y:$Y, A68), 0) +
    IFERROR(COUNTIF(Base!$Z:$Z, A68), 0)
  ) = 0,
  "-",
  IF(
    (
      IFERROR(COUNTIFS(Base!$W:$W, A68, Base!$O:$O, "Finalizado"), 0) +
      IFERROR(COUNTIFS(Base!$W:$W, A68, Base!$O:$O, "Concluído"), 0) +
      IFERROR(COUNTIFS(Base!$X:$X, A68, Base!$O:$O, "Finalizado"), 0) +
      IFERROR(COUNTIFS(Base!$X:$X, A68, Base!$O:$O, "Concluído"), 0) +
      IFERROR(COUNTIFS(Base!$Y:$Y, A68, Base!$O:$O, "Finalizado"), 0) +
      IFERROR(COUNTIFS(Base!$Y:$Y, A68, Base!$O:$O, "Concluído"), 0) +
      IFERROR(COUNTIFS(Base!$Z:$Z, A68, Base!$O:$O, "Finalizado"), 0) +
      IFERROR(COUNTIFS(Base!$Z:$Z, A68, Base!$O:$O, "Concluído"), 0)
    ) = 0,
    "-",
    (
      IFERROR(COUNTIFS(Base!$W:$W, A68, Base!$U:$U, TRUE), 0) +
      IFERROR(COUNTIFS(Base!$X:$X, A68, Base!$U:$U, TRUE), 0) +
      IFERROR(COUNTIFS(Base!$Y:$Y, A68, Base!$U:$U, TRUE), 0) +
      IFERROR(COUNTIFS(Base!$Z:$Z, A68, Base!$U:$U, TRUE), 0)
    ) /
    (
      IFERROR(COUNTIFS(Base!$W:$W, A68, Base!$O:$O, "Finalizado"), 0) +
      IFERROR(COUNTIFS(Base!$W:$W, A68, Base!$O:$O, "Concluído"), 0) +
      IFERROR(COUNTIFS(Base!$X:$X, A68, Base!$O:$O, "Finalizado"), 0) +
      IFERROR(COUNTIFS(Base!$X:$X, A68, Base!$O:$O, "Concluído"), 0) +
      IFERROR(COUNTIFS(Base!$Y:$Y, A68, Base!$O:$O, "Finalizado"), 0) +
      IFERROR(COUNTIFS(Base!$Y:$Y, A68, Base!$O:$O, "Concluído"), 0) +
      IFERROR(COUNTIFS(Base!$Z:$Z, A68, Base!$O:$O, "Finalizado"), 0) +
      IFERROR(COUNTIFS(Base!$Z:$Z, A68, Base!$O:$O, "Concluído"), 0)
    )
  )
)
</f>
        <v>-</v>
      </c>
      <c r="N68" s="120">
        <f>COUNTIF(Base!V:V,$A68)</f>
        <v>0</v>
      </c>
      <c r="O68" s="120">
        <f>COUNTIF(Base!W:W,$A68)</f>
        <v>0</v>
      </c>
      <c r="P68" s="120">
        <f>COUNTIF(Base!X:X,$A68)</f>
        <v>0</v>
      </c>
      <c r="Q68" s="120">
        <f>COUNTIF(Base!Y:Y,$A68)</f>
        <v>0</v>
      </c>
      <c r="R68" s="120">
        <f>COUNTIF(Base!Z:Z,$A68)</f>
        <v>0</v>
      </c>
      <c r="S68" s="120">
        <f t="shared" si="3"/>
        <v>0</v>
      </c>
      <c r="T68" s="120">
        <f t="shared" si="4"/>
        <v>0</v>
      </c>
      <c r="V68" s="293" t="str">
        <f>IF(
  (
    COUNTIF('Acompanhamento quinzenal'!$N:$N, A68) +
    COUNTIF('Acompanhamento quinzenal'!$T:$T, A68) +
    COUNTIF('Acompanhamento quinzenal'!$Z:$Z, A68) +
    COUNTIF('Acompanhamento quinzenal'!$AF:$AF, A68)
  ) = 0,
  "-",
  (
    IFERROR(SUMIFS('Acompanhamento quinzenal'!$S:$S, 'Acompanhamento quinzenal'!$N:$N, A68), 0) +
    IFERROR(SUMIFS('Acompanhamento quinzenal'!$Y:$Y, 'Acompanhamento quinzenal'!$T:$T, A68), 0) +
    IFERROR(SUMIFS('Acompanhamento quinzenal'!$AE:$AE, 'Acompanhamento quinzenal'!$Z:$Z, A68), 0) +
    IFERROR(SUMIFS('Acompanhamento quinzenal'!$AK:$AK, 'Acompanhamento quinzenal'!$AF:$AF, A68), 0)
  ) /
  (
    COUNTIF('Acompanhamento quinzenal'!$N:$N, A68) +
    COUNTIF('Acompanhamento quinzenal'!$T:$T, A68) +
    COUNTIF('Acompanhamento quinzenal'!$Z:$Z, A68) +
    COUNTIF('Acompanhamento quinzenal'!$AF:$AF, A68)
  )
)
</f>
        <v>-</v>
      </c>
      <c r="W68" s="293" t="str">
        <f>IF(
  (
    COUNTIF('Acompanhamento quinzenal'!$N:$N, A68) +
    COUNTIF('Acompanhamento quinzenal'!$T:$T, A68) +
    COUNTIF('Acompanhamento quinzenal'!$Z:$Z, A68) +
    COUNTIF('Acompanhamento quinzenal'!$AF:$AF, A68)
  ) = 0,
  "-",
  (
    IFERROR(SUMIFS('Acompanhamento quinzenal'!$O:$O, 'Acompanhamento quinzenal'!$N:$N, A68), 0) +
    IFERROR(SUMIFS('Acompanhamento quinzenal'!$U:$U, 'Acompanhamento quinzenal'!$T:$T, A68), 0) +
    IFERROR(SUMIFS('Acompanhamento quinzenal'!$AA:$AA, 'Acompanhamento quinzenal'!$Z:$Z, A68), 0) +
    IFERROR(SUMIFS('Acompanhamento quinzenal'!$AG:$AG, 'Acompanhamento quinzenal'!$AF:$AF, A68), 0)
  ) /
  (
    COUNTIF('Acompanhamento quinzenal'!$N:$N, A68) +
    COUNTIF('Acompanhamento quinzenal'!$T:$T, A68) +
    COUNTIF('Acompanhamento quinzenal'!$Z:$Z, A68) +
    COUNTIF('Acompanhamento quinzenal'!$AF:$AF, A68)
  )
)
</f>
        <v>-</v>
      </c>
      <c r="X68" s="294" t="str">
        <f>IF(
  (
    COUNTIF('Acompanhamento quinzenal'!$N:$N, A68) +
    COUNTIF('Acompanhamento quinzenal'!$T:$T, A68) +
    COUNTIF('Acompanhamento quinzenal'!$Z:$Z, A68) +
    COUNTIF('Acompanhamento quinzenal'!$AF:$AF, A68)
  ) = 0,
  "-",
  (
    IFERROR(SUMIFS('Acompanhamento quinzenal'!$P:$P, 'Acompanhamento quinzenal'!$N:$N, A68), 0) +
    IFERROR(SUMIFS('Acompanhamento quinzenal'!$V:$V, 'Acompanhamento quinzenal'!$T:$T, A68), 0) +
    IFERROR(SUMIFS('Acompanhamento quinzenal'!$AB:$AB, 'Acompanhamento quinzenal'!$Z:$Z, A68), 0) +
    IFERROR(SUMIFS('Acompanhamento quinzenal'!$AH:$AH, 'Acompanhamento quinzenal'!$AF:$AF, A68), 0)
  ) /
  (
    COUNTIF('Acompanhamento quinzenal'!$N:$N, A68) +
    COUNTIF('Acompanhamento quinzenal'!$T:$T, A68) +
    COUNTIF('Acompanhamento quinzenal'!$Z:$Z, A68) +
    COUNTIF('Acompanhamento quinzenal'!$AF:$AF, A68)
  )
)
</f>
        <v>-</v>
      </c>
      <c r="Y68" s="293" t="str">
        <f>IF(
  (
    COUNTIF('Acompanhamento quinzenal'!$N:$N, A68) +
    COUNTIF('Acompanhamento quinzenal'!$T:$T, A68) +
    COUNTIF('Acompanhamento quinzenal'!$Z:$Z, A68) +
    COUNTIF('Acompanhamento quinzenal'!$AF:$AF, A68)
  ) = 0,
  "-",
  (
    IFERROR(SUMIFS('Acompanhamento quinzenal'!$Q:$Q, 'Acompanhamento quinzenal'!$N:$N, A68), 0) +
    IFERROR(SUMIFS('Acompanhamento quinzenal'!$W:$W, 'Acompanhamento quinzenal'!$T:$T, A68), 0) +
    IFERROR(SUMIFS('Acompanhamento quinzenal'!$AC:$AC, 'Acompanhamento quinzenal'!$Z:$Z, A68), 0) +
    IFERROR(SUMIFS('Acompanhamento quinzenal'!$AI:$AI, 'Acompanhamento quinzenal'!$AF:$AF, A68), 0)
  ) /
  (
    COUNTIF('Acompanhamento quinzenal'!$N:$N, A68) +
    COUNTIF('Acompanhamento quinzenal'!$T:$T, A68) +
    COUNTIF('Acompanhamento quinzenal'!$Z:$Z, A68) +
    COUNTIF('Acompanhamento quinzenal'!$AF:$AF, A68)
  )
)
</f>
        <v>-</v>
      </c>
    </row>
    <row r="69" hidden="1">
      <c r="A69" s="291" t="str">
        <f>IFERROR(__xludf.DUMMYFUNCTION("""COMPUTED_VALUE"""),"guilherme.boen")</f>
        <v>guilherme.boen</v>
      </c>
      <c r="B69" s="120" t="str">
        <f>IFERROR(__xludf.DUMMYFUNCTION("""COMPUTED_VALUE"""),"Trainee")</f>
        <v>Trainee</v>
      </c>
      <c r="C69" s="120" t="str">
        <f>IFERROR(__xludf.DUMMYFUNCTION("""COMPUTED_VALUE"""),"NTec")</f>
        <v>NTec</v>
      </c>
      <c r="D69" s="292" t="str">
        <f>IFERROR((COUNTIFS(Base!$V:$V,A69,Base!$S:$S,"&gt;8") - COUNTIFS(Base!$V:$V,A69,Base!$S:$S,"&lt;7"))/COUNTIFS(Base!$V:$V,A69,Base!$S:$S,"&lt;&gt;"),"-")</f>
        <v>-</v>
      </c>
      <c r="E69" s="292" t="str">
        <f>IF(
  (
    COUNTIFS(Base!$W:$W, A69, Base!$S:$S, "&lt;&gt;") +
    COUNTIFS(Base!$X:$X, A69, Base!$S:$S, "&lt;&gt;") +
    COUNTIFS(Base!$Y:$Y, A69, Base!$S:$S, "&lt;&gt;") +
    COUNTIFS(Base!$Z:$Z, A69, Base!$S:$S, "&lt;&gt;")
  ) = 0,
  "-",
  (
    COUNTIFS(Base!$W:$W, A69, Base!$S:$S, "&gt;8") - COUNTIFS(Base!$W:$W, A69, Base!$S:$S, "&lt;7") +
    COUNTIFS(Base!$X:$X, A69, Base!$S:$S, "&gt;8") - COUNTIFS(Base!$X:$X, A69, Base!$S:$S, "&lt;7") +
    COUNTIFS(Base!$Y:$Y, A69, Base!$S:$S, "&gt;8") - COUNTIFS(Base!$Y:$Y, A69, Base!$S:$S, "&lt;7") +
    COUNTIFS(Base!$Z:$Z, A69, Base!$S:$S, "&gt;8") - COUNTIFS(Base!$Z:$Z, A69, Base!$S:$S, "&lt;7")
  ) /
  (
    COUNTIFS(Base!$W:$W, A69, Base!$S:$S, "&lt;&gt;") +
    COUNTIFS(Base!$X:$X, A69, Base!$S:$S, "&lt;&gt;") +
    COUNTIFS(Base!$Y:$Y, A69, Base!$S:$S, "&lt;&gt;") +
    COUNTIFS(Base!$Z:$Z, A69, Base!$S:$S, "&lt;&gt;")
  )
)
</f>
        <v>-</v>
      </c>
      <c r="F69" s="290">
        <f>SUMIFS(Base!$N:$N,Base!$V:$V,A69,Base!$N:$N,"&lt;&gt;")-SUMIFS(Base!$K:$K,Base!$V:$V,A69,Base!$N:$N,"&lt;&gt;")-(SUMIFS(Base!$L:$L,Base!$V:$V,A69,Base!$N:$N,"&lt;&gt;")*7)</f>
        <v>0</v>
      </c>
      <c r="G69" s="290"/>
      <c r="H69" s="290">
        <f>SUMIFS(Base!$F:$F,Base!$V:$V,A69,Base!$N:$N,"&lt;&gt;")*7</f>
        <v>0</v>
      </c>
      <c r="I69" s="290"/>
      <c r="J69" s="292" t="str">
        <f t="shared" ref="J69:K69" si="70">IFERROR(F69/H69,"-")</f>
        <v>-</v>
      </c>
      <c r="K69" s="292" t="str">
        <f t="shared" si="70"/>
        <v>-</v>
      </c>
      <c r="L69" s="292" t="str">
        <f>IFERROR((COUNTIFS(Base!$V:$V,A69,Base!$U:$U,TRUE))/(COUNTIFS(Base!$V:$V,A69,Base!$O:$O,"Finalizado")+COUNTIFS(Base!$V:$V,A69,Base!$O:$O,"Concluído")),"-")</f>
        <v>-</v>
      </c>
      <c r="M69" s="292" t="str">
        <f>IF(
  (
    IFERROR(COUNTIF(Base!$W:$W, A69), 0) +
    IFERROR(COUNTIF(Base!$X:$X, A69), 0) +
    IFERROR(COUNTIF(Base!$Y:$Y, A69), 0) +
    IFERROR(COUNTIF(Base!$Z:$Z, A69), 0)
  ) = 0,
  "-",
  IF(
    (
      IFERROR(COUNTIFS(Base!$W:$W, A69, Base!$O:$O, "Finalizado"), 0) +
      IFERROR(COUNTIFS(Base!$W:$W, A69, Base!$O:$O, "Concluído"), 0) +
      IFERROR(COUNTIFS(Base!$X:$X, A69, Base!$O:$O, "Finalizado"), 0) +
      IFERROR(COUNTIFS(Base!$X:$X, A69, Base!$O:$O, "Concluído"), 0) +
      IFERROR(COUNTIFS(Base!$Y:$Y, A69, Base!$O:$O, "Finalizado"), 0) +
      IFERROR(COUNTIFS(Base!$Y:$Y, A69, Base!$O:$O, "Concluído"), 0) +
      IFERROR(COUNTIFS(Base!$Z:$Z, A69, Base!$O:$O, "Finalizado"), 0) +
      IFERROR(COUNTIFS(Base!$Z:$Z, A69, Base!$O:$O, "Concluído"), 0)
    ) = 0,
    "-",
    (
      IFERROR(COUNTIFS(Base!$W:$W, A69, Base!$U:$U, TRUE), 0) +
      IFERROR(COUNTIFS(Base!$X:$X, A69, Base!$U:$U, TRUE), 0) +
      IFERROR(COUNTIFS(Base!$Y:$Y, A69, Base!$U:$U, TRUE), 0) +
      IFERROR(COUNTIFS(Base!$Z:$Z, A69, Base!$U:$U, TRUE), 0)
    ) /
    (
      IFERROR(COUNTIFS(Base!$W:$W, A69, Base!$O:$O, "Finalizado"), 0) +
      IFERROR(COUNTIFS(Base!$W:$W, A69, Base!$O:$O, "Concluído"), 0) +
      IFERROR(COUNTIFS(Base!$X:$X, A69, Base!$O:$O, "Finalizado"), 0) +
      IFERROR(COUNTIFS(Base!$X:$X, A69, Base!$O:$O, "Concluído"), 0) +
      IFERROR(COUNTIFS(Base!$Y:$Y, A69, Base!$O:$O, "Finalizado"), 0) +
      IFERROR(COUNTIFS(Base!$Y:$Y, A69, Base!$O:$O, "Concluído"), 0) +
      IFERROR(COUNTIFS(Base!$Z:$Z, A69, Base!$O:$O, "Finalizado"), 0) +
      IFERROR(COUNTIFS(Base!$Z:$Z, A69, Base!$O:$O, "Concluído"), 0)
    )
  )
)
</f>
        <v>-</v>
      </c>
      <c r="N69" s="120">
        <f>COUNTIF(Base!V:V,$A69)</f>
        <v>0</v>
      </c>
      <c r="O69" s="120">
        <f>COUNTIF(Base!W:W,$A69)</f>
        <v>2</v>
      </c>
      <c r="P69" s="120">
        <f>COUNTIF(Base!X:X,$A69)</f>
        <v>1</v>
      </c>
      <c r="Q69" s="120">
        <f>COUNTIF(Base!Y:Y,$A69)</f>
        <v>0</v>
      </c>
      <c r="R69" s="120">
        <f>COUNTIF(Base!Z:Z,$A69)</f>
        <v>0</v>
      </c>
      <c r="S69" s="120">
        <f t="shared" si="3"/>
        <v>3</v>
      </c>
      <c r="T69" s="120">
        <f t="shared" si="4"/>
        <v>3</v>
      </c>
      <c r="V69" s="293" t="str">
        <f>IF(
  (
    COUNTIF('Acompanhamento quinzenal'!$N:$N, A69) +
    COUNTIF('Acompanhamento quinzenal'!$T:$T, A69) +
    COUNTIF('Acompanhamento quinzenal'!$Z:$Z, A69) +
    COUNTIF('Acompanhamento quinzenal'!$AF:$AF, A69)
  ) = 0,
  "-",
  (
    IFERROR(SUMIFS('Acompanhamento quinzenal'!$S:$S, 'Acompanhamento quinzenal'!$N:$N, A69), 0) +
    IFERROR(SUMIFS('Acompanhamento quinzenal'!$Y:$Y, 'Acompanhamento quinzenal'!$T:$T, A69), 0) +
    IFERROR(SUMIFS('Acompanhamento quinzenal'!$AE:$AE, 'Acompanhamento quinzenal'!$Z:$Z, A69), 0) +
    IFERROR(SUMIFS('Acompanhamento quinzenal'!$AK:$AK, 'Acompanhamento quinzenal'!$AF:$AF, A69), 0)
  ) /
  (
    COUNTIF('Acompanhamento quinzenal'!$N:$N, A69) +
    COUNTIF('Acompanhamento quinzenal'!$T:$T, A69) +
    COUNTIF('Acompanhamento quinzenal'!$Z:$Z, A69) +
    COUNTIF('Acompanhamento quinzenal'!$AF:$AF, A69)
  )
)
</f>
        <v>-</v>
      </c>
      <c r="W69" s="293" t="str">
        <f>IF(
  (
    COUNTIF('Acompanhamento quinzenal'!$N:$N, A69) +
    COUNTIF('Acompanhamento quinzenal'!$T:$T, A69) +
    COUNTIF('Acompanhamento quinzenal'!$Z:$Z, A69) +
    COUNTIF('Acompanhamento quinzenal'!$AF:$AF, A69)
  ) = 0,
  "-",
  (
    IFERROR(SUMIFS('Acompanhamento quinzenal'!$O:$O, 'Acompanhamento quinzenal'!$N:$N, A69), 0) +
    IFERROR(SUMIFS('Acompanhamento quinzenal'!$U:$U, 'Acompanhamento quinzenal'!$T:$T, A69), 0) +
    IFERROR(SUMIFS('Acompanhamento quinzenal'!$AA:$AA, 'Acompanhamento quinzenal'!$Z:$Z, A69), 0) +
    IFERROR(SUMIFS('Acompanhamento quinzenal'!$AG:$AG, 'Acompanhamento quinzenal'!$AF:$AF, A69), 0)
  ) /
  (
    COUNTIF('Acompanhamento quinzenal'!$N:$N, A69) +
    COUNTIF('Acompanhamento quinzenal'!$T:$T, A69) +
    COUNTIF('Acompanhamento quinzenal'!$Z:$Z, A69) +
    COUNTIF('Acompanhamento quinzenal'!$AF:$AF, A69)
  )
)
</f>
        <v>-</v>
      </c>
      <c r="X69" s="294" t="str">
        <f>IF(
  (
    COUNTIF('Acompanhamento quinzenal'!$N:$N, A69) +
    COUNTIF('Acompanhamento quinzenal'!$T:$T, A69) +
    COUNTIF('Acompanhamento quinzenal'!$Z:$Z, A69) +
    COUNTIF('Acompanhamento quinzenal'!$AF:$AF, A69)
  ) = 0,
  "-",
  (
    IFERROR(SUMIFS('Acompanhamento quinzenal'!$P:$P, 'Acompanhamento quinzenal'!$N:$N, A69), 0) +
    IFERROR(SUMIFS('Acompanhamento quinzenal'!$V:$V, 'Acompanhamento quinzenal'!$T:$T, A69), 0) +
    IFERROR(SUMIFS('Acompanhamento quinzenal'!$AB:$AB, 'Acompanhamento quinzenal'!$Z:$Z, A69), 0) +
    IFERROR(SUMIFS('Acompanhamento quinzenal'!$AH:$AH, 'Acompanhamento quinzenal'!$AF:$AF, A69), 0)
  ) /
  (
    COUNTIF('Acompanhamento quinzenal'!$N:$N, A69) +
    COUNTIF('Acompanhamento quinzenal'!$T:$T, A69) +
    COUNTIF('Acompanhamento quinzenal'!$Z:$Z, A69) +
    COUNTIF('Acompanhamento quinzenal'!$AF:$AF, A69)
  )
)
</f>
        <v>-</v>
      </c>
      <c r="Y69" s="293" t="str">
        <f>IF(
  (
    COUNTIF('Acompanhamento quinzenal'!$N:$N, A69) +
    COUNTIF('Acompanhamento quinzenal'!$T:$T, A69) +
    COUNTIF('Acompanhamento quinzenal'!$Z:$Z, A69) +
    COUNTIF('Acompanhamento quinzenal'!$AF:$AF, A69)
  ) = 0,
  "-",
  (
    IFERROR(SUMIFS('Acompanhamento quinzenal'!$Q:$Q, 'Acompanhamento quinzenal'!$N:$N, A69), 0) +
    IFERROR(SUMIFS('Acompanhamento quinzenal'!$W:$W, 'Acompanhamento quinzenal'!$T:$T, A69), 0) +
    IFERROR(SUMIFS('Acompanhamento quinzenal'!$AC:$AC, 'Acompanhamento quinzenal'!$Z:$Z, A69), 0) +
    IFERROR(SUMIFS('Acompanhamento quinzenal'!$AI:$AI, 'Acompanhamento quinzenal'!$AF:$AF, A69), 0)
  ) /
  (
    COUNTIF('Acompanhamento quinzenal'!$N:$N, A69) +
    COUNTIF('Acompanhamento quinzenal'!$T:$T, A69) +
    COUNTIF('Acompanhamento quinzenal'!$Z:$Z, A69) +
    COUNTIF('Acompanhamento quinzenal'!$AF:$AF, A69)
  )
)
</f>
        <v>-</v>
      </c>
    </row>
    <row r="70" hidden="1">
      <c r="A70" s="291" t="str">
        <f>IFERROR(__xludf.DUMMYFUNCTION("""COMPUTED_VALUE"""),"gustavo.teruya")</f>
        <v>gustavo.teruya</v>
      </c>
      <c r="B70" s="120" t="str">
        <f>IFERROR(__xludf.DUMMYFUNCTION("""COMPUTED_VALUE"""),"Trainee")</f>
        <v>Trainee</v>
      </c>
      <c r="C70" s="120" t="str">
        <f>IFERROR(__xludf.DUMMYFUNCTION("""COMPUTED_VALUE"""),"NCon")</f>
        <v>NCon</v>
      </c>
      <c r="D70" s="292" t="str">
        <f>IFERROR((COUNTIFS(Base!$V:$V,A70,Base!$S:$S,"&gt;8") - COUNTIFS(Base!$V:$V,A70,Base!$S:$S,"&lt;7"))/COUNTIFS(Base!$V:$V,A70,Base!$S:$S,"&lt;&gt;"),"-")</f>
        <v>-</v>
      </c>
      <c r="E70" s="292" t="str">
        <f>IF(
  (
    COUNTIFS(Base!$W:$W, A70, Base!$S:$S, "&lt;&gt;") +
    COUNTIFS(Base!$X:$X, A70, Base!$S:$S, "&lt;&gt;") +
    COUNTIFS(Base!$Y:$Y, A70, Base!$S:$S, "&lt;&gt;") +
    COUNTIFS(Base!$Z:$Z, A70, Base!$S:$S, "&lt;&gt;")
  ) = 0,
  "-",
  (
    COUNTIFS(Base!$W:$W, A70, Base!$S:$S, "&gt;8") - COUNTIFS(Base!$W:$W, A70, Base!$S:$S, "&lt;7") +
    COUNTIFS(Base!$X:$X, A70, Base!$S:$S, "&gt;8") - COUNTIFS(Base!$X:$X, A70, Base!$S:$S, "&lt;7") +
    COUNTIFS(Base!$Y:$Y, A70, Base!$S:$S, "&gt;8") - COUNTIFS(Base!$Y:$Y, A70, Base!$S:$S, "&lt;7") +
    COUNTIFS(Base!$Z:$Z, A70, Base!$S:$S, "&gt;8") - COUNTIFS(Base!$Z:$Z, A70, Base!$S:$S, "&lt;7")
  ) /
  (
    COUNTIFS(Base!$W:$W, A70, Base!$S:$S, "&lt;&gt;") +
    COUNTIFS(Base!$X:$X, A70, Base!$S:$S, "&lt;&gt;") +
    COUNTIFS(Base!$Y:$Y, A70, Base!$S:$S, "&lt;&gt;") +
    COUNTIFS(Base!$Z:$Z, A70, Base!$S:$S, "&lt;&gt;")
  )
)
</f>
        <v>-</v>
      </c>
      <c r="F70" s="290">
        <f>SUMIFS(Base!$N:$N,Base!$V:$V,A70,Base!$N:$N,"&lt;&gt;")-SUMIFS(Base!$K:$K,Base!$V:$V,A70,Base!$N:$N,"&lt;&gt;")-(SUMIFS(Base!$L:$L,Base!$V:$V,A70,Base!$N:$N,"&lt;&gt;")*7)</f>
        <v>0</v>
      </c>
      <c r="G70" s="290"/>
      <c r="H70" s="290">
        <f>SUMIFS(Base!$F:$F,Base!$V:$V,A70,Base!$N:$N,"&lt;&gt;")*7</f>
        <v>0</v>
      </c>
      <c r="I70" s="290"/>
      <c r="J70" s="292" t="str">
        <f t="shared" ref="J70:K70" si="71">IFERROR(F70/H70,"-")</f>
        <v>-</v>
      </c>
      <c r="K70" s="292" t="str">
        <f t="shared" si="71"/>
        <v>-</v>
      </c>
      <c r="L70" s="292" t="str">
        <f>IFERROR((COUNTIFS(Base!$V:$V,A70,Base!$U:$U,TRUE))/(COUNTIFS(Base!$V:$V,A70,Base!$O:$O,"Finalizado")+COUNTIFS(Base!$V:$V,A70,Base!$O:$O,"Concluído")),"-")</f>
        <v>-</v>
      </c>
      <c r="M70" s="292" t="str">
        <f>IF(
  (
    IFERROR(COUNTIF(Base!$W:$W, A70), 0) +
    IFERROR(COUNTIF(Base!$X:$X, A70), 0) +
    IFERROR(COUNTIF(Base!$Y:$Y, A70), 0) +
    IFERROR(COUNTIF(Base!$Z:$Z, A70), 0)
  ) = 0,
  "-",
  IF(
    (
      IFERROR(COUNTIFS(Base!$W:$W, A70, Base!$O:$O, "Finalizado"), 0) +
      IFERROR(COUNTIFS(Base!$W:$W, A70, Base!$O:$O, "Concluído"), 0) +
      IFERROR(COUNTIFS(Base!$X:$X, A70, Base!$O:$O, "Finalizado"), 0) +
      IFERROR(COUNTIFS(Base!$X:$X, A70, Base!$O:$O, "Concluído"), 0) +
      IFERROR(COUNTIFS(Base!$Y:$Y, A70, Base!$O:$O, "Finalizado"), 0) +
      IFERROR(COUNTIFS(Base!$Y:$Y, A70, Base!$O:$O, "Concluído"), 0) +
      IFERROR(COUNTIFS(Base!$Z:$Z, A70, Base!$O:$O, "Finalizado"), 0) +
      IFERROR(COUNTIFS(Base!$Z:$Z, A70, Base!$O:$O, "Concluído"), 0)
    ) = 0,
    "-",
    (
      IFERROR(COUNTIFS(Base!$W:$W, A70, Base!$U:$U, TRUE), 0) +
      IFERROR(COUNTIFS(Base!$X:$X, A70, Base!$U:$U, TRUE), 0) +
      IFERROR(COUNTIFS(Base!$Y:$Y, A70, Base!$U:$U, TRUE), 0) +
      IFERROR(COUNTIFS(Base!$Z:$Z, A70, Base!$U:$U, TRUE), 0)
    ) /
    (
      IFERROR(COUNTIFS(Base!$W:$W, A70, Base!$O:$O, "Finalizado"), 0) +
      IFERROR(COUNTIFS(Base!$W:$W, A70, Base!$O:$O, "Concluído"), 0) +
      IFERROR(COUNTIFS(Base!$X:$X, A70, Base!$O:$O, "Finalizado"), 0) +
      IFERROR(COUNTIFS(Base!$X:$X, A70, Base!$O:$O, "Concluído"), 0) +
      IFERROR(COUNTIFS(Base!$Y:$Y, A70, Base!$O:$O, "Finalizado"), 0) +
      IFERROR(COUNTIFS(Base!$Y:$Y, A70, Base!$O:$O, "Concluído"), 0) +
      IFERROR(COUNTIFS(Base!$Z:$Z, A70, Base!$O:$O, "Finalizado"), 0) +
      IFERROR(COUNTIFS(Base!$Z:$Z, A70, Base!$O:$O, "Concluído"), 0)
    )
  )
)
</f>
        <v>-</v>
      </c>
      <c r="N70" s="120">
        <f>COUNTIF(Base!V:V,$A70)</f>
        <v>0</v>
      </c>
      <c r="O70" s="120">
        <f>COUNTIF(Base!W:W,$A70)</f>
        <v>0</v>
      </c>
      <c r="P70" s="120">
        <f>COUNTIF(Base!X:X,$A70)</f>
        <v>0</v>
      </c>
      <c r="Q70" s="120">
        <f>COUNTIF(Base!Y:Y,$A70)</f>
        <v>0</v>
      </c>
      <c r="R70" s="120">
        <f>COUNTIF(Base!Z:Z,$A70)</f>
        <v>0</v>
      </c>
      <c r="S70" s="120">
        <f t="shared" si="3"/>
        <v>0</v>
      </c>
      <c r="T70" s="120">
        <f t="shared" si="4"/>
        <v>0</v>
      </c>
      <c r="V70" s="293" t="str">
        <f>IF(
  (
    COUNTIF('Acompanhamento quinzenal'!$N:$N, A70) +
    COUNTIF('Acompanhamento quinzenal'!$T:$T, A70) +
    COUNTIF('Acompanhamento quinzenal'!$Z:$Z, A70) +
    COUNTIF('Acompanhamento quinzenal'!$AF:$AF, A70)
  ) = 0,
  "-",
  (
    IFERROR(SUMIFS('Acompanhamento quinzenal'!$S:$S, 'Acompanhamento quinzenal'!$N:$N, A70), 0) +
    IFERROR(SUMIFS('Acompanhamento quinzenal'!$Y:$Y, 'Acompanhamento quinzenal'!$T:$T, A70), 0) +
    IFERROR(SUMIFS('Acompanhamento quinzenal'!$AE:$AE, 'Acompanhamento quinzenal'!$Z:$Z, A70), 0) +
    IFERROR(SUMIFS('Acompanhamento quinzenal'!$AK:$AK, 'Acompanhamento quinzenal'!$AF:$AF, A70), 0)
  ) /
  (
    COUNTIF('Acompanhamento quinzenal'!$N:$N, A70) +
    COUNTIF('Acompanhamento quinzenal'!$T:$T, A70) +
    COUNTIF('Acompanhamento quinzenal'!$Z:$Z, A70) +
    COUNTIF('Acompanhamento quinzenal'!$AF:$AF, A70)
  )
)
</f>
        <v>-</v>
      </c>
      <c r="W70" s="293" t="str">
        <f>IF(
  (
    COUNTIF('Acompanhamento quinzenal'!$N:$N, A70) +
    COUNTIF('Acompanhamento quinzenal'!$T:$T, A70) +
    COUNTIF('Acompanhamento quinzenal'!$Z:$Z, A70) +
    COUNTIF('Acompanhamento quinzenal'!$AF:$AF, A70)
  ) = 0,
  "-",
  (
    IFERROR(SUMIFS('Acompanhamento quinzenal'!$O:$O, 'Acompanhamento quinzenal'!$N:$N, A70), 0) +
    IFERROR(SUMIFS('Acompanhamento quinzenal'!$U:$U, 'Acompanhamento quinzenal'!$T:$T, A70), 0) +
    IFERROR(SUMIFS('Acompanhamento quinzenal'!$AA:$AA, 'Acompanhamento quinzenal'!$Z:$Z, A70), 0) +
    IFERROR(SUMIFS('Acompanhamento quinzenal'!$AG:$AG, 'Acompanhamento quinzenal'!$AF:$AF, A70), 0)
  ) /
  (
    COUNTIF('Acompanhamento quinzenal'!$N:$N, A70) +
    COUNTIF('Acompanhamento quinzenal'!$T:$T, A70) +
    COUNTIF('Acompanhamento quinzenal'!$Z:$Z, A70) +
    COUNTIF('Acompanhamento quinzenal'!$AF:$AF, A70)
  )
)
</f>
        <v>-</v>
      </c>
      <c r="X70" s="294" t="str">
        <f>IF(
  (
    COUNTIF('Acompanhamento quinzenal'!$N:$N, A70) +
    COUNTIF('Acompanhamento quinzenal'!$T:$T, A70) +
    COUNTIF('Acompanhamento quinzenal'!$Z:$Z, A70) +
    COUNTIF('Acompanhamento quinzenal'!$AF:$AF, A70)
  ) = 0,
  "-",
  (
    IFERROR(SUMIFS('Acompanhamento quinzenal'!$P:$P, 'Acompanhamento quinzenal'!$N:$N, A70), 0) +
    IFERROR(SUMIFS('Acompanhamento quinzenal'!$V:$V, 'Acompanhamento quinzenal'!$T:$T, A70), 0) +
    IFERROR(SUMIFS('Acompanhamento quinzenal'!$AB:$AB, 'Acompanhamento quinzenal'!$Z:$Z, A70), 0) +
    IFERROR(SUMIFS('Acompanhamento quinzenal'!$AH:$AH, 'Acompanhamento quinzenal'!$AF:$AF, A70), 0)
  ) /
  (
    COUNTIF('Acompanhamento quinzenal'!$N:$N, A70) +
    COUNTIF('Acompanhamento quinzenal'!$T:$T, A70) +
    COUNTIF('Acompanhamento quinzenal'!$Z:$Z, A70) +
    COUNTIF('Acompanhamento quinzenal'!$AF:$AF, A70)
  )
)
</f>
        <v>-</v>
      </c>
      <c r="Y70" s="293" t="str">
        <f>IF(
  (
    COUNTIF('Acompanhamento quinzenal'!$N:$N, A70) +
    COUNTIF('Acompanhamento quinzenal'!$T:$T, A70) +
    COUNTIF('Acompanhamento quinzenal'!$Z:$Z, A70) +
    COUNTIF('Acompanhamento quinzenal'!$AF:$AF, A70)
  ) = 0,
  "-",
  (
    IFERROR(SUMIFS('Acompanhamento quinzenal'!$Q:$Q, 'Acompanhamento quinzenal'!$N:$N, A70), 0) +
    IFERROR(SUMIFS('Acompanhamento quinzenal'!$W:$W, 'Acompanhamento quinzenal'!$T:$T, A70), 0) +
    IFERROR(SUMIFS('Acompanhamento quinzenal'!$AC:$AC, 'Acompanhamento quinzenal'!$Z:$Z, A70), 0) +
    IFERROR(SUMIFS('Acompanhamento quinzenal'!$AI:$AI, 'Acompanhamento quinzenal'!$AF:$AF, A70), 0)
  ) /
  (
    COUNTIF('Acompanhamento quinzenal'!$N:$N, A70) +
    COUNTIF('Acompanhamento quinzenal'!$T:$T, A70) +
    COUNTIF('Acompanhamento quinzenal'!$Z:$Z, A70) +
    COUNTIF('Acompanhamento quinzenal'!$AF:$AF, A70)
  )
)
</f>
        <v>-</v>
      </c>
    </row>
    <row r="71" hidden="1">
      <c r="A71" s="291" t="str">
        <f>IFERROR(__xludf.DUMMYFUNCTION("""COMPUTED_VALUE"""),"gustavo.baeta")</f>
        <v>gustavo.baeta</v>
      </c>
      <c r="B71" s="120" t="str">
        <f>IFERROR(__xludf.DUMMYFUNCTION("""COMPUTED_VALUE"""),"Coordenador")</f>
        <v>Coordenador</v>
      </c>
      <c r="C71" s="120" t="str">
        <f>IFERROR(__xludf.DUMMYFUNCTION("""COMPUTED_VALUE"""),"NTec")</f>
        <v>NTec</v>
      </c>
      <c r="D71" s="292" t="str">
        <f>IFERROR((COUNTIFS(Base!$V:$V,A71,Base!$S:$S,"&gt;8") - COUNTIFS(Base!$V:$V,A71,Base!$S:$S,"&lt;7"))/COUNTIFS(Base!$V:$V,A71,Base!$S:$S,"&lt;&gt;"),"-")</f>
        <v>-</v>
      </c>
      <c r="E71" s="292" t="str">
        <f>IF(
  (
    COUNTIFS(Base!$W:$W, A71, Base!$S:$S, "&lt;&gt;") +
    COUNTIFS(Base!$X:$X, A71, Base!$S:$S, "&lt;&gt;") +
    COUNTIFS(Base!$Y:$Y, A71, Base!$S:$S, "&lt;&gt;") +
    COUNTIFS(Base!$Z:$Z, A71, Base!$S:$S, "&lt;&gt;")
  ) = 0,
  "-",
  (
    COUNTIFS(Base!$W:$W, A71, Base!$S:$S, "&gt;8") - COUNTIFS(Base!$W:$W, A71, Base!$S:$S, "&lt;7") +
    COUNTIFS(Base!$X:$X, A71, Base!$S:$S, "&gt;8") - COUNTIFS(Base!$X:$X, A71, Base!$S:$S, "&lt;7") +
    COUNTIFS(Base!$Y:$Y, A71, Base!$S:$S, "&gt;8") - COUNTIFS(Base!$Y:$Y, A71, Base!$S:$S, "&lt;7") +
    COUNTIFS(Base!$Z:$Z, A71, Base!$S:$S, "&gt;8") - COUNTIFS(Base!$Z:$Z, A71, Base!$S:$S, "&lt;7")
  ) /
  (
    COUNTIFS(Base!$W:$W, A71, Base!$S:$S, "&lt;&gt;") +
    COUNTIFS(Base!$X:$X, A71, Base!$S:$S, "&lt;&gt;") +
    COUNTIFS(Base!$Y:$Y, A71, Base!$S:$S, "&lt;&gt;") +
    COUNTIFS(Base!$Z:$Z, A71, Base!$S:$S, "&lt;&gt;")
  )
)
</f>
        <v>-</v>
      </c>
      <c r="F71" s="290">
        <f>SUMIFS(Base!$N:$N,Base!$V:$V,A71,Base!$N:$N,"&lt;&gt;")-SUMIFS(Base!$K:$K,Base!$V:$V,A71,Base!$N:$N,"&lt;&gt;")-(SUMIFS(Base!$L:$L,Base!$V:$V,A71,Base!$N:$N,"&lt;&gt;")*7)</f>
        <v>0</v>
      </c>
      <c r="G71" s="290"/>
      <c r="H71" s="290">
        <f>SUMIFS(Base!$F:$F,Base!$V:$V,A71,Base!$N:$N,"&lt;&gt;")*7</f>
        <v>0</v>
      </c>
      <c r="I71" s="290"/>
      <c r="J71" s="292" t="str">
        <f t="shared" ref="J71:K71" si="72">IFERROR(F71/H71,"-")</f>
        <v>-</v>
      </c>
      <c r="K71" s="292" t="str">
        <f t="shared" si="72"/>
        <v>-</v>
      </c>
      <c r="L71" s="292" t="str">
        <f>IFERROR((COUNTIFS(Base!$V:$V,A71,Base!$U:$U,TRUE))/(COUNTIFS(Base!$V:$V,A71,Base!$O:$O,"Finalizado")+COUNTIFS(Base!$V:$V,A71,Base!$O:$O,"Concluído")),"-")</f>
        <v>-</v>
      </c>
      <c r="M71" s="292">
        <f>IF(
  (
    IFERROR(COUNTIF(Base!$W:$W, A71), 0) +
    IFERROR(COUNTIF(Base!$X:$X, A71), 0) +
    IFERROR(COUNTIF(Base!$Y:$Y, A71), 0) +
    IFERROR(COUNTIF(Base!$Z:$Z, A71), 0)
  ) = 0,
  "-",
  IF(
    (
      IFERROR(COUNTIFS(Base!$W:$W, A71, Base!$O:$O, "Finalizado"), 0) +
      IFERROR(COUNTIFS(Base!$W:$W, A71, Base!$O:$O, "Concluído"), 0) +
      IFERROR(COUNTIFS(Base!$X:$X, A71, Base!$O:$O, "Finalizado"), 0) +
      IFERROR(COUNTIFS(Base!$X:$X, A71, Base!$O:$O, "Concluído"), 0) +
      IFERROR(COUNTIFS(Base!$Y:$Y, A71, Base!$O:$O, "Finalizado"), 0) +
      IFERROR(COUNTIFS(Base!$Y:$Y, A71, Base!$O:$O, "Concluído"), 0) +
      IFERROR(COUNTIFS(Base!$Z:$Z, A71, Base!$O:$O, "Finalizado"), 0) +
      IFERROR(COUNTIFS(Base!$Z:$Z, A71, Base!$O:$O, "Concluído"), 0)
    ) = 0,
    "-",
    (
      IFERROR(COUNTIFS(Base!$W:$W, A71, Base!$U:$U, TRUE), 0) +
      IFERROR(COUNTIFS(Base!$X:$X, A71, Base!$U:$U, TRUE), 0) +
      IFERROR(COUNTIFS(Base!$Y:$Y, A71, Base!$U:$U, TRUE), 0) +
      IFERROR(COUNTIFS(Base!$Z:$Z, A71, Base!$U:$U, TRUE), 0)
    ) /
    (
      IFERROR(COUNTIFS(Base!$W:$W, A71, Base!$O:$O, "Finalizado"), 0) +
      IFERROR(COUNTIFS(Base!$W:$W, A71, Base!$O:$O, "Concluído"), 0) +
      IFERROR(COUNTIFS(Base!$X:$X, A71, Base!$O:$O, "Finalizado"), 0) +
      IFERROR(COUNTIFS(Base!$X:$X, A71, Base!$O:$O, "Concluído"), 0) +
      IFERROR(COUNTIFS(Base!$Y:$Y, A71, Base!$O:$O, "Finalizado"), 0) +
      IFERROR(COUNTIFS(Base!$Y:$Y, A71, Base!$O:$O, "Concluído"), 0) +
      IFERROR(COUNTIFS(Base!$Z:$Z, A71, Base!$O:$O, "Finalizado"), 0) +
      IFERROR(COUNTIFS(Base!$Z:$Z, A71, Base!$O:$O, "Concluído"), 0)
    )
  )
)
</f>
        <v>0</v>
      </c>
      <c r="N71" s="120">
        <f>COUNTIF(Base!V:V,$A71)</f>
        <v>0</v>
      </c>
      <c r="O71" s="120">
        <f>COUNTIF(Base!W:W,$A71)</f>
        <v>2</v>
      </c>
      <c r="P71" s="120">
        <f>COUNTIF(Base!X:X,$A71)</f>
        <v>1</v>
      </c>
      <c r="Q71" s="120">
        <f>COUNTIF(Base!Y:Y,$A71)</f>
        <v>0</v>
      </c>
      <c r="R71" s="120">
        <f>COUNTIF(Base!Z:Z,$A71)</f>
        <v>0</v>
      </c>
      <c r="S71" s="120">
        <f t="shared" si="3"/>
        <v>3</v>
      </c>
      <c r="T71" s="120">
        <f t="shared" si="4"/>
        <v>3</v>
      </c>
      <c r="V71" s="293">
        <f>IF(
  (
    COUNTIF('Acompanhamento quinzenal'!$N:$N, A71) +
    COUNTIF('Acompanhamento quinzenal'!$T:$T, A71) +
    COUNTIF('Acompanhamento quinzenal'!$Z:$Z, A71) +
    COUNTIF('Acompanhamento quinzenal'!$AF:$AF, A71)
  ) = 0,
  "-",
  (
    IFERROR(SUMIFS('Acompanhamento quinzenal'!$S:$S, 'Acompanhamento quinzenal'!$N:$N, A71), 0) +
    IFERROR(SUMIFS('Acompanhamento quinzenal'!$Y:$Y, 'Acompanhamento quinzenal'!$T:$T, A71), 0) +
    IFERROR(SUMIFS('Acompanhamento quinzenal'!$AE:$AE, 'Acompanhamento quinzenal'!$Z:$Z, A71), 0) +
    IFERROR(SUMIFS('Acompanhamento quinzenal'!$AK:$AK, 'Acompanhamento quinzenal'!$AF:$AF, A71), 0)
  ) /
  (
    COUNTIF('Acompanhamento quinzenal'!$N:$N, A71) +
    COUNTIF('Acompanhamento quinzenal'!$T:$T, A71) +
    COUNTIF('Acompanhamento quinzenal'!$Z:$Z, A71) +
    COUNTIF('Acompanhamento quinzenal'!$AF:$AF, A71)
  )
)
</f>
        <v>3.5</v>
      </c>
      <c r="W71" s="293">
        <f>IF(
  (
    COUNTIF('Acompanhamento quinzenal'!$N:$N, A71) +
    COUNTIF('Acompanhamento quinzenal'!$T:$T, A71) +
    COUNTIF('Acompanhamento quinzenal'!$Z:$Z, A71) +
    COUNTIF('Acompanhamento quinzenal'!$AF:$AF, A71)
  ) = 0,
  "-",
  (
    IFERROR(SUMIFS('Acompanhamento quinzenal'!$O:$O, 'Acompanhamento quinzenal'!$N:$N, A71), 0) +
    IFERROR(SUMIFS('Acompanhamento quinzenal'!$U:$U, 'Acompanhamento quinzenal'!$T:$T, A71), 0) +
    IFERROR(SUMIFS('Acompanhamento quinzenal'!$AA:$AA, 'Acompanhamento quinzenal'!$Z:$Z, A71), 0) +
    IFERROR(SUMIFS('Acompanhamento quinzenal'!$AG:$AG, 'Acompanhamento quinzenal'!$AF:$AF, A71), 0)
  ) /
  (
    COUNTIF('Acompanhamento quinzenal'!$N:$N, A71) +
    COUNTIF('Acompanhamento quinzenal'!$T:$T, A71) +
    COUNTIF('Acompanhamento quinzenal'!$Z:$Z, A71) +
    COUNTIF('Acompanhamento quinzenal'!$AF:$AF, A71)
  )
)
</f>
        <v>3.5</v>
      </c>
      <c r="X71" s="294">
        <f>IF(
  (
    COUNTIF('Acompanhamento quinzenal'!$N:$N, A71) +
    COUNTIF('Acompanhamento quinzenal'!$T:$T, A71) +
    COUNTIF('Acompanhamento quinzenal'!$Z:$Z, A71) +
    COUNTIF('Acompanhamento quinzenal'!$AF:$AF, A71)
  ) = 0,
  "-",
  (
    IFERROR(SUMIFS('Acompanhamento quinzenal'!$P:$P, 'Acompanhamento quinzenal'!$N:$N, A71), 0) +
    IFERROR(SUMIFS('Acompanhamento quinzenal'!$V:$V, 'Acompanhamento quinzenal'!$T:$T, A71), 0) +
    IFERROR(SUMIFS('Acompanhamento quinzenal'!$AB:$AB, 'Acompanhamento quinzenal'!$Z:$Z, A71), 0) +
    IFERROR(SUMIFS('Acompanhamento quinzenal'!$AH:$AH, 'Acompanhamento quinzenal'!$AF:$AF, A71), 0)
  ) /
  (
    COUNTIF('Acompanhamento quinzenal'!$N:$N, A71) +
    COUNTIF('Acompanhamento quinzenal'!$T:$T, A71) +
    COUNTIF('Acompanhamento quinzenal'!$Z:$Z, A71) +
    COUNTIF('Acompanhamento quinzenal'!$AF:$AF, A71)
  )
)
</f>
        <v>3.5</v>
      </c>
      <c r="Y71" s="293">
        <f>IF(
  (
    COUNTIF('Acompanhamento quinzenal'!$N:$N, A71) +
    COUNTIF('Acompanhamento quinzenal'!$T:$T, A71) +
    COUNTIF('Acompanhamento quinzenal'!$Z:$Z, A71) +
    COUNTIF('Acompanhamento quinzenal'!$AF:$AF, A71)
  ) = 0,
  "-",
  (
    IFERROR(SUMIFS('Acompanhamento quinzenal'!$Q:$Q, 'Acompanhamento quinzenal'!$N:$N, A71), 0) +
    IFERROR(SUMIFS('Acompanhamento quinzenal'!$W:$W, 'Acompanhamento quinzenal'!$T:$T, A71), 0) +
    IFERROR(SUMIFS('Acompanhamento quinzenal'!$AC:$AC, 'Acompanhamento quinzenal'!$Z:$Z, A71), 0) +
    IFERROR(SUMIFS('Acompanhamento quinzenal'!$AI:$AI, 'Acompanhamento quinzenal'!$AF:$AF, A71), 0)
  ) /
  (
    COUNTIF('Acompanhamento quinzenal'!$N:$N, A71) +
    COUNTIF('Acompanhamento quinzenal'!$T:$T, A71) +
    COUNTIF('Acompanhamento quinzenal'!$Z:$Z, A71) +
    COUNTIF('Acompanhamento quinzenal'!$AF:$AF, A71)
  )
)
</f>
        <v>3.5</v>
      </c>
    </row>
    <row r="72" hidden="1">
      <c r="A72" s="291" t="str">
        <f>IFERROR(__xludf.DUMMYFUNCTION("""COMPUTED_VALUE"""),"gustavo.generoso")</f>
        <v>gustavo.generoso</v>
      </c>
      <c r="B72" s="120" t="str">
        <f>IFERROR(__xludf.DUMMYFUNCTION("""COMPUTED_VALUE"""),"Trainee")</f>
        <v>Trainee</v>
      </c>
      <c r="C72" s="120" t="str">
        <f>IFERROR(__xludf.DUMMYFUNCTION("""COMPUTED_VALUE"""),"NTec")</f>
        <v>NTec</v>
      </c>
      <c r="D72" s="292" t="str">
        <f>IFERROR((COUNTIFS(Base!$V:$V,A72,Base!$S:$S,"&gt;8") - COUNTIFS(Base!$V:$V,A72,Base!$S:$S,"&lt;7"))/COUNTIFS(Base!$V:$V,A72,Base!$S:$S,"&lt;&gt;"),"-")</f>
        <v>-</v>
      </c>
      <c r="E72" s="292" t="str">
        <f>IF(
  (
    COUNTIFS(Base!$W:$W, A72, Base!$S:$S, "&lt;&gt;") +
    COUNTIFS(Base!$X:$X, A72, Base!$S:$S, "&lt;&gt;") +
    COUNTIFS(Base!$Y:$Y, A72, Base!$S:$S, "&lt;&gt;") +
    COUNTIFS(Base!$Z:$Z, A72, Base!$S:$S, "&lt;&gt;")
  ) = 0,
  "-",
  (
    COUNTIFS(Base!$W:$W, A72, Base!$S:$S, "&gt;8") - COUNTIFS(Base!$W:$W, A72, Base!$S:$S, "&lt;7") +
    COUNTIFS(Base!$X:$X, A72, Base!$S:$S, "&gt;8") - COUNTIFS(Base!$X:$X, A72, Base!$S:$S, "&lt;7") +
    COUNTIFS(Base!$Y:$Y, A72, Base!$S:$S, "&gt;8") - COUNTIFS(Base!$Y:$Y, A72, Base!$S:$S, "&lt;7") +
    COUNTIFS(Base!$Z:$Z, A72, Base!$S:$S, "&gt;8") - COUNTIFS(Base!$Z:$Z, A72, Base!$S:$S, "&lt;7")
  ) /
  (
    COUNTIFS(Base!$W:$W, A72, Base!$S:$S, "&lt;&gt;") +
    COUNTIFS(Base!$X:$X, A72, Base!$S:$S, "&lt;&gt;") +
    COUNTIFS(Base!$Y:$Y, A72, Base!$S:$S, "&lt;&gt;") +
    COUNTIFS(Base!$Z:$Z, A72, Base!$S:$S, "&lt;&gt;")
  )
)
</f>
        <v>-</v>
      </c>
      <c r="F72" s="290">
        <f>SUMIFS(Base!$N:$N,Base!$V:$V,A72,Base!$N:$N,"&lt;&gt;")-SUMIFS(Base!$K:$K,Base!$V:$V,A72,Base!$N:$N,"&lt;&gt;")-(SUMIFS(Base!$L:$L,Base!$V:$V,A72,Base!$N:$N,"&lt;&gt;")*7)</f>
        <v>0</v>
      </c>
      <c r="G72" s="290"/>
      <c r="H72" s="290">
        <f>SUMIFS(Base!$F:$F,Base!$V:$V,A72,Base!$N:$N,"&lt;&gt;")*7</f>
        <v>0</v>
      </c>
      <c r="I72" s="290"/>
      <c r="J72" s="292" t="str">
        <f t="shared" ref="J72:K72" si="73">IFERROR(F72/H72,"-")</f>
        <v>-</v>
      </c>
      <c r="K72" s="292" t="str">
        <f t="shared" si="73"/>
        <v>-</v>
      </c>
      <c r="L72" s="292" t="str">
        <f>IFERROR((COUNTIFS(Base!$V:$V,A72,Base!$U:$U,TRUE))/(COUNTIFS(Base!$V:$V,A72,Base!$O:$O,"Finalizado")+COUNTIFS(Base!$V:$V,A72,Base!$O:$O,"Concluído")),"-")</f>
        <v>-</v>
      </c>
      <c r="M72" s="292" t="str">
        <f>IF(
  (
    IFERROR(COUNTIF(Base!$W:$W, A72), 0) +
    IFERROR(COUNTIF(Base!$X:$X, A72), 0) +
    IFERROR(COUNTIF(Base!$Y:$Y, A72), 0) +
    IFERROR(COUNTIF(Base!$Z:$Z, A72), 0)
  ) = 0,
  "-",
  IF(
    (
      IFERROR(COUNTIFS(Base!$W:$W, A72, Base!$O:$O, "Finalizado"), 0) +
      IFERROR(COUNTIFS(Base!$W:$W, A72, Base!$O:$O, "Concluído"), 0) +
      IFERROR(COUNTIFS(Base!$X:$X, A72, Base!$O:$O, "Finalizado"), 0) +
      IFERROR(COUNTIFS(Base!$X:$X, A72, Base!$O:$O, "Concluído"), 0) +
      IFERROR(COUNTIFS(Base!$Y:$Y, A72, Base!$O:$O, "Finalizado"), 0) +
      IFERROR(COUNTIFS(Base!$Y:$Y, A72, Base!$O:$O, "Concluído"), 0) +
      IFERROR(COUNTIFS(Base!$Z:$Z, A72, Base!$O:$O, "Finalizado"), 0) +
      IFERROR(COUNTIFS(Base!$Z:$Z, A72, Base!$O:$O, "Concluído"), 0)
    ) = 0,
    "-",
    (
      IFERROR(COUNTIFS(Base!$W:$W, A72, Base!$U:$U, TRUE), 0) +
      IFERROR(COUNTIFS(Base!$X:$X, A72, Base!$U:$U, TRUE), 0) +
      IFERROR(COUNTIFS(Base!$Y:$Y, A72, Base!$U:$U, TRUE), 0) +
      IFERROR(COUNTIFS(Base!$Z:$Z, A72, Base!$U:$U, TRUE), 0)
    ) /
    (
      IFERROR(COUNTIFS(Base!$W:$W, A72, Base!$O:$O, "Finalizado"), 0) +
      IFERROR(COUNTIFS(Base!$W:$W, A72, Base!$O:$O, "Concluído"), 0) +
      IFERROR(COUNTIFS(Base!$X:$X, A72, Base!$O:$O, "Finalizado"), 0) +
      IFERROR(COUNTIFS(Base!$X:$X, A72, Base!$O:$O, "Concluído"), 0) +
      IFERROR(COUNTIFS(Base!$Y:$Y, A72, Base!$O:$O, "Finalizado"), 0) +
      IFERROR(COUNTIFS(Base!$Y:$Y, A72, Base!$O:$O, "Concluído"), 0) +
      IFERROR(COUNTIFS(Base!$Z:$Z, A72, Base!$O:$O, "Finalizado"), 0) +
      IFERROR(COUNTIFS(Base!$Z:$Z, A72, Base!$O:$O, "Concluído"), 0)
    )
  )
)
</f>
        <v>-</v>
      </c>
      <c r="N72" s="120">
        <f>COUNTIF(Base!V:V,$A72)</f>
        <v>0</v>
      </c>
      <c r="O72" s="120">
        <f>COUNTIF(Base!W:W,$A72)</f>
        <v>0</v>
      </c>
      <c r="P72" s="120">
        <f>COUNTIF(Base!X:X,$A72)</f>
        <v>0</v>
      </c>
      <c r="Q72" s="120">
        <f>COUNTIF(Base!Y:Y,$A72)</f>
        <v>0</v>
      </c>
      <c r="R72" s="120">
        <f>COUNTIF(Base!Z:Z,$A72)</f>
        <v>0</v>
      </c>
      <c r="S72" s="120">
        <f t="shared" si="3"/>
        <v>0</v>
      </c>
      <c r="T72" s="120">
        <f t="shared" si="4"/>
        <v>0</v>
      </c>
      <c r="V72" s="293" t="str">
        <f>IF(
  (
    COUNTIF('Acompanhamento quinzenal'!$N:$N, A72) +
    COUNTIF('Acompanhamento quinzenal'!$T:$T, A72) +
    COUNTIF('Acompanhamento quinzenal'!$Z:$Z, A72) +
    COUNTIF('Acompanhamento quinzenal'!$AF:$AF, A72)
  ) = 0,
  "-",
  (
    IFERROR(SUMIFS('Acompanhamento quinzenal'!$S:$S, 'Acompanhamento quinzenal'!$N:$N, A72), 0) +
    IFERROR(SUMIFS('Acompanhamento quinzenal'!$Y:$Y, 'Acompanhamento quinzenal'!$T:$T, A72), 0) +
    IFERROR(SUMIFS('Acompanhamento quinzenal'!$AE:$AE, 'Acompanhamento quinzenal'!$Z:$Z, A72), 0) +
    IFERROR(SUMIFS('Acompanhamento quinzenal'!$AK:$AK, 'Acompanhamento quinzenal'!$AF:$AF, A72), 0)
  ) /
  (
    COUNTIF('Acompanhamento quinzenal'!$N:$N, A72) +
    COUNTIF('Acompanhamento quinzenal'!$T:$T, A72) +
    COUNTIF('Acompanhamento quinzenal'!$Z:$Z, A72) +
    COUNTIF('Acompanhamento quinzenal'!$AF:$AF, A72)
  )
)
</f>
        <v>-</v>
      </c>
      <c r="W72" s="293" t="str">
        <f>IF(
  (
    COUNTIF('Acompanhamento quinzenal'!$N:$N, A72) +
    COUNTIF('Acompanhamento quinzenal'!$T:$T, A72) +
    COUNTIF('Acompanhamento quinzenal'!$Z:$Z, A72) +
    COUNTIF('Acompanhamento quinzenal'!$AF:$AF, A72)
  ) = 0,
  "-",
  (
    IFERROR(SUMIFS('Acompanhamento quinzenal'!$O:$O, 'Acompanhamento quinzenal'!$N:$N, A72), 0) +
    IFERROR(SUMIFS('Acompanhamento quinzenal'!$U:$U, 'Acompanhamento quinzenal'!$T:$T, A72), 0) +
    IFERROR(SUMIFS('Acompanhamento quinzenal'!$AA:$AA, 'Acompanhamento quinzenal'!$Z:$Z, A72), 0) +
    IFERROR(SUMIFS('Acompanhamento quinzenal'!$AG:$AG, 'Acompanhamento quinzenal'!$AF:$AF, A72), 0)
  ) /
  (
    COUNTIF('Acompanhamento quinzenal'!$N:$N, A72) +
    COUNTIF('Acompanhamento quinzenal'!$T:$T, A72) +
    COUNTIF('Acompanhamento quinzenal'!$Z:$Z, A72) +
    COUNTIF('Acompanhamento quinzenal'!$AF:$AF, A72)
  )
)
</f>
        <v>-</v>
      </c>
      <c r="X72" s="294" t="str">
        <f>IF(
  (
    COUNTIF('Acompanhamento quinzenal'!$N:$N, A72) +
    COUNTIF('Acompanhamento quinzenal'!$T:$T, A72) +
    COUNTIF('Acompanhamento quinzenal'!$Z:$Z, A72) +
    COUNTIF('Acompanhamento quinzenal'!$AF:$AF, A72)
  ) = 0,
  "-",
  (
    IFERROR(SUMIFS('Acompanhamento quinzenal'!$P:$P, 'Acompanhamento quinzenal'!$N:$N, A72), 0) +
    IFERROR(SUMIFS('Acompanhamento quinzenal'!$V:$V, 'Acompanhamento quinzenal'!$T:$T, A72), 0) +
    IFERROR(SUMIFS('Acompanhamento quinzenal'!$AB:$AB, 'Acompanhamento quinzenal'!$Z:$Z, A72), 0) +
    IFERROR(SUMIFS('Acompanhamento quinzenal'!$AH:$AH, 'Acompanhamento quinzenal'!$AF:$AF, A72), 0)
  ) /
  (
    COUNTIF('Acompanhamento quinzenal'!$N:$N, A72) +
    COUNTIF('Acompanhamento quinzenal'!$T:$T, A72) +
    COUNTIF('Acompanhamento quinzenal'!$Z:$Z, A72) +
    COUNTIF('Acompanhamento quinzenal'!$AF:$AF, A72)
  )
)
</f>
        <v>-</v>
      </c>
      <c r="Y72" s="293" t="str">
        <f>IF(
  (
    COUNTIF('Acompanhamento quinzenal'!$N:$N, A72) +
    COUNTIF('Acompanhamento quinzenal'!$T:$T, A72) +
    COUNTIF('Acompanhamento quinzenal'!$Z:$Z, A72) +
    COUNTIF('Acompanhamento quinzenal'!$AF:$AF, A72)
  ) = 0,
  "-",
  (
    IFERROR(SUMIFS('Acompanhamento quinzenal'!$Q:$Q, 'Acompanhamento quinzenal'!$N:$N, A72), 0) +
    IFERROR(SUMIFS('Acompanhamento quinzenal'!$W:$W, 'Acompanhamento quinzenal'!$T:$T, A72), 0) +
    IFERROR(SUMIFS('Acompanhamento quinzenal'!$AC:$AC, 'Acompanhamento quinzenal'!$Z:$Z, A72), 0) +
    IFERROR(SUMIFS('Acompanhamento quinzenal'!$AI:$AI, 'Acompanhamento quinzenal'!$AF:$AF, A72), 0)
  ) /
  (
    COUNTIF('Acompanhamento quinzenal'!$N:$N, A72) +
    COUNTIF('Acompanhamento quinzenal'!$T:$T, A72) +
    COUNTIF('Acompanhamento quinzenal'!$Z:$Z, A72) +
    COUNTIF('Acompanhamento quinzenal'!$AF:$AF, A72)
  )
)
</f>
        <v>-</v>
      </c>
    </row>
    <row r="73">
      <c r="A73" s="291" t="str">
        <f>IFERROR(__xludf.DUMMYFUNCTION("""COMPUTED_VALUE"""),"gustavo.loiola")</f>
        <v>gustavo.loiola</v>
      </c>
      <c r="B73" s="120" t="str">
        <f>IFERROR(__xludf.DUMMYFUNCTION("""COMPUTED_VALUE"""),"Coordenador")</f>
        <v>Coordenador</v>
      </c>
      <c r="C73" s="120" t="str">
        <f>IFERROR(__xludf.DUMMYFUNCTION("""COMPUTED_VALUE"""),"NDados")</f>
        <v>NDados</v>
      </c>
      <c r="D73" s="292" t="str">
        <f>IFERROR((COUNTIFS(Base!$V:$V,A73,Base!$S:$S,"&gt;8") - COUNTIFS(Base!$V:$V,A73,Base!$S:$S,"&lt;7"))/COUNTIFS(Base!$V:$V,A73,Base!$S:$S,"&lt;&gt;"),"-")</f>
        <v>-</v>
      </c>
      <c r="E73" s="292">
        <f>IF(
  (
    COUNTIFS(Base!$W:$W, A73, Base!$S:$S, "&lt;&gt;") +
    COUNTIFS(Base!$X:$X, A73, Base!$S:$S, "&lt;&gt;") +
    COUNTIFS(Base!$Y:$Y, A73, Base!$S:$S, "&lt;&gt;") +
    COUNTIFS(Base!$Z:$Z, A73, Base!$S:$S, "&lt;&gt;")
  ) = 0,
  "-",
  (
    COUNTIFS(Base!$W:$W, A73, Base!$S:$S, "&gt;8") - COUNTIFS(Base!$W:$W, A73, Base!$S:$S, "&lt;7") +
    COUNTIFS(Base!$X:$X, A73, Base!$S:$S, "&gt;8") - COUNTIFS(Base!$X:$X, A73, Base!$S:$S, "&lt;7") +
    COUNTIFS(Base!$Y:$Y, A73, Base!$S:$S, "&gt;8") - COUNTIFS(Base!$Y:$Y, A73, Base!$S:$S, "&lt;7") +
    COUNTIFS(Base!$Z:$Z, A73, Base!$S:$S, "&gt;8") - COUNTIFS(Base!$Z:$Z, A73, Base!$S:$S, "&lt;7")
  ) /
  (
    COUNTIFS(Base!$W:$W, A73, Base!$S:$S, "&lt;&gt;") +
    COUNTIFS(Base!$X:$X, A73, Base!$S:$S, "&lt;&gt;") +
    COUNTIFS(Base!$Y:$Y, A73, Base!$S:$S, "&lt;&gt;") +
    COUNTIFS(Base!$Z:$Z, A73, Base!$S:$S, "&lt;&gt;")
  )
)
</f>
        <v>1</v>
      </c>
      <c r="F73" s="290">
        <f>SUMIFS(Base!$N:$N,Base!$V:$V,A73,Base!$N:$N,"&lt;&gt;")-SUMIFS(Base!$K:$K,Base!$V:$V,A73,Base!$N:$N,"&lt;&gt;")-(SUMIFS(Base!$L:$L,Base!$V:$V,A73,Base!$N:$N,"&lt;&gt;")*7)</f>
        <v>48</v>
      </c>
      <c r="G73" s="290"/>
      <c r="H73" s="290">
        <f>SUMIFS(Base!$F:$F,Base!$V:$V,A73,Base!$N:$N,"&lt;&gt;")*7</f>
        <v>35</v>
      </c>
      <c r="I73" s="290"/>
      <c r="J73" s="292">
        <f t="shared" ref="J73:K73" si="74">IFERROR(F73/H73,"-")</f>
        <v>1.371428571</v>
      </c>
      <c r="K73" s="292" t="str">
        <f t="shared" si="74"/>
        <v>-</v>
      </c>
      <c r="L73" s="292" t="str">
        <f>IFERROR((COUNTIFS(Base!$V:$V,A73,Base!$U:$U,TRUE))/(COUNTIFS(Base!$V:$V,A73,Base!$O:$O,"Finalizado")+COUNTIFS(Base!$V:$V,A73,Base!$O:$O,"Concluído")),"-")</f>
        <v>-</v>
      </c>
      <c r="M73" s="292">
        <f>IF(
  (
    IFERROR(COUNTIF(Base!$W:$W, A73), 0) +
    IFERROR(COUNTIF(Base!$X:$X, A73), 0) +
    IFERROR(COUNTIF(Base!$Y:$Y, A73), 0) +
    IFERROR(COUNTIF(Base!$Z:$Z, A73), 0)
  ) = 0,
  "-",
  IF(
    (
      IFERROR(COUNTIFS(Base!$W:$W, A73, Base!$O:$O, "Finalizado"), 0) +
      IFERROR(COUNTIFS(Base!$W:$W, A73, Base!$O:$O, "Concluído"), 0) +
      IFERROR(COUNTIFS(Base!$X:$X, A73, Base!$O:$O, "Finalizado"), 0) +
      IFERROR(COUNTIFS(Base!$X:$X, A73, Base!$O:$O, "Concluído"), 0) +
      IFERROR(COUNTIFS(Base!$Y:$Y, A73, Base!$O:$O, "Finalizado"), 0) +
      IFERROR(COUNTIFS(Base!$Y:$Y, A73, Base!$O:$O, "Concluído"), 0) +
      IFERROR(COUNTIFS(Base!$Z:$Z, A73, Base!$O:$O, "Finalizado"), 0) +
      IFERROR(COUNTIFS(Base!$Z:$Z, A73, Base!$O:$O, "Concluído"), 0)
    ) = 0,
    "-",
    (
      IFERROR(COUNTIFS(Base!$W:$W, A73, Base!$U:$U, TRUE), 0) +
      IFERROR(COUNTIFS(Base!$X:$X, A73, Base!$U:$U, TRUE), 0) +
      IFERROR(COUNTIFS(Base!$Y:$Y, A73, Base!$U:$U, TRUE), 0) +
      IFERROR(COUNTIFS(Base!$Z:$Z, A73, Base!$U:$U, TRUE), 0)
    ) /
    (
      IFERROR(COUNTIFS(Base!$W:$W, A73, Base!$O:$O, "Finalizado"), 0) +
      IFERROR(COUNTIFS(Base!$W:$W, A73, Base!$O:$O, "Concluído"), 0) +
      IFERROR(COUNTIFS(Base!$X:$X, A73, Base!$O:$O, "Finalizado"), 0) +
      IFERROR(COUNTIFS(Base!$X:$X, A73, Base!$O:$O, "Concluído"), 0) +
      IFERROR(COUNTIFS(Base!$Y:$Y, A73, Base!$O:$O, "Finalizado"), 0) +
      IFERROR(COUNTIFS(Base!$Y:$Y, A73, Base!$O:$O, "Concluído"), 0) +
      IFERROR(COUNTIFS(Base!$Z:$Z, A73, Base!$O:$O, "Finalizado"), 0) +
      IFERROR(COUNTIFS(Base!$Z:$Z, A73, Base!$O:$O, "Concluído"), 0)
    )
  )
)
</f>
        <v>0</v>
      </c>
      <c r="N73" s="120">
        <f>COUNTIF(Base!V:V,$A73)</f>
        <v>8</v>
      </c>
      <c r="O73" s="120">
        <f>COUNTIF(Base!W:W,$A73)</f>
        <v>4</v>
      </c>
      <c r="P73" s="120">
        <f>COUNTIF(Base!X:X,$A73)</f>
        <v>0</v>
      </c>
      <c r="Q73" s="120">
        <f>COUNTIF(Base!Y:Y,$A73)</f>
        <v>0</v>
      </c>
      <c r="R73" s="120">
        <f>COUNTIF(Base!Z:Z,$A73)</f>
        <v>0</v>
      </c>
      <c r="S73" s="120">
        <f t="shared" si="3"/>
        <v>12</v>
      </c>
      <c r="T73" s="120">
        <f t="shared" si="4"/>
        <v>4</v>
      </c>
      <c r="V73" s="293">
        <f>IF(
  (
    COUNTIF('Acompanhamento quinzenal'!$N:$N, A73) +
    COUNTIF('Acompanhamento quinzenal'!$T:$T, A73) +
    COUNTIF('Acompanhamento quinzenal'!$Z:$Z, A73) +
    COUNTIF('Acompanhamento quinzenal'!$AF:$AF, A73)
  ) = 0,
  "-",
  (
    IFERROR(SUMIFS('Acompanhamento quinzenal'!$S:$S, 'Acompanhamento quinzenal'!$N:$N, A73), 0) +
    IFERROR(SUMIFS('Acompanhamento quinzenal'!$Y:$Y, 'Acompanhamento quinzenal'!$T:$T, A73), 0) +
    IFERROR(SUMIFS('Acompanhamento quinzenal'!$AE:$AE, 'Acompanhamento quinzenal'!$Z:$Z, A73), 0) +
    IFERROR(SUMIFS('Acompanhamento quinzenal'!$AK:$AK, 'Acompanhamento quinzenal'!$AF:$AF, A73), 0)
  ) /
  (
    COUNTIF('Acompanhamento quinzenal'!$N:$N, A73) +
    COUNTIF('Acompanhamento quinzenal'!$T:$T, A73) +
    COUNTIF('Acompanhamento quinzenal'!$Z:$Z, A73) +
    COUNTIF('Acompanhamento quinzenal'!$AF:$AF, A73)
  )
)
</f>
        <v>3.777777778</v>
      </c>
      <c r="W73" s="293">
        <f>IF(
  (
    COUNTIF('Acompanhamento quinzenal'!$N:$N, A73) +
    COUNTIF('Acompanhamento quinzenal'!$T:$T, A73) +
    COUNTIF('Acompanhamento quinzenal'!$Z:$Z, A73) +
    COUNTIF('Acompanhamento quinzenal'!$AF:$AF, A73)
  ) = 0,
  "-",
  (
    IFERROR(SUMIFS('Acompanhamento quinzenal'!$O:$O, 'Acompanhamento quinzenal'!$N:$N, A73), 0) +
    IFERROR(SUMIFS('Acompanhamento quinzenal'!$U:$U, 'Acompanhamento quinzenal'!$T:$T, A73), 0) +
    IFERROR(SUMIFS('Acompanhamento quinzenal'!$AA:$AA, 'Acompanhamento quinzenal'!$Z:$Z, A73), 0) +
    IFERROR(SUMIFS('Acompanhamento quinzenal'!$AG:$AG, 'Acompanhamento quinzenal'!$AF:$AF, A73), 0)
  ) /
  (
    COUNTIF('Acompanhamento quinzenal'!$N:$N, A73) +
    COUNTIF('Acompanhamento quinzenal'!$T:$T, A73) +
    COUNTIF('Acompanhamento quinzenal'!$Z:$Z, A73) +
    COUNTIF('Acompanhamento quinzenal'!$AF:$AF, A73)
  )
)
</f>
        <v>3.666666667</v>
      </c>
      <c r="X73" s="294">
        <f>IF(
  (
    COUNTIF('Acompanhamento quinzenal'!$N:$N, A73) +
    COUNTIF('Acompanhamento quinzenal'!$T:$T, A73) +
    COUNTIF('Acompanhamento quinzenal'!$Z:$Z, A73) +
    COUNTIF('Acompanhamento quinzenal'!$AF:$AF, A73)
  ) = 0,
  "-",
  (
    IFERROR(SUMIFS('Acompanhamento quinzenal'!$P:$P, 'Acompanhamento quinzenal'!$N:$N, A73), 0) +
    IFERROR(SUMIFS('Acompanhamento quinzenal'!$V:$V, 'Acompanhamento quinzenal'!$T:$T, A73), 0) +
    IFERROR(SUMIFS('Acompanhamento quinzenal'!$AB:$AB, 'Acompanhamento quinzenal'!$Z:$Z, A73), 0) +
    IFERROR(SUMIFS('Acompanhamento quinzenal'!$AH:$AH, 'Acompanhamento quinzenal'!$AF:$AF, A73), 0)
  ) /
  (
    COUNTIF('Acompanhamento quinzenal'!$N:$N, A73) +
    COUNTIF('Acompanhamento quinzenal'!$T:$T, A73) +
    COUNTIF('Acompanhamento quinzenal'!$Z:$Z, A73) +
    COUNTIF('Acompanhamento quinzenal'!$AF:$AF, A73)
  )
)
</f>
        <v>4</v>
      </c>
      <c r="Y73" s="293">
        <f>IF(
  (
    COUNTIF('Acompanhamento quinzenal'!$N:$N, A73) +
    COUNTIF('Acompanhamento quinzenal'!$T:$T, A73) +
    COUNTIF('Acompanhamento quinzenal'!$Z:$Z, A73) +
    COUNTIF('Acompanhamento quinzenal'!$AF:$AF, A73)
  ) = 0,
  "-",
  (
    IFERROR(SUMIFS('Acompanhamento quinzenal'!$Q:$Q, 'Acompanhamento quinzenal'!$N:$N, A73), 0) +
    IFERROR(SUMIFS('Acompanhamento quinzenal'!$W:$W, 'Acompanhamento quinzenal'!$T:$T, A73), 0) +
    IFERROR(SUMIFS('Acompanhamento quinzenal'!$AC:$AC, 'Acompanhamento quinzenal'!$Z:$Z, A73), 0) +
    IFERROR(SUMIFS('Acompanhamento quinzenal'!$AI:$AI, 'Acompanhamento quinzenal'!$AF:$AF, A73), 0)
  ) /
  (
    COUNTIF('Acompanhamento quinzenal'!$N:$N, A73) +
    COUNTIF('Acompanhamento quinzenal'!$T:$T, A73) +
    COUNTIF('Acompanhamento quinzenal'!$Z:$Z, A73) +
    COUNTIF('Acompanhamento quinzenal'!$AF:$AF, A73)
  )
)
</f>
        <v>3.666666667</v>
      </c>
    </row>
    <row r="74" hidden="1">
      <c r="A74" s="291" t="str">
        <f>IFERROR(__xludf.DUMMYFUNCTION("""COMPUTED_VALUE"""),"gustavo.barbosa")</f>
        <v>gustavo.barbosa</v>
      </c>
      <c r="B74" s="120" t="str">
        <f>IFERROR(__xludf.DUMMYFUNCTION("""COMPUTED_VALUE"""),"Trainee")</f>
        <v>Trainee</v>
      </c>
      <c r="C74" s="120" t="str">
        <f>IFERROR(__xludf.DUMMYFUNCTION("""COMPUTED_VALUE"""),"NCon")</f>
        <v>NCon</v>
      </c>
      <c r="D74" s="292" t="str">
        <f>IFERROR((COUNTIFS(Base!$V:$V,A74,Base!$S:$S,"&gt;8") - COUNTIFS(Base!$V:$V,A74,Base!$S:$S,"&lt;7"))/COUNTIFS(Base!$V:$V,A74,Base!$S:$S,"&lt;&gt;"),"-")</f>
        <v>-</v>
      </c>
      <c r="E74" s="292" t="str">
        <f>IF(
  (
    COUNTIFS(Base!$W:$W, A74, Base!$S:$S, "&lt;&gt;") +
    COUNTIFS(Base!$X:$X, A74, Base!$S:$S, "&lt;&gt;") +
    COUNTIFS(Base!$Y:$Y, A74, Base!$S:$S, "&lt;&gt;") +
    COUNTIFS(Base!$Z:$Z, A74, Base!$S:$S, "&lt;&gt;")
  ) = 0,
  "-",
  (
    COUNTIFS(Base!$W:$W, A74, Base!$S:$S, "&gt;8") - COUNTIFS(Base!$W:$W, A74, Base!$S:$S, "&lt;7") +
    COUNTIFS(Base!$X:$X, A74, Base!$S:$S, "&gt;8") - COUNTIFS(Base!$X:$X, A74, Base!$S:$S, "&lt;7") +
    COUNTIFS(Base!$Y:$Y, A74, Base!$S:$S, "&gt;8") - COUNTIFS(Base!$Y:$Y, A74, Base!$S:$S, "&lt;7") +
    COUNTIFS(Base!$Z:$Z, A74, Base!$S:$S, "&gt;8") - COUNTIFS(Base!$Z:$Z, A74, Base!$S:$S, "&lt;7")
  ) /
  (
    COUNTIFS(Base!$W:$W, A74, Base!$S:$S, "&lt;&gt;") +
    COUNTIFS(Base!$X:$X, A74, Base!$S:$S, "&lt;&gt;") +
    COUNTIFS(Base!$Y:$Y, A74, Base!$S:$S, "&lt;&gt;") +
    COUNTIFS(Base!$Z:$Z, A74, Base!$S:$S, "&lt;&gt;")
  )
)
</f>
        <v>-</v>
      </c>
      <c r="F74" s="290">
        <f>SUMIFS(Base!$N:$N,Base!$V:$V,A74,Base!$N:$N,"&lt;&gt;")-SUMIFS(Base!$K:$K,Base!$V:$V,A74,Base!$N:$N,"&lt;&gt;")-(SUMIFS(Base!$L:$L,Base!$V:$V,A74,Base!$N:$N,"&lt;&gt;")*7)</f>
        <v>0</v>
      </c>
      <c r="G74" s="290"/>
      <c r="H74" s="290">
        <f>SUMIFS(Base!$F:$F,Base!$V:$V,A74,Base!$N:$N,"&lt;&gt;")*7</f>
        <v>0</v>
      </c>
      <c r="I74" s="290"/>
      <c r="J74" s="292" t="str">
        <f t="shared" ref="J74:K74" si="75">IFERROR(F74/H74,"-")</f>
        <v>-</v>
      </c>
      <c r="K74" s="292" t="str">
        <f t="shared" si="75"/>
        <v>-</v>
      </c>
      <c r="L74" s="292" t="str">
        <f>IFERROR((COUNTIFS(Base!$V:$V,A74,Base!$U:$U,TRUE))/(COUNTIFS(Base!$V:$V,A74,Base!$O:$O,"Finalizado")+COUNTIFS(Base!$V:$V,A74,Base!$O:$O,"Concluído")),"-")</f>
        <v>-</v>
      </c>
      <c r="M74" s="292" t="str">
        <f>IF(
  (
    IFERROR(COUNTIF(Base!$W:$W, A74), 0) +
    IFERROR(COUNTIF(Base!$X:$X, A74), 0) +
    IFERROR(COUNTIF(Base!$Y:$Y, A74), 0) +
    IFERROR(COUNTIF(Base!$Z:$Z, A74), 0)
  ) = 0,
  "-",
  IF(
    (
      IFERROR(COUNTIFS(Base!$W:$W, A74, Base!$O:$O, "Finalizado"), 0) +
      IFERROR(COUNTIFS(Base!$W:$W, A74, Base!$O:$O, "Concluído"), 0) +
      IFERROR(COUNTIFS(Base!$X:$X, A74, Base!$O:$O, "Finalizado"), 0) +
      IFERROR(COUNTIFS(Base!$X:$X, A74, Base!$O:$O, "Concluído"), 0) +
      IFERROR(COUNTIFS(Base!$Y:$Y, A74, Base!$O:$O, "Finalizado"), 0) +
      IFERROR(COUNTIFS(Base!$Y:$Y, A74, Base!$O:$O, "Concluído"), 0) +
      IFERROR(COUNTIFS(Base!$Z:$Z, A74, Base!$O:$O, "Finalizado"), 0) +
      IFERROR(COUNTIFS(Base!$Z:$Z, A74, Base!$O:$O, "Concluído"), 0)
    ) = 0,
    "-",
    (
      IFERROR(COUNTIFS(Base!$W:$W, A74, Base!$U:$U, TRUE), 0) +
      IFERROR(COUNTIFS(Base!$X:$X, A74, Base!$U:$U, TRUE), 0) +
      IFERROR(COUNTIFS(Base!$Y:$Y, A74, Base!$U:$U, TRUE), 0) +
      IFERROR(COUNTIFS(Base!$Z:$Z, A74, Base!$U:$U, TRUE), 0)
    ) /
    (
      IFERROR(COUNTIFS(Base!$W:$W, A74, Base!$O:$O, "Finalizado"), 0) +
      IFERROR(COUNTIFS(Base!$W:$W, A74, Base!$O:$O, "Concluído"), 0) +
      IFERROR(COUNTIFS(Base!$X:$X, A74, Base!$O:$O, "Finalizado"), 0) +
      IFERROR(COUNTIFS(Base!$X:$X, A74, Base!$O:$O, "Concluído"), 0) +
      IFERROR(COUNTIFS(Base!$Y:$Y, A74, Base!$O:$O, "Finalizado"), 0) +
      IFERROR(COUNTIFS(Base!$Y:$Y, A74, Base!$O:$O, "Concluído"), 0) +
      IFERROR(COUNTIFS(Base!$Z:$Z, A74, Base!$O:$O, "Finalizado"), 0) +
      IFERROR(COUNTIFS(Base!$Z:$Z, A74, Base!$O:$O, "Concluído"), 0)
    )
  )
)
</f>
        <v>-</v>
      </c>
      <c r="N74" s="120">
        <f>COUNTIF(Base!V:V,$A74)</f>
        <v>0</v>
      </c>
      <c r="O74" s="120">
        <f>COUNTIF(Base!W:W,$A74)</f>
        <v>0</v>
      </c>
      <c r="P74" s="120">
        <f>COUNTIF(Base!X:X,$A74)</f>
        <v>0</v>
      </c>
      <c r="Q74" s="120">
        <f>COUNTIF(Base!Y:Y,$A74)</f>
        <v>0</v>
      </c>
      <c r="R74" s="120">
        <f>COUNTIF(Base!Z:Z,$A74)</f>
        <v>0</v>
      </c>
      <c r="S74" s="120">
        <f t="shared" si="3"/>
        <v>0</v>
      </c>
      <c r="T74" s="120">
        <f t="shared" si="4"/>
        <v>0</v>
      </c>
      <c r="V74" s="293" t="str">
        <f>IF(
  (
    COUNTIF('Acompanhamento quinzenal'!$N:$N, A74) +
    COUNTIF('Acompanhamento quinzenal'!$T:$T, A74) +
    COUNTIF('Acompanhamento quinzenal'!$Z:$Z, A74) +
    COUNTIF('Acompanhamento quinzenal'!$AF:$AF, A74)
  ) = 0,
  "-",
  (
    IFERROR(SUMIFS('Acompanhamento quinzenal'!$S:$S, 'Acompanhamento quinzenal'!$N:$N, A74), 0) +
    IFERROR(SUMIFS('Acompanhamento quinzenal'!$Y:$Y, 'Acompanhamento quinzenal'!$T:$T, A74), 0) +
    IFERROR(SUMIFS('Acompanhamento quinzenal'!$AE:$AE, 'Acompanhamento quinzenal'!$Z:$Z, A74), 0) +
    IFERROR(SUMIFS('Acompanhamento quinzenal'!$AK:$AK, 'Acompanhamento quinzenal'!$AF:$AF, A74), 0)
  ) /
  (
    COUNTIF('Acompanhamento quinzenal'!$N:$N, A74) +
    COUNTIF('Acompanhamento quinzenal'!$T:$T, A74) +
    COUNTIF('Acompanhamento quinzenal'!$Z:$Z, A74) +
    COUNTIF('Acompanhamento quinzenal'!$AF:$AF, A74)
  )
)
</f>
        <v>-</v>
      </c>
      <c r="W74" s="293" t="str">
        <f>IF(
  (
    COUNTIF('Acompanhamento quinzenal'!$N:$N, A74) +
    COUNTIF('Acompanhamento quinzenal'!$T:$T, A74) +
    COUNTIF('Acompanhamento quinzenal'!$Z:$Z, A74) +
    COUNTIF('Acompanhamento quinzenal'!$AF:$AF, A74)
  ) = 0,
  "-",
  (
    IFERROR(SUMIFS('Acompanhamento quinzenal'!$O:$O, 'Acompanhamento quinzenal'!$N:$N, A74), 0) +
    IFERROR(SUMIFS('Acompanhamento quinzenal'!$U:$U, 'Acompanhamento quinzenal'!$T:$T, A74), 0) +
    IFERROR(SUMIFS('Acompanhamento quinzenal'!$AA:$AA, 'Acompanhamento quinzenal'!$Z:$Z, A74), 0) +
    IFERROR(SUMIFS('Acompanhamento quinzenal'!$AG:$AG, 'Acompanhamento quinzenal'!$AF:$AF, A74), 0)
  ) /
  (
    COUNTIF('Acompanhamento quinzenal'!$N:$N, A74) +
    COUNTIF('Acompanhamento quinzenal'!$T:$T, A74) +
    COUNTIF('Acompanhamento quinzenal'!$Z:$Z, A74) +
    COUNTIF('Acompanhamento quinzenal'!$AF:$AF, A74)
  )
)
</f>
        <v>-</v>
      </c>
      <c r="X74" s="294" t="str">
        <f>IF(
  (
    COUNTIF('Acompanhamento quinzenal'!$N:$N, A74) +
    COUNTIF('Acompanhamento quinzenal'!$T:$T, A74) +
    COUNTIF('Acompanhamento quinzenal'!$Z:$Z, A74) +
    COUNTIF('Acompanhamento quinzenal'!$AF:$AF, A74)
  ) = 0,
  "-",
  (
    IFERROR(SUMIFS('Acompanhamento quinzenal'!$P:$P, 'Acompanhamento quinzenal'!$N:$N, A74), 0) +
    IFERROR(SUMIFS('Acompanhamento quinzenal'!$V:$V, 'Acompanhamento quinzenal'!$T:$T, A74), 0) +
    IFERROR(SUMIFS('Acompanhamento quinzenal'!$AB:$AB, 'Acompanhamento quinzenal'!$Z:$Z, A74), 0) +
    IFERROR(SUMIFS('Acompanhamento quinzenal'!$AH:$AH, 'Acompanhamento quinzenal'!$AF:$AF, A74), 0)
  ) /
  (
    COUNTIF('Acompanhamento quinzenal'!$N:$N, A74) +
    COUNTIF('Acompanhamento quinzenal'!$T:$T, A74) +
    COUNTIF('Acompanhamento quinzenal'!$Z:$Z, A74) +
    COUNTIF('Acompanhamento quinzenal'!$AF:$AF, A74)
  )
)
</f>
        <v>-</v>
      </c>
      <c r="Y74" s="293" t="str">
        <f>IF(
  (
    COUNTIF('Acompanhamento quinzenal'!$N:$N, A74) +
    COUNTIF('Acompanhamento quinzenal'!$T:$T, A74) +
    COUNTIF('Acompanhamento quinzenal'!$Z:$Z, A74) +
    COUNTIF('Acompanhamento quinzenal'!$AF:$AF, A74)
  ) = 0,
  "-",
  (
    IFERROR(SUMIFS('Acompanhamento quinzenal'!$Q:$Q, 'Acompanhamento quinzenal'!$N:$N, A74), 0) +
    IFERROR(SUMIFS('Acompanhamento quinzenal'!$W:$W, 'Acompanhamento quinzenal'!$T:$T, A74), 0) +
    IFERROR(SUMIFS('Acompanhamento quinzenal'!$AC:$AC, 'Acompanhamento quinzenal'!$Z:$Z, A74), 0) +
    IFERROR(SUMIFS('Acompanhamento quinzenal'!$AI:$AI, 'Acompanhamento quinzenal'!$AF:$AF, A74), 0)
  ) /
  (
    COUNTIF('Acompanhamento quinzenal'!$N:$N, A74) +
    COUNTIF('Acompanhamento quinzenal'!$T:$T, A74) +
    COUNTIF('Acompanhamento quinzenal'!$Z:$Z, A74) +
    COUNTIF('Acompanhamento quinzenal'!$AF:$AF, A74)
  )
)
</f>
        <v>-</v>
      </c>
    </row>
    <row r="75" hidden="1">
      <c r="A75" s="291" t="str">
        <f>IFERROR(__xludf.DUMMYFUNCTION("""COMPUTED_VALUE"""),"gustavo.timbo")</f>
        <v>gustavo.timbo</v>
      </c>
      <c r="B75" s="120" t="str">
        <f>IFERROR(__xludf.DUMMYFUNCTION("""COMPUTED_VALUE"""),"Consultor")</f>
        <v>Consultor</v>
      </c>
      <c r="C75" s="120" t="str">
        <f>IFERROR(__xludf.DUMMYFUNCTION("""COMPUTED_VALUE"""),"NCiv")</f>
        <v>NCiv</v>
      </c>
      <c r="D75" s="292" t="str">
        <f>IFERROR((COUNTIFS(Base!$V:$V,A75,Base!$S:$S,"&gt;8") - COUNTIFS(Base!$V:$V,A75,Base!$S:$S,"&lt;7"))/COUNTIFS(Base!$V:$V,A75,Base!$S:$S,"&lt;&gt;"),"-")</f>
        <v>-</v>
      </c>
      <c r="E75" s="292">
        <f>IF(
  (
    COUNTIFS(Base!$W:$W, A75, Base!$S:$S, "&lt;&gt;") +
    COUNTIFS(Base!$X:$X, A75, Base!$S:$S, "&lt;&gt;") +
    COUNTIFS(Base!$Y:$Y, A75, Base!$S:$S, "&lt;&gt;") +
    COUNTIFS(Base!$Z:$Z, A75, Base!$S:$S, "&lt;&gt;")
  ) = 0,
  "-",
  (
    COUNTIFS(Base!$W:$W, A75, Base!$S:$S, "&gt;8") - COUNTIFS(Base!$W:$W, A75, Base!$S:$S, "&lt;7") +
    COUNTIFS(Base!$X:$X, A75, Base!$S:$S, "&gt;8") - COUNTIFS(Base!$X:$X, A75, Base!$S:$S, "&lt;7") +
    COUNTIFS(Base!$Y:$Y, A75, Base!$S:$S, "&gt;8") - COUNTIFS(Base!$Y:$Y, A75, Base!$S:$S, "&lt;7") +
    COUNTIFS(Base!$Z:$Z, A75, Base!$S:$S, "&gt;8") - COUNTIFS(Base!$Z:$Z, A75, Base!$S:$S, "&lt;7")
  ) /
  (
    COUNTIFS(Base!$W:$W, A75, Base!$S:$S, "&lt;&gt;") +
    COUNTIFS(Base!$X:$X, A75, Base!$S:$S, "&lt;&gt;") +
    COUNTIFS(Base!$Y:$Y, A75, Base!$S:$S, "&lt;&gt;") +
    COUNTIFS(Base!$Z:$Z, A75, Base!$S:$S, "&lt;&gt;")
  )
)
</f>
        <v>0</v>
      </c>
      <c r="F75" s="290">
        <f>SUMIFS(Base!$N:$N,Base!$V:$V,A75,Base!$N:$N,"&lt;&gt;")-SUMIFS(Base!$K:$K,Base!$V:$V,A75,Base!$N:$N,"&lt;&gt;")-(SUMIFS(Base!$L:$L,Base!$V:$V,A75,Base!$N:$N,"&lt;&gt;")*7)</f>
        <v>0</v>
      </c>
      <c r="G75" s="290"/>
      <c r="H75" s="290">
        <f>SUMIFS(Base!$F:$F,Base!$V:$V,A75,Base!$N:$N,"&lt;&gt;")*7</f>
        <v>0</v>
      </c>
      <c r="I75" s="290"/>
      <c r="J75" s="292" t="str">
        <f t="shared" ref="J75:K75" si="76">IFERROR(F75/H75,"-")</f>
        <v>-</v>
      </c>
      <c r="K75" s="292" t="str">
        <f t="shared" si="76"/>
        <v>-</v>
      </c>
      <c r="L75" s="292" t="str">
        <f>IFERROR((COUNTIFS(Base!$V:$V,A75,Base!$U:$U,TRUE))/(COUNTIFS(Base!$V:$V,A75,Base!$O:$O,"Finalizado")+COUNTIFS(Base!$V:$V,A75,Base!$O:$O,"Concluído")),"-")</f>
        <v>-</v>
      </c>
      <c r="M75" s="292">
        <f>IF(
  (
    IFERROR(COUNTIF(Base!$W:$W, A75), 0) +
    IFERROR(COUNTIF(Base!$X:$X, A75), 0) +
    IFERROR(COUNTIF(Base!$Y:$Y, A75), 0) +
    IFERROR(COUNTIF(Base!$Z:$Z, A75), 0)
  ) = 0,
  "-",
  IF(
    (
      IFERROR(COUNTIFS(Base!$W:$W, A75, Base!$O:$O, "Finalizado"), 0) +
      IFERROR(COUNTIFS(Base!$W:$W, A75, Base!$O:$O, "Concluído"), 0) +
      IFERROR(COUNTIFS(Base!$X:$X, A75, Base!$O:$O, "Finalizado"), 0) +
      IFERROR(COUNTIFS(Base!$X:$X, A75, Base!$O:$O, "Concluído"), 0) +
      IFERROR(COUNTIFS(Base!$Y:$Y, A75, Base!$O:$O, "Finalizado"), 0) +
      IFERROR(COUNTIFS(Base!$Y:$Y, A75, Base!$O:$O, "Concluído"), 0) +
      IFERROR(COUNTIFS(Base!$Z:$Z, A75, Base!$O:$O, "Finalizado"), 0) +
      IFERROR(COUNTIFS(Base!$Z:$Z, A75, Base!$O:$O, "Concluído"), 0)
    ) = 0,
    "-",
    (
      IFERROR(COUNTIFS(Base!$W:$W, A75, Base!$U:$U, TRUE), 0) +
      IFERROR(COUNTIFS(Base!$X:$X, A75, Base!$U:$U, TRUE), 0) +
      IFERROR(COUNTIFS(Base!$Y:$Y, A75, Base!$U:$U, TRUE), 0) +
      IFERROR(COUNTIFS(Base!$Z:$Z, A75, Base!$U:$U, TRUE), 0)
    ) /
    (
      IFERROR(COUNTIFS(Base!$W:$W, A75, Base!$O:$O, "Finalizado"), 0) +
      IFERROR(COUNTIFS(Base!$W:$W, A75, Base!$O:$O, "Concluído"), 0) +
      IFERROR(COUNTIFS(Base!$X:$X, A75, Base!$O:$O, "Finalizado"), 0) +
      IFERROR(COUNTIFS(Base!$X:$X, A75, Base!$O:$O, "Concluído"), 0) +
      IFERROR(COUNTIFS(Base!$Y:$Y, A75, Base!$O:$O, "Finalizado"), 0) +
      IFERROR(COUNTIFS(Base!$Y:$Y, A75, Base!$O:$O, "Concluído"), 0) +
      IFERROR(COUNTIFS(Base!$Z:$Z, A75, Base!$O:$O, "Finalizado"), 0) +
      IFERROR(COUNTIFS(Base!$Z:$Z, A75, Base!$O:$O, "Concluído"), 0)
    )
  )
)
</f>
        <v>0</v>
      </c>
      <c r="N75" s="120">
        <f>COUNTIF(Base!V:V,$A75)</f>
        <v>0</v>
      </c>
      <c r="O75" s="120">
        <f>COUNTIF(Base!W:W,$A75)</f>
        <v>0</v>
      </c>
      <c r="P75" s="120">
        <f>COUNTIF(Base!X:X,$A75)</f>
        <v>0</v>
      </c>
      <c r="Q75" s="120">
        <f>COUNTIF(Base!Y:Y,$A75)</f>
        <v>1</v>
      </c>
      <c r="R75" s="120">
        <f>COUNTIF(Base!Z:Z,$A75)</f>
        <v>1</v>
      </c>
      <c r="S75" s="120">
        <f t="shared" si="3"/>
        <v>2</v>
      </c>
      <c r="T75" s="120">
        <f t="shared" si="4"/>
        <v>2</v>
      </c>
      <c r="V75" s="293">
        <f>IF(
  (
    COUNTIF('Acompanhamento quinzenal'!$N:$N, A75) +
    COUNTIF('Acompanhamento quinzenal'!$T:$T, A75) +
    COUNTIF('Acompanhamento quinzenal'!$Z:$Z, A75) +
    COUNTIF('Acompanhamento quinzenal'!$AF:$AF, A75)
  ) = 0,
  "-",
  (
    IFERROR(SUMIFS('Acompanhamento quinzenal'!$S:$S, 'Acompanhamento quinzenal'!$N:$N, A75), 0) +
    IFERROR(SUMIFS('Acompanhamento quinzenal'!$Y:$Y, 'Acompanhamento quinzenal'!$T:$T, A75), 0) +
    IFERROR(SUMIFS('Acompanhamento quinzenal'!$AE:$AE, 'Acompanhamento quinzenal'!$Z:$Z, A75), 0) +
    IFERROR(SUMIFS('Acompanhamento quinzenal'!$AK:$AK, 'Acompanhamento quinzenal'!$AF:$AF, A75), 0)
  ) /
  (
    COUNTIF('Acompanhamento quinzenal'!$N:$N, A75) +
    COUNTIF('Acompanhamento quinzenal'!$T:$T, A75) +
    COUNTIF('Acompanhamento quinzenal'!$Z:$Z, A75) +
    COUNTIF('Acompanhamento quinzenal'!$AF:$AF, A75)
  )
)
</f>
        <v>1.777777778</v>
      </c>
      <c r="W75" s="293">
        <f>IF(
  (
    COUNTIF('Acompanhamento quinzenal'!$N:$N, A75) +
    COUNTIF('Acompanhamento quinzenal'!$T:$T, A75) +
    COUNTIF('Acompanhamento quinzenal'!$Z:$Z, A75) +
    COUNTIF('Acompanhamento quinzenal'!$AF:$AF, A75)
  ) = 0,
  "-",
  (
    IFERROR(SUMIFS('Acompanhamento quinzenal'!$O:$O, 'Acompanhamento quinzenal'!$N:$N, A75), 0) +
    IFERROR(SUMIFS('Acompanhamento quinzenal'!$U:$U, 'Acompanhamento quinzenal'!$T:$T, A75), 0) +
    IFERROR(SUMIFS('Acompanhamento quinzenal'!$AA:$AA, 'Acompanhamento quinzenal'!$Z:$Z, A75), 0) +
    IFERROR(SUMIFS('Acompanhamento quinzenal'!$AG:$AG, 'Acompanhamento quinzenal'!$AF:$AF, A75), 0)
  ) /
  (
    COUNTIF('Acompanhamento quinzenal'!$N:$N, A75) +
    COUNTIF('Acompanhamento quinzenal'!$T:$T, A75) +
    COUNTIF('Acompanhamento quinzenal'!$Z:$Z, A75) +
    COUNTIF('Acompanhamento quinzenal'!$AF:$AF, A75)
  )
)
</f>
        <v>3</v>
      </c>
      <c r="X75" s="294">
        <f>IF(
  (
    COUNTIF('Acompanhamento quinzenal'!$N:$N, A75) +
    COUNTIF('Acompanhamento quinzenal'!$T:$T, A75) +
    COUNTIF('Acompanhamento quinzenal'!$Z:$Z, A75) +
    COUNTIF('Acompanhamento quinzenal'!$AF:$AF, A75)
  ) = 0,
  "-",
  (
    IFERROR(SUMIFS('Acompanhamento quinzenal'!$P:$P, 'Acompanhamento quinzenal'!$N:$N, A75), 0) +
    IFERROR(SUMIFS('Acompanhamento quinzenal'!$V:$V, 'Acompanhamento quinzenal'!$T:$T, A75), 0) +
    IFERROR(SUMIFS('Acompanhamento quinzenal'!$AB:$AB, 'Acompanhamento quinzenal'!$Z:$Z, A75), 0) +
    IFERROR(SUMIFS('Acompanhamento quinzenal'!$AH:$AH, 'Acompanhamento quinzenal'!$AF:$AF, A75), 0)
  ) /
  (
    COUNTIF('Acompanhamento quinzenal'!$N:$N, A75) +
    COUNTIF('Acompanhamento quinzenal'!$T:$T, A75) +
    COUNTIF('Acompanhamento quinzenal'!$Z:$Z, A75) +
    COUNTIF('Acompanhamento quinzenal'!$AF:$AF, A75)
  )
)
</f>
        <v>2.666666667</v>
      </c>
      <c r="Y75" s="293">
        <f>IF(
  (
    COUNTIF('Acompanhamento quinzenal'!$N:$N, A75) +
    COUNTIF('Acompanhamento quinzenal'!$T:$T, A75) +
    COUNTIF('Acompanhamento quinzenal'!$Z:$Z, A75) +
    COUNTIF('Acompanhamento quinzenal'!$AF:$AF, A75)
  ) = 0,
  "-",
  (
    IFERROR(SUMIFS('Acompanhamento quinzenal'!$Q:$Q, 'Acompanhamento quinzenal'!$N:$N, A75), 0) +
    IFERROR(SUMIFS('Acompanhamento quinzenal'!$W:$W, 'Acompanhamento quinzenal'!$T:$T, A75), 0) +
    IFERROR(SUMIFS('Acompanhamento quinzenal'!$AC:$AC, 'Acompanhamento quinzenal'!$Z:$Z, A75), 0) +
    IFERROR(SUMIFS('Acompanhamento quinzenal'!$AI:$AI, 'Acompanhamento quinzenal'!$AF:$AF, A75), 0)
  ) /
  (
    COUNTIF('Acompanhamento quinzenal'!$N:$N, A75) +
    COUNTIF('Acompanhamento quinzenal'!$T:$T, A75) +
    COUNTIF('Acompanhamento quinzenal'!$Z:$Z, A75) +
    COUNTIF('Acompanhamento quinzenal'!$AF:$AF, A75)
  )
)
</f>
        <v>2</v>
      </c>
    </row>
    <row r="76">
      <c r="A76" s="291" t="str">
        <f>IFERROR(__xludf.DUMMYFUNCTION("""COMPUTED_VALUE"""),"gustavo.trazzi")</f>
        <v>gustavo.trazzi</v>
      </c>
      <c r="B76" s="120" t="str">
        <f>IFERROR(__xludf.DUMMYFUNCTION("""COMPUTED_VALUE"""),"Consultor")</f>
        <v>Consultor</v>
      </c>
      <c r="C76" s="120" t="str">
        <f>IFERROR(__xludf.DUMMYFUNCTION("""COMPUTED_VALUE"""),"NDados")</f>
        <v>NDados</v>
      </c>
      <c r="D76" s="292" t="str">
        <f>IFERROR((COUNTIFS(Base!$V:$V,A76,Base!$S:$S,"&gt;8") - COUNTIFS(Base!$V:$V,A76,Base!$S:$S,"&lt;7"))/COUNTIFS(Base!$V:$V,A76,Base!$S:$S,"&lt;&gt;"),"-")</f>
        <v>-</v>
      </c>
      <c r="E76" s="292">
        <f>IF(
  (
    COUNTIFS(Base!$W:$W, A76, Base!$S:$S, "&lt;&gt;") +
    COUNTIFS(Base!$X:$X, A76, Base!$S:$S, "&lt;&gt;") +
    COUNTIFS(Base!$Y:$Y, A76, Base!$S:$S, "&lt;&gt;") +
    COUNTIFS(Base!$Z:$Z, A76, Base!$S:$S, "&lt;&gt;")
  ) = 0,
  "-",
  (
    COUNTIFS(Base!$W:$W, A76, Base!$S:$S, "&gt;8") - COUNTIFS(Base!$W:$W, A76, Base!$S:$S, "&lt;7") +
    COUNTIFS(Base!$X:$X, A76, Base!$S:$S, "&gt;8") - COUNTIFS(Base!$X:$X, A76, Base!$S:$S, "&lt;7") +
    COUNTIFS(Base!$Y:$Y, A76, Base!$S:$S, "&gt;8") - COUNTIFS(Base!$Y:$Y, A76, Base!$S:$S, "&lt;7") +
    COUNTIFS(Base!$Z:$Z, A76, Base!$S:$S, "&gt;8") - COUNTIFS(Base!$Z:$Z, A76, Base!$S:$S, "&lt;7")
  ) /
  (
    COUNTIFS(Base!$W:$W, A76, Base!$S:$S, "&lt;&gt;") +
    COUNTIFS(Base!$X:$X, A76, Base!$S:$S, "&lt;&gt;") +
    COUNTIFS(Base!$Y:$Y, A76, Base!$S:$S, "&lt;&gt;") +
    COUNTIFS(Base!$Z:$Z, A76, Base!$S:$S, "&lt;&gt;")
  )
)
</f>
        <v>1</v>
      </c>
      <c r="F76" s="290">
        <f>SUMIFS(Base!$N:$N,Base!$V:$V,A76,Base!$N:$N,"&lt;&gt;")-SUMIFS(Base!$K:$K,Base!$V:$V,A76,Base!$N:$N,"&lt;&gt;")-(SUMIFS(Base!$L:$L,Base!$V:$V,A76,Base!$N:$N,"&lt;&gt;")*7)</f>
        <v>0</v>
      </c>
      <c r="G76" s="290"/>
      <c r="H76" s="290">
        <f>SUMIFS(Base!$F:$F,Base!$V:$V,A76,Base!$N:$N,"&lt;&gt;")*7</f>
        <v>0</v>
      </c>
      <c r="I76" s="290"/>
      <c r="J76" s="292" t="str">
        <f t="shared" ref="J76:K76" si="77">IFERROR(F76/H76,"-")</f>
        <v>-</v>
      </c>
      <c r="K76" s="292" t="str">
        <f t="shared" si="77"/>
        <v>-</v>
      </c>
      <c r="L76" s="292" t="str">
        <f>IFERROR((COUNTIFS(Base!$V:$V,A76,Base!$U:$U,TRUE))/(COUNTIFS(Base!$V:$V,A76,Base!$O:$O,"Finalizado")+COUNTIFS(Base!$V:$V,A76,Base!$O:$O,"Concluído")),"-")</f>
        <v>-</v>
      </c>
      <c r="M76" s="292" t="str">
        <f>IF(
  (
    IFERROR(COUNTIF(Base!$W:$W, A76), 0) +
    IFERROR(COUNTIF(Base!$X:$X, A76), 0) +
    IFERROR(COUNTIF(Base!$Y:$Y, A76), 0) +
    IFERROR(COUNTIF(Base!$Z:$Z, A76), 0)
  ) = 0,
  "-",
  IF(
    (
      IFERROR(COUNTIFS(Base!$W:$W, A76, Base!$O:$O, "Finalizado"), 0) +
      IFERROR(COUNTIFS(Base!$W:$W, A76, Base!$O:$O, "Concluído"), 0) +
      IFERROR(COUNTIFS(Base!$X:$X, A76, Base!$O:$O, "Finalizado"), 0) +
      IFERROR(COUNTIFS(Base!$X:$X, A76, Base!$O:$O, "Concluído"), 0) +
      IFERROR(COUNTIFS(Base!$Y:$Y, A76, Base!$O:$O, "Finalizado"), 0) +
      IFERROR(COUNTIFS(Base!$Y:$Y, A76, Base!$O:$O, "Concluído"), 0) +
      IFERROR(COUNTIFS(Base!$Z:$Z, A76, Base!$O:$O, "Finalizado"), 0) +
      IFERROR(COUNTIFS(Base!$Z:$Z, A76, Base!$O:$O, "Concluído"), 0)
    ) = 0,
    "-",
    (
      IFERROR(COUNTIFS(Base!$W:$W, A76, Base!$U:$U, TRUE), 0) +
      IFERROR(COUNTIFS(Base!$X:$X, A76, Base!$U:$U, TRUE), 0) +
      IFERROR(COUNTIFS(Base!$Y:$Y, A76, Base!$U:$U, TRUE), 0) +
      IFERROR(COUNTIFS(Base!$Z:$Z, A76, Base!$U:$U, TRUE), 0)
    ) /
    (
      IFERROR(COUNTIFS(Base!$W:$W, A76, Base!$O:$O, "Finalizado"), 0) +
      IFERROR(COUNTIFS(Base!$W:$W, A76, Base!$O:$O, "Concluído"), 0) +
      IFERROR(COUNTIFS(Base!$X:$X, A76, Base!$O:$O, "Finalizado"), 0) +
      IFERROR(COUNTIFS(Base!$X:$X, A76, Base!$O:$O, "Concluído"), 0) +
      IFERROR(COUNTIFS(Base!$Y:$Y, A76, Base!$O:$O, "Finalizado"), 0) +
      IFERROR(COUNTIFS(Base!$Y:$Y, A76, Base!$O:$O, "Concluído"), 0) +
      IFERROR(COUNTIFS(Base!$Z:$Z, A76, Base!$O:$O, "Finalizado"), 0) +
      IFERROR(COUNTIFS(Base!$Z:$Z, A76, Base!$O:$O, "Concluído"), 0)
    )
  )
)
</f>
        <v>-</v>
      </c>
      <c r="N76" s="120">
        <f>COUNTIF(Base!V:V,$A76)</f>
        <v>0</v>
      </c>
      <c r="O76" s="120">
        <f>COUNTIF(Base!W:W,$A76)</f>
        <v>2</v>
      </c>
      <c r="P76" s="120">
        <f>COUNTIF(Base!X:X,$A76)</f>
        <v>2</v>
      </c>
      <c r="Q76" s="120">
        <f>COUNTIF(Base!Y:Y,$A76)</f>
        <v>0</v>
      </c>
      <c r="R76" s="120">
        <f>COUNTIF(Base!Z:Z,$A76)</f>
        <v>0</v>
      </c>
      <c r="S76" s="120">
        <f t="shared" si="3"/>
        <v>4</v>
      </c>
      <c r="T76" s="120">
        <f t="shared" si="4"/>
        <v>4</v>
      </c>
      <c r="V76" s="293">
        <f>IF(
  (
    COUNTIF('Acompanhamento quinzenal'!$N:$N, A76) +
    COUNTIF('Acompanhamento quinzenal'!$T:$T, A76) +
    COUNTIF('Acompanhamento quinzenal'!$Z:$Z, A76) +
    COUNTIF('Acompanhamento quinzenal'!$AF:$AF, A76)
  ) = 0,
  "-",
  (
    IFERROR(SUMIFS('Acompanhamento quinzenal'!$S:$S, 'Acompanhamento quinzenal'!$N:$N, A76), 0) +
    IFERROR(SUMIFS('Acompanhamento quinzenal'!$Y:$Y, 'Acompanhamento quinzenal'!$T:$T, A76), 0) +
    IFERROR(SUMIFS('Acompanhamento quinzenal'!$AE:$AE, 'Acompanhamento quinzenal'!$Z:$Z, A76), 0) +
    IFERROR(SUMIFS('Acompanhamento quinzenal'!$AK:$AK, 'Acompanhamento quinzenal'!$AF:$AF, A76), 0)
  ) /
  (
    COUNTIF('Acompanhamento quinzenal'!$N:$N, A76) +
    COUNTIF('Acompanhamento quinzenal'!$T:$T, A76) +
    COUNTIF('Acompanhamento quinzenal'!$Z:$Z, A76) +
    COUNTIF('Acompanhamento quinzenal'!$AF:$AF, A76)
  )
)
</f>
        <v>2.444444444</v>
      </c>
      <c r="W76" s="293">
        <f>IF(
  (
    COUNTIF('Acompanhamento quinzenal'!$N:$N, A76) +
    COUNTIF('Acompanhamento quinzenal'!$T:$T, A76) +
    COUNTIF('Acompanhamento quinzenal'!$Z:$Z, A76) +
    COUNTIF('Acompanhamento quinzenal'!$AF:$AF, A76)
  ) = 0,
  "-",
  (
    IFERROR(SUMIFS('Acompanhamento quinzenal'!$O:$O, 'Acompanhamento quinzenal'!$N:$N, A76), 0) +
    IFERROR(SUMIFS('Acompanhamento quinzenal'!$U:$U, 'Acompanhamento quinzenal'!$T:$T, A76), 0) +
    IFERROR(SUMIFS('Acompanhamento quinzenal'!$AA:$AA, 'Acompanhamento quinzenal'!$Z:$Z, A76), 0) +
    IFERROR(SUMIFS('Acompanhamento quinzenal'!$AG:$AG, 'Acompanhamento quinzenal'!$AF:$AF, A76), 0)
  ) /
  (
    COUNTIF('Acompanhamento quinzenal'!$N:$N, A76) +
    COUNTIF('Acompanhamento quinzenal'!$T:$T, A76) +
    COUNTIF('Acompanhamento quinzenal'!$Z:$Z, A76) +
    COUNTIF('Acompanhamento quinzenal'!$AF:$AF, A76)
  )
)
</f>
        <v>2</v>
      </c>
      <c r="X76" s="294">
        <f>IF(
  (
    COUNTIF('Acompanhamento quinzenal'!$N:$N, A76) +
    COUNTIF('Acompanhamento quinzenal'!$T:$T, A76) +
    COUNTIF('Acompanhamento quinzenal'!$Z:$Z, A76) +
    COUNTIF('Acompanhamento quinzenal'!$AF:$AF, A76)
  ) = 0,
  "-",
  (
    IFERROR(SUMIFS('Acompanhamento quinzenal'!$P:$P, 'Acompanhamento quinzenal'!$N:$N, A76), 0) +
    IFERROR(SUMIFS('Acompanhamento quinzenal'!$V:$V, 'Acompanhamento quinzenal'!$T:$T, A76), 0) +
    IFERROR(SUMIFS('Acompanhamento quinzenal'!$AB:$AB, 'Acompanhamento quinzenal'!$Z:$Z, A76), 0) +
    IFERROR(SUMIFS('Acompanhamento quinzenal'!$AH:$AH, 'Acompanhamento quinzenal'!$AF:$AF, A76), 0)
  ) /
  (
    COUNTIF('Acompanhamento quinzenal'!$N:$N, A76) +
    COUNTIF('Acompanhamento quinzenal'!$T:$T, A76) +
    COUNTIF('Acompanhamento quinzenal'!$Z:$Z, A76) +
    COUNTIF('Acompanhamento quinzenal'!$AF:$AF, A76)
  )
)
</f>
        <v>2.333333333</v>
      </c>
      <c r="Y76" s="293">
        <f>IF(
  (
    COUNTIF('Acompanhamento quinzenal'!$N:$N, A76) +
    COUNTIF('Acompanhamento quinzenal'!$T:$T, A76) +
    COUNTIF('Acompanhamento quinzenal'!$Z:$Z, A76) +
    COUNTIF('Acompanhamento quinzenal'!$AF:$AF, A76)
  ) = 0,
  "-",
  (
    IFERROR(SUMIFS('Acompanhamento quinzenal'!$Q:$Q, 'Acompanhamento quinzenal'!$N:$N, A76), 0) +
    IFERROR(SUMIFS('Acompanhamento quinzenal'!$W:$W, 'Acompanhamento quinzenal'!$T:$T, A76), 0) +
    IFERROR(SUMIFS('Acompanhamento quinzenal'!$AC:$AC, 'Acompanhamento quinzenal'!$Z:$Z, A76), 0) +
    IFERROR(SUMIFS('Acompanhamento quinzenal'!$AI:$AI, 'Acompanhamento quinzenal'!$AF:$AF, A76), 0)
  ) /
  (
    COUNTIF('Acompanhamento quinzenal'!$N:$N, A76) +
    COUNTIF('Acompanhamento quinzenal'!$T:$T, A76) +
    COUNTIF('Acompanhamento quinzenal'!$Z:$Z, A76) +
    COUNTIF('Acompanhamento quinzenal'!$AF:$AF, A76)
  )
)
</f>
        <v>3</v>
      </c>
    </row>
    <row r="77">
      <c r="A77" s="291" t="str">
        <f>IFERROR(__xludf.DUMMYFUNCTION("""COMPUTED_VALUE"""),"helena.ferreira")</f>
        <v>helena.ferreira</v>
      </c>
      <c r="B77" s="120" t="str">
        <f>IFERROR(__xludf.DUMMYFUNCTION("""COMPUTED_VALUE"""),"Coordenador")</f>
        <v>Coordenador</v>
      </c>
      <c r="C77" s="120" t="str">
        <f>IFERROR(__xludf.DUMMYFUNCTION("""COMPUTED_VALUE"""),"NDados")</f>
        <v>NDados</v>
      </c>
      <c r="D77" s="292" t="str">
        <f>IFERROR((COUNTIFS(Base!$V:$V,A77,Base!$S:$S,"&gt;8") - COUNTIFS(Base!$V:$V,A77,Base!$S:$S,"&lt;7"))/COUNTIFS(Base!$V:$V,A77,Base!$S:$S,"&lt;&gt;"),"-")</f>
        <v>-</v>
      </c>
      <c r="E77" s="292" t="str">
        <f>IF(
  (
    COUNTIFS(Base!$W:$W, A77, Base!$S:$S, "&lt;&gt;") +
    COUNTIFS(Base!$X:$X, A77, Base!$S:$S, "&lt;&gt;") +
    COUNTIFS(Base!$Y:$Y, A77, Base!$S:$S, "&lt;&gt;") +
    COUNTIFS(Base!$Z:$Z, A77, Base!$S:$S, "&lt;&gt;")
  ) = 0,
  "-",
  (
    COUNTIFS(Base!$W:$W, A77, Base!$S:$S, "&gt;8") - COUNTIFS(Base!$W:$W, A77, Base!$S:$S, "&lt;7") +
    COUNTIFS(Base!$X:$X, A77, Base!$S:$S, "&gt;8") - COUNTIFS(Base!$X:$X, A77, Base!$S:$S, "&lt;7") +
    COUNTIFS(Base!$Y:$Y, A77, Base!$S:$S, "&gt;8") - COUNTIFS(Base!$Y:$Y, A77, Base!$S:$S, "&lt;7") +
    COUNTIFS(Base!$Z:$Z, A77, Base!$S:$S, "&gt;8") - COUNTIFS(Base!$Z:$Z, A77, Base!$S:$S, "&lt;7")
  ) /
  (
    COUNTIFS(Base!$W:$W, A77, Base!$S:$S, "&lt;&gt;") +
    COUNTIFS(Base!$X:$X, A77, Base!$S:$S, "&lt;&gt;") +
    COUNTIFS(Base!$Y:$Y, A77, Base!$S:$S, "&lt;&gt;") +
    COUNTIFS(Base!$Z:$Z, A77, Base!$S:$S, "&lt;&gt;")
  )
)
</f>
        <v>-</v>
      </c>
      <c r="F77" s="290">
        <f>SUMIFS(Base!$N:$N,Base!$V:$V,A77,Base!$N:$N,"&lt;&gt;")-SUMIFS(Base!$K:$K,Base!$V:$V,A77,Base!$N:$N,"&lt;&gt;")-(SUMIFS(Base!$L:$L,Base!$V:$V,A77,Base!$N:$N,"&lt;&gt;")*7)</f>
        <v>0</v>
      </c>
      <c r="G77" s="290"/>
      <c r="H77" s="290">
        <f>SUMIFS(Base!$F:$F,Base!$V:$V,A77,Base!$N:$N,"&lt;&gt;")*7</f>
        <v>0</v>
      </c>
      <c r="I77" s="290"/>
      <c r="J77" s="292" t="str">
        <f t="shared" ref="J77:K77" si="78">IFERROR(F77/H77,"-")</f>
        <v>-</v>
      </c>
      <c r="K77" s="292" t="str">
        <f t="shared" si="78"/>
        <v>-</v>
      </c>
      <c r="L77" s="292" t="str">
        <f>IFERROR((COUNTIFS(Base!$V:$V,A77,Base!$U:$U,TRUE))/(COUNTIFS(Base!$V:$V,A77,Base!$O:$O,"Finalizado")+COUNTIFS(Base!$V:$V,A77,Base!$O:$O,"Concluído")),"-")</f>
        <v>-</v>
      </c>
      <c r="M77" s="292" t="str">
        <f>IF(
  (
    IFERROR(COUNTIF(Base!$W:$W, A77), 0) +
    IFERROR(COUNTIF(Base!$X:$X, A77), 0) +
    IFERROR(COUNTIF(Base!$Y:$Y, A77), 0) +
    IFERROR(COUNTIF(Base!$Z:$Z, A77), 0)
  ) = 0,
  "-",
  IF(
    (
      IFERROR(COUNTIFS(Base!$W:$W, A77, Base!$O:$O, "Finalizado"), 0) +
      IFERROR(COUNTIFS(Base!$W:$W, A77, Base!$O:$O, "Concluído"), 0) +
      IFERROR(COUNTIFS(Base!$X:$X, A77, Base!$O:$O, "Finalizado"), 0) +
      IFERROR(COUNTIFS(Base!$X:$X, A77, Base!$O:$O, "Concluído"), 0) +
      IFERROR(COUNTIFS(Base!$Y:$Y, A77, Base!$O:$O, "Finalizado"), 0) +
      IFERROR(COUNTIFS(Base!$Y:$Y, A77, Base!$O:$O, "Concluído"), 0) +
      IFERROR(COUNTIFS(Base!$Z:$Z, A77, Base!$O:$O, "Finalizado"), 0) +
      IFERROR(COUNTIFS(Base!$Z:$Z, A77, Base!$O:$O, "Concluído"), 0)
    ) = 0,
    "-",
    (
      IFERROR(COUNTIFS(Base!$W:$W, A77, Base!$U:$U, TRUE), 0) +
      IFERROR(COUNTIFS(Base!$X:$X, A77, Base!$U:$U, TRUE), 0) +
      IFERROR(COUNTIFS(Base!$Y:$Y, A77, Base!$U:$U, TRUE), 0) +
      IFERROR(COUNTIFS(Base!$Z:$Z, A77, Base!$U:$U, TRUE), 0)
    ) /
    (
      IFERROR(COUNTIFS(Base!$W:$W, A77, Base!$O:$O, "Finalizado"), 0) +
      IFERROR(COUNTIFS(Base!$W:$W, A77, Base!$O:$O, "Concluído"), 0) +
      IFERROR(COUNTIFS(Base!$X:$X, A77, Base!$O:$O, "Finalizado"), 0) +
      IFERROR(COUNTIFS(Base!$X:$X, A77, Base!$O:$O, "Concluído"), 0) +
      IFERROR(COUNTIFS(Base!$Y:$Y, A77, Base!$O:$O, "Finalizado"), 0) +
      IFERROR(COUNTIFS(Base!$Y:$Y, A77, Base!$O:$O, "Concluído"), 0) +
      IFERROR(COUNTIFS(Base!$Z:$Z, A77, Base!$O:$O, "Finalizado"), 0) +
      IFERROR(COUNTIFS(Base!$Z:$Z, A77, Base!$O:$O, "Concluído"), 0)
    )
  )
)
</f>
        <v>-</v>
      </c>
      <c r="N77" s="120">
        <f>COUNTIF(Base!V:V,$A77)</f>
        <v>0</v>
      </c>
      <c r="O77" s="120">
        <f>COUNTIF(Base!W:W,$A77)</f>
        <v>0</v>
      </c>
      <c r="P77" s="120">
        <f>COUNTIF(Base!X:X,$A77)</f>
        <v>0</v>
      </c>
      <c r="Q77" s="120">
        <f>COUNTIF(Base!Y:Y,$A77)</f>
        <v>0</v>
      </c>
      <c r="R77" s="120">
        <f>COUNTIF(Base!Z:Z,$A77)</f>
        <v>0</v>
      </c>
      <c r="S77" s="120">
        <f t="shared" si="3"/>
        <v>0</v>
      </c>
      <c r="T77" s="120">
        <f t="shared" si="4"/>
        <v>0</v>
      </c>
      <c r="V77" s="293" t="str">
        <f>IF(
  (
    COUNTIF('Acompanhamento quinzenal'!$N:$N, A77) +
    COUNTIF('Acompanhamento quinzenal'!$T:$T, A77) +
    COUNTIF('Acompanhamento quinzenal'!$Z:$Z, A77) +
    COUNTIF('Acompanhamento quinzenal'!$AF:$AF, A77)
  ) = 0,
  "-",
  (
    IFERROR(SUMIFS('Acompanhamento quinzenal'!$S:$S, 'Acompanhamento quinzenal'!$N:$N, A77), 0) +
    IFERROR(SUMIFS('Acompanhamento quinzenal'!$Y:$Y, 'Acompanhamento quinzenal'!$T:$T, A77), 0) +
    IFERROR(SUMIFS('Acompanhamento quinzenal'!$AE:$AE, 'Acompanhamento quinzenal'!$Z:$Z, A77), 0) +
    IFERROR(SUMIFS('Acompanhamento quinzenal'!$AK:$AK, 'Acompanhamento quinzenal'!$AF:$AF, A77), 0)
  ) /
  (
    COUNTIF('Acompanhamento quinzenal'!$N:$N, A77) +
    COUNTIF('Acompanhamento quinzenal'!$T:$T, A77) +
    COUNTIF('Acompanhamento quinzenal'!$Z:$Z, A77) +
    COUNTIF('Acompanhamento quinzenal'!$AF:$AF, A77)
  )
)
</f>
        <v>-</v>
      </c>
      <c r="W77" s="293" t="str">
        <f>IF(
  (
    COUNTIF('Acompanhamento quinzenal'!$N:$N, A77) +
    COUNTIF('Acompanhamento quinzenal'!$T:$T, A77) +
    COUNTIF('Acompanhamento quinzenal'!$Z:$Z, A77) +
    COUNTIF('Acompanhamento quinzenal'!$AF:$AF, A77)
  ) = 0,
  "-",
  (
    IFERROR(SUMIFS('Acompanhamento quinzenal'!$O:$O, 'Acompanhamento quinzenal'!$N:$N, A77), 0) +
    IFERROR(SUMIFS('Acompanhamento quinzenal'!$U:$U, 'Acompanhamento quinzenal'!$T:$T, A77), 0) +
    IFERROR(SUMIFS('Acompanhamento quinzenal'!$AA:$AA, 'Acompanhamento quinzenal'!$Z:$Z, A77), 0) +
    IFERROR(SUMIFS('Acompanhamento quinzenal'!$AG:$AG, 'Acompanhamento quinzenal'!$AF:$AF, A77), 0)
  ) /
  (
    COUNTIF('Acompanhamento quinzenal'!$N:$N, A77) +
    COUNTIF('Acompanhamento quinzenal'!$T:$T, A77) +
    COUNTIF('Acompanhamento quinzenal'!$Z:$Z, A77) +
    COUNTIF('Acompanhamento quinzenal'!$AF:$AF, A77)
  )
)
</f>
        <v>-</v>
      </c>
      <c r="X77" s="294" t="str">
        <f>IF(
  (
    COUNTIF('Acompanhamento quinzenal'!$N:$N, A77) +
    COUNTIF('Acompanhamento quinzenal'!$T:$T, A77) +
    COUNTIF('Acompanhamento quinzenal'!$Z:$Z, A77) +
    COUNTIF('Acompanhamento quinzenal'!$AF:$AF, A77)
  ) = 0,
  "-",
  (
    IFERROR(SUMIFS('Acompanhamento quinzenal'!$P:$P, 'Acompanhamento quinzenal'!$N:$N, A77), 0) +
    IFERROR(SUMIFS('Acompanhamento quinzenal'!$V:$V, 'Acompanhamento quinzenal'!$T:$T, A77), 0) +
    IFERROR(SUMIFS('Acompanhamento quinzenal'!$AB:$AB, 'Acompanhamento quinzenal'!$Z:$Z, A77), 0) +
    IFERROR(SUMIFS('Acompanhamento quinzenal'!$AH:$AH, 'Acompanhamento quinzenal'!$AF:$AF, A77), 0)
  ) /
  (
    COUNTIF('Acompanhamento quinzenal'!$N:$N, A77) +
    COUNTIF('Acompanhamento quinzenal'!$T:$T, A77) +
    COUNTIF('Acompanhamento quinzenal'!$Z:$Z, A77) +
    COUNTIF('Acompanhamento quinzenal'!$AF:$AF, A77)
  )
)
</f>
        <v>-</v>
      </c>
      <c r="Y77" s="293" t="str">
        <f>IF(
  (
    COUNTIF('Acompanhamento quinzenal'!$N:$N, A77) +
    COUNTIF('Acompanhamento quinzenal'!$T:$T, A77) +
    COUNTIF('Acompanhamento quinzenal'!$Z:$Z, A77) +
    COUNTIF('Acompanhamento quinzenal'!$AF:$AF, A77)
  ) = 0,
  "-",
  (
    IFERROR(SUMIFS('Acompanhamento quinzenal'!$Q:$Q, 'Acompanhamento quinzenal'!$N:$N, A77), 0) +
    IFERROR(SUMIFS('Acompanhamento quinzenal'!$W:$W, 'Acompanhamento quinzenal'!$T:$T, A77), 0) +
    IFERROR(SUMIFS('Acompanhamento quinzenal'!$AC:$AC, 'Acompanhamento quinzenal'!$Z:$Z, A77), 0) +
    IFERROR(SUMIFS('Acompanhamento quinzenal'!$AI:$AI, 'Acompanhamento quinzenal'!$AF:$AF, A77), 0)
  ) /
  (
    COUNTIF('Acompanhamento quinzenal'!$N:$N, A77) +
    COUNTIF('Acompanhamento quinzenal'!$T:$T, A77) +
    COUNTIF('Acompanhamento quinzenal'!$Z:$Z, A77) +
    COUNTIF('Acompanhamento quinzenal'!$AF:$AF, A77)
  )
)
</f>
        <v>-</v>
      </c>
    </row>
    <row r="78">
      <c r="A78" s="291" t="str">
        <f>IFERROR(__xludf.DUMMYFUNCTION("""COMPUTED_VALUE"""),"henrique.aguiar")</f>
        <v>henrique.aguiar</v>
      </c>
      <c r="B78" s="120" t="str">
        <f>IFERROR(__xludf.DUMMYFUNCTION("""COMPUTED_VALUE"""),"Gerente")</f>
        <v>Gerente</v>
      </c>
      <c r="C78" s="120" t="str">
        <f>IFERROR(__xludf.DUMMYFUNCTION("""COMPUTED_VALUE"""),"NDados")</f>
        <v>NDados</v>
      </c>
      <c r="D78" s="292" t="str">
        <f>IFERROR((COUNTIFS(Base!$V:$V,A78,Base!$S:$S,"&gt;8") - COUNTIFS(Base!$V:$V,A78,Base!$S:$S,"&lt;7"))/COUNTIFS(Base!$V:$V,A78,Base!$S:$S,"&lt;&gt;"),"-")</f>
        <v>-</v>
      </c>
      <c r="E78" s="292" t="str">
        <f>IF(
  (
    COUNTIFS(Base!$W:$W, A78, Base!$S:$S, "&lt;&gt;") +
    COUNTIFS(Base!$X:$X, A78, Base!$S:$S, "&lt;&gt;") +
    COUNTIFS(Base!$Y:$Y, A78, Base!$S:$S, "&lt;&gt;") +
    COUNTIFS(Base!$Z:$Z, A78, Base!$S:$S, "&lt;&gt;")
  ) = 0,
  "-",
  (
    COUNTIFS(Base!$W:$W, A78, Base!$S:$S, "&gt;8") - COUNTIFS(Base!$W:$W, A78, Base!$S:$S, "&lt;7") +
    COUNTIFS(Base!$X:$X, A78, Base!$S:$S, "&gt;8") - COUNTIFS(Base!$X:$X, A78, Base!$S:$S, "&lt;7") +
    COUNTIFS(Base!$Y:$Y, A78, Base!$S:$S, "&gt;8") - COUNTIFS(Base!$Y:$Y, A78, Base!$S:$S, "&lt;7") +
    COUNTIFS(Base!$Z:$Z, A78, Base!$S:$S, "&gt;8") - COUNTIFS(Base!$Z:$Z, A78, Base!$S:$S, "&lt;7")
  ) /
  (
    COUNTIFS(Base!$W:$W, A78, Base!$S:$S, "&lt;&gt;") +
    COUNTIFS(Base!$X:$X, A78, Base!$S:$S, "&lt;&gt;") +
    COUNTIFS(Base!$Y:$Y, A78, Base!$S:$S, "&lt;&gt;") +
    COUNTIFS(Base!$Z:$Z, A78, Base!$S:$S, "&lt;&gt;")
  )
)
</f>
        <v>-</v>
      </c>
      <c r="F78" s="290">
        <f>SUMIFS(Base!$N:$N,Base!$V:$V,A78,Base!$N:$N,"&lt;&gt;")-SUMIFS(Base!$K:$K,Base!$V:$V,A78,Base!$N:$N,"&lt;&gt;")-(SUMIFS(Base!$L:$L,Base!$V:$V,A78,Base!$N:$N,"&lt;&gt;")*7)</f>
        <v>0</v>
      </c>
      <c r="G78" s="290"/>
      <c r="H78" s="290">
        <f>SUMIFS(Base!$F:$F,Base!$V:$V,A78,Base!$N:$N,"&lt;&gt;")*7</f>
        <v>0</v>
      </c>
      <c r="I78" s="290"/>
      <c r="J78" s="292" t="str">
        <f t="shared" ref="J78:K78" si="79">IFERROR(F78/H78,"-")</f>
        <v>-</v>
      </c>
      <c r="K78" s="292" t="str">
        <f t="shared" si="79"/>
        <v>-</v>
      </c>
      <c r="L78" s="292" t="str">
        <f>IFERROR((COUNTIFS(Base!$V:$V,A78,Base!$U:$U,TRUE))/(COUNTIFS(Base!$V:$V,A78,Base!$O:$O,"Finalizado")+COUNTIFS(Base!$V:$V,A78,Base!$O:$O,"Concluído")),"-")</f>
        <v>-</v>
      </c>
      <c r="M78" s="292" t="str">
        <f>IF(
  (
    IFERROR(COUNTIF(Base!$W:$W, A78), 0) +
    IFERROR(COUNTIF(Base!$X:$X, A78), 0) +
    IFERROR(COUNTIF(Base!$Y:$Y, A78), 0) +
    IFERROR(COUNTIF(Base!$Z:$Z, A78), 0)
  ) = 0,
  "-",
  IF(
    (
      IFERROR(COUNTIFS(Base!$W:$W, A78, Base!$O:$O, "Finalizado"), 0) +
      IFERROR(COUNTIFS(Base!$W:$W, A78, Base!$O:$O, "Concluído"), 0) +
      IFERROR(COUNTIFS(Base!$X:$X, A78, Base!$O:$O, "Finalizado"), 0) +
      IFERROR(COUNTIFS(Base!$X:$X, A78, Base!$O:$O, "Concluído"), 0) +
      IFERROR(COUNTIFS(Base!$Y:$Y, A78, Base!$O:$O, "Finalizado"), 0) +
      IFERROR(COUNTIFS(Base!$Y:$Y, A78, Base!$O:$O, "Concluído"), 0) +
      IFERROR(COUNTIFS(Base!$Z:$Z, A78, Base!$O:$O, "Finalizado"), 0) +
      IFERROR(COUNTIFS(Base!$Z:$Z, A78, Base!$O:$O, "Concluído"), 0)
    ) = 0,
    "-",
    (
      IFERROR(COUNTIFS(Base!$W:$W, A78, Base!$U:$U, TRUE), 0) +
      IFERROR(COUNTIFS(Base!$X:$X, A78, Base!$U:$U, TRUE), 0) +
      IFERROR(COUNTIFS(Base!$Y:$Y, A78, Base!$U:$U, TRUE), 0) +
      IFERROR(COUNTIFS(Base!$Z:$Z, A78, Base!$U:$U, TRUE), 0)
    ) /
    (
      IFERROR(COUNTIFS(Base!$W:$W, A78, Base!$O:$O, "Finalizado"), 0) +
      IFERROR(COUNTIFS(Base!$W:$W, A78, Base!$O:$O, "Concluído"), 0) +
      IFERROR(COUNTIFS(Base!$X:$X, A78, Base!$O:$O, "Finalizado"), 0) +
      IFERROR(COUNTIFS(Base!$X:$X, A78, Base!$O:$O, "Concluído"), 0) +
      IFERROR(COUNTIFS(Base!$Y:$Y, A78, Base!$O:$O, "Finalizado"), 0) +
      IFERROR(COUNTIFS(Base!$Y:$Y, A78, Base!$O:$O, "Concluído"), 0) +
      IFERROR(COUNTIFS(Base!$Z:$Z, A78, Base!$O:$O, "Finalizado"), 0) +
      IFERROR(COUNTIFS(Base!$Z:$Z, A78, Base!$O:$O, "Concluído"), 0)
    )
  )
)
</f>
        <v>-</v>
      </c>
      <c r="N78" s="120">
        <f>COUNTIF(Base!V:V,$A78)</f>
        <v>0</v>
      </c>
      <c r="O78" s="120">
        <f>COUNTIF(Base!W:W,$A78)</f>
        <v>0</v>
      </c>
      <c r="P78" s="120">
        <f>COUNTIF(Base!X:X,$A78)</f>
        <v>0</v>
      </c>
      <c r="Q78" s="120">
        <f>COUNTIF(Base!Y:Y,$A78)</f>
        <v>0</v>
      </c>
      <c r="R78" s="120">
        <f>COUNTIF(Base!Z:Z,$A78)</f>
        <v>0</v>
      </c>
      <c r="S78" s="120">
        <f t="shared" si="3"/>
        <v>0</v>
      </c>
      <c r="T78" s="120">
        <f t="shared" si="4"/>
        <v>0</v>
      </c>
      <c r="V78" s="293" t="str">
        <f>IF(
  (
    COUNTIF('Acompanhamento quinzenal'!$N:$N, A78) +
    COUNTIF('Acompanhamento quinzenal'!$T:$T, A78) +
    COUNTIF('Acompanhamento quinzenal'!$Z:$Z, A78) +
    COUNTIF('Acompanhamento quinzenal'!$AF:$AF, A78)
  ) = 0,
  "-",
  (
    IFERROR(SUMIFS('Acompanhamento quinzenal'!$S:$S, 'Acompanhamento quinzenal'!$N:$N, A78), 0) +
    IFERROR(SUMIFS('Acompanhamento quinzenal'!$Y:$Y, 'Acompanhamento quinzenal'!$T:$T, A78), 0) +
    IFERROR(SUMIFS('Acompanhamento quinzenal'!$AE:$AE, 'Acompanhamento quinzenal'!$Z:$Z, A78), 0) +
    IFERROR(SUMIFS('Acompanhamento quinzenal'!$AK:$AK, 'Acompanhamento quinzenal'!$AF:$AF, A78), 0)
  ) /
  (
    COUNTIF('Acompanhamento quinzenal'!$N:$N, A78) +
    COUNTIF('Acompanhamento quinzenal'!$T:$T, A78) +
    COUNTIF('Acompanhamento quinzenal'!$Z:$Z, A78) +
    COUNTIF('Acompanhamento quinzenal'!$AF:$AF, A78)
  )
)
</f>
        <v>-</v>
      </c>
      <c r="W78" s="293" t="str">
        <f>IF(
  (
    COUNTIF('Acompanhamento quinzenal'!$N:$N, A78) +
    COUNTIF('Acompanhamento quinzenal'!$T:$T, A78) +
    COUNTIF('Acompanhamento quinzenal'!$Z:$Z, A78) +
    COUNTIF('Acompanhamento quinzenal'!$AF:$AF, A78)
  ) = 0,
  "-",
  (
    IFERROR(SUMIFS('Acompanhamento quinzenal'!$O:$O, 'Acompanhamento quinzenal'!$N:$N, A78), 0) +
    IFERROR(SUMIFS('Acompanhamento quinzenal'!$U:$U, 'Acompanhamento quinzenal'!$T:$T, A78), 0) +
    IFERROR(SUMIFS('Acompanhamento quinzenal'!$AA:$AA, 'Acompanhamento quinzenal'!$Z:$Z, A78), 0) +
    IFERROR(SUMIFS('Acompanhamento quinzenal'!$AG:$AG, 'Acompanhamento quinzenal'!$AF:$AF, A78), 0)
  ) /
  (
    COUNTIF('Acompanhamento quinzenal'!$N:$N, A78) +
    COUNTIF('Acompanhamento quinzenal'!$T:$T, A78) +
    COUNTIF('Acompanhamento quinzenal'!$Z:$Z, A78) +
    COUNTIF('Acompanhamento quinzenal'!$AF:$AF, A78)
  )
)
</f>
        <v>-</v>
      </c>
      <c r="X78" s="294" t="str">
        <f>IF(
  (
    COUNTIF('Acompanhamento quinzenal'!$N:$N, A78) +
    COUNTIF('Acompanhamento quinzenal'!$T:$T, A78) +
    COUNTIF('Acompanhamento quinzenal'!$Z:$Z, A78) +
    COUNTIF('Acompanhamento quinzenal'!$AF:$AF, A78)
  ) = 0,
  "-",
  (
    IFERROR(SUMIFS('Acompanhamento quinzenal'!$P:$P, 'Acompanhamento quinzenal'!$N:$N, A78), 0) +
    IFERROR(SUMIFS('Acompanhamento quinzenal'!$V:$V, 'Acompanhamento quinzenal'!$T:$T, A78), 0) +
    IFERROR(SUMIFS('Acompanhamento quinzenal'!$AB:$AB, 'Acompanhamento quinzenal'!$Z:$Z, A78), 0) +
    IFERROR(SUMIFS('Acompanhamento quinzenal'!$AH:$AH, 'Acompanhamento quinzenal'!$AF:$AF, A78), 0)
  ) /
  (
    COUNTIF('Acompanhamento quinzenal'!$N:$N, A78) +
    COUNTIF('Acompanhamento quinzenal'!$T:$T, A78) +
    COUNTIF('Acompanhamento quinzenal'!$Z:$Z, A78) +
    COUNTIF('Acompanhamento quinzenal'!$AF:$AF, A78)
  )
)
</f>
        <v>-</v>
      </c>
      <c r="Y78" s="293" t="str">
        <f>IF(
  (
    COUNTIF('Acompanhamento quinzenal'!$N:$N, A78) +
    COUNTIF('Acompanhamento quinzenal'!$T:$T, A78) +
    COUNTIF('Acompanhamento quinzenal'!$Z:$Z, A78) +
    COUNTIF('Acompanhamento quinzenal'!$AF:$AF, A78)
  ) = 0,
  "-",
  (
    IFERROR(SUMIFS('Acompanhamento quinzenal'!$Q:$Q, 'Acompanhamento quinzenal'!$N:$N, A78), 0) +
    IFERROR(SUMIFS('Acompanhamento quinzenal'!$W:$W, 'Acompanhamento quinzenal'!$T:$T, A78), 0) +
    IFERROR(SUMIFS('Acompanhamento quinzenal'!$AC:$AC, 'Acompanhamento quinzenal'!$Z:$Z, A78), 0) +
    IFERROR(SUMIFS('Acompanhamento quinzenal'!$AI:$AI, 'Acompanhamento quinzenal'!$AF:$AF, A78), 0)
  ) /
  (
    COUNTIF('Acompanhamento quinzenal'!$N:$N, A78) +
    COUNTIF('Acompanhamento quinzenal'!$T:$T, A78) +
    COUNTIF('Acompanhamento quinzenal'!$Z:$Z, A78) +
    COUNTIF('Acompanhamento quinzenal'!$AF:$AF, A78)
  )
)
</f>
        <v>-</v>
      </c>
    </row>
    <row r="79" hidden="1">
      <c r="A79" s="291" t="str">
        <f>IFERROR(__xludf.DUMMYFUNCTION("""COMPUTED_VALUE"""),"hugo.reis")</f>
        <v>hugo.reis</v>
      </c>
      <c r="B79" s="120" t="str">
        <f>IFERROR(__xludf.DUMMYFUNCTION("""COMPUTED_VALUE"""),"Diretor")</f>
        <v>Diretor</v>
      </c>
      <c r="C79" s="120" t="str">
        <f>IFERROR(__xludf.DUMMYFUNCTION("""COMPUTED_VALUE"""),"Anucleado")</f>
        <v>Anucleado</v>
      </c>
      <c r="D79" s="292" t="str">
        <f>IFERROR((COUNTIFS(Base!$V:$V,A79,Base!$S:$S,"&gt;8") - COUNTIFS(Base!$V:$V,A79,Base!$S:$S,"&lt;7"))/COUNTIFS(Base!$V:$V,A79,Base!$S:$S,"&lt;&gt;"),"-")</f>
        <v>-</v>
      </c>
      <c r="E79" s="292" t="str">
        <f>IF(
  (
    COUNTIFS(Base!$W:$W, A79, Base!$S:$S, "&lt;&gt;") +
    COUNTIFS(Base!$X:$X, A79, Base!$S:$S, "&lt;&gt;") +
    COUNTIFS(Base!$Y:$Y, A79, Base!$S:$S, "&lt;&gt;") +
    COUNTIFS(Base!$Z:$Z, A79, Base!$S:$S, "&lt;&gt;")
  ) = 0,
  "-",
  (
    COUNTIFS(Base!$W:$W, A79, Base!$S:$S, "&gt;8") - COUNTIFS(Base!$W:$W, A79, Base!$S:$S, "&lt;7") +
    COUNTIFS(Base!$X:$X, A79, Base!$S:$S, "&gt;8") - COUNTIFS(Base!$X:$X, A79, Base!$S:$S, "&lt;7") +
    COUNTIFS(Base!$Y:$Y, A79, Base!$S:$S, "&gt;8") - COUNTIFS(Base!$Y:$Y, A79, Base!$S:$S, "&lt;7") +
    COUNTIFS(Base!$Z:$Z, A79, Base!$S:$S, "&gt;8") - COUNTIFS(Base!$Z:$Z, A79, Base!$S:$S, "&lt;7")
  ) /
  (
    COUNTIFS(Base!$W:$W, A79, Base!$S:$S, "&lt;&gt;") +
    COUNTIFS(Base!$X:$X, A79, Base!$S:$S, "&lt;&gt;") +
    COUNTIFS(Base!$Y:$Y, A79, Base!$S:$S, "&lt;&gt;") +
    COUNTIFS(Base!$Z:$Z, A79, Base!$S:$S, "&lt;&gt;")
  )
)
</f>
        <v>-</v>
      </c>
      <c r="F79" s="290">
        <f>SUMIFS(Base!$N:$N,Base!$V:$V,A79,Base!$N:$N,"&lt;&gt;")-SUMIFS(Base!$K:$K,Base!$V:$V,A79,Base!$N:$N,"&lt;&gt;")-(SUMIFS(Base!$L:$L,Base!$V:$V,A79,Base!$N:$N,"&lt;&gt;")*7)</f>
        <v>0</v>
      </c>
      <c r="G79" s="290"/>
      <c r="H79" s="290">
        <f>SUMIFS(Base!$F:$F,Base!$V:$V,A79,Base!$N:$N,"&lt;&gt;")*7</f>
        <v>0</v>
      </c>
      <c r="I79" s="290"/>
      <c r="J79" s="292" t="str">
        <f t="shared" ref="J79:K79" si="80">IFERROR(F79/H79,"-")</f>
        <v>-</v>
      </c>
      <c r="K79" s="292" t="str">
        <f t="shared" si="80"/>
        <v>-</v>
      </c>
      <c r="L79" s="292" t="str">
        <f>IFERROR((COUNTIFS(Base!$V:$V,A79,Base!$U:$U,TRUE))/(COUNTIFS(Base!$V:$V,A79,Base!$O:$O,"Finalizado")+COUNTIFS(Base!$V:$V,A79,Base!$O:$O,"Concluído")),"-")</f>
        <v>-</v>
      </c>
      <c r="M79" s="292" t="str">
        <f>IF(
  (
    IFERROR(COUNTIF(Base!$W:$W, A79), 0) +
    IFERROR(COUNTIF(Base!$X:$X, A79), 0) +
    IFERROR(COUNTIF(Base!$Y:$Y, A79), 0) +
    IFERROR(COUNTIF(Base!$Z:$Z, A79), 0)
  ) = 0,
  "-",
  IF(
    (
      IFERROR(COUNTIFS(Base!$W:$W, A79, Base!$O:$O, "Finalizado"), 0) +
      IFERROR(COUNTIFS(Base!$W:$W, A79, Base!$O:$O, "Concluído"), 0) +
      IFERROR(COUNTIFS(Base!$X:$X, A79, Base!$O:$O, "Finalizado"), 0) +
      IFERROR(COUNTIFS(Base!$X:$X, A79, Base!$O:$O, "Concluído"), 0) +
      IFERROR(COUNTIFS(Base!$Y:$Y, A79, Base!$O:$O, "Finalizado"), 0) +
      IFERROR(COUNTIFS(Base!$Y:$Y, A79, Base!$O:$O, "Concluído"), 0) +
      IFERROR(COUNTIFS(Base!$Z:$Z, A79, Base!$O:$O, "Finalizado"), 0) +
      IFERROR(COUNTIFS(Base!$Z:$Z, A79, Base!$O:$O, "Concluído"), 0)
    ) = 0,
    "-",
    (
      IFERROR(COUNTIFS(Base!$W:$W, A79, Base!$U:$U, TRUE), 0) +
      IFERROR(COUNTIFS(Base!$X:$X, A79, Base!$U:$U, TRUE), 0) +
      IFERROR(COUNTIFS(Base!$Y:$Y, A79, Base!$U:$U, TRUE), 0) +
      IFERROR(COUNTIFS(Base!$Z:$Z, A79, Base!$U:$U, TRUE), 0)
    ) /
    (
      IFERROR(COUNTIFS(Base!$W:$W, A79, Base!$O:$O, "Finalizado"), 0) +
      IFERROR(COUNTIFS(Base!$W:$W, A79, Base!$O:$O, "Concluído"), 0) +
      IFERROR(COUNTIFS(Base!$X:$X, A79, Base!$O:$O, "Finalizado"), 0) +
      IFERROR(COUNTIFS(Base!$X:$X, A79, Base!$O:$O, "Concluído"), 0) +
      IFERROR(COUNTIFS(Base!$Y:$Y, A79, Base!$O:$O, "Finalizado"), 0) +
      IFERROR(COUNTIFS(Base!$Y:$Y, A79, Base!$O:$O, "Concluído"), 0) +
      IFERROR(COUNTIFS(Base!$Z:$Z, A79, Base!$O:$O, "Finalizado"), 0) +
      IFERROR(COUNTIFS(Base!$Z:$Z, A79, Base!$O:$O, "Concluído"), 0)
    )
  )
)
</f>
        <v>-</v>
      </c>
      <c r="N79" s="120">
        <f>COUNTIF(Base!V:V,$A79)</f>
        <v>0</v>
      </c>
      <c r="O79" s="120">
        <f>COUNTIF(Base!W:W,$A79)</f>
        <v>0</v>
      </c>
      <c r="P79" s="120">
        <f>COUNTIF(Base!X:X,$A79)</f>
        <v>0</v>
      </c>
      <c r="Q79" s="120">
        <f>COUNTIF(Base!Y:Y,$A79)</f>
        <v>0</v>
      </c>
      <c r="R79" s="120">
        <f>COUNTIF(Base!Z:Z,$A79)</f>
        <v>0</v>
      </c>
      <c r="S79" s="120">
        <f t="shared" si="3"/>
        <v>0</v>
      </c>
      <c r="T79" s="120">
        <f t="shared" si="4"/>
        <v>0</v>
      </c>
      <c r="V79" s="293" t="str">
        <f>IF(
  (
    COUNTIF('Acompanhamento quinzenal'!$N:$N, A79) +
    COUNTIF('Acompanhamento quinzenal'!$T:$T, A79) +
    COUNTIF('Acompanhamento quinzenal'!$Z:$Z, A79) +
    COUNTIF('Acompanhamento quinzenal'!$AF:$AF, A79)
  ) = 0,
  "-",
  (
    IFERROR(SUMIFS('Acompanhamento quinzenal'!$S:$S, 'Acompanhamento quinzenal'!$N:$N, A79), 0) +
    IFERROR(SUMIFS('Acompanhamento quinzenal'!$Y:$Y, 'Acompanhamento quinzenal'!$T:$T, A79), 0) +
    IFERROR(SUMIFS('Acompanhamento quinzenal'!$AE:$AE, 'Acompanhamento quinzenal'!$Z:$Z, A79), 0) +
    IFERROR(SUMIFS('Acompanhamento quinzenal'!$AK:$AK, 'Acompanhamento quinzenal'!$AF:$AF, A79), 0)
  ) /
  (
    COUNTIF('Acompanhamento quinzenal'!$N:$N, A79) +
    COUNTIF('Acompanhamento quinzenal'!$T:$T, A79) +
    COUNTIF('Acompanhamento quinzenal'!$Z:$Z, A79) +
    COUNTIF('Acompanhamento quinzenal'!$AF:$AF, A79)
  )
)
</f>
        <v>-</v>
      </c>
      <c r="W79" s="293" t="str">
        <f>IF(
  (
    COUNTIF('Acompanhamento quinzenal'!$N:$N, A79) +
    COUNTIF('Acompanhamento quinzenal'!$T:$T, A79) +
    COUNTIF('Acompanhamento quinzenal'!$Z:$Z, A79) +
    COUNTIF('Acompanhamento quinzenal'!$AF:$AF, A79)
  ) = 0,
  "-",
  (
    IFERROR(SUMIFS('Acompanhamento quinzenal'!$O:$O, 'Acompanhamento quinzenal'!$N:$N, A79), 0) +
    IFERROR(SUMIFS('Acompanhamento quinzenal'!$U:$U, 'Acompanhamento quinzenal'!$T:$T, A79), 0) +
    IFERROR(SUMIFS('Acompanhamento quinzenal'!$AA:$AA, 'Acompanhamento quinzenal'!$Z:$Z, A79), 0) +
    IFERROR(SUMIFS('Acompanhamento quinzenal'!$AG:$AG, 'Acompanhamento quinzenal'!$AF:$AF, A79), 0)
  ) /
  (
    COUNTIF('Acompanhamento quinzenal'!$N:$N, A79) +
    COUNTIF('Acompanhamento quinzenal'!$T:$T, A79) +
    COUNTIF('Acompanhamento quinzenal'!$Z:$Z, A79) +
    COUNTIF('Acompanhamento quinzenal'!$AF:$AF, A79)
  )
)
</f>
        <v>-</v>
      </c>
      <c r="X79" s="294" t="str">
        <f>IF(
  (
    COUNTIF('Acompanhamento quinzenal'!$N:$N, A79) +
    COUNTIF('Acompanhamento quinzenal'!$T:$T, A79) +
    COUNTIF('Acompanhamento quinzenal'!$Z:$Z, A79) +
    COUNTIF('Acompanhamento quinzenal'!$AF:$AF, A79)
  ) = 0,
  "-",
  (
    IFERROR(SUMIFS('Acompanhamento quinzenal'!$P:$P, 'Acompanhamento quinzenal'!$N:$N, A79), 0) +
    IFERROR(SUMIFS('Acompanhamento quinzenal'!$V:$V, 'Acompanhamento quinzenal'!$T:$T, A79), 0) +
    IFERROR(SUMIFS('Acompanhamento quinzenal'!$AB:$AB, 'Acompanhamento quinzenal'!$Z:$Z, A79), 0) +
    IFERROR(SUMIFS('Acompanhamento quinzenal'!$AH:$AH, 'Acompanhamento quinzenal'!$AF:$AF, A79), 0)
  ) /
  (
    COUNTIF('Acompanhamento quinzenal'!$N:$N, A79) +
    COUNTIF('Acompanhamento quinzenal'!$T:$T, A79) +
    COUNTIF('Acompanhamento quinzenal'!$Z:$Z, A79) +
    COUNTIF('Acompanhamento quinzenal'!$AF:$AF, A79)
  )
)
</f>
        <v>-</v>
      </c>
      <c r="Y79" s="293" t="str">
        <f>IF(
  (
    COUNTIF('Acompanhamento quinzenal'!$N:$N, A79) +
    COUNTIF('Acompanhamento quinzenal'!$T:$T, A79) +
    COUNTIF('Acompanhamento quinzenal'!$Z:$Z, A79) +
    COUNTIF('Acompanhamento quinzenal'!$AF:$AF, A79)
  ) = 0,
  "-",
  (
    IFERROR(SUMIFS('Acompanhamento quinzenal'!$Q:$Q, 'Acompanhamento quinzenal'!$N:$N, A79), 0) +
    IFERROR(SUMIFS('Acompanhamento quinzenal'!$W:$W, 'Acompanhamento quinzenal'!$T:$T, A79), 0) +
    IFERROR(SUMIFS('Acompanhamento quinzenal'!$AC:$AC, 'Acompanhamento quinzenal'!$Z:$Z, A79), 0) +
    IFERROR(SUMIFS('Acompanhamento quinzenal'!$AI:$AI, 'Acompanhamento quinzenal'!$AF:$AF, A79), 0)
  ) /
  (
    COUNTIF('Acompanhamento quinzenal'!$N:$N, A79) +
    COUNTIF('Acompanhamento quinzenal'!$T:$T, A79) +
    COUNTIF('Acompanhamento quinzenal'!$Z:$Z, A79) +
    COUNTIF('Acompanhamento quinzenal'!$AF:$AF, A79)
  )
)
</f>
        <v>-</v>
      </c>
    </row>
    <row r="80" hidden="1">
      <c r="A80" s="291" t="str">
        <f>IFERROR(__xludf.DUMMYFUNCTION("""COMPUTED_VALUE"""),"ian.silva")</f>
        <v>ian.silva</v>
      </c>
      <c r="B80" s="120" t="str">
        <f>IFERROR(__xludf.DUMMYFUNCTION("""COMPUTED_VALUE"""),"Trainee")</f>
        <v>Trainee</v>
      </c>
      <c r="C80" s="120" t="str">
        <f>IFERROR(__xludf.DUMMYFUNCTION("""COMPUTED_VALUE"""),"NCiv")</f>
        <v>NCiv</v>
      </c>
      <c r="D80" s="292" t="str">
        <f>IFERROR((COUNTIFS(Base!$V:$V,A80,Base!$S:$S,"&gt;8") - COUNTIFS(Base!$V:$V,A80,Base!$S:$S,"&lt;7"))/COUNTIFS(Base!$V:$V,A80,Base!$S:$S,"&lt;&gt;"),"-")</f>
        <v>-</v>
      </c>
      <c r="E80" s="292" t="str">
        <f>IF(
  (
    COUNTIFS(Base!$W:$W, A80, Base!$S:$S, "&lt;&gt;") +
    COUNTIFS(Base!$X:$X, A80, Base!$S:$S, "&lt;&gt;") +
    COUNTIFS(Base!$Y:$Y, A80, Base!$S:$S, "&lt;&gt;") +
    COUNTIFS(Base!$Z:$Z, A80, Base!$S:$S, "&lt;&gt;")
  ) = 0,
  "-",
  (
    COUNTIFS(Base!$W:$W, A80, Base!$S:$S, "&gt;8") - COUNTIFS(Base!$W:$W, A80, Base!$S:$S, "&lt;7") +
    COUNTIFS(Base!$X:$X, A80, Base!$S:$S, "&gt;8") - COUNTIFS(Base!$X:$X, A80, Base!$S:$S, "&lt;7") +
    COUNTIFS(Base!$Y:$Y, A80, Base!$S:$S, "&gt;8") - COUNTIFS(Base!$Y:$Y, A80, Base!$S:$S, "&lt;7") +
    COUNTIFS(Base!$Z:$Z, A80, Base!$S:$S, "&gt;8") - COUNTIFS(Base!$Z:$Z, A80, Base!$S:$S, "&lt;7")
  ) /
  (
    COUNTIFS(Base!$W:$W, A80, Base!$S:$S, "&lt;&gt;") +
    COUNTIFS(Base!$X:$X, A80, Base!$S:$S, "&lt;&gt;") +
    COUNTIFS(Base!$Y:$Y, A80, Base!$S:$S, "&lt;&gt;") +
    COUNTIFS(Base!$Z:$Z, A80, Base!$S:$S, "&lt;&gt;")
  )
)
</f>
        <v>-</v>
      </c>
      <c r="F80" s="290">
        <f>SUMIFS(Base!$N:$N,Base!$V:$V,A80,Base!$N:$N,"&lt;&gt;")-SUMIFS(Base!$K:$K,Base!$V:$V,A80,Base!$N:$N,"&lt;&gt;")-(SUMIFS(Base!$L:$L,Base!$V:$V,A80,Base!$N:$N,"&lt;&gt;")*7)</f>
        <v>0</v>
      </c>
      <c r="G80" s="290"/>
      <c r="H80" s="290">
        <f>SUMIFS(Base!$F:$F,Base!$V:$V,A80,Base!$N:$N,"&lt;&gt;")*7</f>
        <v>0</v>
      </c>
      <c r="I80" s="290"/>
      <c r="J80" s="292" t="str">
        <f t="shared" ref="J80:K80" si="81">IFERROR(F80/H80,"-")</f>
        <v>-</v>
      </c>
      <c r="K80" s="292" t="str">
        <f t="shared" si="81"/>
        <v>-</v>
      </c>
      <c r="L80" s="292" t="str">
        <f>IFERROR((COUNTIFS(Base!$V:$V,A80,Base!$U:$U,TRUE))/(COUNTIFS(Base!$V:$V,A80,Base!$O:$O,"Finalizado")+COUNTIFS(Base!$V:$V,A80,Base!$O:$O,"Concluído")),"-")</f>
        <v>-</v>
      </c>
      <c r="M80" s="292" t="str">
        <f>IF(
  (
    IFERROR(COUNTIF(Base!$W:$W, A80), 0) +
    IFERROR(COUNTIF(Base!$X:$X, A80), 0) +
    IFERROR(COUNTIF(Base!$Y:$Y, A80), 0) +
    IFERROR(COUNTIF(Base!$Z:$Z, A80), 0)
  ) = 0,
  "-",
  IF(
    (
      IFERROR(COUNTIFS(Base!$W:$W, A80, Base!$O:$O, "Finalizado"), 0) +
      IFERROR(COUNTIFS(Base!$W:$W, A80, Base!$O:$O, "Concluído"), 0) +
      IFERROR(COUNTIFS(Base!$X:$X, A80, Base!$O:$O, "Finalizado"), 0) +
      IFERROR(COUNTIFS(Base!$X:$X, A80, Base!$O:$O, "Concluído"), 0) +
      IFERROR(COUNTIFS(Base!$Y:$Y, A80, Base!$O:$O, "Finalizado"), 0) +
      IFERROR(COUNTIFS(Base!$Y:$Y, A80, Base!$O:$O, "Concluído"), 0) +
      IFERROR(COUNTIFS(Base!$Z:$Z, A80, Base!$O:$O, "Finalizado"), 0) +
      IFERROR(COUNTIFS(Base!$Z:$Z, A80, Base!$O:$O, "Concluído"), 0)
    ) = 0,
    "-",
    (
      IFERROR(COUNTIFS(Base!$W:$W, A80, Base!$U:$U, TRUE), 0) +
      IFERROR(COUNTIFS(Base!$X:$X, A80, Base!$U:$U, TRUE), 0) +
      IFERROR(COUNTIFS(Base!$Y:$Y, A80, Base!$U:$U, TRUE), 0) +
      IFERROR(COUNTIFS(Base!$Z:$Z, A80, Base!$U:$U, TRUE), 0)
    ) /
    (
      IFERROR(COUNTIFS(Base!$W:$W, A80, Base!$O:$O, "Finalizado"), 0) +
      IFERROR(COUNTIFS(Base!$W:$W, A80, Base!$O:$O, "Concluído"), 0) +
      IFERROR(COUNTIFS(Base!$X:$X, A80, Base!$O:$O, "Finalizado"), 0) +
      IFERROR(COUNTIFS(Base!$X:$X, A80, Base!$O:$O, "Concluído"), 0) +
      IFERROR(COUNTIFS(Base!$Y:$Y, A80, Base!$O:$O, "Finalizado"), 0) +
      IFERROR(COUNTIFS(Base!$Y:$Y, A80, Base!$O:$O, "Concluído"), 0) +
      IFERROR(COUNTIFS(Base!$Z:$Z, A80, Base!$O:$O, "Finalizado"), 0) +
      IFERROR(COUNTIFS(Base!$Z:$Z, A80, Base!$O:$O, "Concluído"), 0)
    )
  )
)
</f>
        <v>-</v>
      </c>
      <c r="N80" s="120">
        <f>COUNTIF(Base!V:V,$A80)</f>
        <v>0</v>
      </c>
      <c r="O80" s="120">
        <f>COUNTIF(Base!W:W,$A80)</f>
        <v>0</v>
      </c>
      <c r="P80" s="120">
        <f>COUNTIF(Base!X:X,$A80)</f>
        <v>0</v>
      </c>
      <c r="Q80" s="120">
        <f>COUNTIF(Base!Y:Y,$A80)</f>
        <v>0</v>
      </c>
      <c r="R80" s="120">
        <f>COUNTIF(Base!Z:Z,$A80)</f>
        <v>0</v>
      </c>
      <c r="S80" s="120">
        <f t="shared" si="3"/>
        <v>0</v>
      </c>
      <c r="T80" s="120">
        <f t="shared" si="4"/>
        <v>0</v>
      </c>
      <c r="V80" s="293" t="str">
        <f>IF(
  (
    COUNTIF('Acompanhamento quinzenal'!$N:$N, A80) +
    COUNTIF('Acompanhamento quinzenal'!$T:$T, A80) +
    COUNTIF('Acompanhamento quinzenal'!$Z:$Z, A80) +
    COUNTIF('Acompanhamento quinzenal'!$AF:$AF, A80)
  ) = 0,
  "-",
  (
    IFERROR(SUMIFS('Acompanhamento quinzenal'!$S:$S, 'Acompanhamento quinzenal'!$N:$N, A80), 0) +
    IFERROR(SUMIFS('Acompanhamento quinzenal'!$Y:$Y, 'Acompanhamento quinzenal'!$T:$T, A80), 0) +
    IFERROR(SUMIFS('Acompanhamento quinzenal'!$AE:$AE, 'Acompanhamento quinzenal'!$Z:$Z, A80), 0) +
    IFERROR(SUMIFS('Acompanhamento quinzenal'!$AK:$AK, 'Acompanhamento quinzenal'!$AF:$AF, A80), 0)
  ) /
  (
    COUNTIF('Acompanhamento quinzenal'!$N:$N, A80) +
    COUNTIF('Acompanhamento quinzenal'!$T:$T, A80) +
    COUNTIF('Acompanhamento quinzenal'!$Z:$Z, A80) +
    COUNTIF('Acompanhamento quinzenal'!$AF:$AF, A80)
  )
)
</f>
        <v>-</v>
      </c>
      <c r="W80" s="293" t="str">
        <f>IF(
  (
    COUNTIF('Acompanhamento quinzenal'!$N:$N, A80) +
    COUNTIF('Acompanhamento quinzenal'!$T:$T, A80) +
    COUNTIF('Acompanhamento quinzenal'!$Z:$Z, A80) +
    COUNTIF('Acompanhamento quinzenal'!$AF:$AF, A80)
  ) = 0,
  "-",
  (
    IFERROR(SUMIFS('Acompanhamento quinzenal'!$O:$O, 'Acompanhamento quinzenal'!$N:$N, A80), 0) +
    IFERROR(SUMIFS('Acompanhamento quinzenal'!$U:$U, 'Acompanhamento quinzenal'!$T:$T, A80), 0) +
    IFERROR(SUMIFS('Acompanhamento quinzenal'!$AA:$AA, 'Acompanhamento quinzenal'!$Z:$Z, A80), 0) +
    IFERROR(SUMIFS('Acompanhamento quinzenal'!$AG:$AG, 'Acompanhamento quinzenal'!$AF:$AF, A80), 0)
  ) /
  (
    COUNTIF('Acompanhamento quinzenal'!$N:$N, A80) +
    COUNTIF('Acompanhamento quinzenal'!$T:$T, A80) +
    COUNTIF('Acompanhamento quinzenal'!$Z:$Z, A80) +
    COUNTIF('Acompanhamento quinzenal'!$AF:$AF, A80)
  )
)
</f>
        <v>-</v>
      </c>
      <c r="X80" s="294" t="str">
        <f>IF(
  (
    COUNTIF('Acompanhamento quinzenal'!$N:$N, A80) +
    COUNTIF('Acompanhamento quinzenal'!$T:$T, A80) +
    COUNTIF('Acompanhamento quinzenal'!$Z:$Z, A80) +
    COUNTIF('Acompanhamento quinzenal'!$AF:$AF, A80)
  ) = 0,
  "-",
  (
    IFERROR(SUMIFS('Acompanhamento quinzenal'!$P:$P, 'Acompanhamento quinzenal'!$N:$N, A80), 0) +
    IFERROR(SUMIFS('Acompanhamento quinzenal'!$V:$V, 'Acompanhamento quinzenal'!$T:$T, A80), 0) +
    IFERROR(SUMIFS('Acompanhamento quinzenal'!$AB:$AB, 'Acompanhamento quinzenal'!$Z:$Z, A80), 0) +
    IFERROR(SUMIFS('Acompanhamento quinzenal'!$AH:$AH, 'Acompanhamento quinzenal'!$AF:$AF, A80), 0)
  ) /
  (
    COUNTIF('Acompanhamento quinzenal'!$N:$N, A80) +
    COUNTIF('Acompanhamento quinzenal'!$T:$T, A80) +
    COUNTIF('Acompanhamento quinzenal'!$Z:$Z, A80) +
    COUNTIF('Acompanhamento quinzenal'!$AF:$AF, A80)
  )
)
</f>
        <v>-</v>
      </c>
      <c r="Y80" s="293" t="str">
        <f>IF(
  (
    COUNTIF('Acompanhamento quinzenal'!$N:$N, A80) +
    COUNTIF('Acompanhamento quinzenal'!$T:$T, A80) +
    COUNTIF('Acompanhamento quinzenal'!$Z:$Z, A80) +
    COUNTIF('Acompanhamento quinzenal'!$AF:$AF, A80)
  ) = 0,
  "-",
  (
    IFERROR(SUMIFS('Acompanhamento quinzenal'!$Q:$Q, 'Acompanhamento quinzenal'!$N:$N, A80), 0) +
    IFERROR(SUMIFS('Acompanhamento quinzenal'!$W:$W, 'Acompanhamento quinzenal'!$T:$T, A80), 0) +
    IFERROR(SUMIFS('Acompanhamento quinzenal'!$AC:$AC, 'Acompanhamento quinzenal'!$Z:$Z, A80), 0) +
    IFERROR(SUMIFS('Acompanhamento quinzenal'!$AI:$AI, 'Acompanhamento quinzenal'!$AF:$AF, A80), 0)
  ) /
  (
    COUNTIF('Acompanhamento quinzenal'!$N:$N, A80) +
    COUNTIF('Acompanhamento quinzenal'!$T:$T, A80) +
    COUNTIF('Acompanhamento quinzenal'!$Z:$Z, A80) +
    COUNTIF('Acompanhamento quinzenal'!$AF:$AF, A80)
  )
)
</f>
        <v>-</v>
      </c>
    </row>
    <row r="81" hidden="1">
      <c r="A81" s="291" t="str">
        <f>IFERROR(__xludf.DUMMYFUNCTION("""COMPUTED_VALUE"""),"isabela.gregio")</f>
        <v>isabela.gregio</v>
      </c>
      <c r="B81" s="120" t="str">
        <f>IFERROR(__xludf.DUMMYFUNCTION("""COMPUTED_VALUE"""),"Consultor")</f>
        <v>Consultor</v>
      </c>
      <c r="C81" s="120" t="str">
        <f>IFERROR(__xludf.DUMMYFUNCTION("""COMPUTED_VALUE"""),"NTec")</f>
        <v>NTec</v>
      </c>
      <c r="D81" s="292" t="str">
        <f>IFERROR((COUNTIFS(Base!$V:$V,A81,Base!$S:$S,"&gt;8") - COUNTIFS(Base!$V:$V,A81,Base!$S:$S,"&lt;7"))/COUNTIFS(Base!$V:$V,A81,Base!$S:$S,"&lt;&gt;"),"-")</f>
        <v>-</v>
      </c>
      <c r="E81" s="292" t="str">
        <f>IF(
  (
    COUNTIFS(Base!$W:$W, A81, Base!$S:$S, "&lt;&gt;") +
    COUNTIFS(Base!$X:$X, A81, Base!$S:$S, "&lt;&gt;") +
    COUNTIFS(Base!$Y:$Y, A81, Base!$S:$S, "&lt;&gt;") +
    COUNTIFS(Base!$Z:$Z, A81, Base!$S:$S, "&lt;&gt;")
  ) = 0,
  "-",
  (
    COUNTIFS(Base!$W:$W, A81, Base!$S:$S, "&gt;8") - COUNTIFS(Base!$W:$W, A81, Base!$S:$S, "&lt;7") +
    COUNTIFS(Base!$X:$X, A81, Base!$S:$S, "&gt;8") - COUNTIFS(Base!$X:$X, A81, Base!$S:$S, "&lt;7") +
    COUNTIFS(Base!$Y:$Y, A81, Base!$S:$S, "&gt;8") - COUNTIFS(Base!$Y:$Y, A81, Base!$S:$S, "&lt;7") +
    COUNTIFS(Base!$Z:$Z, A81, Base!$S:$S, "&gt;8") - COUNTIFS(Base!$Z:$Z, A81, Base!$S:$S, "&lt;7")
  ) /
  (
    COUNTIFS(Base!$W:$W, A81, Base!$S:$S, "&lt;&gt;") +
    COUNTIFS(Base!$X:$X, A81, Base!$S:$S, "&lt;&gt;") +
    COUNTIFS(Base!$Y:$Y, A81, Base!$S:$S, "&lt;&gt;") +
    COUNTIFS(Base!$Z:$Z, A81, Base!$S:$S, "&lt;&gt;")
  )
)
</f>
        <v>-</v>
      </c>
      <c r="F81" s="290">
        <f>SUMIFS(Base!$N:$N,Base!$V:$V,A81,Base!$N:$N,"&lt;&gt;")-SUMIFS(Base!$K:$K,Base!$V:$V,A81,Base!$N:$N,"&lt;&gt;")-(SUMIFS(Base!$L:$L,Base!$V:$V,A81,Base!$N:$N,"&lt;&gt;")*7)</f>
        <v>0</v>
      </c>
      <c r="G81" s="290"/>
      <c r="H81" s="290">
        <f>SUMIFS(Base!$F:$F,Base!$V:$V,A81,Base!$N:$N,"&lt;&gt;")*7</f>
        <v>0</v>
      </c>
      <c r="I81" s="290"/>
      <c r="J81" s="292" t="str">
        <f t="shared" ref="J81:K81" si="82">IFERROR(F81/H81,"-")</f>
        <v>-</v>
      </c>
      <c r="K81" s="292" t="str">
        <f t="shared" si="82"/>
        <v>-</v>
      </c>
      <c r="L81" s="292" t="str">
        <f>IFERROR((COUNTIFS(Base!$V:$V,A81,Base!$U:$U,TRUE))/(COUNTIFS(Base!$V:$V,A81,Base!$O:$O,"Finalizado")+COUNTIFS(Base!$V:$V,A81,Base!$O:$O,"Concluído")),"-")</f>
        <v>-</v>
      </c>
      <c r="M81" s="292" t="str">
        <f>IF(
  (
    IFERROR(COUNTIF(Base!$W:$W, A81), 0) +
    IFERROR(COUNTIF(Base!$X:$X, A81), 0) +
    IFERROR(COUNTIF(Base!$Y:$Y, A81), 0) +
    IFERROR(COUNTIF(Base!$Z:$Z, A81), 0)
  ) = 0,
  "-",
  IF(
    (
      IFERROR(COUNTIFS(Base!$W:$W, A81, Base!$O:$O, "Finalizado"), 0) +
      IFERROR(COUNTIFS(Base!$W:$W, A81, Base!$O:$O, "Concluído"), 0) +
      IFERROR(COUNTIFS(Base!$X:$X, A81, Base!$O:$O, "Finalizado"), 0) +
      IFERROR(COUNTIFS(Base!$X:$X, A81, Base!$O:$O, "Concluído"), 0) +
      IFERROR(COUNTIFS(Base!$Y:$Y, A81, Base!$O:$O, "Finalizado"), 0) +
      IFERROR(COUNTIFS(Base!$Y:$Y, A81, Base!$O:$O, "Concluído"), 0) +
      IFERROR(COUNTIFS(Base!$Z:$Z, A81, Base!$O:$O, "Finalizado"), 0) +
      IFERROR(COUNTIFS(Base!$Z:$Z, A81, Base!$O:$O, "Concluído"), 0)
    ) = 0,
    "-",
    (
      IFERROR(COUNTIFS(Base!$W:$W, A81, Base!$U:$U, TRUE), 0) +
      IFERROR(COUNTIFS(Base!$X:$X, A81, Base!$U:$U, TRUE), 0) +
      IFERROR(COUNTIFS(Base!$Y:$Y, A81, Base!$U:$U, TRUE), 0) +
      IFERROR(COUNTIFS(Base!$Z:$Z, A81, Base!$U:$U, TRUE), 0)
    ) /
    (
      IFERROR(COUNTIFS(Base!$W:$W, A81, Base!$O:$O, "Finalizado"), 0) +
      IFERROR(COUNTIFS(Base!$W:$W, A81, Base!$O:$O, "Concluído"), 0) +
      IFERROR(COUNTIFS(Base!$X:$X, A81, Base!$O:$O, "Finalizado"), 0) +
      IFERROR(COUNTIFS(Base!$X:$X, A81, Base!$O:$O, "Concluído"), 0) +
      IFERROR(COUNTIFS(Base!$Y:$Y, A81, Base!$O:$O, "Finalizado"), 0) +
      IFERROR(COUNTIFS(Base!$Y:$Y, A81, Base!$O:$O, "Concluído"), 0) +
      IFERROR(COUNTIFS(Base!$Z:$Z, A81, Base!$O:$O, "Finalizado"), 0) +
      IFERROR(COUNTIFS(Base!$Z:$Z, A81, Base!$O:$O, "Concluído"), 0)
    )
  )
)
</f>
        <v>-</v>
      </c>
      <c r="N81" s="120">
        <f>COUNTIF(Base!V:V,$A81)</f>
        <v>0</v>
      </c>
      <c r="O81" s="120">
        <f>COUNTIF(Base!W:W,$A81)</f>
        <v>0</v>
      </c>
      <c r="P81" s="120">
        <f>COUNTIF(Base!X:X,$A81)</f>
        <v>0</v>
      </c>
      <c r="Q81" s="120">
        <f>COUNTIF(Base!Y:Y,$A81)</f>
        <v>1</v>
      </c>
      <c r="R81" s="120">
        <f>COUNTIF(Base!Z:Z,$A81)</f>
        <v>1</v>
      </c>
      <c r="S81" s="120">
        <f t="shared" si="3"/>
        <v>2</v>
      </c>
      <c r="T81" s="120">
        <f t="shared" si="4"/>
        <v>2</v>
      </c>
      <c r="V81" s="293">
        <f>IF(
  (
    COUNTIF('Acompanhamento quinzenal'!$N:$N, A81) +
    COUNTIF('Acompanhamento quinzenal'!$T:$T, A81) +
    COUNTIF('Acompanhamento quinzenal'!$Z:$Z, A81) +
    COUNTIF('Acompanhamento quinzenal'!$AF:$AF, A81)
  ) = 0,
  "-",
  (
    IFERROR(SUMIFS('Acompanhamento quinzenal'!$S:$S, 'Acompanhamento quinzenal'!$N:$N, A81), 0) +
    IFERROR(SUMIFS('Acompanhamento quinzenal'!$Y:$Y, 'Acompanhamento quinzenal'!$T:$T, A81), 0) +
    IFERROR(SUMIFS('Acompanhamento quinzenal'!$AE:$AE, 'Acompanhamento quinzenal'!$Z:$Z, A81), 0) +
    IFERROR(SUMIFS('Acompanhamento quinzenal'!$AK:$AK, 'Acompanhamento quinzenal'!$AF:$AF, A81), 0)
  ) /
  (
    COUNTIF('Acompanhamento quinzenal'!$N:$N, A81) +
    COUNTIF('Acompanhamento quinzenal'!$T:$T, A81) +
    COUNTIF('Acompanhamento quinzenal'!$Z:$Z, A81) +
    COUNTIF('Acompanhamento quinzenal'!$AF:$AF, A81)
  )
)
</f>
        <v>3.333333333</v>
      </c>
      <c r="W81" s="293">
        <f>IF(
  (
    COUNTIF('Acompanhamento quinzenal'!$N:$N, A81) +
    COUNTIF('Acompanhamento quinzenal'!$T:$T, A81) +
    COUNTIF('Acompanhamento quinzenal'!$Z:$Z, A81) +
    COUNTIF('Acompanhamento quinzenal'!$AF:$AF, A81)
  ) = 0,
  "-",
  (
    IFERROR(SUMIFS('Acompanhamento quinzenal'!$O:$O, 'Acompanhamento quinzenal'!$N:$N, A81), 0) +
    IFERROR(SUMIFS('Acompanhamento quinzenal'!$U:$U, 'Acompanhamento quinzenal'!$T:$T, A81), 0) +
    IFERROR(SUMIFS('Acompanhamento quinzenal'!$AA:$AA, 'Acompanhamento quinzenal'!$Z:$Z, A81), 0) +
    IFERROR(SUMIFS('Acompanhamento quinzenal'!$AG:$AG, 'Acompanhamento quinzenal'!$AF:$AF, A81), 0)
  ) /
  (
    COUNTIF('Acompanhamento quinzenal'!$N:$N, A81) +
    COUNTIF('Acompanhamento quinzenal'!$T:$T, A81) +
    COUNTIF('Acompanhamento quinzenal'!$Z:$Z, A81) +
    COUNTIF('Acompanhamento quinzenal'!$AF:$AF, A81)
  )
)
</f>
        <v>3</v>
      </c>
      <c r="X81" s="294">
        <f>IF(
  (
    COUNTIF('Acompanhamento quinzenal'!$N:$N, A81) +
    COUNTIF('Acompanhamento quinzenal'!$T:$T, A81) +
    COUNTIF('Acompanhamento quinzenal'!$Z:$Z, A81) +
    COUNTIF('Acompanhamento quinzenal'!$AF:$AF, A81)
  ) = 0,
  "-",
  (
    IFERROR(SUMIFS('Acompanhamento quinzenal'!$P:$P, 'Acompanhamento quinzenal'!$N:$N, A81), 0) +
    IFERROR(SUMIFS('Acompanhamento quinzenal'!$V:$V, 'Acompanhamento quinzenal'!$T:$T, A81), 0) +
    IFERROR(SUMIFS('Acompanhamento quinzenal'!$AB:$AB, 'Acompanhamento quinzenal'!$Z:$Z, A81), 0) +
    IFERROR(SUMIFS('Acompanhamento quinzenal'!$AH:$AH, 'Acompanhamento quinzenal'!$AF:$AF, A81), 0)
  ) /
  (
    COUNTIF('Acompanhamento quinzenal'!$N:$N, A81) +
    COUNTIF('Acompanhamento quinzenal'!$T:$T, A81) +
    COUNTIF('Acompanhamento quinzenal'!$Z:$Z, A81) +
    COUNTIF('Acompanhamento quinzenal'!$AF:$AF, A81)
  )
)
</f>
        <v>3.666666667</v>
      </c>
      <c r="Y81" s="293">
        <f>IF(
  (
    COUNTIF('Acompanhamento quinzenal'!$N:$N, A81) +
    COUNTIF('Acompanhamento quinzenal'!$T:$T, A81) +
    COUNTIF('Acompanhamento quinzenal'!$Z:$Z, A81) +
    COUNTIF('Acompanhamento quinzenal'!$AF:$AF, A81)
  ) = 0,
  "-",
  (
    IFERROR(SUMIFS('Acompanhamento quinzenal'!$Q:$Q, 'Acompanhamento quinzenal'!$N:$N, A81), 0) +
    IFERROR(SUMIFS('Acompanhamento quinzenal'!$W:$W, 'Acompanhamento quinzenal'!$T:$T, A81), 0) +
    IFERROR(SUMIFS('Acompanhamento quinzenal'!$AC:$AC, 'Acompanhamento quinzenal'!$Z:$Z, A81), 0) +
    IFERROR(SUMIFS('Acompanhamento quinzenal'!$AI:$AI, 'Acompanhamento quinzenal'!$AF:$AF, A81), 0)
  ) /
  (
    COUNTIF('Acompanhamento quinzenal'!$N:$N, A81) +
    COUNTIF('Acompanhamento quinzenal'!$T:$T, A81) +
    COUNTIF('Acompanhamento quinzenal'!$Z:$Z, A81) +
    COUNTIF('Acompanhamento quinzenal'!$AF:$AF, A81)
  )
)
</f>
        <v>3.333333333</v>
      </c>
    </row>
    <row r="82" hidden="1">
      <c r="A82" s="291" t="str">
        <f>IFERROR(__xludf.DUMMYFUNCTION("""COMPUTED_VALUE"""),"isabella.utida")</f>
        <v>isabella.utida</v>
      </c>
      <c r="B82" s="120" t="str">
        <f>IFERROR(__xludf.DUMMYFUNCTION("""COMPUTED_VALUE"""),"Trainee")</f>
        <v>Trainee</v>
      </c>
      <c r="C82" s="120" t="str">
        <f>IFERROR(__xludf.DUMMYFUNCTION("""COMPUTED_VALUE"""),"NCon")</f>
        <v>NCon</v>
      </c>
      <c r="D82" s="292" t="str">
        <f>IFERROR((COUNTIFS(Base!$V:$V,A82,Base!$S:$S,"&gt;8") - COUNTIFS(Base!$V:$V,A82,Base!$S:$S,"&lt;7"))/COUNTIFS(Base!$V:$V,A82,Base!$S:$S,"&lt;&gt;"),"-")</f>
        <v>-</v>
      </c>
      <c r="E82" s="292" t="str">
        <f>IF(
  (
    COUNTIFS(Base!$W:$W, A82, Base!$S:$S, "&lt;&gt;") +
    COUNTIFS(Base!$X:$X, A82, Base!$S:$S, "&lt;&gt;") +
    COUNTIFS(Base!$Y:$Y, A82, Base!$S:$S, "&lt;&gt;") +
    COUNTIFS(Base!$Z:$Z, A82, Base!$S:$S, "&lt;&gt;")
  ) = 0,
  "-",
  (
    COUNTIFS(Base!$W:$W, A82, Base!$S:$S, "&gt;8") - COUNTIFS(Base!$W:$W, A82, Base!$S:$S, "&lt;7") +
    COUNTIFS(Base!$X:$X, A82, Base!$S:$S, "&gt;8") - COUNTIFS(Base!$X:$X, A82, Base!$S:$S, "&lt;7") +
    COUNTIFS(Base!$Y:$Y, A82, Base!$S:$S, "&gt;8") - COUNTIFS(Base!$Y:$Y, A82, Base!$S:$S, "&lt;7") +
    COUNTIFS(Base!$Z:$Z, A82, Base!$S:$S, "&gt;8") - COUNTIFS(Base!$Z:$Z, A82, Base!$S:$S, "&lt;7")
  ) /
  (
    COUNTIFS(Base!$W:$W, A82, Base!$S:$S, "&lt;&gt;") +
    COUNTIFS(Base!$X:$X, A82, Base!$S:$S, "&lt;&gt;") +
    COUNTIFS(Base!$Y:$Y, A82, Base!$S:$S, "&lt;&gt;") +
    COUNTIFS(Base!$Z:$Z, A82, Base!$S:$S, "&lt;&gt;")
  )
)
</f>
        <v>-</v>
      </c>
      <c r="F82" s="290">
        <f>SUMIFS(Base!$N:$N,Base!$V:$V,A82,Base!$N:$N,"&lt;&gt;")-SUMIFS(Base!$K:$K,Base!$V:$V,A82,Base!$N:$N,"&lt;&gt;")-(SUMIFS(Base!$L:$L,Base!$V:$V,A82,Base!$N:$N,"&lt;&gt;")*7)</f>
        <v>0</v>
      </c>
      <c r="G82" s="290"/>
      <c r="H82" s="290">
        <f>SUMIFS(Base!$F:$F,Base!$V:$V,A82,Base!$N:$N,"&lt;&gt;")*7</f>
        <v>0</v>
      </c>
      <c r="I82" s="290"/>
      <c r="J82" s="292" t="str">
        <f t="shared" ref="J82:K82" si="83">IFERROR(F82/H82,"-")</f>
        <v>-</v>
      </c>
      <c r="K82" s="292" t="str">
        <f t="shared" si="83"/>
        <v>-</v>
      </c>
      <c r="L82" s="292" t="str">
        <f>IFERROR((COUNTIFS(Base!$V:$V,A82,Base!$U:$U,TRUE))/(COUNTIFS(Base!$V:$V,A82,Base!$O:$O,"Finalizado")+COUNTIFS(Base!$V:$V,A82,Base!$O:$O,"Concluído")),"-")</f>
        <v>-</v>
      </c>
      <c r="M82" s="292">
        <f>IF(
  (
    IFERROR(COUNTIF(Base!$W:$W, A82), 0) +
    IFERROR(COUNTIF(Base!$X:$X, A82), 0) +
    IFERROR(COUNTIF(Base!$Y:$Y, A82), 0) +
    IFERROR(COUNTIF(Base!$Z:$Z, A82), 0)
  ) = 0,
  "-",
  IF(
    (
      IFERROR(COUNTIFS(Base!$W:$W, A82, Base!$O:$O, "Finalizado"), 0) +
      IFERROR(COUNTIFS(Base!$W:$W, A82, Base!$O:$O, "Concluído"), 0) +
      IFERROR(COUNTIFS(Base!$X:$X, A82, Base!$O:$O, "Finalizado"), 0) +
      IFERROR(COUNTIFS(Base!$X:$X, A82, Base!$O:$O, "Concluído"), 0) +
      IFERROR(COUNTIFS(Base!$Y:$Y, A82, Base!$O:$O, "Finalizado"), 0) +
      IFERROR(COUNTIFS(Base!$Y:$Y, A82, Base!$O:$O, "Concluído"), 0) +
      IFERROR(COUNTIFS(Base!$Z:$Z, A82, Base!$O:$O, "Finalizado"), 0) +
      IFERROR(COUNTIFS(Base!$Z:$Z, A82, Base!$O:$O, "Concluído"), 0)
    ) = 0,
    "-",
    (
      IFERROR(COUNTIFS(Base!$W:$W, A82, Base!$U:$U, TRUE), 0) +
      IFERROR(COUNTIFS(Base!$X:$X, A82, Base!$U:$U, TRUE), 0) +
      IFERROR(COUNTIFS(Base!$Y:$Y, A82, Base!$U:$U, TRUE), 0) +
      IFERROR(COUNTIFS(Base!$Z:$Z, A82, Base!$U:$U, TRUE), 0)
    ) /
    (
      IFERROR(COUNTIFS(Base!$W:$W, A82, Base!$O:$O, "Finalizado"), 0) +
      IFERROR(COUNTIFS(Base!$W:$W, A82, Base!$O:$O, "Concluído"), 0) +
      IFERROR(COUNTIFS(Base!$X:$X, A82, Base!$O:$O, "Finalizado"), 0) +
      IFERROR(COUNTIFS(Base!$X:$X, A82, Base!$O:$O, "Concluído"), 0) +
      IFERROR(COUNTIFS(Base!$Y:$Y, A82, Base!$O:$O, "Finalizado"), 0) +
      IFERROR(COUNTIFS(Base!$Y:$Y, A82, Base!$O:$O, "Concluído"), 0) +
      IFERROR(COUNTIFS(Base!$Z:$Z, A82, Base!$O:$O, "Finalizado"), 0) +
      IFERROR(COUNTIFS(Base!$Z:$Z, A82, Base!$O:$O, "Concluído"), 0)
    )
  )
)
</f>
        <v>0</v>
      </c>
      <c r="N82" s="120">
        <f>COUNTIF(Base!V:V,$A82)</f>
        <v>0</v>
      </c>
      <c r="O82" s="120">
        <f>COUNTIF(Base!W:W,$A82)</f>
        <v>1</v>
      </c>
      <c r="P82" s="120">
        <f>COUNTIF(Base!X:X,$A82)</f>
        <v>1</v>
      </c>
      <c r="Q82" s="120">
        <f>COUNTIF(Base!Y:Y,$A82)</f>
        <v>0</v>
      </c>
      <c r="R82" s="120">
        <f>COUNTIF(Base!Z:Z,$A82)</f>
        <v>0</v>
      </c>
      <c r="S82" s="120">
        <f t="shared" si="3"/>
        <v>2</v>
      </c>
      <c r="T82" s="120">
        <f t="shared" si="4"/>
        <v>2</v>
      </c>
      <c r="V82" s="293">
        <f>IF(
  (
    COUNTIF('Acompanhamento quinzenal'!$N:$N, A82) +
    COUNTIF('Acompanhamento quinzenal'!$T:$T, A82) +
    COUNTIF('Acompanhamento quinzenal'!$Z:$Z, A82) +
    COUNTIF('Acompanhamento quinzenal'!$AF:$AF, A82)
  ) = 0,
  "-",
  (
    IFERROR(SUMIFS('Acompanhamento quinzenal'!$S:$S, 'Acompanhamento quinzenal'!$N:$N, A82), 0) +
    IFERROR(SUMIFS('Acompanhamento quinzenal'!$Y:$Y, 'Acompanhamento quinzenal'!$T:$T, A82), 0) +
    IFERROR(SUMIFS('Acompanhamento quinzenal'!$AE:$AE, 'Acompanhamento quinzenal'!$Z:$Z, A82), 0) +
    IFERROR(SUMIFS('Acompanhamento quinzenal'!$AK:$AK, 'Acompanhamento quinzenal'!$AF:$AF, A82), 0)
  ) /
  (
    COUNTIF('Acompanhamento quinzenal'!$N:$N, A82) +
    COUNTIF('Acompanhamento quinzenal'!$T:$T, A82) +
    COUNTIF('Acompanhamento quinzenal'!$Z:$Z, A82) +
    COUNTIF('Acompanhamento quinzenal'!$AF:$AF, A82)
  )
)
</f>
        <v>3.666666667</v>
      </c>
      <c r="W82" s="293">
        <f>IF(
  (
    COUNTIF('Acompanhamento quinzenal'!$N:$N, A82) +
    COUNTIF('Acompanhamento quinzenal'!$T:$T, A82) +
    COUNTIF('Acompanhamento quinzenal'!$Z:$Z, A82) +
    COUNTIF('Acompanhamento quinzenal'!$AF:$AF, A82)
  ) = 0,
  "-",
  (
    IFERROR(SUMIFS('Acompanhamento quinzenal'!$O:$O, 'Acompanhamento quinzenal'!$N:$N, A82), 0) +
    IFERROR(SUMIFS('Acompanhamento quinzenal'!$U:$U, 'Acompanhamento quinzenal'!$T:$T, A82), 0) +
    IFERROR(SUMIFS('Acompanhamento quinzenal'!$AA:$AA, 'Acompanhamento quinzenal'!$Z:$Z, A82), 0) +
    IFERROR(SUMIFS('Acompanhamento quinzenal'!$AG:$AG, 'Acompanhamento quinzenal'!$AF:$AF, A82), 0)
  ) /
  (
    COUNTIF('Acompanhamento quinzenal'!$N:$N, A82) +
    COUNTIF('Acompanhamento quinzenal'!$T:$T, A82) +
    COUNTIF('Acompanhamento quinzenal'!$Z:$Z, A82) +
    COUNTIF('Acompanhamento quinzenal'!$AF:$AF, A82)
  )
)
</f>
        <v>3</v>
      </c>
      <c r="X82" s="294">
        <f>IF(
  (
    COUNTIF('Acompanhamento quinzenal'!$N:$N, A82) +
    COUNTIF('Acompanhamento quinzenal'!$T:$T, A82) +
    COUNTIF('Acompanhamento quinzenal'!$Z:$Z, A82) +
    COUNTIF('Acompanhamento quinzenal'!$AF:$AF, A82)
  ) = 0,
  "-",
  (
    IFERROR(SUMIFS('Acompanhamento quinzenal'!$P:$P, 'Acompanhamento quinzenal'!$N:$N, A82), 0) +
    IFERROR(SUMIFS('Acompanhamento quinzenal'!$V:$V, 'Acompanhamento quinzenal'!$T:$T, A82), 0) +
    IFERROR(SUMIFS('Acompanhamento quinzenal'!$AB:$AB, 'Acompanhamento quinzenal'!$Z:$Z, A82), 0) +
    IFERROR(SUMIFS('Acompanhamento quinzenal'!$AH:$AH, 'Acompanhamento quinzenal'!$AF:$AF, A82), 0)
  ) /
  (
    COUNTIF('Acompanhamento quinzenal'!$N:$N, A82) +
    COUNTIF('Acompanhamento quinzenal'!$T:$T, A82) +
    COUNTIF('Acompanhamento quinzenal'!$Z:$Z, A82) +
    COUNTIF('Acompanhamento quinzenal'!$AF:$AF, A82)
  )
)
</f>
        <v>4</v>
      </c>
      <c r="Y82" s="293">
        <f>IF(
  (
    COUNTIF('Acompanhamento quinzenal'!$N:$N, A82) +
    COUNTIF('Acompanhamento quinzenal'!$T:$T, A82) +
    COUNTIF('Acompanhamento quinzenal'!$Z:$Z, A82) +
    COUNTIF('Acompanhamento quinzenal'!$AF:$AF, A82)
  ) = 0,
  "-",
  (
    IFERROR(SUMIFS('Acompanhamento quinzenal'!$Q:$Q, 'Acompanhamento quinzenal'!$N:$N, A82), 0) +
    IFERROR(SUMIFS('Acompanhamento quinzenal'!$W:$W, 'Acompanhamento quinzenal'!$T:$T, A82), 0) +
    IFERROR(SUMIFS('Acompanhamento quinzenal'!$AC:$AC, 'Acompanhamento quinzenal'!$Z:$Z, A82), 0) +
    IFERROR(SUMIFS('Acompanhamento quinzenal'!$AI:$AI, 'Acompanhamento quinzenal'!$AF:$AF, A82), 0)
  ) /
  (
    COUNTIF('Acompanhamento quinzenal'!$N:$N, A82) +
    COUNTIF('Acompanhamento quinzenal'!$T:$T, A82) +
    COUNTIF('Acompanhamento quinzenal'!$Z:$Z, A82) +
    COUNTIF('Acompanhamento quinzenal'!$AF:$AF, A82)
  )
)
</f>
        <v>4</v>
      </c>
    </row>
    <row r="83" hidden="1">
      <c r="A83" s="291" t="str">
        <f>IFERROR(__xludf.DUMMYFUNCTION("""COMPUTED_VALUE"""),"isabella.hayashi")</f>
        <v>isabella.hayashi</v>
      </c>
      <c r="B83" s="120" t="str">
        <f>IFERROR(__xludf.DUMMYFUNCTION("""COMPUTED_VALUE"""),"Consultor")</f>
        <v>Consultor</v>
      </c>
      <c r="C83" s="120" t="str">
        <f>IFERROR(__xludf.DUMMYFUNCTION("""COMPUTED_VALUE"""),"NCiv")</f>
        <v>NCiv</v>
      </c>
      <c r="D83" s="292" t="str">
        <f>IFERROR((COUNTIFS(Base!$V:$V,A83,Base!$S:$S,"&gt;8") - COUNTIFS(Base!$V:$V,A83,Base!$S:$S,"&lt;7"))/COUNTIFS(Base!$V:$V,A83,Base!$S:$S,"&lt;&gt;"),"-")</f>
        <v>-</v>
      </c>
      <c r="E83" s="292" t="str">
        <f>IF(
  (
    COUNTIFS(Base!$W:$W, A83, Base!$S:$S, "&lt;&gt;") +
    COUNTIFS(Base!$X:$X, A83, Base!$S:$S, "&lt;&gt;") +
    COUNTIFS(Base!$Y:$Y, A83, Base!$S:$S, "&lt;&gt;") +
    COUNTIFS(Base!$Z:$Z, A83, Base!$S:$S, "&lt;&gt;")
  ) = 0,
  "-",
  (
    COUNTIFS(Base!$W:$W, A83, Base!$S:$S, "&gt;8") - COUNTIFS(Base!$W:$W, A83, Base!$S:$S, "&lt;7") +
    COUNTIFS(Base!$X:$X, A83, Base!$S:$S, "&gt;8") - COUNTIFS(Base!$X:$X, A83, Base!$S:$S, "&lt;7") +
    COUNTIFS(Base!$Y:$Y, A83, Base!$S:$S, "&gt;8") - COUNTIFS(Base!$Y:$Y, A83, Base!$S:$S, "&lt;7") +
    COUNTIFS(Base!$Z:$Z, A83, Base!$S:$S, "&gt;8") - COUNTIFS(Base!$Z:$Z, A83, Base!$S:$S, "&lt;7")
  ) /
  (
    COUNTIFS(Base!$W:$W, A83, Base!$S:$S, "&lt;&gt;") +
    COUNTIFS(Base!$X:$X, A83, Base!$S:$S, "&lt;&gt;") +
    COUNTIFS(Base!$Y:$Y, A83, Base!$S:$S, "&lt;&gt;") +
    COUNTIFS(Base!$Z:$Z, A83, Base!$S:$S, "&lt;&gt;")
  )
)
</f>
        <v>-</v>
      </c>
      <c r="F83" s="290">
        <f>SUMIFS(Base!$N:$N,Base!$V:$V,A83,Base!$N:$N,"&lt;&gt;")-SUMIFS(Base!$K:$K,Base!$V:$V,A83,Base!$N:$N,"&lt;&gt;")-(SUMIFS(Base!$L:$L,Base!$V:$V,A83,Base!$N:$N,"&lt;&gt;")*7)</f>
        <v>0</v>
      </c>
      <c r="G83" s="290"/>
      <c r="H83" s="290">
        <f>SUMIFS(Base!$F:$F,Base!$V:$V,A83,Base!$N:$N,"&lt;&gt;")*7</f>
        <v>0</v>
      </c>
      <c r="I83" s="290"/>
      <c r="J83" s="292" t="str">
        <f t="shared" ref="J83:K83" si="84">IFERROR(F83/H83,"-")</f>
        <v>-</v>
      </c>
      <c r="K83" s="292" t="str">
        <f t="shared" si="84"/>
        <v>-</v>
      </c>
      <c r="L83" s="292" t="str">
        <f>IFERROR((COUNTIFS(Base!$V:$V,A83,Base!$U:$U,TRUE))/(COUNTIFS(Base!$V:$V,A83,Base!$O:$O,"Finalizado")+COUNTIFS(Base!$V:$V,A83,Base!$O:$O,"Concluído")),"-")</f>
        <v>-</v>
      </c>
      <c r="M83" s="292" t="str">
        <f>IF(
  (
    IFERROR(COUNTIF(Base!$W:$W, A83), 0) +
    IFERROR(COUNTIF(Base!$X:$X, A83), 0) +
    IFERROR(COUNTIF(Base!$Y:$Y, A83), 0) +
    IFERROR(COUNTIF(Base!$Z:$Z, A83), 0)
  ) = 0,
  "-",
  IF(
    (
      IFERROR(COUNTIFS(Base!$W:$W, A83, Base!$O:$O, "Finalizado"), 0) +
      IFERROR(COUNTIFS(Base!$W:$W, A83, Base!$O:$O, "Concluído"), 0) +
      IFERROR(COUNTIFS(Base!$X:$X, A83, Base!$O:$O, "Finalizado"), 0) +
      IFERROR(COUNTIFS(Base!$X:$X, A83, Base!$O:$O, "Concluído"), 0) +
      IFERROR(COUNTIFS(Base!$Y:$Y, A83, Base!$O:$O, "Finalizado"), 0) +
      IFERROR(COUNTIFS(Base!$Y:$Y, A83, Base!$O:$O, "Concluído"), 0) +
      IFERROR(COUNTIFS(Base!$Z:$Z, A83, Base!$O:$O, "Finalizado"), 0) +
      IFERROR(COUNTIFS(Base!$Z:$Z, A83, Base!$O:$O, "Concluído"), 0)
    ) = 0,
    "-",
    (
      IFERROR(COUNTIFS(Base!$W:$W, A83, Base!$U:$U, TRUE), 0) +
      IFERROR(COUNTIFS(Base!$X:$X, A83, Base!$U:$U, TRUE), 0) +
      IFERROR(COUNTIFS(Base!$Y:$Y, A83, Base!$U:$U, TRUE), 0) +
      IFERROR(COUNTIFS(Base!$Z:$Z, A83, Base!$U:$U, TRUE), 0)
    ) /
    (
      IFERROR(COUNTIFS(Base!$W:$W, A83, Base!$O:$O, "Finalizado"), 0) +
      IFERROR(COUNTIFS(Base!$W:$W, A83, Base!$O:$O, "Concluído"), 0) +
      IFERROR(COUNTIFS(Base!$X:$X, A83, Base!$O:$O, "Finalizado"), 0) +
      IFERROR(COUNTIFS(Base!$X:$X, A83, Base!$O:$O, "Concluído"), 0) +
      IFERROR(COUNTIFS(Base!$Y:$Y, A83, Base!$O:$O, "Finalizado"), 0) +
      IFERROR(COUNTIFS(Base!$Y:$Y, A83, Base!$O:$O, "Concluído"), 0) +
      IFERROR(COUNTIFS(Base!$Z:$Z, A83, Base!$O:$O, "Finalizado"), 0) +
      IFERROR(COUNTIFS(Base!$Z:$Z, A83, Base!$O:$O, "Concluído"), 0)
    )
  )
)
</f>
        <v>-</v>
      </c>
      <c r="N83" s="120">
        <f>COUNTIF(Base!V:V,$A83)</f>
        <v>0</v>
      </c>
      <c r="O83" s="120">
        <f>COUNTIF(Base!W:W,$A83)</f>
        <v>4</v>
      </c>
      <c r="P83" s="120">
        <f>COUNTIF(Base!X:X,$A83)</f>
        <v>0</v>
      </c>
      <c r="Q83" s="120">
        <f>COUNTIF(Base!Y:Y,$A83)</f>
        <v>0</v>
      </c>
      <c r="R83" s="120">
        <f>COUNTIF(Base!Z:Z,$A83)</f>
        <v>0</v>
      </c>
      <c r="S83" s="120">
        <f t="shared" si="3"/>
        <v>4</v>
      </c>
      <c r="T83" s="120">
        <f t="shared" si="4"/>
        <v>4</v>
      </c>
      <c r="V83" s="293">
        <f>IF(
  (
    COUNTIF('Acompanhamento quinzenal'!$N:$N, A83) +
    COUNTIF('Acompanhamento quinzenal'!$T:$T, A83) +
    COUNTIF('Acompanhamento quinzenal'!$Z:$Z, A83) +
    COUNTIF('Acompanhamento quinzenal'!$AF:$AF, A83)
  ) = 0,
  "-",
  (
    IFERROR(SUMIFS('Acompanhamento quinzenal'!$S:$S, 'Acompanhamento quinzenal'!$N:$N, A83), 0) +
    IFERROR(SUMIFS('Acompanhamento quinzenal'!$Y:$Y, 'Acompanhamento quinzenal'!$T:$T, A83), 0) +
    IFERROR(SUMIFS('Acompanhamento quinzenal'!$AE:$AE, 'Acompanhamento quinzenal'!$Z:$Z, A83), 0) +
    IFERROR(SUMIFS('Acompanhamento quinzenal'!$AK:$AK, 'Acompanhamento quinzenal'!$AF:$AF, A83), 0)
  ) /
  (
    COUNTIF('Acompanhamento quinzenal'!$N:$N, A83) +
    COUNTIF('Acompanhamento quinzenal'!$T:$T, A83) +
    COUNTIF('Acompanhamento quinzenal'!$Z:$Z, A83) +
    COUNTIF('Acompanhamento quinzenal'!$AF:$AF, A83)
  )
)
</f>
        <v>2.133333333</v>
      </c>
      <c r="W83" s="293">
        <f>IF(
  (
    COUNTIF('Acompanhamento quinzenal'!$N:$N, A83) +
    COUNTIF('Acompanhamento quinzenal'!$T:$T, A83) +
    COUNTIF('Acompanhamento quinzenal'!$Z:$Z, A83) +
    COUNTIF('Acompanhamento quinzenal'!$AF:$AF, A83)
  ) = 0,
  "-",
  (
    IFERROR(SUMIFS('Acompanhamento quinzenal'!$O:$O, 'Acompanhamento quinzenal'!$N:$N, A83), 0) +
    IFERROR(SUMIFS('Acompanhamento quinzenal'!$U:$U, 'Acompanhamento quinzenal'!$T:$T, A83), 0) +
    IFERROR(SUMIFS('Acompanhamento quinzenal'!$AA:$AA, 'Acompanhamento quinzenal'!$Z:$Z, A83), 0) +
    IFERROR(SUMIFS('Acompanhamento quinzenal'!$AG:$AG, 'Acompanhamento quinzenal'!$AF:$AF, A83), 0)
  ) /
  (
    COUNTIF('Acompanhamento quinzenal'!$N:$N, A83) +
    COUNTIF('Acompanhamento quinzenal'!$T:$T, A83) +
    COUNTIF('Acompanhamento quinzenal'!$Z:$Z, A83) +
    COUNTIF('Acompanhamento quinzenal'!$AF:$AF, A83)
  )
)
</f>
        <v>4</v>
      </c>
      <c r="X83" s="294">
        <f>IF(
  (
    COUNTIF('Acompanhamento quinzenal'!$N:$N, A83) +
    COUNTIF('Acompanhamento quinzenal'!$T:$T, A83) +
    COUNTIF('Acompanhamento quinzenal'!$Z:$Z, A83) +
    COUNTIF('Acompanhamento quinzenal'!$AF:$AF, A83)
  ) = 0,
  "-",
  (
    IFERROR(SUMIFS('Acompanhamento quinzenal'!$P:$P, 'Acompanhamento quinzenal'!$N:$N, A83), 0) +
    IFERROR(SUMIFS('Acompanhamento quinzenal'!$V:$V, 'Acompanhamento quinzenal'!$T:$T, A83), 0) +
    IFERROR(SUMIFS('Acompanhamento quinzenal'!$AB:$AB, 'Acompanhamento quinzenal'!$Z:$Z, A83), 0) +
    IFERROR(SUMIFS('Acompanhamento quinzenal'!$AH:$AH, 'Acompanhamento quinzenal'!$AF:$AF, A83), 0)
  ) /
  (
    COUNTIF('Acompanhamento quinzenal'!$N:$N, A83) +
    COUNTIF('Acompanhamento quinzenal'!$T:$T, A83) +
    COUNTIF('Acompanhamento quinzenal'!$Z:$Z, A83) +
    COUNTIF('Acompanhamento quinzenal'!$AF:$AF, A83)
  )
)
</f>
        <v>3.2</v>
      </c>
      <c r="Y83" s="293">
        <f>IF(
  (
    COUNTIF('Acompanhamento quinzenal'!$N:$N, A83) +
    COUNTIF('Acompanhamento quinzenal'!$T:$T, A83) +
    COUNTIF('Acompanhamento quinzenal'!$Z:$Z, A83) +
    COUNTIF('Acompanhamento quinzenal'!$AF:$AF, A83)
  ) = 0,
  "-",
  (
    IFERROR(SUMIFS('Acompanhamento quinzenal'!$Q:$Q, 'Acompanhamento quinzenal'!$N:$N, A83), 0) +
    IFERROR(SUMIFS('Acompanhamento quinzenal'!$W:$W, 'Acompanhamento quinzenal'!$T:$T, A83), 0) +
    IFERROR(SUMIFS('Acompanhamento quinzenal'!$AC:$AC, 'Acompanhamento quinzenal'!$Z:$Z, A83), 0) +
    IFERROR(SUMIFS('Acompanhamento quinzenal'!$AI:$AI, 'Acompanhamento quinzenal'!$AF:$AF, A83), 0)
  ) /
  (
    COUNTIF('Acompanhamento quinzenal'!$N:$N, A83) +
    COUNTIF('Acompanhamento quinzenal'!$T:$T, A83) +
    COUNTIF('Acompanhamento quinzenal'!$Z:$Z, A83) +
    COUNTIF('Acompanhamento quinzenal'!$AF:$AF, A83)
  )
)
</f>
        <v>3.6</v>
      </c>
    </row>
    <row r="84" hidden="1">
      <c r="A84" s="291" t="str">
        <f>IFERROR(__xludf.DUMMYFUNCTION("""COMPUTED_VALUE"""),"isabelle.rappaport")</f>
        <v>isabelle.rappaport</v>
      </c>
      <c r="B84" s="120" t="str">
        <f>IFERROR(__xludf.DUMMYFUNCTION("""COMPUTED_VALUE"""),"Trainee")</f>
        <v>Trainee</v>
      </c>
      <c r="C84" s="120" t="str">
        <f>IFERROR(__xludf.DUMMYFUNCTION("""COMPUTED_VALUE"""),"NCon")</f>
        <v>NCon</v>
      </c>
      <c r="D84" s="292" t="str">
        <f>IFERROR((COUNTIFS(Base!$V:$V,A84,Base!$S:$S,"&gt;8") - COUNTIFS(Base!$V:$V,A84,Base!$S:$S,"&lt;7"))/COUNTIFS(Base!$V:$V,A84,Base!$S:$S,"&lt;&gt;"),"-")</f>
        <v>-</v>
      </c>
      <c r="E84" s="292" t="str">
        <f>IF(
  (
    COUNTIFS(Base!$W:$W, A84, Base!$S:$S, "&lt;&gt;") +
    COUNTIFS(Base!$X:$X, A84, Base!$S:$S, "&lt;&gt;") +
    COUNTIFS(Base!$Y:$Y, A84, Base!$S:$S, "&lt;&gt;") +
    COUNTIFS(Base!$Z:$Z, A84, Base!$S:$S, "&lt;&gt;")
  ) = 0,
  "-",
  (
    COUNTIFS(Base!$W:$W, A84, Base!$S:$S, "&gt;8") - COUNTIFS(Base!$W:$W, A84, Base!$S:$S, "&lt;7") +
    COUNTIFS(Base!$X:$X, A84, Base!$S:$S, "&gt;8") - COUNTIFS(Base!$X:$X, A84, Base!$S:$S, "&lt;7") +
    COUNTIFS(Base!$Y:$Y, A84, Base!$S:$S, "&gt;8") - COUNTIFS(Base!$Y:$Y, A84, Base!$S:$S, "&lt;7") +
    COUNTIFS(Base!$Z:$Z, A84, Base!$S:$S, "&gt;8") - COUNTIFS(Base!$Z:$Z, A84, Base!$S:$S, "&lt;7")
  ) /
  (
    COUNTIFS(Base!$W:$W, A84, Base!$S:$S, "&lt;&gt;") +
    COUNTIFS(Base!$X:$X, A84, Base!$S:$S, "&lt;&gt;") +
    COUNTIFS(Base!$Y:$Y, A84, Base!$S:$S, "&lt;&gt;") +
    COUNTIFS(Base!$Z:$Z, A84, Base!$S:$S, "&lt;&gt;")
  )
)
</f>
        <v>-</v>
      </c>
      <c r="F84" s="290">
        <f>SUMIFS(Base!$N:$N,Base!$V:$V,A84,Base!$N:$N,"&lt;&gt;")-SUMIFS(Base!$K:$K,Base!$V:$V,A84,Base!$N:$N,"&lt;&gt;")-(SUMIFS(Base!$L:$L,Base!$V:$V,A84,Base!$N:$N,"&lt;&gt;")*7)</f>
        <v>0</v>
      </c>
      <c r="G84" s="290"/>
      <c r="H84" s="290">
        <f>SUMIFS(Base!$F:$F,Base!$V:$V,A84,Base!$N:$N,"&lt;&gt;")*7</f>
        <v>0</v>
      </c>
      <c r="I84" s="290"/>
      <c r="J84" s="292" t="str">
        <f t="shared" ref="J84:K84" si="85">IFERROR(F84/H84,"-")</f>
        <v>-</v>
      </c>
      <c r="K84" s="292" t="str">
        <f t="shared" si="85"/>
        <v>-</v>
      </c>
      <c r="L84" s="292" t="str">
        <f>IFERROR((COUNTIFS(Base!$V:$V,A84,Base!$U:$U,TRUE))/(COUNTIFS(Base!$V:$V,A84,Base!$O:$O,"Finalizado")+COUNTIFS(Base!$V:$V,A84,Base!$O:$O,"Concluído")),"-")</f>
        <v>-</v>
      </c>
      <c r="M84" s="292" t="str">
        <f>IF(
  (
    IFERROR(COUNTIF(Base!$W:$W, A84), 0) +
    IFERROR(COUNTIF(Base!$X:$X, A84), 0) +
    IFERROR(COUNTIF(Base!$Y:$Y, A84), 0) +
    IFERROR(COUNTIF(Base!$Z:$Z, A84), 0)
  ) = 0,
  "-",
  IF(
    (
      IFERROR(COUNTIFS(Base!$W:$W, A84, Base!$O:$O, "Finalizado"), 0) +
      IFERROR(COUNTIFS(Base!$W:$W, A84, Base!$O:$O, "Concluído"), 0) +
      IFERROR(COUNTIFS(Base!$X:$X, A84, Base!$O:$O, "Finalizado"), 0) +
      IFERROR(COUNTIFS(Base!$X:$X, A84, Base!$O:$O, "Concluído"), 0) +
      IFERROR(COUNTIFS(Base!$Y:$Y, A84, Base!$O:$O, "Finalizado"), 0) +
      IFERROR(COUNTIFS(Base!$Y:$Y, A84, Base!$O:$O, "Concluído"), 0) +
      IFERROR(COUNTIFS(Base!$Z:$Z, A84, Base!$O:$O, "Finalizado"), 0) +
      IFERROR(COUNTIFS(Base!$Z:$Z, A84, Base!$O:$O, "Concluído"), 0)
    ) = 0,
    "-",
    (
      IFERROR(COUNTIFS(Base!$W:$W, A84, Base!$U:$U, TRUE), 0) +
      IFERROR(COUNTIFS(Base!$X:$X, A84, Base!$U:$U, TRUE), 0) +
      IFERROR(COUNTIFS(Base!$Y:$Y, A84, Base!$U:$U, TRUE), 0) +
      IFERROR(COUNTIFS(Base!$Z:$Z, A84, Base!$U:$U, TRUE), 0)
    ) /
    (
      IFERROR(COUNTIFS(Base!$W:$W, A84, Base!$O:$O, "Finalizado"), 0) +
      IFERROR(COUNTIFS(Base!$W:$W, A84, Base!$O:$O, "Concluído"), 0) +
      IFERROR(COUNTIFS(Base!$X:$X, A84, Base!$O:$O, "Finalizado"), 0) +
      IFERROR(COUNTIFS(Base!$X:$X, A84, Base!$O:$O, "Concluído"), 0) +
      IFERROR(COUNTIFS(Base!$Y:$Y, A84, Base!$O:$O, "Finalizado"), 0) +
      IFERROR(COUNTIFS(Base!$Y:$Y, A84, Base!$O:$O, "Concluído"), 0) +
      IFERROR(COUNTIFS(Base!$Z:$Z, A84, Base!$O:$O, "Finalizado"), 0) +
      IFERROR(COUNTIFS(Base!$Z:$Z, A84, Base!$O:$O, "Concluído"), 0)
    )
  )
)
</f>
        <v>-</v>
      </c>
      <c r="N84" s="120">
        <f>COUNTIF(Base!V:V,$A84)</f>
        <v>0</v>
      </c>
      <c r="O84" s="120">
        <f>COUNTIF(Base!W:W,$A84)</f>
        <v>0</v>
      </c>
      <c r="P84" s="120">
        <f>COUNTIF(Base!X:X,$A84)</f>
        <v>0</v>
      </c>
      <c r="Q84" s="120">
        <f>COUNTIF(Base!Y:Y,$A84)</f>
        <v>0</v>
      </c>
      <c r="R84" s="120">
        <f>COUNTIF(Base!Z:Z,$A84)</f>
        <v>0</v>
      </c>
      <c r="S84" s="120">
        <f t="shared" si="3"/>
        <v>0</v>
      </c>
      <c r="T84" s="120">
        <f t="shared" si="4"/>
        <v>0</v>
      </c>
      <c r="V84" s="293" t="str">
        <f>IF(
  (
    COUNTIF('Acompanhamento quinzenal'!$N:$N, A84) +
    COUNTIF('Acompanhamento quinzenal'!$T:$T, A84) +
    COUNTIF('Acompanhamento quinzenal'!$Z:$Z, A84) +
    COUNTIF('Acompanhamento quinzenal'!$AF:$AF, A84)
  ) = 0,
  "-",
  (
    IFERROR(SUMIFS('Acompanhamento quinzenal'!$S:$S, 'Acompanhamento quinzenal'!$N:$N, A84), 0) +
    IFERROR(SUMIFS('Acompanhamento quinzenal'!$Y:$Y, 'Acompanhamento quinzenal'!$T:$T, A84), 0) +
    IFERROR(SUMIFS('Acompanhamento quinzenal'!$AE:$AE, 'Acompanhamento quinzenal'!$Z:$Z, A84), 0) +
    IFERROR(SUMIFS('Acompanhamento quinzenal'!$AK:$AK, 'Acompanhamento quinzenal'!$AF:$AF, A84), 0)
  ) /
  (
    COUNTIF('Acompanhamento quinzenal'!$N:$N, A84) +
    COUNTIF('Acompanhamento quinzenal'!$T:$T, A84) +
    COUNTIF('Acompanhamento quinzenal'!$Z:$Z, A84) +
    COUNTIF('Acompanhamento quinzenal'!$AF:$AF, A84)
  )
)
</f>
        <v>-</v>
      </c>
      <c r="W84" s="293" t="str">
        <f>IF(
  (
    COUNTIF('Acompanhamento quinzenal'!$N:$N, A84) +
    COUNTIF('Acompanhamento quinzenal'!$T:$T, A84) +
    COUNTIF('Acompanhamento quinzenal'!$Z:$Z, A84) +
    COUNTIF('Acompanhamento quinzenal'!$AF:$AF, A84)
  ) = 0,
  "-",
  (
    IFERROR(SUMIFS('Acompanhamento quinzenal'!$O:$O, 'Acompanhamento quinzenal'!$N:$N, A84), 0) +
    IFERROR(SUMIFS('Acompanhamento quinzenal'!$U:$U, 'Acompanhamento quinzenal'!$T:$T, A84), 0) +
    IFERROR(SUMIFS('Acompanhamento quinzenal'!$AA:$AA, 'Acompanhamento quinzenal'!$Z:$Z, A84), 0) +
    IFERROR(SUMIFS('Acompanhamento quinzenal'!$AG:$AG, 'Acompanhamento quinzenal'!$AF:$AF, A84), 0)
  ) /
  (
    COUNTIF('Acompanhamento quinzenal'!$N:$N, A84) +
    COUNTIF('Acompanhamento quinzenal'!$T:$T, A84) +
    COUNTIF('Acompanhamento quinzenal'!$Z:$Z, A84) +
    COUNTIF('Acompanhamento quinzenal'!$AF:$AF, A84)
  )
)
</f>
        <v>-</v>
      </c>
      <c r="X84" s="294" t="str">
        <f>IF(
  (
    COUNTIF('Acompanhamento quinzenal'!$N:$N, A84) +
    COUNTIF('Acompanhamento quinzenal'!$T:$T, A84) +
    COUNTIF('Acompanhamento quinzenal'!$Z:$Z, A84) +
    COUNTIF('Acompanhamento quinzenal'!$AF:$AF, A84)
  ) = 0,
  "-",
  (
    IFERROR(SUMIFS('Acompanhamento quinzenal'!$P:$P, 'Acompanhamento quinzenal'!$N:$N, A84), 0) +
    IFERROR(SUMIFS('Acompanhamento quinzenal'!$V:$V, 'Acompanhamento quinzenal'!$T:$T, A84), 0) +
    IFERROR(SUMIFS('Acompanhamento quinzenal'!$AB:$AB, 'Acompanhamento quinzenal'!$Z:$Z, A84), 0) +
    IFERROR(SUMIFS('Acompanhamento quinzenal'!$AH:$AH, 'Acompanhamento quinzenal'!$AF:$AF, A84), 0)
  ) /
  (
    COUNTIF('Acompanhamento quinzenal'!$N:$N, A84) +
    COUNTIF('Acompanhamento quinzenal'!$T:$T, A84) +
    COUNTIF('Acompanhamento quinzenal'!$Z:$Z, A84) +
    COUNTIF('Acompanhamento quinzenal'!$AF:$AF, A84)
  )
)
</f>
        <v>-</v>
      </c>
      <c r="Y84" s="293" t="str">
        <f>IF(
  (
    COUNTIF('Acompanhamento quinzenal'!$N:$N, A84) +
    COUNTIF('Acompanhamento quinzenal'!$T:$T, A84) +
    COUNTIF('Acompanhamento quinzenal'!$Z:$Z, A84) +
    COUNTIF('Acompanhamento quinzenal'!$AF:$AF, A84)
  ) = 0,
  "-",
  (
    IFERROR(SUMIFS('Acompanhamento quinzenal'!$Q:$Q, 'Acompanhamento quinzenal'!$N:$N, A84), 0) +
    IFERROR(SUMIFS('Acompanhamento quinzenal'!$W:$W, 'Acompanhamento quinzenal'!$T:$T, A84), 0) +
    IFERROR(SUMIFS('Acompanhamento quinzenal'!$AC:$AC, 'Acompanhamento quinzenal'!$Z:$Z, A84), 0) +
    IFERROR(SUMIFS('Acompanhamento quinzenal'!$AI:$AI, 'Acompanhamento quinzenal'!$AF:$AF, A84), 0)
  ) /
  (
    COUNTIF('Acompanhamento quinzenal'!$N:$N, A84) +
    COUNTIF('Acompanhamento quinzenal'!$T:$T, A84) +
    COUNTIF('Acompanhamento quinzenal'!$Z:$Z, A84) +
    COUNTIF('Acompanhamento quinzenal'!$AF:$AF, A84)
  )
)
</f>
        <v>-</v>
      </c>
    </row>
    <row r="85">
      <c r="A85" s="291" t="str">
        <f>IFERROR(__xludf.DUMMYFUNCTION("""COMPUTED_VALUE"""),"isadora.peloso")</f>
        <v>isadora.peloso</v>
      </c>
      <c r="B85" s="120" t="str">
        <f>IFERROR(__xludf.DUMMYFUNCTION("""COMPUTED_VALUE"""),"Trainee")</f>
        <v>Trainee</v>
      </c>
      <c r="C85" s="120" t="str">
        <f>IFERROR(__xludf.DUMMYFUNCTION("""COMPUTED_VALUE"""),"NDados")</f>
        <v>NDados</v>
      </c>
      <c r="D85" s="292" t="str">
        <f>IFERROR((COUNTIFS(Base!$V:$V,A85,Base!$S:$S,"&gt;8") - COUNTIFS(Base!$V:$V,A85,Base!$S:$S,"&lt;7"))/COUNTIFS(Base!$V:$V,A85,Base!$S:$S,"&lt;&gt;"),"-")</f>
        <v>-</v>
      </c>
      <c r="E85" s="292" t="str">
        <f>IF(
  (
    COUNTIFS(Base!$W:$W, A85, Base!$S:$S, "&lt;&gt;") +
    COUNTIFS(Base!$X:$X, A85, Base!$S:$S, "&lt;&gt;") +
    COUNTIFS(Base!$Y:$Y, A85, Base!$S:$S, "&lt;&gt;") +
    COUNTIFS(Base!$Z:$Z, A85, Base!$S:$S, "&lt;&gt;")
  ) = 0,
  "-",
  (
    COUNTIFS(Base!$W:$W, A85, Base!$S:$S, "&gt;8") - COUNTIFS(Base!$W:$W, A85, Base!$S:$S, "&lt;7") +
    COUNTIFS(Base!$X:$X, A85, Base!$S:$S, "&gt;8") - COUNTIFS(Base!$X:$X, A85, Base!$S:$S, "&lt;7") +
    COUNTIFS(Base!$Y:$Y, A85, Base!$S:$S, "&gt;8") - COUNTIFS(Base!$Y:$Y, A85, Base!$S:$S, "&lt;7") +
    COUNTIFS(Base!$Z:$Z, A85, Base!$S:$S, "&gt;8") - COUNTIFS(Base!$Z:$Z, A85, Base!$S:$S, "&lt;7")
  ) /
  (
    COUNTIFS(Base!$W:$W, A85, Base!$S:$S, "&lt;&gt;") +
    COUNTIFS(Base!$X:$X, A85, Base!$S:$S, "&lt;&gt;") +
    COUNTIFS(Base!$Y:$Y, A85, Base!$S:$S, "&lt;&gt;") +
    COUNTIFS(Base!$Z:$Z, A85, Base!$S:$S, "&lt;&gt;")
  )
)
</f>
        <v>-</v>
      </c>
      <c r="F85" s="290">
        <f>SUMIFS(Base!$N:$N,Base!$V:$V,A85,Base!$N:$N,"&lt;&gt;")-SUMIFS(Base!$K:$K,Base!$V:$V,A85,Base!$N:$N,"&lt;&gt;")-(SUMIFS(Base!$L:$L,Base!$V:$V,A85,Base!$N:$N,"&lt;&gt;")*7)</f>
        <v>0</v>
      </c>
      <c r="G85" s="290"/>
      <c r="H85" s="290">
        <f>SUMIFS(Base!$F:$F,Base!$V:$V,A85,Base!$N:$N,"&lt;&gt;")*7</f>
        <v>0</v>
      </c>
      <c r="I85" s="290"/>
      <c r="J85" s="292" t="str">
        <f t="shared" ref="J85:K85" si="86">IFERROR(F85/H85,"-")</f>
        <v>-</v>
      </c>
      <c r="K85" s="292" t="str">
        <f t="shared" si="86"/>
        <v>-</v>
      </c>
      <c r="L85" s="292" t="str">
        <f>IFERROR((COUNTIFS(Base!$V:$V,A85,Base!$U:$U,TRUE))/(COUNTIFS(Base!$V:$V,A85,Base!$O:$O,"Finalizado")+COUNTIFS(Base!$V:$V,A85,Base!$O:$O,"Concluído")),"-")</f>
        <v>-</v>
      </c>
      <c r="M85" s="292" t="str">
        <f>IF(
  (
    IFERROR(COUNTIF(Base!$W:$W, A85), 0) +
    IFERROR(COUNTIF(Base!$X:$X, A85), 0) +
    IFERROR(COUNTIF(Base!$Y:$Y, A85), 0) +
    IFERROR(COUNTIF(Base!$Z:$Z, A85), 0)
  ) = 0,
  "-",
  IF(
    (
      IFERROR(COUNTIFS(Base!$W:$W, A85, Base!$O:$O, "Finalizado"), 0) +
      IFERROR(COUNTIFS(Base!$W:$W, A85, Base!$O:$O, "Concluído"), 0) +
      IFERROR(COUNTIFS(Base!$X:$X, A85, Base!$O:$O, "Finalizado"), 0) +
      IFERROR(COUNTIFS(Base!$X:$X, A85, Base!$O:$O, "Concluído"), 0) +
      IFERROR(COUNTIFS(Base!$Y:$Y, A85, Base!$O:$O, "Finalizado"), 0) +
      IFERROR(COUNTIFS(Base!$Y:$Y, A85, Base!$O:$O, "Concluído"), 0) +
      IFERROR(COUNTIFS(Base!$Z:$Z, A85, Base!$O:$O, "Finalizado"), 0) +
      IFERROR(COUNTIFS(Base!$Z:$Z, A85, Base!$O:$O, "Concluído"), 0)
    ) = 0,
    "-",
    (
      IFERROR(COUNTIFS(Base!$W:$W, A85, Base!$U:$U, TRUE), 0) +
      IFERROR(COUNTIFS(Base!$X:$X, A85, Base!$U:$U, TRUE), 0) +
      IFERROR(COUNTIFS(Base!$Y:$Y, A85, Base!$U:$U, TRUE), 0) +
      IFERROR(COUNTIFS(Base!$Z:$Z, A85, Base!$U:$U, TRUE), 0)
    ) /
    (
      IFERROR(COUNTIFS(Base!$W:$W, A85, Base!$O:$O, "Finalizado"), 0) +
      IFERROR(COUNTIFS(Base!$W:$W, A85, Base!$O:$O, "Concluído"), 0) +
      IFERROR(COUNTIFS(Base!$X:$X, A85, Base!$O:$O, "Finalizado"), 0) +
      IFERROR(COUNTIFS(Base!$X:$X, A85, Base!$O:$O, "Concluído"), 0) +
      IFERROR(COUNTIFS(Base!$Y:$Y, A85, Base!$O:$O, "Finalizado"), 0) +
      IFERROR(COUNTIFS(Base!$Y:$Y, A85, Base!$O:$O, "Concluído"), 0) +
      IFERROR(COUNTIFS(Base!$Z:$Z, A85, Base!$O:$O, "Finalizado"), 0) +
      IFERROR(COUNTIFS(Base!$Z:$Z, A85, Base!$O:$O, "Concluído"), 0)
    )
  )
)
</f>
        <v>-</v>
      </c>
      <c r="N85" s="120">
        <f>COUNTIF(Base!V:V,$A85)</f>
        <v>0</v>
      </c>
      <c r="O85" s="120">
        <f>COUNTIF(Base!W:W,$A85)</f>
        <v>1</v>
      </c>
      <c r="P85" s="120">
        <f>COUNTIF(Base!X:X,$A85)</f>
        <v>0</v>
      </c>
      <c r="Q85" s="120">
        <f>COUNTIF(Base!Y:Y,$A85)</f>
        <v>0</v>
      </c>
      <c r="R85" s="120">
        <f>COUNTIF(Base!Z:Z,$A85)</f>
        <v>0</v>
      </c>
      <c r="S85" s="120">
        <f t="shared" si="3"/>
        <v>1</v>
      </c>
      <c r="T85" s="120">
        <f t="shared" si="4"/>
        <v>1</v>
      </c>
      <c r="V85" s="293" t="str">
        <f>IF(
  (
    COUNTIF('Acompanhamento quinzenal'!$N:$N, A85) +
    COUNTIF('Acompanhamento quinzenal'!$T:$T, A85) +
    COUNTIF('Acompanhamento quinzenal'!$Z:$Z, A85) +
    COUNTIF('Acompanhamento quinzenal'!$AF:$AF, A85)
  ) = 0,
  "-",
  (
    IFERROR(SUMIFS('Acompanhamento quinzenal'!$S:$S, 'Acompanhamento quinzenal'!$N:$N, A85), 0) +
    IFERROR(SUMIFS('Acompanhamento quinzenal'!$Y:$Y, 'Acompanhamento quinzenal'!$T:$T, A85), 0) +
    IFERROR(SUMIFS('Acompanhamento quinzenal'!$AE:$AE, 'Acompanhamento quinzenal'!$Z:$Z, A85), 0) +
    IFERROR(SUMIFS('Acompanhamento quinzenal'!$AK:$AK, 'Acompanhamento quinzenal'!$AF:$AF, A85), 0)
  ) /
  (
    COUNTIF('Acompanhamento quinzenal'!$N:$N, A85) +
    COUNTIF('Acompanhamento quinzenal'!$T:$T, A85) +
    COUNTIF('Acompanhamento quinzenal'!$Z:$Z, A85) +
    COUNTIF('Acompanhamento quinzenal'!$AF:$AF, A85)
  )
)
</f>
        <v>-</v>
      </c>
      <c r="W85" s="293" t="str">
        <f>IF(
  (
    COUNTIF('Acompanhamento quinzenal'!$N:$N, A85) +
    COUNTIF('Acompanhamento quinzenal'!$T:$T, A85) +
    COUNTIF('Acompanhamento quinzenal'!$Z:$Z, A85) +
    COUNTIF('Acompanhamento quinzenal'!$AF:$AF, A85)
  ) = 0,
  "-",
  (
    IFERROR(SUMIFS('Acompanhamento quinzenal'!$O:$O, 'Acompanhamento quinzenal'!$N:$N, A85), 0) +
    IFERROR(SUMIFS('Acompanhamento quinzenal'!$U:$U, 'Acompanhamento quinzenal'!$T:$T, A85), 0) +
    IFERROR(SUMIFS('Acompanhamento quinzenal'!$AA:$AA, 'Acompanhamento quinzenal'!$Z:$Z, A85), 0) +
    IFERROR(SUMIFS('Acompanhamento quinzenal'!$AG:$AG, 'Acompanhamento quinzenal'!$AF:$AF, A85), 0)
  ) /
  (
    COUNTIF('Acompanhamento quinzenal'!$N:$N, A85) +
    COUNTIF('Acompanhamento quinzenal'!$T:$T, A85) +
    COUNTIF('Acompanhamento quinzenal'!$Z:$Z, A85) +
    COUNTIF('Acompanhamento quinzenal'!$AF:$AF, A85)
  )
)
</f>
        <v>-</v>
      </c>
      <c r="X85" s="294" t="str">
        <f>IF(
  (
    COUNTIF('Acompanhamento quinzenal'!$N:$N, A85) +
    COUNTIF('Acompanhamento quinzenal'!$T:$T, A85) +
    COUNTIF('Acompanhamento quinzenal'!$Z:$Z, A85) +
    COUNTIF('Acompanhamento quinzenal'!$AF:$AF, A85)
  ) = 0,
  "-",
  (
    IFERROR(SUMIFS('Acompanhamento quinzenal'!$P:$P, 'Acompanhamento quinzenal'!$N:$N, A85), 0) +
    IFERROR(SUMIFS('Acompanhamento quinzenal'!$V:$V, 'Acompanhamento quinzenal'!$T:$T, A85), 0) +
    IFERROR(SUMIFS('Acompanhamento quinzenal'!$AB:$AB, 'Acompanhamento quinzenal'!$Z:$Z, A85), 0) +
    IFERROR(SUMIFS('Acompanhamento quinzenal'!$AH:$AH, 'Acompanhamento quinzenal'!$AF:$AF, A85), 0)
  ) /
  (
    COUNTIF('Acompanhamento quinzenal'!$N:$N, A85) +
    COUNTIF('Acompanhamento quinzenal'!$T:$T, A85) +
    COUNTIF('Acompanhamento quinzenal'!$Z:$Z, A85) +
    COUNTIF('Acompanhamento quinzenal'!$AF:$AF, A85)
  )
)
</f>
        <v>-</v>
      </c>
      <c r="Y85" s="293" t="str">
        <f>IF(
  (
    COUNTIF('Acompanhamento quinzenal'!$N:$N, A85) +
    COUNTIF('Acompanhamento quinzenal'!$T:$T, A85) +
    COUNTIF('Acompanhamento quinzenal'!$Z:$Z, A85) +
    COUNTIF('Acompanhamento quinzenal'!$AF:$AF, A85)
  ) = 0,
  "-",
  (
    IFERROR(SUMIFS('Acompanhamento quinzenal'!$Q:$Q, 'Acompanhamento quinzenal'!$N:$N, A85), 0) +
    IFERROR(SUMIFS('Acompanhamento quinzenal'!$W:$W, 'Acompanhamento quinzenal'!$T:$T, A85), 0) +
    IFERROR(SUMIFS('Acompanhamento quinzenal'!$AC:$AC, 'Acompanhamento quinzenal'!$Z:$Z, A85), 0) +
    IFERROR(SUMIFS('Acompanhamento quinzenal'!$AI:$AI, 'Acompanhamento quinzenal'!$AF:$AF, A85), 0)
  ) /
  (
    COUNTIF('Acompanhamento quinzenal'!$N:$N, A85) +
    COUNTIF('Acompanhamento quinzenal'!$T:$T, A85) +
    COUNTIF('Acompanhamento quinzenal'!$Z:$Z, A85) +
    COUNTIF('Acompanhamento quinzenal'!$AF:$AF, A85)
  )
)
</f>
        <v>-</v>
      </c>
    </row>
    <row r="86" hidden="1">
      <c r="A86" s="291" t="str">
        <f>IFERROR(__xludf.DUMMYFUNCTION("""COMPUTED_VALUE"""),"joao.cardoso")</f>
        <v>joao.cardoso</v>
      </c>
      <c r="B86" s="120" t="str">
        <f>IFERROR(__xludf.DUMMYFUNCTION("""COMPUTED_VALUE"""),"Trainee")</f>
        <v>Trainee</v>
      </c>
      <c r="C86" s="120" t="str">
        <f>IFERROR(__xludf.DUMMYFUNCTION("""COMPUTED_VALUE"""),"NCiv")</f>
        <v>NCiv</v>
      </c>
      <c r="D86" s="292" t="str">
        <f>IFERROR((COUNTIFS(Base!$V:$V,A86,Base!$S:$S,"&gt;8") - COUNTIFS(Base!$V:$V,A86,Base!$S:$S,"&lt;7"))/COUNTIFS(Base!$V:$V,A86,Base!$S:$S,"&lt;&gt;"),"-")</f>
        <v>-</v>
      </c>
      <c r="E86" s="292" t="str">
        <f>IF(
  (
    COUNTIFS(Base!$W:$W, A86, Base!$S:$S, "&lt;&gt;") +
    COUNTIFS(Base!$X:$X, A86, Base!$S:$S, "&lt;&gt;") +
    COUNTIFS(Base!$Y:$Y, A86, Base!$S:$S, "&lt;&gt;") +
    COUNTIFS(Base!$Z:$Z, A86, Base!$S:$S, "&lt;&gt;")
  ) = 0,
  "-",
  (
    COUNTIFS(Base!$W:$W, A86, Base!$S:$S, "&gt;8") - COUNTIFS(Base!$W:$W, A86, Base!$S:$S, "&lt;7") +
    COUNTIFS(Base!$X:$X, A86, Base!$S:$S, "&gt;8") - COUNTIFS(Base!$X:$X, A86, Base!$S:$S, "&lt;7") +
    COUNTIFS(Base!$Y:$Y, A86, Base!$S:$S, "&gt;8") - COUNTIFS(Base!$Y:$Y, A86, Base!$S:$S, "&lt;7") +
    COUNTIFS(Base!$Z:$Z, A86, Base!$S:$S, "&gt;8") - COUNTIFS(Base!$Z:$Z, A86, Base!$S:$S, "&lt;7")
  ) /
  (
    COUNTIFS(Base!$W:$W, A86, Base!$S:$S, "&lt;&gt;") +
    COUNTIFS(Base!$X:$X, A86, Base!$S:$S, "&lt;&gt;") +
    COUNTIFS(Base!$Y:$Y, A86, Base!$S:$S, "&lt;&gt;") +
    COUNTIFS(Base!$Z:$Z, A86, Base!$S:$S, "&lt;&gt;")
  )
)
</f>
        <v>-</v>
      </c>
      <c r="F86" s="290">
        <f>SUMIFS(Base!$N:$N,Base!$V:$V,A86,Base!$N:$N,"&lt;&gt;")-SUMIFS(Base!$K:$K,Base!$V:$V,A86,Base!$N:$N,"&lt;&gt;")-(SUMIFS(Base!$L:$L,Base!$V:$V,A86,Base!$N:$N,"&lt;&gt;")*7)</f>
        <v>0</v>
      </c>
      <c r="G86" s="290"/>
      <c r="H86" s="290">
        <f>SUMIFS(Base!$F:$F,Base!$V:$V,A86,Base!$N:$N,"&lt;&gt;")*7</f>
        <v>0</v>
      </c>
      <c r="I86" s="290"/>
      <c r="J86" s="292" t="str">
        <f t="shared" ref="J86:K86" si="87">IFERROR(F86/H86,"-")</f>
        <v>-</v>
      </c>
      <c r="K86" s="292" t="str">
        <f t="shared" si="87"/>
        <v>-</v>
      </c>
      <c r="L86" s="292" t="str">
        <f>IFERROR((COUNTIFS(Base!$V:$V,A86,Base!$U:$U,TRUE))/(COUNTIFS(Base!$V:$V,A86,Base!$O:$O,"Finalizado")+COUNTIFS(Base!$V:$V,A86,Base!$O:$O,"Concluído")),"-")</f>
        <v>-</v>
      </c>
      <c r="M86" s="292" t="str">
        <f>IF(
  (
    IFERROR(COUNTIF(Base!$W:$W, A86), 0) +
    IFERROR(COUNTIF(Base!$X:$X, A86), 0) +
    IFERROR(COUNTIF(Base!$Y:$Y, A86), 0) +
    IFERROR(COUNTIF(Base!$Z:$Z, A86), 0)
  ) = 0,
  "-",
  IF(
    (
      IFERROR(COUNTIFS(Base!$W:$W, A86, Base!$O:$O, "Finalizado"), 0) +
      IFERROR(COUNTIFS(Base!$W:$W, A86, Base!$O:$O, "Concluído"), 0) +
      IFERROR(COUNTIFS(Base!$X:$X, A86, Base!$O:$O, "Finalizado"), 0) +
      IFERROR(COUNTIFS(Base!$X:$X, A86, Base!$O:$O, "Concluído"), 0) +
      IFERROR(COUNTIFS(Base!$Y:$Y, A86, Base!$O:$O, "Finalizado"), 0) +
      IFERROR(COUNTIFS(Base!$Y:$Y, A86, Base!$O:$O, "Concluído"), 0) +
      IFERROR(COUNTIFS(Base!$Z:$Z, A86, Base!$O:$O, "Finalizado"), 0) +
      IFERROR(COUNTIFS(Base!$Z:$Z, A86, Base!$O:$O, "Concluído"), 0)
    ) = 0,
    "-",
    (
      IFERROR(COUNTIFS(Base!$W:$W, A86, Base!$U:$U, TRUE), 0) +
      IFERROR(COUNTIFS(Base!$X:$X, A86, Base!$U:$U, TRUE), 0) +
      IFERROR(COUNTIFS(Base!$Y:$Y, A86, Base!$U:$U, TRUE), 0) +
      IFERROR(COUNTIFS(Base!$Z:$Z, A86, Base!$U:$U, TRUE), 0)
    ) /
    (
      IFERROR(COUNTIFS(Base!$W:$W, A86, Base!$O:$O, "Finalizado"), 0) +
      IFERROR(COUNTIFS(Base!$W:$W, A86, Base!$O:$O, "Concluído"), 0) +
      IFERROR(COUNTIFS(Base!$X:$X, A86, Base!$O:$O, "Finalizado"), 0) +
      IFERROR(COUNTIFS(Base!$X:$X, A86, Base!$O:$O, "Concluído"), 0) +
      IFERROR(COUNTIFS(Base!$Y:$Y, A86, Base!$O:$O, "Finalizado"), 0) +
      IFERROR(COUNTIFS(Base!$Y:$Y, A86, Base!$O:$O, "Concluído"), 0) +
      IFERROR(COUNTIFS(Base!$Z:$Z, A86, Base!$O:$O, "Finalizado"), 0) +
      IFERROR(COUNTIFS(Base!$Z:$Z, A86, Base!$O:$O, "Concluído"), 0)
    )
  )
)
</f>
        <v>-</v>
      </c>
      <c r="N86" s="120">
        <f>COUNTIF(Base!V:V,$A86)</f>
        <v>0</v>
      </c>
      <c r="O86" s="120">
        <f>COUNTIF(Base!W:W,$A86)</f>
        <v>0</v>
      </c>
      <c r="P86" s="120">
        <f>COUNTIF(Base!X:X,$A86)</f>
        <v>0</v>
      </c>
      <c r="Q86" s="120">
        <f>COUNTIF(Base!Y:Y,$A86)</f>
        <v>0</v>
      </c>
      <c r="R86" s="120">
        <f>COUNTIF(Base!Z:Z,$A86)</f>
        <v>0</v>
      </c>
      <c r="S86" s="120">
        <f t="shared" si="3"/>
        <v>0</v>
      </c>
      <c r="T86" s="120">
        <f t="shared" si="4"/>
        <v>0</v>
      </c>
      <c r="V86" s="293">
        <f>IF(
  (
    COUNTIF('Acompanhamento quinzenal'!$N:$N, A86) +
    COUNTIF('Acompanhamento quinzenal'!$T:$T, A86) +
    COUNTIF('Acompanhamento quinzenal'!$Z:$Z, A86) +
    COUNTIF('Acompanhamento quinzenal'!$AF:$AF, A86)
  ) = 0,
  "-",
  (
    IFERROR(SUMIFS('Acompanhamento quinzenal'!$S:$S, 'Acompanhamento quinzenal'!$N:$N, A86), 0) +
    IFERROR(SUMIFS('Acompanhamento quinzenal'!$Y:$Y, 'Acompanhamento quinzenal'!$T:$T, A86), 0) +
    IFERROR(SUMIFS('Acompanhamento quinzenal'!$AE:$AE, 'Acompanhamento quinzenal'!$Z:$Z, A86), 0) +
    IFERROR(SUMIFS('Acompanhamento quinzenal'!$AK:$AK, 'Acompanhamento quinzenal'!$AF:$AF, A86), 0)
  ) /
  (
    COUNTIF('Acompanhamento quinzenal'!$N:$N, A86) +
    COUNTIF('Acompanhamento quinzenal'!$T:$T, A86) +
    COUNTIF('Acompanhamento quinzenal'!$Z:$Z, A86) +
    COUNTIF('Acompanhamento quinzenal'!$AF:$AF, A86)
  )
)
</f>
        <v>1.666666667</v>
      </c>
      <c r="W86" s="293">
        <f>IF(
  (
    COUNTIF('Acompanhamento quinzenal'!$N:$N, A86) +
    COUNTIF('Acompanhamento quinzenal'!$T:$T, A86) +
    COUNTIF('Acompanhamento quinzenal'!$Z:$Z, A86) +
    COUNTIF('Acompanhamento quinzenal'!$AF:$AF, A86)
  ) = 0,
  "-",
  (
    IFERROR(SUMIFS('Acompanhamento quinzenal'!$O:$O, 'Acompanhamento quinzenal'!$N:$N, A86), 0) +
    IFERROR(SUMIFS('Acompanhamento quinzenal'!$U:$U, 'Acompanhamento quinzenal'!$T:$T, A86), 0) +
    IFERROR(SUMIFS('Acompanhamento quinzenal'!$AA:$AA, 'Acompanhamento quinzenal'!$Z:$Z, A86), 0) +
    IFERROR(SUMIFS('Acompanhamento quinzenal'!$AG:$AG, 'Acompanhamento quinzenal'!$AF:$AF, A86), 0)
  ) /
  (
    COUNTIF('Acompanhamento quinzenal'!$N:$N, A86) +
    COUNTIF('Acompanhamento quinzenal'!$T:$T, A86) +
    COUNTIF('Acompanhamento quinzenal'!$Z:$Z, A86) +
    COUNTIF('Acompanhamento quinzenal'!$AF:$AF, A86)
  )
)
</f>
        <v>3</v>
      </c>
      <c r="X86" s="294">
        <f>IF(
  (
    COUNTIF('Acompanhamento quinzenal'!$N:$N, A86) +
    COUNTIF('Acompanhamento quinzenal'!$T:$T, A86) +
    COUNTIF('Acompanhamento quinzenal'!$Z:$Z, A86) +
    COUNTIF('Acompanhamento quinzenal'!$AF:$AF, A86)
  ) = 0,
  "-",
  (
    IFERROR(SUMIFS('Acompanhamento quinzenal'!$P:$P, 'Acompanhamento quinzenal'!$N:$N, A86), 0) +
    IFERROR(SUMIFS('Acompanhamento quinzenal'!$V:$V, 'Acompanhamento quinzenal'!$T:$T, A86), 0) +
    IFERROR(SUMIFS('Acompanhamento quinzenal'!$AB:$AB, 'Acompanhamento quinzenal'!$Z:$Z, A86), 0) +
    IFERROR(SUMIFS('Acompanhamento quinzenal'!$AH:$AH, 'Acompanhamento quinzenal'!$AF:$AF, A86), 0)
  ) /
  (
    COUNTIF('Acompanhamento quinzenal'!$N:$N, A86) +
    COUNTIF('Acompanhamento quinzenal'!$T:$T, A86) +
    COUNTIF('Acompanhamento quinzenal'!$Z:$Z, A86) +
    COUNTIF('Acompanhamento quinzenal'!$AF:$AF, A86)
  )
)
</f>
        <v>4</v>
      </c>
      <c r="Y86" s="293">
        <f>IF(
  (
    COUNTIF('Acompanhamento quinzenal'!$N:$N, A86) +
    COUNTIF('Acompanhamento quinzenal'!$T:$T, A86) +
    COUNTIF('Acompanhamento quinzenal'!$Z:$Z, A86) +
    COUNTIF('Acompanhamento quinzenal'!$AF:$AF, A86)
  ) = 0,
  "-",
  (
    IFERROR(SUMIFS('Acompanhamento quinzenal'!$Q:$Q, 'Acompanhamento quinzenal'!$N:$N, A86), 0) +
    IFERROR(SUMIFS('Acompanhamento quinzenal'!$W:$W, 'Acompanhamento quinzenal'!$T:$T, A86), 0) +
    IFERROR(SUMIFS('Acompanhamento quinzenal'!$AC:$AC, 'Acompanhamento quinzenal'!$Z:$Z, A86), 0) +
    IFERROR(SUMIFS('Acompanhamento quinzenal'!$AI:$AI, 'Acompanhamento quinzenal'!$AF:$AF, A86), 0)
  ) /
  (
    COUNTIF('Acompanhamento quinzenal'!$N:$N, A86) +
    COUNTIF('Acompanhamento quinzenal'!$T:$T, A86) +
    COUNTIF('Acompanhamento quinzenal'!$Z:$Z, A86) +
    COUNTIF('Acompanhamento quinzenal'!$AF:$AF, A86)
  )
)
</f>
        <v>3.5</v>
      </c>
    </row>
    <row r="87" hidden="1">
      <c r="A87" s="291" t="str">
        <f>IFERROR(__xludf.DUMMYFUNCTION("""COMPUTED_VALUE"""),"joao.botelho")</f>
        <v>joao.botelho</v>
      </c>
      <c r="B87" s="120" t="str">
        <f>IFERROR(__xludf.DUMMYFUNCTION("""COMPUTED_VALUE"""),"Trainee")</f>
        <v>Trainee</v>
      </c>
      <c r="C87" s="120" t="str">
        <f>IFERROR(__xludf.DUMMYFUNCTION("""COMPUTED_VALUE"""),"NCon")</f>
        <v>NCon</v>
      </c>
      <c r="D87" s="292" t="str">
        <f>IFERROR((COUNTIFS(Base!$V:$V,A87,Base!$S:$S,"&gt;8") - COUNTIFS(Base!$V:$V,A87,Base!$S:$S,"&lt;7"))/COUNTIFS(Base!$V:$V,A87,Base!$S:$S,"&lt;&gt;"),"-")</f>
        <v>-</v>
      </c>
      <c r="E87" s="292" t="str">
        <f>IF(
  (
    COUNTIFS(Base!$W:$W, A87, Base!$S:$S, "&lt;&gt;") +
    COUNTIFS(Base!$X:$X, A87, Base!$S:$S, "&lt;&gt;") +
    COUNTIFS(Base!$Y:$Y, A87, Base!$S:$S, "&lt;&gt;") +
    COUNTIFS(Base!$Z:$Z, A87, Base!$S:$S, "&lt;&gt;")
  ) = 0,
  "-",
  (
    COUNTIFS(Base!$W:$W, A87, Base!$S:$S, "&gt;8") - COUNTIFS(Base!$W:$W, A87, Base!$S:$S, "&lt;7") +
    COUNTIFS(Base!$X:$X, A87, Base!$S:$S, "&gt;8") - COUNTIFS(Base!$X:$X, A87, Base!$S:$S, "&lt;7") +
    COUNTIFS(Base!$Y:$Y, A87, Base!$S:$S, "&gt;8") - COUNTIFS(Base!$Y:$Y, A87, Base!$S:$S, "&lt;7") +
    COUNTIFS(Base!$Z:$Z, A87, Base!$S:$S, "&gt;8") - COUNTIFS(Base!$Z:$Z, A87, Base!$S:$S, "&lt;7")
  ) /
  (
    COUNTIFS(Base!$W:$W, A87, Base!$S:$S, "&lt;&gt;") +
    COUNTIFS(Base!$X:$X, A87, Base!$S:$S, "&lt;&gt;") +
    COUNTIFS(Base!$Y:$Y, A87, Base!$S:$S, "&lt;&gt;") +
    COUNTIFS(Base!$Z:$Z, A87, Base!$S:$S, "&lt;&gt;")
  )
)
</f>
        <v>-</v>
      </c>
      <c r="F87" s="290">
        <f>SUMIFS(Base!$N:$N,Base!$V:$V,A87,Base!$N:$N,"&lt;&gt;")-SUMIFS(Base!$K:$K,Base!$V:$V,A87,Base!$N:$N,"&lt;&gt;")-(SUMIFS(Base!$L:$L,Base!$V:$V,A87,Base!$N:$N,"&lt;&gt;")*7)</f>
        <v>0</v>
      </c>
      <c r="G87" s="290"/>
      <c r="H87" s="290">
        <f>SUMIFS(Base!$F:$F,Base!$V:$V,A87,Base!$N:$N,"&lt;&gt;")*7</f>
        <v>0</v>
      </c>
      <c r="I87" s="290"/>
      <c r="J87" s="292" t="str">
        <f t="shared" ref="J87:K87" si="88">IFERROR(F87/H87,"-")</f>
        <v>-</v>
      </c>
      <c r="K87" s="292" t="str">
        <f t="shared" si="88"/>
        <v>-</v>
      </c>
      <c r="L87" s="292" t="str">
        <f>IFERROR((COUNTIFS(Base!$V:$V,A87,Base!$U:$U,TRUE))/(COUNTIFS(Base!$V:$V,A87,Base!$O:$O,"Finalizado")+COUNTIFS(Base!$V:$V,A87,Base!$O:$O,"Concluído")),"-")</f>
        <v>-</v>
      </c>
      <c r="M87" s="292" t="str">
        <f>IF(
  (
    IFERROR(COUNTIF(Base!$W:$W, A87), 0) +
    IFERROR(COUNTIF(Base!$X:$X, A87), 0) +
    IFERROR(COUNTIF(Base!$Y:$Y, A87), 0) +
    IFERROR(COUNTIF(Base!$Z:$Z, A87), 0)
  ) = 0,
  "-",
  IF(
    (
      IFERROR(COUNTIFS(Base!$W:$W, A87, Base!$O:$O, "Finalizado"), 0) +
      IFERROR(COUNTIFS(Base!$W:$W, A87, Base!$O:$O, "Concluído"), 0) +
      IFERROR(COUNTIFS(Base!$X:$X, A87, Base!$O:$O, "Finalizado"), 0) +
      IFERROR(COUNTIFS(Base!$X:$X, A87, Base!$O:$O, "Concluído"), 0) +
      IFERROR(COUNTIFS(Base!$Y:$Y, A87, Base!$O:$O, "Finalizado"), 0) +
      IFERROR(COUNTIFS(Base!$Y:$Y, A87, Base!$O:$O, "Concluído"), 0) +
      IFERROR(COUNTIFS(Base!$Z:$Z, A87, Base!$O:$O, "Finalizado"), 0) +
      IFERROR(COUNTIFS(Base!$Z:$Z, A87, Base!$O:$O, "Concluído"), 0)
    ) = 0,
    "-",
    (
      IFERROR(COUNTIFS(Base!$W:$W, A87, Base!$U:$U, TRUE), 0) +
      IFERROR(COUNTIFS(Base!$X:$X, A87, Base!$U:$U, TRUE), 0) +
      IFERROR(COUNTIFS(Base!$Y:$Y, A87, Base!$U:$U, TRUE), 0) +
      IFERROR(COUNTIFS(Base!$Z:$Z, A87, Base!$U:$U, TRUE), 0)
    ) /
    (
      IFERROR(COUNTIFS(Base!$W:$W, A87, Base!$O:$O, "Finalizado"), 0) +
      IFERROR(COUNTIFS(Base!$W:$W, A87, Base!$O:$O, "Concluído"), 0) +
      IFERROR(COUNTIFS(Base!$X:$X, A87, Base!$O:$O, "Finalizado"), 0) +
      IFERROR(COUNTIFS(Base!$X:$X, A87, Base!$O:$O, "Concluído"), 0) +
      IFERROR(COUNTIFS(Base!$Y:$Y, A87, Base!$O:$O, "Finalizado"), 0) +
      IFERROR(COUNTIFS(Base!$Y:$Y, A87, Base!$O:$O, "Concluído"), 0) +
      IFERROR(COUNTIFS(Base!$Z:$Z, A87, Base!$O:$O, "Finalizado"), 0) +
      IFERROR(COUNTIFS(Base!$Z:$Z, A87, Base!$O:$O, "Concluído"), 0)
    )
  )
)
</f>
        <v>-</v>
      </c>
      <c r="N87" s="120">
        <f>COUNTIF(Base!V:V,$A87)</f>
        <v>0</v>
      </c>
      <c r="O87" s="120">
        <f>COUNTIF(Base!W:W,$A87)</f>
        <v>2</v>
      </c>
      <c r="P87" s="120">
        <f>COUNTIF(Base!X:X,$A87)</f>
        <v>1</v>
      </c>
      <c r="Q87" s="120">
        <f>COUNTIF(Base!Y:Y,$A87)</f>
        <v>0</v>
      </c>
      <c r="R87" s="120">
        <f>COUNTIF(Base!Z:Z,$A87)</f>
        <v>0</v>
      </c>
      <c r="S87" s="120">
        <f t="shared" si="3"/>
        <v>3</v>
      </c>
      <c r="T87" s="120">
        <f t="shared" si="4"/>
        <v>3</v>
      </c>
      <c r="V87" s="293">
        <f>IF(
  (
    COUNTIF('Acompanhamento quinzenal'!$N:$N, A87) +
    COUNTIF('Acompanhamento quinzenal'!$T:$T, A87) +
    COUNTIF('Acompanhamento quinzenal'!$Z:$Z, A87) +
    COUNTIF('Acompanhamento quinzenal'!$AF:$AF, A87)
  ) = 0,
  "-",
  (
    IFERROR(SUMIFS('Acompanhamento quinzenal'!$S:$S, 'Acompanhamento quinzenal'!$N:$N, A87), 0) +
    IFERROR(SUMIFS('Acompanhamento quinzenal'!$Y:$Y, 'Acompanhamento quinzenal'!$T:$T, A87), 0) +
    IFERROR(SUMIFS('Acompanhamento quinzenal'!$AE:$AE, 'Acompanhamento quinzenal'!$Z:$Z, A87), 0) +
    IFERROR(SUMIFS('Acompanhamento quinzenal'!$AK:$AK, 'Acompanhamento quinzenal'!$AF:$AF, A87), 0)
  ) /
  (
    COUNTIF('Acompanhamento quinzenal'!$N:$N, A87) +
    COUNTIF('Acompanhamento quinzenal'!$T:$T, A87) +
    COUNTIF('Acompanhamento quinzenal'!$Z:$Z, A87) +
    COUNTIF('Acompanhamento quinzenal'!$AF:$AF, A87)
  )
)
</f>
        <v>1.5</v>
      </c>
      <c r="W87" s="293">
        <f>IF(
  (
    COUNTIF('Acompanhamento quinzenal'!$N:$N, A87) +
    COUNTIF('Acompanhamento quinzenal'!$T:$T, A87) +
    COUNTIF('Acompanhamento quinzenal'!$Z:$Z, A87) +
    COUNTIF('Acompanhamento quinzenal'!$AF:$AF, A87)
  ) = 0,
  "-",
  (
    IFERROR(SUMIFS('Acompanhamento quinzenal'!$O:$O, 'Acompanhamento quinzenal'!$N:$N, A87), 0) +
    IFERROR(SUMIFS('Acompanhamento quinzenal'!$U:$U, 'Acompanhamento quinzenal'!$T:$T, A87), 0) +
    IFERROR(SUMIFS('Acompanhamento quinzenal'!$AA:$AA, 'Acompanhamento quinzenal'!$Z:$Z, A87), 0) +
    IFERROR(SUMIFS('Acompanhamento quinzenal'!$AG:$AG, 'Acompanhamento quinzenal'!$AF:$AF, A87), 0)
  ) /
  (
    COUNTIF('Acompanhamento quinzenal'!$N:$N, A87) +
    COUNTIF('Acompanhamento quinzenal'!$T:$T, A87) +
    COUNTIF('Acompanhamento quinzenal'!$Z:$Z, A87) +
    COUNTIF('Acompanhamento quinzenal'!$AF:$AF, A87)
  )
)
</f>
        <v>3</v>
      </c>
      <c r="X87" s="294">
        <f>IF(
  (
    COUNTIF('Acompanhamento quinzenal'!$N:$N, A87) +
    COUNTIF('Acompanhamento quinzenal'!$T:$T, A87) +
    COUNTIF('Acompanhamento quinzenal'!$Z:$Z, A87) +
    COUNTIF('Acompanhamento quinzenal'!$AF:$AF, A87)
  ) = 0,
  "-",
  (
    IFERROR(SUMIFS('Acompanhamento quinzenal'!$P:$P, 'Acompanhamento quinzenal'!$N:$N, A87), 0) +
    IFERROR(SUMIFS('Acompanhamento quinzenal'!$V:$V, 'Acompanhamento quinzenal'!$T:$T, A87), 0) +
    IFERROR(SUMIFS('Acompanhamento quinzenal'!$AB:$AB, 'Acompanhamento quinzenal'!$Z:$Z, A87), 0) +
    IFERROR(SUMIFS('Acompanhamento quinzenal'!$AH:$AH, 'Acompanhamento quinzenal'!$AF:$AF, A87), 0)
  ) /
  (
    COUNTIF('Acompanhamento quinzenal'!$N:$N, A87) +
    COUNTIF('Acompanhamento quinzenal'!$T:$T, A87) +
    COUNTIF('Acompanhamento quinzenal'!$Z:$Z, A87) +
    COUNTIF('Acompanhamento quinzenal'!$AF:$AF, A87)
  )
)
</f>
        <v>3.5</v>
      </c>
      <c r="Y87" s="293">
        <f>IF(
  (
    COUNTIF('Acompanhamento quinzenal'!$N:$N, A87) +
    COUNTIF('Acompanhamento quinzenal'!$T:$T, A87) +
    COUNTIF('Acompanhamento quinzenal'!$Z:$Z, A87) +
    COUNTIF('Acompanhamento quinzenal'!$AF:$AF, A87)
  ) = 0,
  "-",
  (
    IFERROR(SUMIFS('Acompanhamento quinzenal'!$Q:$Q, 'Acompanhamento quinzenal'!$N:$N, A87), 0) +
    IFERROR(SUMIFS('Acompanhamento quinzenal'!$W:$W, 'Acompanhamento quinzenal'!$T:$T, A87), 0) +
    IFERROR(SUMIFS('Acompanhamento quinzenal'!$AC:$AC, 'Acompanhamento quinzenal'!$Z:$Z, A87), 0) +
    IFERROR(SUMIFS('Acompanhamento quinzenal'!$AI:$AI, 'Acompanhamento quinzenal'!$AF:$AF, A87), 0)
  ) /
  (
    COUNTIF('Acompanhamento quinzenal'!$N:$N, A87) +
    COUNTIF('Acompanhamento quinzenal'!$T:$T, A87) +
    COUNTIF('Acompanhamento quinzenal'!$Z:$Z, A87) +
    COUNTIF('Acompanhamento quinzenal'!$AF:$AF, A87)
  )
)
</f>
        <v>2</v>
      </c>
    </row>
    <row r="88" hidden="1">
      <c r="A88" s="291" t="str">
        <f>IFERROR(__xludf.DUMMYFUNCTION("""COMPUTED_VALUE"""),"ji.piton")</f>
        <v>ji.piton</v>
      </c>
      <c r="B88" s="120" t="str">
        <f>IFERROR(__xludf.DUMMYFUNCTION("""COMPUTED_VALUE"""),"Consultor")</f>
        <v>Consultor</v>
      </c>
      <c r="C88" s="120" t="str">
        <f>IFERROR(__xludf.DUMMYFUNCTION("""COMPUTED_VALUE"""),"NCon")</f>
        <v>NCon</v>
      </c>
      <c r="D88" s="292" t="str">
        <f>IFERROR((COUNTIFS(Base!$V:$V,A88,Base!$S:$S,"&gt;8") - COUNTIFS(Base!$V:$V,A88,Base!$S:$S,"&lt;7"))/COUNTIFS(Base!$V:$V,A88,Base!$S:$S,"&lt;&gt;"),"-")</f>
        <v>-</v>
      </c>
      <c r="E88" s="292" t="str">
        <f>IF(
  (
    COUNTIFS(Base!$W:$W, A88, Base!$S:$S, "&lt;&gt;") +
    COUNTIFS(Base!$X:$X, A88, Base!$S:$S, "&lt;&gt;") +
    COUNTIFS(Base!$Y:$Y, A88, Base!$S:$S, "&lt;&gt;") +
    COUNTIFS(Base!$Z:$Z, A88, Base!$S:$S, "&lt;&gt;")
  ) = 0,
  "-",
  (
    COUNTIFS(Base!$W:$W, A88, Base!$S:$S, "&gt;8") - COUNTIFS(Base!$W:$W, A88, Base!$S:$S, "&lt;7") +
    COUNTIFS(Base!$X:$X, A88, Base!$S:$S, "&gt;8") - COUNTIFS(Base!$X:$X, A88, Base!$S:$S, "&lt;7") +
    COUNTIFS(Base!$Y:$Y, A88, Base!$S:$S, "&gt;8") - COUNTIFS(Base!$Y:$Y, A88, Base!$S:$S, "&lt;7") +
    COUNTIFS(Base!$Z:$Z, A88, Base!$S:$S, "&gt;8") - COUNTIFS(Base!$Z:$Z, A88, Base!$S:$S, "&lt;7")
  ) /
  (
    COUNTIFS(Base!$W:$W, A88, Base!$S:$S, "&lt;&gt;") +
    COUNTIFS(Base!$X:$X, A88, Base!$S:$S, "&lt;&gt;") +
    COUNTIFS(Base!$Y:$Y, A88, Base!$S:$S, "&lt;&gt;") +
    COUNTIFS(Base!$Z:$Z, A88, Base!$S:$S, "&lt;&gt;")
  )
)
</f>
        <v>-</v>
      </c>
      <c r="F88" s="290">
        <f>SUMIFS(Base!$N:$N,Base!$V:$V,A88,Base!$N:$N,"&lt;&gt;")-SUMIFS(Base!$K:$K,Base!$V:$V,A88,Base!$N:$N,"&lt;&gt;")-(SUMIFS(Base!$L:$L,Base!$V:$V,A88,Base!$N:$N,"&lt;&gt;")*7)</f>
        <v>0</v>
      </c>
      <c r="G88" s="290"/>
      <c r="H88" s="290">
        <f>SUMIFS(Base!$F:$F,Base!$V:$V,A88,Base!$N:$N,"&lt;&gt;")*7</f>
        <v>0</v>
      </c>
      <c r="I88" s="290"/>
      <c r="J88" s="292" t="str">
        <f t="shared" ref="J88:K88" si="89">IFERROR(F88/H88,"-")</f>
        <v>-</v>
      </c>
      <c r="K88" s="292" t="str">
        <f t="shared" si="89"/>
        <v>-</v>
      </c>
      <c r="L88" s="292" t="str">
        <f>IFERROR((COUNTIFS(Base!$V:$V,A88,Base!$U:$U,TRUE))/(COUNTIFS(Base!$V:$V,A88,Base!$O:$O,"Finalizado")+COUNTIFS(Base!$V:$V,A88,Base!$O:$O,"Concluído")),"-")</f>
        <v>-</v>
      </c>
      <c r="M88" s="292" t="str">
        <f>IF(
  (
    IFERROR(COUNTIF(Base!$W:$W, A88), 0) +
    IFERROR(COUNTIF(Base!$X:$X, A88), 0) +
    IFERROR(COUNTIF(Base!$Y:$Y, A88), 0) +
    IFERROR(COUNTIF(Base!$Z:$Z, A88), 0)
  ) = 0,
  "-",
  IF(
    (
      IFERROR(COUNTIFS(Base!$W:$W, A88, Base!$O:$O, "Finalizado"), 0) +
      IFERROR(COUNTIFS(Base!$W:$W, A88, Base!$O:$O, "Concluído"), 0) +
      IFERROR(COUNTIFS(Base!$X:$X, A88, Base!$O:$O, "Finalizado"), 0) +
      IFERROR(COUNTIFS(Base!$X:$X, A88, Base!$O:$O, "Concluído"), 0) +
      IFERROR(COUNTIFS(Base!$Y:$Y, A88, Base!$O:$O, "Finalizado"), 0) +
      IFERROR(COUNTIFS(Base!$Y:$Y, A88, Base!$O:$O, "Concluído"), 0) +
      IFERROR(COUNTIFS(Base!$Z:$Z, A88, Base!$O:$O, "Finalizado"), 0) +
      IFERROR(COUNTIFS(Base!$Z:$Z, A88, Base!$O:$O, "Concluído"), 0)
    ) = 0,
    "-",
    (
      IFERROR(COUNTIFS(Base!$W:$W, A88, Base!$U:$U, TRUE), 0) +
      IFERROR(COUNTIFS(Base!$X:$X, A88, Base!$U:$U, TRUE), 0) +
      IFERROR(COUNTIFS(Base!$Y:$Y, A88, Base!$U:$U, TRUE), 0) +
      IFERROR(COUNTIFS(Base!$Z:$Z, A88, Base!$U:$U, TRUE), 0)
    ) /
    (
      IFERROR(COUNTIFS(Base!$W:$W, A88, Base!$O:$O, "Finalizado"), 0) +
      IFERROR(COUNTIFS(Base!$W:$W, A88, Base!$O:$O, "Concluído"), 0) +
      IFERROR(COUNTIFS(Base!$X:$X, A88, Base!$O:$O, "Finalizado"), 0) +
      IFERROR(COUNTIFS(Base!$X:$X, A88, Base!$O:$O, "Concluído"), 0) +
      IFERROR(COUNTIFS(Base!$Y:$Y, A88, Base!$O:$O, "Finalizado"), 0) +
      IFERROR(COUNTIFS(Base!$Y:$Y, A88, Base!$O:$O, "Concluído"), 0) +
      IFERROR(COUNTIFS(Base!$Z:$Z, A88, Base!$O:$O, "Finalizado"), 0) +
      IFERROR(COUNTIFS(Base!$Z:$Z, A88, Base!$O:$O, "Concluído"), 0)
    )
  )
)
</f>
        <v>-</v>
      </c>
      <c r="N88" s="120">
        <f>COUNTIF(Base!V:V,$A88)</f>
        <v>0</v>
      </c>
      <c r="O88" s="120">
        <f>COUNTIF(Base!W:W,$A88)</f>
        <v>2</v>
      </c>
      <c r="P88" s="120">
        <f>COUNTIF(Base!X:X,$A88)</f>
        <v>0</v>
      </c>
      <c r="Q88" s="120">
        <f>COUNTIF(Base!Y:Y,$A88)</f>
        <v>0</v>
      </c>
      <c r="R88" s="120">
        <f>COUNTIF(Base!Z:Z,$A88)</f>
        <v>0</v>
      </c>
      <c r="S88" s="120">
        <f t="shared" si="3"/>
        <v>2</v>
      </c>
      <c r="T88" s="120">
        <f t="shared" si="4"/>
        <v>2</v>
      </c>
      <c r="V88" s="293">
        <f>IF(
  (
    COUNTIF('Acompanhamento quinzenal'!$N:$N, A88) +
    COUNTIF('Acompanhamento quinzenal'!$T:$T, A88) +
    COUNTIF('Acompanhamento quinzenal'!$Z:$Z, A88) +
    COUNTIF('Acompanhamento quinzenal'!$AF:$AF, A88)
  ) = 0,
  "-",
  (
    IFERROR(SUMIFS('Acompanhamento quinzenal'!$S:$S, 'Acompanhamento quinzenal'!$N:$N, A88), 0) +
    IFERROR(SUMIFS('Acompanhamento quinzenal'!$Y:$Y, 'Acompanhamento quinzenal'!$T:$T, A88), 0) +
    IFERROR(SUMIFS('Acompanhamento quinzenal'!$AE:$AE, 'Acompanhamento quinzenal'!$Z:$Z, A88), 0) +
    IFERROR(SUMIFS('Acompanhamento quinzenal'!$AK:$AK, 'Acompanhamento quinzenal'!$AF:$AF, A88), 0)
  ) /
  (
    COUNTIF('Acompanhamento quinzenal'!$N:$N, A88) +
    COUNTIF('Acompanhamento quinzenal'!$T:$T, A88) +
    COUNTIF('Acompanhamento quinzenal'!$Z:$Z, A88) +
    COUNTIF('Acompanhamento quinzenal'!$AF:$AF, A88)
  )
)
</f>
        <v>2.2</v>
      </c>
      <c r="W88" s="293">
        <f>IF(
  (
    COUNTIF('Acompanhamento quinzenal'!$N:$N, A88) +
    COUNTIF('Acompanhamento quinzenal'!$T:$T, A88) +
    COUNTIF('Acompanhamento quinzenal'!$Z:$Z, A88) +
    COUNTIF('Acompanhamento quinzenal'!$AF:$AF, A88)
  ) = 0,
  "-",
  (
    IFERROR(SUMIFS('Acompanhamento quinzenal'!$O:$O, 'Acompanhamento quinzenal'!$N:$N, A88), 0) +
    IFERROR(SUMIFS('Acompanhamento quinzenal'!$U:$U, 'Acompanhamento quinzenal'!$T:$T, A88), 0) +
    IFERROR(SUMIFS('Acompanhamento quinzenal'!$AA:$AA, 'Acompanhamento quinzenal'!$Z:$Z, A88), 0) +
    IFERROR(SUMIFS('Acompanhamento quinzenal'!$AG:$AG, 'Acompanhamento quinzenal'!$AF:$AF, A88), 0)
  ) /
  (
    COUNTIF('Acompanhamento quinzenal'!$N:$N, A88) +
    COUNTIF('Acompanhamento quinzenal'!$T:$T, A88) +
    COUNTIF('Acompanhamento quinzenal'!$Z:$Z, A88) +
    COUNTIF('Acompanhamento quinzenal'!$AF:$AF, A88)
  )
)
</f>
        <v>2.6</v>
      </c>
      <c r="X88" s="294">
        <f>IF(
  (
    COUNTIF('Acompanhamento quinzenal'!$N:$N, A88) +
    COUNTIF('Acompanhamento quinzenal'!$T:$T, A88) +
    COUNTIF('Acompanhamento quinzenal'!$Z:$Z, A88) +
    COUNTIF('Acompanhamento quinzenal'!$AF:$AF, A88)
  ) = 0,
  "-",
  (
    IFERROR(SUMIFS('Acompanhamento quinzenal'!$P:$P, 'Acompanhamento quinzenal'!$N:$N, A88), 0) +
    IFERROR(SUMIFS('Acompanhamento quinzenal'!$V:$V, 'Acompanhamento quinzenal'!$T:$T, A88), 0) +
    IFERROR(SUMIFS('Acompanhamento quinzenal'!$AB:$AB, 'Acompanhamento quinzenal'!$Z:$Z, A88), 0) +
    IFERROR(SUMIFS('Acompanhamento quinzenal'!$AH:$AH, 'Acompanhamento quinzenal'!$AF:$AF, A88), 0)
  ) /
  (
    COUNTIF('Acompanhamento quinzenal'!$N:$N, A88) +
    COUNTIF('Acompanhamento quinzenal'!$T:$T, A88) +
    COUNTIF('Acompanhamento quinzenal'!$Z:$Z, A88) +
    COUNTIF('Acompanhamento quinzenal'!$AF:$AF, A88)
  )
)
</f>
        <v>2</v>
      </c>
      <c r="Y88" s="293">
        <f>IF(
  (
    COUNTIF('Acompanhamento quinzenal'!$N:$N, A88) +
    COUNTIF('Acompanhamento quinzenal'!$T:$T, A88) +
    COUNTIF('Acompanhamento quinzenal'!$Z:$Z, A88) +
    COUNTIF('Acompanhamento quinzenal'!$AF:$AF, A88)
  ) = 0,
  "-",
  (
    IFERROR(SUMIFS('Acompanhamento quinzenal'!$Q:$Q, 'Acompanhamento quinzenal'!$N:$N, A88), 0) +
    IFERROR(SUMIFS('Acompanhamento quinzenal'!$W:$W, 'Acompanhamento quinzenal'!$T:$T, A88), 0) +
    IFERROR(SUMIFS('Acompanhamento quinzenal'!$AC:$AC, 'Acompanhamento quinzenal'!$Z:$Z, A88), 0) +
    IFERROR(SUMIFS('Acompanhamento quinzenal'!$AI:$AI, 'Acompanhamento quinzenal'!$AF:$AF, A88), 0)
  ) /
  (
    COUNTIF('Acompanhamento quinzenal'!$N:$N, A88) +
    COUNTIF('Acompanhamento quinzenal'!$T:$T, A88) +
    COUNTIF('Acompanhamento quinzenal'!$Z:$Z, A88) +
    COUNTIF('Acompanhamento quinzenal'!$AF:$AF, A88)
  )
)
</f>
        <v>2</v>
      </c>
    </row>
    <row r="89" hidden="1">
      <c r="A89" s="291" t="str">
        <f>IFERROR(__xludf.DUMMYFUNCTION("""COMPUTED_VALUE"""),"joao.leal")</f>
        <v>joao.leal</v>
      </c>
      <c r="B89" s="120" t="str">
        <f>IFERROR(__xludf.DUMMYFUNCTION("""COMPUTED_VALUE"""),"Consultor")</f>
        <v>Consultor</v>
      </c>
      <c r="C89" s="120" t="str">
        <f>IFERROR(__xludf.DUMMYFUNCTION("""COMPUTED_VALUE"""),"NTec")</f>
        <v>NTec</v>
      </c>
      <c r="D89" s="292" t="str">
        <f>IFERROR((COUNTIFS(Base!$V:$V,A89,Base!$S:$S,"&gt;8") - COUNTIFS(Base!$V:$V,A89,Base!$S:$S,"&lt;7"))/COUNTIFS(Base!$V:$V,A89,Base!$S:$S,"&lt;&gt;"),"-")</f>
        <v>-</v>
      </c>
      <c r="E89" s="292" t="str">
        <f>IF(
  (
    COUNTIFS(Base!$W:$W, A89, Base!$S:$S, "&lt;&gt;") +
    COUNTIFS(Base!$X:$X, A89, Base!$S:$S, "&lt;&gt;") +
    COUNTIFS(Base!$Y:$Y, A89, Base!$S:$S, "&lt;&gt;") +
    COUNTIFS(Base!$Z:$Z, A89, Base!$S:$S, "&lt;&gt;")
  ) = 0,
  "-",
  (
    COUNTIFS(Base!$W:$W, A89, Base!$S:$S, "&gt;8") - COUNTIFS(Base!$W:$W, A89, Base!$S:$S, "&lt;7") +
    COUNTIFS(Base!$X:$X, A89, Base!$S:$S, "&gt;8") - COUNTIFS(Base!$X:$X, A89, Base!$S:$S, "&lt;7") +
    COUNTIFS(Base!$Y:$Y, A89, Base!$S:$S, "&gt;8") - COUNTIFS(Base!$Y:$Y, A89, Base!$S:$S, "&lt;7") +
    COUNTIFS(Base!$Z:$Z, A89, Base!$S:$S, "&gt;8") - COUNTIFS(Base!$Z:$Z, A89, Base!$S:$S, "&lt;7")
  ) /
  (
    COUNTIFS(Base!$W:$W, A89, Base!$S:$S, "&lt;&gt;") +
    COUNTIFS(Base!$X:$X, A89, Base!$S:$S, "&lt;&gt;") +
    COUNTIFS(Base!$Y:$Y, A89, Base!$S:$S, "&lt;&gt;") +
    COUNTIFS(Base!$Z:$Z, A89, Base!$S:$S, "&lt;&gt;")
  )
)
</f>
        <v>-</v>
      </c>
      <c r="F89" s="290">
        <f>SUMIFS(Base!$N:$N,Base!$V:$V,A89,Base!$N:$N,"&lt;&gt;")-SUMIFS(Base!$K:$K,Base!$V:$V,A89,Base!$N:$N,"&lt;&gt;")-(SUMIFS(Base!$L:$L,Base!$V:$V,A89,Base!$N:$N,"&lt;&gt;")*7)</f>
        <v>0</v>
      </c>
      <c r="G89" s="290"/>
      <c r="H89" s="290">
        <f>SUMIFS(Base!$F:$F,Base!$V:$V,A89,Base!$N:$N,"&lt;&gt;")*7</f>
        <v>0</v>
      </c>
      <c r="I89" s="290"/>
      <c r="J89" s="292" t="str">
        <f t="shared" ref="J89:K89" si="90">IFERROR(F89/H89,"-")</f>
        <v>-</v>
      </c>
      <c r="K89" s="292" t="str">
        <f t="shared" si="90"/>
        <v>-</v>
      </c>
      <c r="L89" s="292" t="str">
        <f>IFERROR((COUNTIFS(Base!$V:$V,A89,Base!$U:$U,TRUE))/(COUNTIFS(Base!$V:$V,A89,Base!$O:$O,"Finalizado")+COUNTIFS(Base!$V:$V,A89,Base!$O:$O,"Concluído")),"-")</f>
        <v>-</v>
      </c>
      <c r="M89" s="292" t="str">
        <f>IF(
  (
    IFERROR(COUNTIF(Base!$W:$W, A89), 0) +
    IFERROR(COUNTIF(Base!$X:$X, A89), 0) +
    IFERROR(COUNTIF(Base!$Y:$Y, A89), 0) +
    IFERROR(COUNTIF(Base!$Z:$Z, A89), 0)
  ) = 0,
  "-",
  IF(
    (
      IFERROR(COUNTIFS(Base!$W:$W, A89, Base!$O:$O, "Finalizado"), 0) +
      IFERROR(COUNTIFS(Base!$W:$W, A89, Base!$O:$O, "Concluído"), 0) +
      IFERROR(COUNTIFS(Base!$X:$X, A89, Base!$O:$O, "Finalizado"), 0) +
      IFERROR(COUNTIFS(Base!$X:$X, A89, Base!$O:$O, "Concluído"), 0) +
      IFERROR(COUNTIFS(Base!$Y:$Y, A89, Base!$O:$O, "Finalizado"), 0) +
      IFERROR(COUNTIFS(Base!$Y:$Y, A89, Base!$O:$O, "Concluído"), 0) +
      IFERROR(COUNTIFS(Base!$Z:$Z, A89, Base!$O:$O, "Finalizado"), 0) +
      IFERROR(COUNTIFS(Base!$Z:$Z, A89, Base!$O:$O, "Concluído"), 0)
    ) = 0,
    "-",
    (
      IFERROR(COUNTIFS(Base!$W:$W, A89, Base!$U:$U, TRUE), 0) +
      IFERROR(COUNTIFS(Base!$X:$X, A89, Base!$U:$U, TRUE), 0) +
      IFERROR(COUNTIFS(Base!$Y:$Y, A89, Base!$U:$U, TRUE), 0) +
      IFERROR(COUNTIFS(Base!$Z:$Z, A89, Base!$U:$U, TRUE), 0)
    ) /
    (
      IFERROR(COUNTIFS(Base!$W:$W, A89, Base!$O:$O, "Finalizado"), 0) +
      IFERROR(COUNTIFS(Base!$W:$W, A89, Base!$O:$O, "Concluído"), 0) +
      IFERROR(COUNTIFS(Base!$X:$X, A89, Base!$O:$O, "Finalizado"), 0) +
      IFERROR(COUNTIFS(Base!$X:$X, A89, Base!$O:$O, "Concluído"), 0) +
      IFERROR(COUNTIFS(Base!$Y:$Y, A89, Base!$O:$O, "Finalizado"), 0) +
      IFERROR(COUNTIFS(Base!$Y:$Y, A89, Base!$O:$O, "Concluído"), 0) +
      IFERROR(COUNTIFS(Base!$Z:$Z, A89, Base!$O:$O, "Finalizado"), 0) +
      IFERROR(COUNTIFS(Base!$Z:$Z, A89, Base!$O:$O, "Concluído"), 0)
    )
  )
)
</f>
        <v>-</v>
      </c>
      <c r="N89" s="120">
        <f>COUNTIF(Base!V:V,$A89)</f>
        <v>0</v>
      </c>
      <c r="O89" s="120">
        <f>COUNTIF(Base!W:W,$A89)</f>
        <v>0</v>
      </c>
      <c r="P89" s="120">
        <f>COUNTIF(Base!X:X,$A89)</f>
        <v>0</v>
      </c>
      <c r="Q89" s="120">
        <f>COUNTIF(Base!Y:Y,$A89)</f>
        <v>0</v>
      </c>
      <c r="R89" s="120">
        <f>COUNTIF(Base!Z:Z,$A89)</f>
        <v>1</v>
      </c>
      <c r="S89" s="120">
        <f t="shared" si="3"/>
        <v>1</v>
      </c>
      <c r="T89" s="120">
        <f t="shared" si="4"/>
        <v>1</v>
      </c>
      <c r="V89" s="293">
        <f>IF(
  (
    COUNTIF('Acompanhamento quinzenal'!$N:$N, A89) +
    COUNTIF('Acompanhamento quinzenal'!$T:$T, A89) +
    COUNTIF('Acompanhamento quinzenal'!$Z:$Z, A89) +
    COUNTIF('Acompanhamento quinzenal'!$AF:$AF, A89)
  ) = 0,
  "-",
  (
    IFERROR(SUMIFS('Acompanhamento quinzenal'!$S:$S, 'Acompanhamento quinzenal'!$N:$N, A89), 0) +
    IFERROR(SUMIFS('Acompanhamento quinzenal'!$Y:$Y, 'Acompanhamento quinzenal'!$T:$T, A89), 0) +
    IFERROR(SUMIFS('Acompanhamento quinzenal'!$AE:$AE, 'Acompanhamento quinzenal'!$Z:$Z, A89), 0) +
    IFERROR(SUMIFS('Acompanhamento quinzenal'!$AK:$AK, 'Acompanhamento quinzenal'!$AF:$AF, A89), 0)
  ) /
  (
    COUNTIF('Acompanhamento quinzenal'!$N:$N, A89) +
    COUNTIF('Acompanhamento quinzenal'!$T:$T, A89) +
    COUNTIF('Acompanhamento quinzenal'!$Z:$Z, A89) +
    COUNTIF('Acompanhamento quinzenal'!$AF:$AF, A89)
  )
)
</f>
        <v>3.666666667</v>
      </c>
      <c r="W89" s="293">
        <f>IF(
  (
    COUNTIF('Acompanhamento quinzenal'!$N:$N, A89) +
    COUNTIF('Acompanhamento quinzenal'!$T:$T, A89) +
    COUNTIF('Acompanhamento quinzenal'!$Z:$Z, A89) +
    COUNTIF('Acompanhamento quinzenal'!$AF:$AF, A89)
  ) = 0,
  "-",
  (
    IFERROR(SUMIFS('Acompanhamento quinzenal'!$O:$O, 'Acompanhamento quinzenal'!$N:$N, A89), 0) +
    IFERROR(SUMIFS('Acompanhamento quinzenal'!$U:$U, 'Acompanhamento quinzenal'!$T:$T, A89), 0) +
    IFERROR(SUMIFS('Acompanhamento quinzenal'!$AA:$AA, 'Acompanhamento quinzenal'!$Z:$Z, A89), 0) +
    IFERROR(SUMIFS('Acompanhamento quinzenal'!$AG:$AG, 'Acompanhamento quinzenal'!$AF:$AF, A89), 0)
  ) /
  (
    COUNTIF('Acompanhamento quinzenal'!$N:$N, A89) +
    COUNTIF('Acompanhamento quinzenal'!$T:$T, A89) +
    COUNTIF('Acompanhamento quinzenal'!$Z:$Z, A89) +
    COUNTIF('Acompanhamento quinzenal'!$AF:$AF, A89)
  )
)
</f>
        <v>3</v>
      </c>
      <c r="X89" s="294">
        <f>IF(
  (
    COUNTIF('Acompanhamento quinzenal'!$N:$N, A89) +
    COUNTIF('Acompanhamento quinzenal'!$T:$T, A89) +
    COUNTIF('Acompanhamento quinzenal'!$Z:$Z, A89) +
    COUNTIF('Acompanhamento quinzenal'!$AF:$AF, A89)
  ) = 0,
  "-",
  (
    IFERROR(SUMIFS('Acompanhamento quinzenal'!$P:$P, 'Acompanhamento quinzenal'!$N:$N, A89), 0) +
    IFERROR(SUMIFS('Acompanhamento quinzenal'!$V:$V, 'Acompanhamento quinzenal'!$T:$T, A89), 0) +
    IFERROR(SUMIFS('Acompanhamento quinzenal'!$AB:$AB, 'Acompanhamento quinzenal'!$Z:$Z, A89), 0) +
    IFERROR(SUMIFS('Acompanhamento quinzenal'!$AH:$AH, 'Acompanhamento quinzenal'!$AF:$AF, A89), 0)
  ) /
  (
    COUNTIF('Acompanhamento quinzenal'!$N:$N, A89) +
    COUNTIF('Acompanhamento quinzenal'!$T:$T, A89) +
    COUNTIF('Acompanhamento quinzenal'!$Z:$Z, A89) +
    COUNTIF('Acompanhamento quinzenal'!$AF:$AF, A89)
  )
)
</f>
        <v>5</v>
      </c>
      <c r="Y89" s="293">
        <f>IF(
  (
    COUNTIF('Acompanhamento quinzenal'!$N:$N, A89) +
    COUNTIF('Acompanhamento quinzenal'!$T:$T, A89) +
    COUNTIF('Acompanhamento quinzenal'!$Z:$Z, A89) +
    COUNTIF('Acompanhamento quinzenal'!$AF:$AF, A89)
  ) = 0,
  "-",
  (
    IFERROR(SUMIFS('Acompanhamento quinzenal'!$Q:$Q, 'Acompanhamento quinzenal'!$N:$N, A89), 0) +
    IFERROR(SUMIFS('Acompanhamento quinzenal'!$W:$W, 'Acompanhamento quinzenal'!$T:$T, A89), 0) +
    IFERROR(SUMIFS('Acompanhamento quinzenal'!$AC:$AC, 'Acompanhamento quinzenal'!$Z:$Z, A89), 0) +
    IFERROR(SUMIFS('Acompanhamento quinzenal'!$AI:$AI, 'Acompanhamento quinzenal'!$AF:$AF, A89), 0)
  ) /
  (
    COUNTIF('Acompanhamento quinzenal'!$N:$N, A89) +
    COUNTIF('Acompanhamento quinzenal'!$T:$T, A89) +
    COUNTIF('Acompanhamento quinzenal'!$Z:$Z, A89) +
    COUNTIF('Acompanhamento quinzenal'!$AF:$AF, A89)
  )
)
</f>
        <v>3</v>
      </c>
    </row>
    <row r="90">
      <c r="A90" s="291" t="str">
        <f>IFERROR(__xludf.DUMMYFUNCTION("""COMPUTED_VALUE"""),"joaopaulo.ribeiro")</f>
        <v>joaopaulo.ribeiro</v>
      </c>
      <c r="B90" s="120" t="str">
        <f>IFERROR(__xludf.DUMMYFUNCTION("""COMPUTED_VALUE"""),"Coordenador")</f>
        <v>Coordenador</v>
      </c>
      <c r="C90" s="120" t="str">
        <f>IFERROR(__xludf.DUMMYFUNCTION("""COMPUTED_VALUE"""),"NDados")</f>
        <v>NDados</v>
      </c>
      <c r="D90" s="292" t="str">
        <f>IFERROR((COUNTIFS(Base!$V:$V,A90,Base!$S:$S,"&gt;8") - COUNTIFS(Base!$V:$V,A90,Base!$S:$S,"&lt;7"))/COUNTIFS(Base!$V:$V,A90,Base!$S:$S,"&lt;&gt;"),"-")</f>
        <v>-</v>
      </c>
      <c r="E90" s="292" t="str">
        <f>IF(
  (
    COUNTIFS(Base!$W:$W, A90, Base!$S:$S, "&lt;&gt;") +
    COUNTIFS(Base!$X:$X, A90, Base!$S:$S, "&lt;&gt;") +
    COUNTIFS(Base!$Y:$Y, A90, Base!$S:$S, "&lt;&gt;") +
    COUNTIFS(Base!$Z:$Z, A90, Base!$S:$S, "&lt;&gt;")
  ) = 0,
  "-",
  (
    COUNTIFS(Base!$W:$W, A90, Base!$S:$S, "&gt;8") - COUNTIFS(Base!$W:$W, A90, Base!$S:$S, "&lt;7") +
    COUNTIFS(Base!$X:$X, A90, Base!$S:$S, "&gt;8") - COUNTIFS(Base!$X:$X, A90, Base!$S:$S, "&lt;7") +
    COUNTIFS(Base!$Y:$Y, A90, Base!$S:$S, "&gt;8") - COUNTIFS(Base!$Y:$Y, A90, Base!$S:$S, "&lt;7") +
    COUNTIFS(Base!$Z:$Z, A90, Base!$S:$S, "&gt;8") - COUNTIFS(Base!$Z:$Z, A90, Base!$S:$S, "&lt;7")
  ) /
  (
    COUNTIFS(Base!$W:$W, A90, Base!$S:$S, "&lt;&gt;") +
    COUNTIFS(Base!$X:$X, A90, Base!$S:$S, "&lt;&gt;") +
    COUNTIFS(Base!$Y:$Y, A90, Base!$S:$S, "&lt;&gt;") +
    COUNTIFS(Base!$Z:$Z, A90, Base!$S:$S, "&lt;&gt;")
  )
)
</f>
        <v>-</v>
      </c>
      <c r="F90" s="290">
        <f>SUMIFS(Base!$N:$N,Base!$V:$V,A90,Base!$N:$N,"&lt;&gt;")-SUMIFS(Base!$K:$K,Base!$V:$V,A90,Base!$N:$N,"&lt;&gt;")-(SUMIFS(Base!$L:$L,Base!$V:$V,A90,Base!$N:$N,"&lt;&gt;")*7)</f>
        <v>0</v>
      </c>
      <c r="G90" s="290"/>
      <c r="H90" s="290">
        <f>SUMIFS(Base!$F:$F,Base!$V:$V,A90,Base!$N:$N,"&lt;&gt;")*7</f>
        <v>0</v>
      </c>
      <c r="I90" s="290"/>
      <c r="J90" s="292" t="str">
        <f t="shared" ref="J90:K90" si="91">IFERROR(F90/H90,"-")</f>
        <v>-</v>
      </c>
      <c r="K90" s="292" t="str">
        <f t="shared" si="91"/>
        <v>-</v>
      </c>
      <c r="L90" s="292" t="str">
        <f>IFERROR((COUNTIFS(Base!$V:$V,A90,Base!$U:$U,TRUE))/(COUNTIFS(Base!$V:$V,A90,Base!$O:$O,"Finalizado")+COUNTIFS(Base!$V:$V,A90,Base!$O:$O,"Concluído")),"-")</f>
        <v>-</v>
      </c>
      <c r="M90" s="292">
        <f>IF(
  (
    IFERROR(COUNTIF(Base!$W:$W, A90), 0) +
    IFERROR(COUNTIF(Base!$X:$X, A90), 0) +
    IFERROR(COUNTIF(Base!$Y:$Y, A90), 0) +
    IFERROR(COUNTIF(Base!$Z:$Z, A90), 0)
  ) = 0,
  "-",
  IF(
    (
      IFERROR(COUNTIFS(Base!$W:$W, A90, Base!$O:$O, "Finalizado"), 0) +
      IFERROR(COUNTIFS(Base!$W:$W, A90, Base!$O:$O, "Concluído"), 0) +
      IFERROR(COUNTIFS(Base!$X:$X, A90, Base!$O:$O, "Finalizado"), 0) +
      IFERROR(COUNTIFS(Base!$X:$X, A90, Base!$O:$O, "Concluído"), 0) +
      IFERROR(COUNTIFS(Base!$Y:$Y, A90, Base!$O:$O, "Finalizado"), 0) +
      IFERROR(COUNTIFS(Base!$Y:$Y, A90, Base!$O:$O, "Concluído"), 0) +
      IFERROR(COUNTIFS(Base!$Z:$Z, A90, Base!$O:$O, "Finalizado"), 0) +
      IFERROR(COUNTIFS(Base!$Z:$Z, A90, Base!$O:$O, "Concluído"), 0)
    ) = 0,
    "-",
    (
      IFERROR(COUNTIFS(Base!$W:$W, A90, Base!$U:$U, TRUE), 0) +
      IFERROR(COUNTIFS(Base!$X:$X, A90, Base!$U:$U, TRUE), 0) +
      IFERROR(COUNTIFS(Base!$Y:$Y, A90, Base!$U:$U, TRUE), 0) +
      IFERROR(COUNTIFS(Base!$Z:$Z, A90, Base!$U:$U, TRUE), 0)
    ) /
    (
      IFERROR(COUNTIFS(Base!$W:$W, A90, Base!$O:$O, "Finalizado"), 0) +
      IFERROR(COUNTIFS(Base!$W:$W, A90, Base!$O:$O, "Concluído"), 0) +
      IFERROR(COUNTIFS(Base!$X:$X, A90, Base!$O:$O, "Finalizado"), 0) +
      IFERROR(COUNTIFS(Base!$X:$X, A90, Base!$O:$O, "Concluído"), 0) +
      IFERROR(COUNTIFS(Base!$Y:$Y, A90, Base!$O:$O, "Finalizado"), 0) +
      IFERROR(COUNTIFS(Base!$Y:$Y, A90, Base!$O:$O, "Concluído"), 0) +
      IFERROR(COUNTIFS(Base!$Z:$Z, A90, Base!$O:$O, "Finalizado"), 0) +
      IFERROR(COUNTIFS(Base!$Z:$Z, A90, Base!$O:$O, "Concluído"), 0)
    )
  )
)
</f>
        <v>0</v>
      </c>
      <c r="N90" s="120">
        <f>COUNTIF(Base!V:V,$A90)</f>
        <v>0</v>
      </c>
      <c r="O90" s="120">
        <f>COUNTIF(Base!W:W,$A90)</f>
        <v>0</v>
      </c>
      <c r="P90" s="120">
        <f>COUNTIF(Base!X:X,$A90)</f>
        <v>1</v>
      </c>
      <c r="Q90" s="120">
        <f>COUNTIF(Base!Y:Y,$A90)</f>
        <v>0</v>
      </c>
      <c r="R90" s="120">
        <f>COUNTIF(Base!Z:Z,$A90)</f>
        <v>0</v>
      </c>
      <c r="S90" s="120">
        <f t="shared" si="3"/>
        <v>1</v>
      </c>
      <c r="T90" s="120">
        <f t="shared" si="4"/>
        <v>1</v>
      </c>
      <c r="V90" s="293" t="str">
        <f>IF(
  (
    COUNTIF('Acompanhamento quinzenal'!$N:$N, A90) +
    COUNTIF('Acompanhamento quinzenal'!$T:$T, A90) +
    COUNTIF('Acompanhamento quinzenal'!$Z:$Z, A90) +
    COUNTIF('Acompanhamento quinzenal'!$AF:$AF, A90)
  ) = 0,
  "-",
  (
    IFERROR(SUMIFS('Acompanhamento quinzenal'!$S:$S, 'Acompanhamento quinzenal'!$N:$N, A90), 0) +
    IFERROR(SUMIFS('Acompanhamento quinzenal'!$Y:$Y, 'Acompanhamento quinzenal'!$T:$T, A90), 0) +
    IFERROR(SUMIFS('Acompanhamento quinzenal'!$AE:$AE, 'Acompanhamento quinzenal'!$Z:$Z, A90), 0) +
    IFERROR(SUMIFS('Acompanhamento quinzenal'!$AK:$AK, 'Acompanhamento quinzenal'!$AF:$AF, A90), 0)
  ) /
  (
    COUNTIF('Acompanhamento quinzenal'!$N:$N, A90) +
    COUNTIF('Acompanhamento quinzenal'!$T:$T, A90) +
    COUNTIF('Acompanhamento quinzenal'!$Z:$Z, A90) +
    COUNTIF('Acompanhamento quinzenal'!$AF:$AF, A90)
  )
)
</f>
        <v>-</v>
      </c>
      <c r="W90" s="293" t="str">
        <f>IF(
  (
    COUNTIF('Acompanhamento quinzenal'!$N:$N, A90) +
    COUNTIF('Acompanhamento quinzenal'!$T:$T, A90) +
    COUNTIF('Acompanhamento quinzenal'!$Z:$Z, A90) +
    COUNTIF('Acompanhamento quinzenal'!$AF:$AF, A90)
  ) = 0,
  "-",
  (
    IFERROR(SUMIFS('Acompanhamento quinzenal'!$O:$O, 'Acompanhamento quinzenal'!$N:$N, A90), 0) +
    IFERROR(SUMIFS('Acompanhamento quinzenal'!$U:$U, 'Acompanhamento quinzenal'!$T:$T, A90), 0) +
    IFERROR(SUMIFS('Acompanhamento quinzenal'!$AA:$AA, 'Acompanhamento quinzenal'!$Z:$Z, A90), 0) +
    IFERROR(SUMIFS('Acompanhamento quinzenal'!$AG:$AG, 'Acompanhamento quinzenal'!$AF:$AF, A90), 0)
  ) /
  (
    COUNTIF('Acompanhamento quinzenal'!$N:$N, A90) +
    COUNTIF('Acompanhamento quinzenal'!$T:$T, A90) +
    COUNTIF('Acompanhamento quinzenal'!$Z:$Z, A90) +
    COUNTIF('Acompanhamento quinzenal'!$AF:$AF, A90)
  )
)
</f>
        <v>-</v>
      </c>
      <c r="X90" s="294" t="str">
        <f>IF(
  (
    COUNTIF('Acompanhamento quinzenal'!$N:$N, A90) +
    COUNTIF('Acompanhamento quinzenal'!$T:$T, A90) +
    COUNTIF('Acompanhamento quinzenal'!$Z:$Z, A90) +
    COUNTIF('Acompanhamento quinzenal'!$AF:$AF, A90)
  ) = 0,
  "-",
  (
    IFERROR(SUMIFS('Acompanhamento quinzenal'!$P:$P, 'Acompanhamento quinzenal'!$N:$N, A90), 0) +
    IFERROR(SUMIFS('Acompanhamento quinzenal'!$V:$V, 'Acompanhamento quinzenal'!$T:$T, A90), 0) +
    IFERROR(SUMIFS('Acompanhamento quinzenal'!$AB:$AB, 'Acompanhamento quinzenal'!$Z:$Z, A90), 0) +
    IFERROR(SUMIFS('Acompanhamento quinzenal'!$AH:$AH, 'Acompanhamento quinzenal'!$AF:$AF, A90), 0)
  ) /
  (
    COUNTIF('Acompanhamento quinzenal'!$N:$N, A90) +
    COUNTIF('Acompanhamento quinzenal'!$T:$T, A90) +
    COUNTIF('Acompanhamento quinzenal'!$Z:$Z, A90) +
    COUNTIF('Acompanhamento quinzenal'!$AF:$AF, A90)
  )
)
</f>
        <v>-</v>
      </c>
      <c r="Y90" s="293" t="str">
        <f>IF(
  (
    COUNTIF('Acompanhamento quinzenal'!$N:$N, A90) +
    COUNTIF('Acompanhamento quinzenal'!$T:$T, A90) +
    COUNTIF('Acompanhamento quinzenal'!$Z:$Z, A90) +
    COUNTIF('Acompanhamento quinzenal'!$AF:$AF, A90)
  ) = 0,
  "-",
  (
    IFERROR(SUMIFS('Acompanhamento quinzenal'!$Q:$Q, 'Acompanhamento quinzenal'!$N:$N, A90), 0) +
    IFERROR(SUMIFS('Acompanhamento quinzenal'!$W:$W, 'Acompanhamento quinzenal'!$T:$T, A90), 0) +
    IFERROR(SUMIFS('Acompanhamento quinzenal'!$AC:$AC, 'Acompanhamento quinzenal'!$Z:$Z, A90), 0) +
    IFERROR(SUMIFS('Acompanhamento quinzenal'!$AI:$AI, 'Acompanhamento quinzenal'!$AF:$AF, A90), 0)
  ) /
  (
    COUNTIF('Acompanhamento quinzenal'!$N:$N, A90) +
    COUNTIF('Acompanhamento quinzenal'!$T:$T, A90) +
    COUNTIF('Acompanhamento quinzenal'!$Z:$Z, A90) +
    COUNTIF('Acompanhamento quinzenal'!$AF:$AF, A90)
  )
)
</f>
        <v>-</v>
      </c>
    </row>
    <row r="91" hidden="1">
      <c r="A91" s="291" t="str">
        <f>IFERROR(__xludf.DUMMYFUNCTION("""COMPUTED_VALUE"""),"joao.bassetti")</f>
        <v>joao.bassetti</v>
      </c>
      <c r="B91" s="120" t="str">
        <f>IFERROR(__xludf.DUMMYFUNCTION("""COMPUTED_VALUE"""),"Coordenador")</f>
        <v>Coordenador</v>
      </c>
      <c r="C91" s="120" t="str">
        <f>IFERROR(__xludf.DUMMYFUNCTION("""COMPUTED_VALUE"""),"NI")</f>
        <v>NI</v>
      </c>
      <c r="D91" s="292" t="str">
        <f>IFERROR((COUNTIFS(Base!$V:$V,A91,Base!$S:$S,"&gt;8") - COUNTIFS(Base!$V:$V,A91,Base!$S:$S,"&lt;7"))/COUNTIFS(Base!$V:$V,A91,Base!$S:$S,"&lt;&gt;"),"-")</f>
        <v>-</v>
      </c>
      <c r="E91" s="292" t="str">
        <f>IF(
  (
    COUNTIFS(Base!$W:$W, A91, Base!$S:$S, "&lt;&gt;") +
    COUNTIFS(Base!$X:$X, A91, Base!$S:$S, "&lt;&gt;") +
    COUNTIFS(Base!$Y:$Y, A91, Base!$S:$S, "&lt;&gt;") +
    COUNTIFS(Base!$Z:$Z, A91, Base!$S:$S, "&lt;&gt;")
  ) = 0,
  "-",
  (
    COUNTIFS(Base!$W:$W, A91, Base!$S:$S, "&gt;8") - COUNTIFS(Base!$W:$W, A91, Base!$S:$S, "&lt;7") +
    COUNTIFS(Base!$X:$X, A91, Base!$S:$S, "&gt;8") - COUNTIFS(Base!$X:$X, A91, Base!$S:$S, "&lt;7") +
    COUNTIFS(Base!$Y:$Y, A91, Base!$S:$S, "&gt;8") - COUNTIFS(Base!$Y:$Y, A91, Base!$S:$S, "&lt;7") +
    COUNTIFS(Base!$Z:$Z, A91, Base!$S:$S, "&gt;8") - COUNTIFS(Base!$Z:$Z, A91, Base!$S:$S, "&lt;7")
  ) /
  (
    COUNTIFS(Base!$W:$W, A91, Base!$S:$S, "&lt;&gt;") +
    COUNTIFS(Base!$X:$X, A91, Base!$S:$S, "&lt;&gt;") +
    COUNTIFS(Base!$Y:$Y, A91, Base!$S:$S, "&lt;&gt;") +
    COUNTIFS(Base!$Z:$Z, A91, Base!$S:$S, "&lt;&gt;")
  )
)
</f>
        <v>-</v>
      </c>
      <c r="F91" s="290">
        <f>SUMIFS(Base!$N:$N,Base!$V:$V,A91,Base!$N:$N,"&lt;&gt;")-SUMIFS(Base!$K:$K,Base!$V:$V,A91,Base!$N:$N,"&lt;&gt;")-(SUMIFS(Base!$L:$L,Base!$V:$V,A91,Base!$N:$N,"&lt;&gt;")*7)</f>
        <v>0</v>
      </c>
      <c r="G91" s="290"/>
      <c r="H91" s="290">
        <f>SUMIFS(Base!$F:$F,Base!$V:$V,A91,Base!$N:$N,"&lt;&gt;")*7</f>
        <v>0</v>
      </c>
      <c r="I91" s="290"/>
      <c r="J91" s="292" t="str">
        <f t="shared" ref="J91:K91" si="92">IFERROR(F91/H91,"-")</f>
        <v>-</v>
      </c>
      <c r="K91" s="292" t="str">
        <f t="shared" si="92"/>
        <v>-</v>
      </c>
      <c r="L91" s="292" t="str">
        <f>IFERROR((COUNTIFS(Base!$V:$V,A91,Base!$U:$U,TRUE))/(COUNTIFS(Base!$V:$V,A91,Base!$O:$O,"Finalizado")+COUNTIFS(Base!$V:$V,A91,Base!$O:$O,"Concluído")),"-")</f>
        <v>-</v>
      </c>
      <c r="M91" s="292" t="str">
        <f>IF(
  (
    IFERROR(COUNTIF(Base!$W:$W, A91), 0) +
    IFERROR(COUNTIF(Base!$X:$X, A91), 0) +
    IFERROR(COUNTIF(Base!$Y:$Y, A91), 0) +
    IFERROR(COUNTIF(Base!$Z:$Z, A91), 0)
  ) = 0,
  "-",
  IF(
    (
      IFERROR(COUNTIFS(Base!$W:$W, A91, Base!$O:$O, "Finalizado"), 0) +
      IFERROR(COUNTIFS(Base!$W:$W, A91, Base!$O:$O, "Concluído"), 0) +
      IFERROR(COUNTIFS(Base!$X:$X, A91, Base!$O:$O, "Finalizado"), 0) +
      IFERROR(COUNTIFS(Base!$X:$X, A91, Base!$O:$O, "Concluído"), 0) +
      IFERROR(COUNTIFS(Base!$Y:$Y, A91, Base!$O:$O, "Finalizado"), 0) +
      IFERROR(COUNTIFS(Base!$Y:$Y, A91, Base!$O:$O, "Concluído"), 0) +
      IFERROR(COUNTIFS(Base!$Z:$Z, A91, Base!$O:$O, "Finalizado"), 0) +
      IFERROR(COUNTIFS(Base!$Z:$Z, A91, Base!$O:$O, "Concluído"), 0)
    ) = 0,
    "-",
    (
      IFERROR(COUNTIFS(Base!$W:$W, A91, Base!$U:$U, TRUE), 0) +
      IFERROR(COUNTIFS(Base!$X:$X, A91, Base!$U:$U, TRUE), 0) +
      IFERROR(COUNTIFS(Base!$Y:$Y, A91, Base!$U:$U, TRUE), 0) +
      IFERROR(COUNTIFS(Base!$Z:$Z, A91, Base!$U:$U, TRUE), 0)
    ) /
    (
      IFERROR(COUNTIFS(Base!$W:$W, A91, Base!$O:$O, "Finalizado"), 0) +
      IFERROR(COUNTIFS(Base!$W:$W, A91, Base!$O:$O, "Concluído"), 0) +
      IFERROR(COUNTIFS(Base!$X:$X, A91, Base!$O:$O, "Finalizado"), 0) +
      IFERROR(COUNTIFS(Base!$X:$X, A91, Base!$O:$O, "Concluído"), 0) +
      IFERROR(COUNTIFS(Base!$Y:$Y, A91, Base!$O:$O, "Finalizado"), 0) +
      IFERROR(COUNTIFS(Base!$Y:$Y, A91, Base!$O:$O, "Concluído"), 0) +
      IFERROR(COUNTIFS(Base!$Z:$Z, A91, Base!$O:$O, "Finalizado"), 0) +
      IFERROR(COUNTIFS(Base!$Z:$Z, A91, Base!$O:$O, "Concluído"), 0)
    )
  )
)
</f>
        <v>-</v>
      </c>
      <c r="N91" s="120">
        <f>COUNTIF(Base!V:V,$A91)</f>
        <v>0</v>
      </c>
      <c r="O91" s="120">
        <f>COUNTIF(Base!W:W,$A91)</f>
        <v>0</v>
      </c>
      <c r="P91" s="120">
        <f>COUNTIF(Base!X:X,$A91)</f>
        <v>0</v>
      </c>
      <c r="Q91" s="120">
        <f>COUNTIF(Base!Y:Y,$A91)</f>
        <v>0</v>
      </c>
      <c r="R91" s="120">
        <f>COUNTIF(Base!Z:Z,$A91)</f>
        <v>0</v>
      </c>
      <c r="S91" s="120">
        <f t="shared" si="3"/>
        <v>0</v>
      </c>
      <c r="T91" s="120">
        <f t="shared" si="4"/>
        <v>0</v>
      </c>
      <c r="V91" s="293" t="str">
        <f>IF(
  (
    COUNTIF('Acompanhamento quinzenal'!$N:$N, A91) +
    COUNTIF('Acompanhamento quinzenal'!$T:$T, A91) +
    COUNTIF('Acompanhamento quinzenal'!$Z:$Z, A91) +
    COUNTIF('Acompanhamento quinzenal'!$AF:$AF, A91)
  ) = 0,
  "-",
  (
    IFERROR(SUMIFS('Acompanhamento quinzenal'!$S:$S, 'Acompanhamento quinzenal'!$N:$N, A91), 0) +
    IFERROR(SUMIFS('Acompanhamento quinzenal'!$Y:$Y, 'Acompanhamento quinzenal'!$T:$T, A91), 0) +
    IFERROR(SUMIFS('Acompanhamento quinzenal'!$AE:$AE, 'Acompanhamento quinzenal'!$Z:$Z, A91), 0) +
    IFERROR(SUMIFS('Acompanhamento quinzenal'!$AK:$AK, 'Acompanhamento quinzenal'!$AF:$AF, A91), 0)
  ) /
  (
    COUNTIF('Acompanhamento quinzenal'!$N:$N, A91) +
    COUNTIF('Acompanhamento quinzenal'!$T:$T, A91) +
    COUNTIF('Acompanhamento quinzenal'!$Z:$Z, A91) +
    COUNTIF('Acompanhamento quinzenal'!$AF:$AF, A91)
  )
)
</f>
        <v>-</v>
      </c>
      <c r="W91" s="293" t="str">
        <f>IF(
  (
    COUNTIF('Acompanhamento quinzenal'!$N:$N, A91) +
    COUNTIF('Acompanhamento quinzenal'!$T:$T, A91) +
    COUNTIF('Acompanhamento quinzenal'!$Z:$Z, A91) +
    COUNTIF('Acompanhamento quinzenal'!$AF:$AF, A91)
  ) = 0,
  "-",
  (
    IFERROR(SUMIFS('Acompanhamento quinzenal'!$O:$O, 'Acompanhamento quinzenal'!$N:$N, A91), 0) +
    IFERROR(SUMIFS('Acompanhamento quinzenal'!$U:$U, 'Acompanhamento quinzenal'!$T:$T, A91), 0) +
    IFERROR(SUMIFS('Acompanhamento quinzenal'!$AA:$AA, 'Acompanhamento quinzenal'!$Z:$Z, A91), 0) +
    IFERROR(SUMIFS('Acompanhamento quinzenal'!$AG:$AG, 'Acompanhamento quinzenal'!$AF:$AF, A91), 0)
  ) /
  (
    COUNTIF('Acompanhamento quinzenal'!$N:$N, A91) +
    COUNTIF('Acompanhamento quinzenal'!$T:$T, A91) +
    COUNTIF('Acompanhamento quinzenal'!$Z:$Z, A91) +
    COUNTIF('Acompanhamento quinzenal'!$AF:$AF, A91)
  )
)
</f>
        <v>-</v>
      </c>
      <c r="X91" s="294" t="str">
        <f>IF(
  (
    COUNTIF('Acompanhamento quinzenal'!$N:$N, A91) +
    COUNTIF('Acompanhamento quinzenal'!$T:$T, A91) +
    COUNTIF('Acompanhamento quinzenal'!$Z:$Z, A91) +
    COUNTIF('Acompanhamento quinzenal'!$AF:$AF, A91)
  ) = 0,
  "-",
  (
    IFERROR(SUMIFS('Acompanhamento quinzenal'!$P:$P, 'Acompanhamento quinzenal'!$N:$N, A91), 0) +
    IFERROR(SUMIFS('Acompanhamento quinzenal'!$V:$V, 'Acompanhamento quinzenal'!$T:$T, A91), 0) +
    IFERROR(SUMIFS('Acompanhamento quinzenal'!$AB:$AB, 'Acompanhamento quinzenal'!$Z:$Z, A91), 0) +
    IFERROR(SUMIFS('Acompanhamento quinzenal'!$AH:$AH, 'Acompanhamento quinzenal'!$AF:$AF, A91), 0)
  ) /
  (
    COUNTIF('Acompanhamento quinzenal'!$N:$N, A91) +
    COUNTIF('Acompanhamento quinzenal'!$T:$T, A91) +
    COUNTIF('Acompanhamento quinzenal'!$Z:$Z, A91) +
    COUNTIF('Acompanhamento quinzenal'!$AF:$AF, A91)
  )
)
</f>
        <v>-</v>
      </c>
      <c r="Y91" s="293" t="str">
        <f>IF(
  (
    COUNTIF('Acompanhamento quinzenal'!$N:$N, A91) +
    COUNTIF('Acompanhamento quinzenal'!$T:$T, A91) +
    COUNTIF('Acompanhamento quinzenal'!$Z:$Z, A91) +
    COUNTIF('Acompanhamento quinzenal'!$AF:$AF, A91)
  ) = 0,
  "-",
  (
    IFERROR(SUMIFS('Acompanhamento quinzenal'!$Q:$Q, 'Acompanhamento quinzenal'!$N:$N, A91), 0) +
    IFERROR(SUMIFS('Acompanhamento quinzenal'!$W:$W, 'Acompanhamento quinzenal'!$T:$T, A91), 0) +
    IFERROR(SUMIFS('Acompanhamento quinzenal'!$AC:$AC, 'Acompanhamento quinzenal'!$Z:$Z, A91), 0) +
    IFERROR(SUMIFS('Acompanhamento quinzenal'!$AI:$AI, 'Acompanhamento quinzenal'!$AF:$AF, A91), 0)
  ) /
  (
    COUNTIF('Acompanhamento quinzenal'!$N:$N, A91) +
    COUNTIF('Acompanhamento quinzenal'!$T:$T, A91) +
    COUNTIF('Acompanhamento quinzenal'!$Z:$Z, A91) +
    COUNTIF('Acompanhamento quinzenal'!$AF:$AF, A91)
  )
)
</f>
        <v>-</v>
      </c>
    </row>
    <row r="92" hidden="1">
      <c r="A92" s="291" t="str">
        <f>IFERROR(__xludf.DUMMYFUNCTION("""COMPUTED_VALUE"""),"joao.gomes")</f>
        <v>joao.gomes</v>
      </c>
      <c r="B92" s="120" t="str">
        <f>IFERROR(__xludf.DUMMYFUNCTION("""COMPUTED_VALUE"""),"Coordenador")</f>
        <v>Coordenador</v>
      </c>
      <c r="C92" s="120" t="str">
        <f>IFERROR(__xludf.DUMMYFUNCTION("""COMPUTED_VALUE"""),"NCon")</f>
        <v>NCon</v>
      </c>
      <c r="D92" s="292">
        <f>IFERROR((COUNTIFS(Base!$V:$V,A92,Base!$S:$S,"&gt;8") - COUNTIFS(Base!$V:$V,A92,Base!$S:$S,"&lt;7"))/COUNTIFS(Base!$V:$V,A92,Base!$S:$S,"&lt;&gt;"),"-")</f>
        <v>0.5</v>
      </c>
      <c r="E92" s="292">
        <f>IF(
  (
    COUNTIFS(Base!$W:$W, A92, Base!$S:$S, "&lt;&gt;") +
    COUNTIFS(Base!$X:$X, A92, Base!$S:$S, "&lt;&gt;") +
    COUNTIFS(Base!$Y:$Y, A92, Base!$S:$S, "&lt;&gt;") +
    COUNTIFS(Base!$Z:$Z, A92, Base!$S:$S, "&lt;&gt;")
  ) = 0,
  "-",
  (
    COUNTIFS(Base!$W:$W, A92, Base!$S:$S, "&gt;8") - COUNTIFS(Base!$W:$W, A92, Base!$S:$S, "&lt;7") +
    COUNTIFS(Base!$X:$X, A92, Base!$S:$S, "&gt;8") - COUNTIFS(Base!$X:$X, A92, Base!$S:$S, "&lt;7") +
    COUNTIFS(Base!$Y:$Y, A92, Base!$S:$S, "&gt;8") - COUNTIFS(Base!$Y:$Y, A92, Base!$S:$S, "&lt;7") +
    COUNTIFS(Base!$Z:$Z, A92, Base!$S:$S, "&gt;8") - COUNTIFS(Base!$Z:$Z, A92, Base!$S:$S, "&lt;7")
  ) /
  (
    COUNTIFS(Base!$W:$W, A92, Base!$S:$S, "&lt;&gt;") +
    COUNTIFS(Base!$X:$X, A92, Base!$S:$S, "&lt;&gt;") +
    COUNTIFS(Base!$Y:$Y, A92, Base!$S:$S, "&lt;&gt;") +
    COUNTIFS(Base!$Z:$Z, A92, Base!$S:$S, "&lt;&gt;")
  )
)
</f>
        <v>0.5</v>
      </c>
      <c r="F92" s="290">
        <f>SUMIFS(Base!$N:$N,Base!$V:$V,A92,Base!$N:$N,"&lt;&gt;")-SUMIFS(Base!$K:$K,Base!$V:$V,A92,Base!$N:$N,"&lt;&gt;")-(SUMIFS(Base!$L:$L,Base!$V:$V,A92,Base!$N:$N,"&lt;&gt;")*7)</f>
        <v>535</v>
      </c>
      <c r="G92" s="290"/>
      <c r="H92" s="290">
        <f>SUMIFS(Base!$F:$F,Base!$V:$V,A92,Base!$N:$N,"&lt;&gt;")*7</f>
        <v>385</v>
      </c>
      <c r="I92" s="290"/>
      <c r="J92" s="292">
        <f t="shared" ref="J92:K92" si="93">IFERROR(F92/H92,"-")</f>
        <v>1.38961039</v>
      </c>
      <c r="K92" s="292" t="str">
        <f t="shared" si="93"/>
        <v>-</v>
      </c>
      <c r="L92" s="292">
        <f>IFERROR((COUNTIFS(Base!$V:$V,A92,Base!$U:$U,TRUE))/(COUNTIFS(Base!$V:$V,A92,Base!$O:$O,"Finalizado")+COUNTIFS(Base!$V:$V,A92,Base!$O:$O,"Concluído")),"-")</f>
        <v>0.25</v>
      </c>
      <c r="M92" s="292">
        <f>IF(
  (
    IFERROR(COUNTIF(Base!$W:$W, A92), 0) +
    IFERROR(COUNTIF(Base!$X:$X, A92), 0) +
    IFERROR(COUNTIF(Base!$Y:$Y, A92), 0) +
    IFERROR(COUNTIF(Base!$Z:$Z, A92), 0)
  ) = 0,
  "-",
  IF(
    (
      IFERROR(COUNTIFS(Base!$W:$W, A92, Base!$O:$O, "Finalizado"), 0) +
      IFERROR(COUNTIFS(Base!$W:$W, A92, Base!$O:$O, "Concluído"), 0) +
      IFERROR(COUNTIFS(Base!$X:$X, A92, Base!$O:$O, "Finalizado"), 0) +
      IFERROR(COUNTIFS(Base!$X:$X, A92, Base!$O:$O, "Concluído"), 0) +
      IFERROR(COUNTIFS(Base!$Y:$Y, A92, Base!$O:$O, "Finalizado"), 0) +
      IFERROR(COUNTIFS(Base!$Y:$Y, A92, Base!$O:$O, "Concluído"), 0) +
      IFERROR(COUNTIFS(Base!$Z:$Z, A92, Base!$O:$O, "Finalizado"), 0) +
      IFERROR(COUNTIFS(Base!$Z:$Z, A92, Base!$O:$O, "Concluído"), 0)
    ) = 0,
    "-",
    (
      IFERROR(COUNTIFS(Base!$W:$W, A92, Base!$U:$U, TRUE), 0) +
      IFERROR(COUNTIFS(Base!$X:$X, A92, Base!$U:$U, TRUE), 0) +
      IFERROR(COUNTIFS(Base!$Y:$Y, A92, Base!$U:$U, TRUE), 0) +
      IFERROR(COUNTIFS(Base!$Z:$Z, A92, Base!$U:$U, TRUE), 0)
    ) /
    (
      IFERROR(COUNTIFS(Base!$W:$W, A92, Base!$O:$O, "Finalizado"), 0) +
      IFERROR(COUNTIFS(Base!$W:$W, A92, Base!$O:$O, "Concluído"), 0) +
      IFERROR(COUNTIFS(Base!$X:$X, A92, Base!$O:$O, "Finalizado"), 0) +
      IFERROR(COUNTIFS(Base!$X:$X, A92, Base!$O:$O, "Concluído"), 0) +
      IFERROR(COUNTIFS(Base!$Y:$Y, A92, Base!$O:$O, "Finalizado"), 0) +
      IFERROR(COUNTIFS(Base!$Y:$Y, A92, Base!$O:$O, "Concluído"), 0) +
      IFERROR(COUNTIFS(Base!$Z:$Z, A92, Base!$O:$O, "Finalizado"), 0) +
      IFERROR(COUNTIFS(Base!$Z:$Z, A92, Base!$O:$O, "Concluído"), 0)
    )
  )
)
</f>
        <v>0.3333333333</v>
      </c>
      <c r="N92" s="120">
        <f>COUNTIF(Base!V:V,$A92)</f>
        <v>15</v>
      </c>
      <c r="O92" s="120">
        <f>COUNTIF(Base!W:W,$A92)</f>
        <v>2</v>
      </c>
      <c r="P92" s="120">
        <f>COUNTIF(Base!X:X,$A92)</f>
        <v>0</v>
      </c>
      <c r="Q92" s="120">
        <f>COUNTIF(Base!Y:Y,$A92)</f>
        <v>1</v>
      </c>
      <c r="R92" s="120">
        <f>COUNTIF(Base!Z:Z,$A92)</f>
        <v>0</v>
      </c>
      <c r="S92" s="120">
        <f t="shared" si="3"/>
        <v>18</v>
      </c>
      <c r="T92" s="120">
        <f t="shared" si="4"/>
        <v>3</v>
      </c>
      <c r="V92" s="293" t="str">
        <f>IF(
  (
    COUNTIF('Acompanhamento quinzenal'!$N:$N, A92) +
    COUNTIF('Acompanhamento quinzenal'!$T:$T, A92) +
    COUNTIF('Acompanhamento quinzenal'!$Z:$Z, A92) +
    COUNTIF('Acompanhamento quinzenal'!$AF:$AF, A92)
  ) = 0,
  "-",
  (
    IFERROR(SUMIFS('Acompanhamento quinzenal'!$S:$S, 'Acompanhamento quinzenal'!$N:$N, A92), 0) +
    IFERROR(SUMIFS('Acompanhamento quinzenal'!$Y:$Y, 'Acompanhamento quinzenal'!$T:$T, A92), 0) +
    IFERROR(SUMIFS('Acompanhamento quinzenal'!$AE:$AE, 'Acompanhamento quinzenal'!$Z:$Z, A92), 0) +
    IFERROR(SUMIFS('Acompanhamento quinzenal'!$AK:$AK, 'Acompanhamento quinzenal'!$AF:$AF, A92), 0)
  ) /
  (
    COUNTIF('Acompanhamento quinzenal'!$N:$N, A92) +
    COUNTIF('Acompanhamento quinzenal'!$T:$T, A92) +
    COUNTIF('Acompanhamento quinzenal'!$Z:$Z, A92) +
    COUNTIF('Acompanhamento quinzenal'!$AF:$AF, A92)
  )
)
</f>
        <v>-</v>
      </c>
      <c r="W92" s="293" t="str">
        <f>IF(
  (
    COUNTIF('Acompanhamento quinzenal'!$N:$N, A92) +
    COUNTIF('Acompanhamento quinzenal'!$T:$T, A92) +
    COUNTIF('Acompanhamento quinzenal'!$Z:$Z, A92) +
    COUNTIF('Acompanhamento quinzenal'!$AF:$AF, A92)
  ) = 0,
  "-",
  (
    IFERROR(SUMIFS('Acompanhamento quinzenal'!$O:$O, 'Acompanhamento quinzenal'!$N:$N, A92), 0) +
    IFERROR(SUMIFS('Acompanhamento quinzenal'!$U:$U, 'Acompanhamento quinzenal'!$T:$T, A92), 0) +
    IFERROR(SUMIFS('Acompanhamento quinzenal'!$AA:$AA, 'Acompanhamento quinzenal'!$Z:$Z, A92), 0) +
    IFERROR(SUMIFS('Acompanhamento quinzenal'!$AG:$AG, 'Acompanhamento quinzenal'!$AF:$AF, A92), 0)
  ) /
  (
    COUNTIF('Acompanhamento quinzenal'!$N:$N, A92) +
    COUNTIF('Acompanhamento quinzenal'!$T:$T, A92) +
    COUNTIF('Acompanhamento quinzenal'!$Z:$Z, A92) +
    COUNTIF('Acompanhamento quinzenal'!$AF:$AF, A92)
  )
)
</f>
        <v>-</v>
      </c>
      <c r="X92" s="294" t="str">
        <f>IF(
  (
    COUNTIF('Acompanhamento quinzenal'!$N:$N, A92) +
    COUNTIF('Acompanhamento quinzenal'!$T:$T, A92) +
    COUNTIF('Acompanhamento quinzenal'!$Z:$Z, A92) +
    COUNTIF('Acompanhamento quinzenal'!$AF:$AF, A92)
  ) = 0,
  "-",
  (
    IFERROR(SUMIFS('Acompanhamento quinzenal'!$P:$P, 'Acompanhamento quinzenal'!$N:$N, A92), 0) +
    IFERROR(SUMIFS('Acompanhamento quinzenal'!$V:$V, 'Acompanhamento quinzenal'!$T:$T, A92), 0) +
    IFERROR(SUMIFS('Acompanhamento quinzenal'!$AB:$AB, 'Acompanhamento quinzenal'!$Z:$Z, A92), 0) +
    IFERROR(SUMIFS('Acompanhamento quinzenal'!$AH:$AH, 'Acompanhamento quinzenal'!$AF:$AF, A92), 0)
  ) /
  (
    COUNTIF('Acompanhamento quinzenal'!$N:$N, A92) +
    COUNTIF('Acompanhamento quinzenal'!$T:$T, A92) +
    COUNTIF('Acompanhamento quinzenal'!$Z:$Z, A92) +
    COUNTIF('Acompanhamento quinzenal'!$AF:$AF, A92)
  )
)
</f>
        <v>-</v>
      </c>
      <c r="Y92" s="293" t="str">
        <f>IF(
  (
    COUNTIF('Acompanhamento quinzenal'!$N:$N, A92) +
    COUNTIF('Acompanhamento quinzenal'!$T:$T, A92) +
    COUNTIF('Acompanhamento quinzenal'!$Z:$Z, A92) +
    COUNTIF('Acompanhamento quinzenal'!$AF:$AF, A92)
  ) = 0,
  "-",
  (
    IFERROR(SUMIFS('Acompanhamento quinzenal'!$Q:$Q, 'Acompanhamento quinzenal'!$N:$N, A92), 0) +
    IFERROR(SUMIFS('Acompanhamento quinzenal'!$W:$W, 'Acompanhamento quinzenal'!$T:$T, A92), 0) +
    IFERROR(SUMIFS('Acompanhamento quinzenal'!$AC:$AC, 'Acompanhamento quinzenal'!$Z:$Z, A92), 0) +
    IFERROR(SUMIFS('Acompanhamento quinzenal'!$AI:$AI, 'Acompanhamento quinzenal'!$AF:$AF, A92), 0)
  ) /
  (
    COUNTIF('Acompanhamento quinzenal'!$N:$N, A92) +
    COUNTIF('Acompanhamento quinzenal'!$T:$T, A92) +
    COUNTIF('Acompanhamento quinzenal'!$Z:$Z, A92) +
    COUNTIF('Acompanhamento quinzenal'!$AF:$AF, A92)
  )
)
</f>
        <v>-</v>
      </c>
    </row>
    <row r="93">
      <c r="A93" s="291" t="str">
        <f>IFERROR(__xludf.DUMMYFUNCTION("""COMPUTED_VALUE"""),"joao.barros")</f>
        <v>joao.barros</v>
      </c>
      <c r="B93" s="120" t="str">
        <f>IFERROR(__xludf.DUMMYFUNCTION("""COMPUTED_VALUE"""),"Trainee")</f>
        <v>Trainee</v>
      </c>
      <c r="C93" s="120" t="str">
        <f>IFERROR(__xludf.DUMMYFUNCTION("""COMPUTED_VALUE"""),"NDados")</f>
        <v>NDados</v>
      </c>
      <c r="D93" s="292" t="str">
        <f>IFERROR((COUNTIFS(Base!$V:$V,A93,Base!$S:$S,"&gt;8") - COUNTIFS(Base!$V:$V,A93,Base!$S:$S,"&lt;7"))/COUNTIFS(Base!$V:$V,A93,Base!$S:$S,"&lt;&gt;"),"-")</f>
        <v>-</v>
      </c>
      <c r="E93" s="292" t="str">
        <f>IF(
  (
    COUNTIFS(Base!$W:$W, A93, Base!$S:$S, "&lt;&gt;") +
    COUNTIFS(Base!$X:$X, A93, Base!$S:$S, "&lt;&gt;") +
    COUNTIFS(Base!$Y:$Y, A93, Base!$S:$S, "&lt;&gt;") +
    COUNTIFS(Base!$Z:$Z, A93, Base!$S:$S, "&lt;&gt;")
  ) = 0,
  "-",
  (
    COUNTIFS(Base!$W:$W, A93, Base!$S:$S, "&gt;8") - COUNTIFS(Base!$W:$W, A93, Base!$S:$S, "&lt;7") +
    COUNTIFS(Base!$X:$X, A93, Base!$S:$S, "&gt;8") - COUNTIFS(Base!$X:$X, A93, Base!$S:$S, "&lt;7") +
    COUNTIFS(Base!$Y:$Y, A93, Base!$S:$S, "&gt;8") - COUNTIFS(Base!$Y:$Y, A93, Base!$S:$S, "&lt;7") +
    COUNTIFS(Base!$Z:$Z, A93, Base!$S:$S, "&gt;8") - COUNTIFS(Base!$Z:$Z, A93, Base!$S:$S, "&lt;7")
  ) /
  (
    COUNTIFS(Base!$W:$W, A93, Base!$S:$S, "&lt;&gt;") +
    COUNTIFS(Base!$X:$X, A93, Base!$S:$S, "&lt;&gt;") +
    COUNTIFS(Base!$Y:$Y, A93, Base!$S:$S, "&lt;&gt;") +
    COUNTIFS(Base!$Z:$Z, A93, Base!$S:$S, "&lt;&gt;")
  )
)
</f>
        <v>-</v>
      </c>
      <c r="F93" s="290">
        <f>SUMIFS(Base!$N:$N,Base!$V:$V,A93,Base!$N:$N,"&lt;&gt;")-SUMIFS(Base!$K:$K,Base!$V:$V,A93,Base!$N:$N,"&lt;&gt;")-(SUMIFS(Base!$L:$L,Base!$V:$V,A93,Base!$N:$N,"&lt;&gt;")*7)</f>
        <v>0</v>
      </c>
      <c r="G93" s="290"/>
      <c r="H93" s="290">
        <f>SUMIFS(Base!$F:$F,Base!$V:$V,A93,Base!$N:$N,"&lt;&gt;")*7</f>
        <v>0</v>
      </c>
      <c r="I93" s="290"/>
      <c r="J93" s="292" t="str">
        <f t="shared" ref="J93:K93" si="94">IFERROR(F93/H93,"-")</f>
        <v>-</v>
      </c>
      <c r="K93" s="292" t="str">
        <f t="shared" si="94"/>
        <v>-</v>
      </c>
      <c r="L93" s="292" t="str">
        <f>IFERROR((COUNTIFS(Base!$V:$V,A93,Base!$U:$U,TRUE))/(COUNTIFS(Base!$V:$V,A93,Base!$O:$O,"Finalizado")+COUNTIFS(Base!$V:$V,A93,Base!$O:$O,"Concluído")),"-")</f>
        <v>-</v>
      </c>
      <c r="M93" s="292" t="str">
        <f>IF(
  (
    IFERROR(COUNTIF(Base!$W:$W, A93), 0) +
    IFERROR(COUNTIF(Base!$X:$X, A93), 0) +
    IFERROR(COUNTIF(Base!$Y:$Y, A93), 0) +
    IFERROR(COUNTIF(Base!$Z:$Z, A93), 0)
  ) = 0,
  "-",
  IF(
    (
      IFERROR(COUNTIFS(Base!$W:$W, A93, Base!$O:$O, "Finalizado"), 0) +
      IFERROR(COUNTIFS(Base!$W:$W, A93, Base!$O:$O, "Concluído"), 0) +
      IFERROR(COUNTIFS(Base!$X:$X, A93, Base!$O:$O, "Finalizado"), 0) +
      IFERROR(COUNTIFS(Base!$X:$X, A93, Base!$O:$O, "Concluído"), 0) +
      IFERROR(COUNTIFS(Base!$Y:$Y, A93, Base!$O:$O, "Finalizado"), 0) +
      IFERROR(COUNTIFS(Base!$Y:$Y, A93, Base!$O:$O, "Concluído"), 0) +
      IFERROR(COUNTIFS(Base!$Z:$Z, A93, Base!$O:$O, "Finalizado"), 0) +
      IFERROR(COUNTIFS(Base!$Z:$Z, A93, Base!$O:$O, "Concluído"), 0)
    ) = 0,
    "-",
    (
      IFERROR(COUNTIFS(Base!$W:$W, A93, Base!$U:$U, TRUE), 0) +
      IFERROR(COUNTIFS(Base!$X:$X, A93, Base!$U:$U, TRUE), 0) +
      IFERROR(COUNTIFS(Base!$Y:$Y, A93, Base!$U:$U, TRUE), 0) +
      IFERROR(COUNTIFS(Base!$Z:$Z, A93, Base!$U:$U, TRUE), 0)
    ) /
    (
      IFERROR(COUNTIFS(Base!$W:$W, A93, Base!$O:$O, "Finalizado"), 0) +
      IFERROR(COUNTIFS(Base!$W:$W, A93, Base!$O:$O, "Concluído"), 0) +
      IFERROR(COUNTIFS(Base!$X:$X, A93, Base!$O:$O, "Finalizado"), 0) +
      IFERROR(COUNTIFS(Base!$X:$X, A93, Base!$O:$O, "Concluído"), 0) +
      IFERROR(COUNTIFS(Base!$Y:$Y, A93, Base!$O:$O, "Finalizado"), 0) +
      IFERROR(COUNTIFS(Base!$Y:$Y, A93, Base!$O:$O, "Concluído"), 0) +
      IFERROR(COUNTIFS(Base!$Z:$Z, A93, Base!$O:$O, "Finalizado"), 0) +
      IFERROR(COUNTIFS(Base!$Z:$Z, A93, Base!$O:$O, "Concluído"), 0)
    )
  )
)
</f>
        <v>-</v>
      </c>
      <c r="N93" s="120">
        <f>COUNTIF(Base!V:V,$A93)</f>
        <v>0</v>
      </c>
      <c r="O93" s="120">
        <f>COUNTIF(Base!W:W,$A93)</f>
        <v>1</v>
      </c>
      <c r="P93" s="120">
        <f>COUNTIF(Base!X:X,$A93)</f>
        <v>0</v>
      </c>
      <c r="Q93" s="120">
        <f>COUNTIF(Base!Y:Y,$A93)</f>
        <v>0</v>
      </c>
      <c r="R93" s="120">
        <f>COUNTIF(Base!Z:Z,$A93)</f>
        <v>0</v>
      </c>
      <c r="S93" s="120">
        <f t="shared" si="3"/>
        <v>1</v>
      </c>
      <c r="T93" s="120">
        <f t="shared" si="4"/>
        <v>1</v>
      </c>
      <c r="V93" s="293" t="str">
        <f>IF(
  (
    COUNTIF('Acompanhamento quinzenal'!$N:$N, A93) +
    COUNTIF('Acompanhamento quinzenal'!$T:$T, A93) +
    COUNTIF('Acompanhamento quinzenal'!$Z:$Z, A93) +
    COUNTIF('Acompanhamento quinzenal'!$AF:$AF, A93)
  ) = 0,
  "-",
  (
    IFERROR(SUMIFS('Acompanhamento quinzenal'!$S:$S, 'Acompanhamento quinzenal'!$N:$N, A93), 0) +
    IFERROR(SUMIFS('Acompanhamento quinzenal'!$Y:$Y, 'Acompanhamento quinzenal'!$T:$T, A93), 0) +
    IFERROR(SUMIFS('Acompanhamento quinzenal'!$AE:$AE, 'Acompanhamento quinzenal'!$Z:$Z, A93), 0) +
    IFERROR(SUMIFS('Acompanhamento quinzenal'!$AK:$AK, 'Acompanhamento quinzenal'!$AF:$AF, A93), 0)
  ) /
  (
    COUNTIF('Acompanhamento quinzenal'!$N:$N, A93) +
    COUNTIF('Acompanhamento quinzenal'!$T:$T, A93) +
    COUNTIF('Acompanhamento quinzenal'!$Z:$Z, A93) +
    COUNTIF('Acompanhamento quinzenal'!$AF:$AF, A93)
  )
)
</f>
        <v>-</v>
      </c>
      <c r="W93" s="293" t="str">
        <f>IF(
  (
    COUNTIF('Acompanhamento quinzenal'!$N:$N, A93) +
    COUNTIF('Acompanhamento quinzenal'!$T:$T, A93) +
    COUNTIF('Acompanhamento quinzenal'!$Z:$Z, A93) +
    COUNTIF('Acompanhamento quinzenal'!$AF:$AF, A93)
  ) = 0,
  "-",
  (
    IFERROR(SUMIFS('Acompanhamento quinzenal'!$O:$O, 'Acompanhamento quinzenal'!$N:$N, A93), 0) +
    IFERROR(SUMIFS('Acompanhamento quinzenal'!$U:$U, 'Acompanhamento quinzenal'!$T:$T, A93), 0) +
    IFERROR(SUMIFS('Acompanhamento quinzenal'!$AA:$AA, 'Acompanhamento quinzenal'!$Z:$Z, A93), 0) +
    IFERROR(SUMIFS('Acompanhamento quinzenal'!$AG:$AG, 'Acompanhamento quinzenal'!$AF:$AF, A93), 0)
  ) /
  (
    COUNTIF('Acompanhamento quinzenal'!$N:$N, A93) +
    COUNTIF('Acompanhamento quinzenal'!$T:$T, A93) +
    COUNTIF('Acompanhamento quinzenal'!$Z:$Z, A93) +
    COUNTIF('Acompanhamento quinzenal'!$AF:$AF, A93)
  )
)
</f>
        <v>-</v>
      </c>
      <c r="X93" s="294" t="str">
        <f>IF(
  (
    COUNTIF('Acompanhamento quinzenal'!$N:$N, A93) +
    COUNTIF('Acompanhamento quinzenal'!$T:$T, A93) +
    COUNTIF('Acompanhamento quinzenal'!$Z:$Z, A93) +
    COUNTIF('Acompanhamento quinzenal'!$AF:$AF, A93)
  ) = 0,
  "-",
  (
    IFERROR(SUMIFS('Acompanhamento quinzenal'!$P:$P, 'Acompanhamento quinzenal'!$N:$N, A93), 0) +
    IFERROR(SUMIFS('Acompanhamento quinzenal'!$V:$V, 'Acompanhamento quinzenal'!$T:$T, A93), 0) +
    IFERROR(SUMIFS('Acompanhamento quinzenal'!$AB:$AB, 'Acompanhamento quinzenal'!$Z:$Z, A93), 0) +
    IFERROR(SUMIFS('Acompanhamento quinzenal'!$AH:$AH, 'Acompanhamento quinzenal'!$AF:$AF, A93), 0)
  ) /
  (
    COUNTIF('Acompanhamento quinzenal'!$N:$N, A93) +
    COUNTIF('Acompanhamento quinzenal'!$T:$T, A93) +
    COUNTIF('Acompanhamento quinzenal'!$Z:$Z, A93) +
    COUNTIF('Acompanhamento quinzenal'!$AF:$AF, A93)
  )
)
</f>
        <v>-</v>
      </c>
      <c r="Y93" s="293" t="str">
        <f>IF(
  (
    COUNTIF('Acompanhamento quinzenal'!$N:$N, A93) +
    COUNTIF('Acompanhamento quinzenal'!$T:$T, A93) +
    COUNTIF('Acompanhamento quinzenal'!$Z:$Z, A93) +
    COUNTIF('Acompanhamento quinzenal'!$AF:$AF, A93)
  ) = 0,
  "-",
  (
    IFERROR(SUMIFS('Acompanhamento quinzenal'!$Q:$Q, 'Acompanhamento quinzenal'!$N:$N, A93), 0) +
    IFERROR(SUMIFS('Acompanhamento quinzenal'!$W:$W, 'Acompanhamento quinzenal'!$T:$T, A93), 0) +
    IFERROR(SUMIFS('Acompanhamento quinzenal'!$AC:$AC, 'Acompanhamento quinzenal'!$Z:$Z, A93), 0) +
    IFERROR(SUMIFS('Acompanhamento quinzenal'!$AI:$AI, 'Acompanhamento quinzenal'!$AF:$AF, A93), 0)
  ) /
  (
    COUNTIF('Acompanhamento quinzenal'!$N:$N, A93) +
    COUNTIF('Acompanhamento quinzenal'!$T:$T, A93) +
    COUNTIF('Acompanhamento quinzenal'!$Z:$Z, A93) +
    COUNTIF('Acompanhamento quinzenal'!$AF:$AF, A93)
  )
)
</f>
        <v>-</v>
      </c>
    </row>
    <row r="94" hidden="1">
      <c r="A94" s="291" t="str">
        <f>IFERROR(__xludf.DUMMYFUNCTION("""COMPUTED_VALUE"""),"joaopedro.ribeiro")</f>
        <v>joaopedro.ribeiro</v>
      </c>
      <c r="B94" s="120" t="str">
        <f>IFERROR(__xludf.DUMMYFUNCTION("""COMPUTED_VALUE"""),"Diretor")</f>
        <v>Diretor</v>
      </c>
      <c r="C94" s="120" t="str">
        <f>IFERROR(__xludf.DUMMYFUNCTION("""COMPUTED_VALUE"""),"Anucleado")</f>
        <v>Anucleado</v>
      </c>
      <c r="D94" s="292" t="str">
        <f>IFERROR((COUNTIFS(Base!$V:$V,A94,Base!$S:$S,"&gt;8") - COUNTIFS(Base!$V:$V,A94,Base!$S:$S,"&lt;7"))/COUNTIFS(Base!$V:$V,A94,Base!$S:$S,"&lt;&gt;"),"-")</f>
        <v>-</v>
      </c>
      <c r="E94" s="292" t="str">
        <f>IF(
  (
    COUNTIFS(Base!$W:$W, A94, Base!$S:$S, "&lt;&gt;") +
    COUNTIFS(Base!$X:$X, A94, Base!$S:$S, "&lt;&gt;") +
    COUNTIFS(Base!$Y:$Y, A94, Base!$S:$S, "&lt;&gt;") +
    COUNTIFS(Base!$Z:$Z, A94, Base!$S:$S, "&lt;&gt;")
  ) = 0,
  "-",
  (
    COUNTIFS(Base!$W:$W, A94, Base!$S:$S, "&gt;8") - COUNTIFS(Base!$W:$W, A94, Base!$S:$S, "&lt;7") +
    COUNTIFS(Base!$X:$X, A94, Base!$S:$S, "&gt;8") - COUNTIFS(Base!$X:$X, A94, Base!$S:$S, "&lt;7") +
    COUNTIFS(Base!$Y:$Y, A94, Base!$S:$S, "&gt;8") - COUNTIFS(Base!$Y:$Y, A94, Base!$S:$S, "&lt;7") +
    COUNTIFS(Base!$Z:$Z, A94, Base!$S:$S, "&gt;8") - COUNTIFS(Base!$Z:$Z, A94, Base!$S:$S, "&lt;7")
  ) /
  (
    COUNTIFS(Base!$W:$W, A94, Base!$S:$S, "&lt;&gt;") +
    COUNTIFS(Base!$X:$X, A94, Base!$S:$S, "&lt;&gt;") +
    COUNTIFS(Base!$Y:$Y, A94, Base!$S:$S, "&lt;&gt;") +
    COUNTIFS(Base!$Z:$Z, A94, Base!$S:$S, "&lt;&gt;")
  )
)
</f>
        <v>-</v>
      </c>
      <c r="F94" s="290">
        <f>SUMIFS(Base!$N:$N,Base!$V:$V,A94,Base!$N:$N,"&lt;&gt;")-SUMIFS(Base!$K:$K,Base!$V:$V,A94,Base!$N:$N,"&lt;&gt;")-(SUMIFS(Base!$L:$L,Base!$V:$V,A94,Base!$N:$N,"&lt;&gt;")*7)</f>
        <v>0</v>
      </c>
      <c r="G94" s="290"/>
      <c r="H94" s="290">
        <f>SUMIFS(Base!$F:$F,Base!$V:$V,A94,Base!$N:$N,"&lt;&gt;")*7</f>
        <v>0</v>
      </c>
      <c r="I94" s="290"/>
      <c r="J94" s="292" t="str">
        <f t="shared" ref="J94:K94" si="95">IFERROR(F94/H94,"-")</f>
        <v>-</v>
      </c>
      <c r="K94" s="292" t="str">
        <f t="shared" si="95"/>
        <v>-</v>
      </c>
      <c r="L94" s="292" t="str">
        <f>IFERROR((COUNTIFS(Base!$V:$V,A94,Base!$U:$U,TRUE))/(COUNTIFS(Base!$V:$V,A94,Base!$O:$O,"Finalizado")+COUNTIFS(Base!$V:$V,A94,Base!$O:$O,"Concluído")),"-")</f>
        <v>-</v>
      </c>
      <c r="M94" s="292" t="str">
        <f>IF(
  (
    IFERROR(COUNTIF(Base!$W:$W, A94), 0) +
    IFERROR(COUNTIF(Base!$X:$X, A94), 0) +
    IFERROR(COUNTIF(Base!$Y:$Y, A94), 0) +
    IFERROR(COUNTIF(Base!$Z:$Z, A94), 0)
  ) = 0,
  "-",
  IF(
    (
      IFERROR(COUNTIFS(Base!$W:$W, A94, Base!$O:$O, "Finalizado"), 0) +
      IFERROR(COUNTIFS(Base!$W:$W, A94, Base!$O:$O, "Concluído"), 0) +
      IFERROR(COUNTIFS(Base!$X:$X, A94, Base!$O:$O, "Finalizado"), 0) +
      IFERROR(COUNTIFS(Base!$X:$X, A94, Base!$O:$O, "Concluído"), 0) +
      IFERROR(COUNTIFS(Base!$Y:$Y, A94, Base!$O:$O, "Finalizado"), 0) +
      IFERROR(COUNTIFS(Base!$Y:$Y, A94, Base!$O:$O, "Concluído"), 0) +
      IFERROR(COUNTIFS(Base!$Z:$Z, A94, Base!$O:$O, "Finalizado"), 0) +
      IFERROR(COUNTIFS(Base!$Z:$Z, A94, Base!$O:$O, "Concluído"), 0)
    ) = 0,
    "-",
    (
      IFERROR(COUNTIFS(Base!$W:$W, A94, Base!$U:$U, TRUE), 0) +
      IFERROR(COUNTIFS(Base!$X:$X, A94, Base!$U:$U, TRUE), 0) +
      IFERROR(COUNTIFS(Base!$Y:$Y, A94, Base!$U:$U, TRUE), 0) +
      IFERROR(COUNTIFS(Base!$Z:$Z, A94, Base!$U:$U, TRUE), 0)
    ) /
    (
      IFERROR(COUNTIFS(Base!$W:$W, A94, Base!$O:$O, "Finalizado"), 0) +
      IFERROR(COUNTIFS(Base!$W:$W, A94, Base!$O:$O, "Concluído"), 0) +
      IFERROR(COUNTIFS(Base!$X:$X, A94, Base!$O:$O, "Finalizado"), 0) +
      IFERROR(COUNTIFS(Base!$X:$X, A94, Base!$O:$O, "Concluído"), 0) +
      IFERROR(COUNTIFS(Base!$Y:$Y, A94, Base!$O:$O, "Finalizado"), 0) +
      IFERROR(COUNTIFS(Base!$Y:$Y, A94, Base!$O:$O, "Concluído"), 0) +
      IFERROR(COUNTIFS(Base!$Z:$Z, A94, Base!$O:$O, "Finalizado"), 0) +
      IFERROR(COUNTIFS(Base!$Z:$Z, A94, Base!$O:$O, "Concluído"), 0)
    )
  )
)
</f>
        <v>-</v>
      </c>
      <c r="N94" s="120">
        <f>COUNTIF(Base!V:V,$A94)</f>
        <v>0</v>
      </c>
      <c r="O94" s="120">
        <f>COUNTIF(Base!W:W,$A94)</f>
        <v>0</v>
      </c>
      <c r="P94" s="120">
        <f>COUNTIF(Base!X:X,$A94)</f>
        <v>0</v>
      </c>
      <c r="Q94" s="120">
        <f>COUNTIF(Base!Y:Y,$A94)</f>
        <v>0</v>
      </c>
      <c r="R94" s="120">
        <f>COUNTIF(Base!Z:Z,$A94)</f>
        <v>0</v>
      </c>
      <c r="S94" s="120">
        <f t="shared" si="3"/>
        <v>0</v>
      </c>
      <c r="T94" s="120">
        <f t="shared" si="4"/>
        <v>0</v>
      </c>
      <c r="V94" s="293" t="str">
        <f>IF(
  (
    COUNTIF('Acompanhamento quinzenal'!$N:$N, A94) +
    COUNTIF('Acompanhamento quinzenal'!$T:$T, A94) +
    COUNTIF('Acompanhamento quinzenal'!$Z:$Z, A94) +
    COUNTIF('Acompanhamento quinzenal'!$AF:$AF, A94)
  ) = 0,
  "-",
  (
    IFERROR(SUMIFS('Acompanhamento quinzenal'!$S:$S, 'Acompanhamento quinzenal'!$N:$N, A94), 0) +
    IFERROR(SUMIFS('Acompanhamento quinzenal'!$Y:$Y, 'Acompanhamento quinzenal'!$T:$T, A94), 0) +
    IFERROR(SUMIFS('Acompanhamento quinzenal'!$AE:$AE, 'Acompanhamento quinzenal'!$Z:$Z, A94), 0) +
    IFERROR(SUMIFS('Acompanhamento quinzenal'!$AK:$AK, 'Acompanhamento quinzenal'!$AF:$AF, A94), 0)
  ) /
  (
    COUNTIF('Acompanhamento quinzenal'!$N:$N, A94) +
    COUNTIF('Acompanhamento quinzenal'!$T:$T, A94) +
    COUNTIF('Acompanhamento quinzenal'!$Z:$Z, A94) +
    COUNTIF('Acompanhamento quinzenal'!$AF:$AF, A94)
  )
)
</f>
        <v>-</v>
      </c>
      <c r="W94" s="293" t="str">
        <f>IF(
  (
    COUNTIF('Acompanhamento quinzenal'!$N:$N, A94) +
    COUNTIF('Acompanhamento quinzenal'!$T:$T, A94) +
    COUNTIF('Acompanhamento quinzenal'!$Z:$Z, A94) +
    COUNTIF('Acompanhamento quinzenal'!$AF:$AF, A94)
  ) = 0,
  "-",
  (
    IFERROR(SUMIFS('Acompanhamento quinzenal'!$O:$O, 'Acompanhamento quinzenal'!$N:$N, A94), 0) +
    IFERROR(SUMIFS('Acompanhamento quinzenal'!$U:$U, 'Acompanhamento quinzenal'!$T:$T, A94), 0) +
    IFERROR(SUMIFS('Acompanhamento quinzenal'!$AA:$AA, 'Acompanhamento quinzenal'!$Z:$Z, A94), 0) +
    IFERROR(SUMIFS('Acompanhamento quinzenal'!$AG:$AG, 'Acompanhamento quinzenal'!$AF:$AF, A94), 0)
  ) /
  (
    COUNTIF('Acompanhamento quinzenal'!$N:$N, A94) +
    COUNTIF('Acompanhamento quinzenal'!$T:$T, A94) +
    COUNTIF('Acompanhamento quinzenal'!$Z:$Z, A94) +
    COUNTIF('Acompanhamento quinzenal'!$AF:$AF, A94)
  )
)
</f>
        <v>-</v>
      </c>
      <c r="X94" s="294" t="str">
        <f>IF(
  (
    COUNTIF('Acompanhamento quinzenal'!$N:$N, A94) +
    COUNTIF('Acompanhamento quinzenal'!$T:$T, A94) +
    COUNTIF('Acompanhamento quinzenal'!$Z:$Z, A94) +
    COUNTIF('Acompanhamento quinzenal'!$AF:$AF, A94)
  ) = 0,
  "-",
  (
    IFERROR(SUMIFS('Acompanhamento quinzenal'!$P:$P, 'Acompanhamento quinzenal'!$N:$N, A94), 0) +
    IFERROR(SUMIFS('Acompanhamento quinzenal'!$V:$V, 'Acompanhamento quinzenal'!$T:$T, A94), 0) +
    IFERROR(SUMIFS('Acompanhamento quinzenal'!$AB:$AB, 'Acompanhamento quinzenal'!$Z:$Z, A94), 0) +
    IFERROR(SUMIFS('Acompanhamento quinzenal'!$AH:$AH, 'Acompanhamento quinzenal'!$AF:$AF, A94), 0)
  ) /
  (
    COUNTIF('Acompanhamento quinzenal'!$N:$N, A94) +
    COUNTIF('Acompanhamento quinzenal'!$T:$T, A94) +
    COUNTIF('Acompanhamento quinzenal'!$Z:$Z, A94) +
    COUNTIF('Acompanhamento quinzenal'!$AF:$AF, A94)
  )
)
</f>
        <v>-</v>
      </c>
      <c r="Y94" s="293" t="str">
        <f>IF(
  (
    COUNTIF('Acompanhamento quinzenal'!$N:$N, A94) +
    COUNTIF('Acompanhamento quinzenal'!$T:$T, A94) +
    COUNTIF('Acompanhamento quinzenal'!$Z:$Z, A94) +
    COUNTIF('Acompanhamento quinzenal'!$AF:$AF, A94)
  ) = 0,
  "-",
  (
    IFERROR(SUMIFS('Acompanhamento quinzenal'!$Q:$Q, 'Acompanhamento quinzenal'!$N:$N, A94), 0) +
    IFERROR(SUMIFS('Acompanhamento quinzenal'!$W:$W, 'Acompanhamento quinzenal'!$T:$T, A94), 0) +
    IFERROR(SUMIFS('Acompanhamento quinzenal'!$AC:$AC, 'Acompanhamento quinzenal'!$Z:$Z, A94), 0) +
    IFERROR(SUMIFS('Acompanhamento quinzenal'!$AI:$AI, 'Acompanhamento quinzenal'!$AF:$AF, A94), 0)
  ) /
  (
    COUNTIF('Acompanhamento quinzenal'!$N:$N, A94) +
    COUNTIF('Acompanhamento quinzenal'!$T:$T, A94) +
    COUNTIF('Acompanhamento quinzenal'!$Z:$Z, A94) +
    COUNTIF('Acompanhamento quinzenal'!$AF:$AF, A94)
  )
)
</f>
        <v>-</v>
      </c>
    </row>
    <row r="95">
      <c r="A95" s="291" t="str">
        <f>IFERROR(__xludf.DUMMYFUNCTION("""COMPUTED_VALUE"""),"joao.melo")</f>
        <v>joao.melo</v>
      </c>
      <c r="B95" s="120" t="str">
        <f>IFERROR(__xludf.DUMMYFUNCTION("""COMPUTED_VALUE"""),"Trainee")</f>
        <v>Trainee</v>
      </c>
      <c r="C95" s="120" t="str">
        <f>IFERROR(__xludf.DUMMYFUNCTION("""COMPUTED_VALUE"""),"NDados")</f>
        <v>NDados</v>
      </c>
      <c r="D95" s="292" t="str">
        <f>IFERROR((COUNTIFS(Base!$V:$V,A95,Base!$S:$S,"&gt;8") - COUNTIFS(Base!$V:$V,A95,Base!$S:$S,"&lt;7"))/COUNTIFS(Base!$V:$V,A95,Base!$S:$S,"&lt;&gt;"),"-")</f>
        <v>-</v>
      </c>
      <c r="E95" s="292" t="str">
        <f>IF(
  (
    COUNTIFS(Base!$W:$W, A95, Base!$S:$S, "&lt;&gt;") +
    COUNTIFS(Base!$X:$X, A95, Base!$S:$S, "&lt;&gt;") +
    COUNTIFS(Base!$Y:$Y, A95, Base!$S:$S, "&lt;&gt;") +
    COUNTIFS(Base!$Z:$Z, A95, Base!$S:$S, "&lt;&gt;")
  ) = 0,
  "-",
  (
    COUNTIFS(Base!$W:$W, A95, Base!$S:$S, "&gt;8") - COUNTIFS(Base!$W:$W, A95, Base!$S:$S, "&lt;7") +
    COUNTIFS(Base!$X:$X, A95, Base!$S:$S, "&gt;8") - COUNTIFS(Base!$X:$X, A95, Base!$S:$S, "&lt;7") +
    COUNTIFS(Base!$Y:$Y, A95, Base!$S:$S, "&gt;8") - COUNTIFS(Base!$Y:$Y, A95, Base!$S:$S, "&lt;7") +
    COUNTIFS(Base!$Z:$Z, A95, Base!$S:$S, "&gt;8") - COUNTIFS(Base!$Z:$Z, A95, Base!$S:$S, "&lt;7")
  ) /
  (
    COUNTIFS(Base!$W:$W, A95, Base!$S:$S, "&lt;&gt;") +
    COUNTIFS(Base!$X:$X, A95, Base!$S:$S, "&lt;&gt;") +
    COUNTIFS(Base!$Y:$Y, A95, Base!$S:$S, "&lt;&gt;") +
    COUNTIFS(Base!$Z:$Z, A95, Base!$S:$S, "&lt;&gt;")
  )
)
</f>
        <v>-</v>
      </c>
      <c r="F95" s="290">
        <f>SUMIFS(Base!$N:$N,Base!$V:$V,A95,Base!$N:$N,"&lt;&gt;")-SUMIFS(Base!$K:$K,Base!$V:$V,A95,Base!$N:$N,"&lt;&gt;")-(SUMIFS(Base!$L:$L,Base!$V:$V,A95,Base!$N:$N,"&lt;&gt;")*7)</f>
        <v>0</v>
      </c>
      <c r="G95" s="290"/>
      <c r="H95" s="290">
        <f>SUMIFS(Base!$F:$F,Base!$V:$V,A95,Base!$N:$N,"&lt;&gt;")*7</f>
        <v>0</v>
      </c>
      <c r="I95" s="290"/>
      <c r="J95" s="292" t="str">
        <f t="shared" ref="J95:K95" si="96">IFERROR(F95/H95,"-")</f>
        <v>-</v>
      </c>
      <c r="K95" s="292" t="str">
        <f t="shared" si="96"/>
        <v>-</v>
      </c>
      <c r="L95" s="292" t="str">
        <f>IFERROR((COUNTIFS(Base!$V:$V,A95,Base!$U:$U,TRUE))/(COUNTIFS(Base!$V:$V,A95,Base!$O:$O,"Finalizado")+COUNTIFS(Base!$V:$V,A95,Base!$O:$O,"Concluído")),"-")</f>
        <v>-</v>
      </c>
      <c r="M95" s="292" t="str">
        <f>IF(
  (
    IFERROR(COUNTIF(Base!$W:$W, A95), 0) +
    IFERROR(COUNTIF(Base!$X:$X, A95), 0) +
    IFERROR(COUNTIF(Base!$Y:$Y, A95), 0) +
    IFERROR(COUNTIF(Base!$Z:$Z, A95), 0)
  ) = 0,
  "-",
  IF(
    (
      IFERROR(COUNTIFS(Base!$W:$W, A95, Base!$O:$O, "Finalizado"), 0) +
      IFERROR(COUNTIFS(Base!$W:$W, A95, Base!$O:$O, "Concluído"), 0) +
      IFERROR(COUNTIFS(Base!$X:$X, A95, Base!$O:$O, "Finalizado"), 0) +
      IFERROR(COUNTIFS(Base!$X:$X, A95, Base!$O:$O, "Concluído"), 0) +
      IFERROR(COUNTIFS(Base!$Y:$Y, A95, Base!$O:$O, "Finalizado"), 0) +
      IFERROR(COUNTIFS(Base!$Y:$Y, A95, Base!$O:$O, "Concluído"), 0) +
      IFERROR(COUNTIFS(Base!$Z:$Z, A95, Base!$O:$O, "Finalizado"), 0) +
      IFERROR(COUNTIFS(Base!$Z:$Z, A95, Base!$O:$O, "Concluído"), 0)
    ) = 0,
    "-",
    (
      IFERROR(COUNTIFS(Base!$W:$W, A95, Base!$U:$U, TRUE), 0) +
      IFERROR(COUNTIFS(Base!$X:$X, A95, Base!$U:$U, TRUE), 0) +
      IFERROR(COUNTIFS(Base!$Y:$Y, A95, Base!$U:$U, TRUE), 0) +
      IFERROR(COUNTIFS(Base!$Z:$Z, A95, Base!$U:$U, TRUE), 0)
    ) /
    (
      IFERROR(COUNTIFS(Base!$W:$W, A95, Base!$O:$O, "Finalizado"), 0) +
      IFERROR(COUNTIFS(Base!$W:$W, A95, Base!$O:$O, "Concluído"), 0) +
      IFERROR(COUNTIFS(Base!$X:$X, A95, Base!$O:$O, "Finalizado"), 0) +
      IFERROR(COUNTIFS(Base!$X:$X, A95, Base!$O:$O, "Concluído"), 0) +
      IFERROR(COUNTIFS(Base!$Y:$Y, A95, Base!$O:$O, "Finalizado"), 0) +
      IFERROR(COUNTIFS(Base!$Y:$Y, A95, Base!$O:$O, "Concluído"), 0) +
      IFERROR(COUNTIFS(Base!$Z:$Z, A95, Base!$O:$O, "Finalizado"), 0) +
      IFERROR(COUNTIFS(Base!$Z:$Z, A95, Base!$O:$O, "Concluído"), 0)
    )
  )
)
</f>
        <v>-</v>
      </c>
      <c r="N95" s="120">
        <f>COUNTIF(Base!V:V,$A95)</f>
        <v>1</v>
      </c>
      <c r="O95" s="120">
        <f>COUNTIF(Base!W:W,$A95)</f>
        <v>2</v>
      </c>
      <c r="P95" s="120">
        <f>COUNTIF(Base!X:X,$A95)</f>
        <v>1</v>
      </c>
      <c r="Q95" s="120">
        <f>COUNTIF(Base!Y:Y,$A95)</f>
        <v>0</v>
      </c>
      <c r="R95" s="120">
        <f>COUNTIF(Base!Z:Z,$A95)</f>
        <v>0</v>
      </c>
      <c r="S95" s="120">
        <f t="shared" si="3"/>
        <v>4</v>
      </c>
      <c r="T95" s="120">
        <f t="shared" si="4"/>
        <v>3</v>
      </c>
      <c r="V95" s="293">
        <f>IF(
  (
    COUNTIF('Acompanhamento quinzenal'!$N:$N, A95) +
    COUNTIF('Acompanhamento quinzenal'!$T:$T, A95) +
    COUNTIF('Acompanhamento quinzenal'!$Z:$Z, A95) +
    COUNTIF('Acompanhamento quinzenal'!$AF:$AF, A95)
  ) = 0,
  "-",
  (
    IFERROR(SUMIFS('Acompanhamento quinzenal'!$S:$S, 'Acompanhamento quinzenal'!$N:$N, A95), 0) +
    IFERROR(SUMIFS('Acompanhamento quinzenal'!$Y:$Y, 'Acompanhamento quinzenal'!$T:$T, A95), 0) +
    IFERROR(SUMIFS('Acompanhamento quinzenal'!$AE:$AE, 'Acompanhamento quinzenal'!$Z:$Z, A95), 0) +
    IFERROR(SUMIFS('Acompanhamento quinzenal'!$AK:$AK, 'Acompanhamento quinzenal'!$AF:$AF, A95), 0)
  ) /
  (
    COUNTIF('Acompanhamento quinzenal'!$N:$N, A95) +
    COUNTIF('Acompanhamento quinzenal'!$T:$T, A95) +
    COUNTIF('Acompanhamento quinzenal'!$Z:$Z, A95) +
    COUNTIF('Acompanhamento quinzenal'!$AF:$AF, A95)
  )
)
</f>
        <v>3.666666667</v>
      </c>
      <c r="W95" s="293">
        <f>IF(
  (
    COUNTIF('Acompanhamento quinzenal'!$N:$N, A95) +
    COUNTIF('Acompanhamento quinzenal'!$T:$T, A95) +
    COUNTIF('Acompanhamento quinzenal'!$Z:$Z, A95) +
    COUNTIF('Acompanhamento quinzenal'!$AF:$AF, A95)
  ) = 0,
  "-",
  (
    IFERROR(SUMIFS('Acompanhamento quinzenal'!$O:$O, 'Acompanhamento quinzenal'!$N:$N, A95), 0) +
    IFERROR(SUMIFS('Acompanhamento quinzenal'!$U:$U, 'Acompanhamento quinzenal'!$T:$T, A95), 0) +
    IFERROR(SUMIFS('Acompanhamento quinzenal'!$AA:$AA, 'Acompanhamento quinzenal'!$Z:$Z, A95), 0) +
    IFERROR(SUMIFS('Acompanhamento quinzenal'!$AG:$AG, 'Acompanhamento quinzenal'!$AF:$AF, A95), 0)
  ) /
  (
    COUNTIF('Acompanhamento quinzenal'!$N:$N, A95) +
    COUNTIF('Acompanhamento quinzenal'!$T:$T, A95) +
    COUNTIF('Acompanhamento quinzenal'!$Z:$Z, A95) +
    COUNTIF('Acompanhamento quinzenal'!$AF:$AF, A95)
  )
)
</f>
        <v>3.5</v>
      </c>
      <c r="X95" s="294">
        <f>IF(
  (
    COUNTIF('Acompanhamento quinzenal'!$N:$N, A95) +
    COUNTIF('Acompanhamento quinzenal'!$T:$T, A95) +
    COUNTIF('Acompanhamento quinzenal'!$Z:$Z, A95) +
    COUNTIF('Acompanhamento quinzenal'!$AF:$AF, A95)
  ) = 0,
  "-",
  (
    IFERROR(SUMIFS('Acompanhamento quinzenal'!$P:$P, 'Acompanhamento quinzenal'!$N:$N, A95), 0) +
    IFERROR(SUMIFS('Acompanhamento quinzenal'!$V:$V, 'Acompanhamento quinzenal'!$T:$T, A95), 0) +
    IFERROR(SUMIFS('Acompanhamento quinzenal'!$AB:$AB, 'Acompanhamento quinzenal'!$Z:$Z, A95), 0) +
    IFERROR(SUMIFS('Acompanhamento quinzenal'!$AH:$AH, 'Acompanhamento quinzenal'!$AF:$AF, A95), 0)
  ) /
  (
    COUNTIF('Acompanhamento quinzenal'!$N:$N, A95) +
    COUNTIF('Acompanhamento quinzenal'!$T:$T, A95) +
    COUNTIF('Acompanhamento quinzenal'!$Z:$Z, A95) +
    COUNTIF('Acompanhamento quinzenal'!$AF:$AF, A95)
  )
)
</f>
        <v>4</v>
      </c>
      <c r="Y95" s="293">
        <f>IF(
  (
    COUNTIF('Acompanhamento quinzenal'!$N:$N, A95) +
    COUNTIF('Acompanhamento quinzenal'!$T:$T, A95) +
    COUNTIF('Acompanhamento quinzenal'!$Z:$Z, A95) +
    COUNTIF('Acompanhamento quinzenal'!$AF:$AF, A95)
  ) = 0,
  "-",
  (
    IFERROR(SUMIFS('Acompanhamento quinzenal'!$Q:$Q, 'Acompanhamento quinzenal'!$N:$N, A95), 0) +
    IFERROR(SUMIFS('Acompanhamento quinzenal'!$W:$W, 'Acompanhamento quinzenal'!$T:$T, A95), 0) +
    IFERROR(SUMIFS('Acompanhamento quinzenal'!$AC:$AC, 'Acompanhamento quinzenal'!$Z:$Z, A95), 0) +
    IFERROR(SUMIFS('Acompanhamento quinzenal'!$AI:$AI, 'Acompanhamento quinzenal'!$AF:$AF, A95), 0)
  ) /
  (
    COUNTIF('Acompanhamento quinzenal'!$N:$N, A95) +
    COUNTIF('Acompanhamento quinzenal'!$T:$T, A95) +
    COUNTIF('Acompanhamento quinzenal'!$Z:$Z, A95) +
    COUNTIF('Acompanhamento quinzenal'!$AF:$AF, A95)
  )
)
</f>
        <v>3.5</v>
      </c>
    </row>
    <row r="96" hidden="1">
      <c r="A96" s="291" t="str">
        <f>IFERROR(__xludf.DUMMYFUNCTION("""COMPUTED_VALUE"""),"joao.dias")</f>
        <v>joao.dias</v>
      </c>
      <c r="B96" s="120" t="str">
        <f>IFERROR(__xludf.DUMMYFUNCTION("""COMPUTED_VALUE"""),"Consultor")</f>
        <v>Consultor</v>
      </c>
      <c r="C96" s="120" t="str">
        <f>IFERROR(__xludf.DUMMYFUNCTION("""COMPUTED_VALUE"""),"NCon")</f>
        <v>NCon</v>
      </c>
      <c r="D96" s="292" t="str">
        <f>IFERROR((COUNTIFS(Base!$V:$V,A96,Base!$S:$S,"&gt;8") - COUNTIFS(Base!$V:$V,A96,Base!$S:$S,"&lt;7"))/COUNTIFS(Base!$V:$V,A96,Base!$S:$S,"&lt;&gt;"),"-")</f>
        <v>-</v>
      </c>
      <c r="E96" s="292">
        <f>IF(
  (
    COUNTIFS(Base!$W:$W, A96, Base!$S:$S, "&lt;&gt;") +
    COUNTIFS(Base!$X:$X, A96, Base!$S:$S, "&lt;&gt;") +
    COUNTIFS(Base!$Y:$Y, A96, Base!$S:$S, "&lt;&gt;") +
    COUNTIFS(Base!$Z:$Z, A96, Base!$S:$S, "&lt;&gt;")
  ) = 0,
  "-",
  (
    COUNTIFS(Base!$W:$W, A96, Base!$S:$S, "&gt;8") - COUNTIFS(Base!$W:$W, A96, Base!$S:$S, "&lt;7") +
    COUNTIFS(Base!$X:$X, A96, Base!$S:$S, "&gt;8") - COUNTIFS(Base!$X:$X, A96, Base!$S:$S, "&lt;7") +
    COUNTIFS(Base!$Y:$Y, A96, Base!$S:$S, "&gt;8") - COUNTIFS(Base!$Y:$Y, A96, Base!$S:$S, "&lt;7") +
    COUNTIFS(Base!$Z:$Z, A96, Base!$S:$S, "&gt;8") - COUNTIFS(Base!$Z:$Z, A96, Base!$S:$S, "&lt;7")
  ) /
  (
    COUNTIFS(Base!$W:$W, A96, Base!$S:$S, "&lt;&gt;") +
    COUNTIFS(Base!$X:$X, A96, Base!$S:$S, "&lt;&gt;") +
    COUNTIFS(Base!$Y:$Y, A96, Base!$S:$S, "&lt;&gt;") +
    COUNTIFS(Base!$Z:$Z, A96, Base!$S:$S, "&lt;&gt;")
  )
)
</f>
        <v>1</v>
      </c>
      <c r="F96" s="290">
        <f>SUMIFS(Base!$N:$N,Base!$V:$V,A96,Base!$N:$N,"&lt;&gt;")-SUMIFS(Base!$K:$K,Base!$V:$V,A96,Base!$N:$N,"&lt;&gt;")-(SUMIFS(Base!$L:$L,Base!$V:$V,A96,Base!$N:$N,"&lt;&gt;")*7)</f>
        <v>0</v>
      </c>
      <c r="G96" s="290"/>
      <c r="H96" s="290">
        <f>SUMIFS(Base!$F:$F,Base!$V:$V,A96,Base!$N:$N,"&lt;&gt;")*7</f>
        <v>0</v>
      </c>
      <c r="I96" s="290"/>
      <c r="J96" s="292" t="str">
        <f t="shared" ref="J96:K96" si="97">IFERROR(F96/H96,"-")</f>
        <v>-</v>
      </c>
      <c r="K96" s="292" t="str">
        <f t="shared" si="97"/>
        <v>-</v>
      </c>
      <c r="L96" s="292" t="str">
        <f>IFERROR((COUNTIFS(Base!$V:$V,A96,Base!$U:$U,TRUE))/(COUNTIFS(Base!$V:$V,A96,Base!$O:$O,"Finalizado")+COUNTIFS(Base!$V:$V,A96,Base!$O:$O,"Concluído")),"-")</f>
        <v>-</v>
      </c>
      <c r="M96" s="292">
        <f>IF(
  (
    IFERROR(COUNTIF(Base!$W:$W, A96), 0) +
    IFERROR(COUNTIF(Base!$X:$X, A96), 0) +
    IFERROR(COUNTIF(Base!$Y:$Y, A96), 0) +
    IFERROR(COUNTIF(Base!$Z:$Z, A96), 0)
  ) = 0,
  "-",
  IF(
    (
      IFERROR(COUNTIFS(Base!$W:$W, A96, Base!$O:$O, "Finalizado"), 0) +
      IFERROR(COUNTIFS(Base!$W:$W, A96, Base!$O:$O, "Concluído"), 0) +
      IFERROR(COUNTIFS(Base!$X:$X, A96, Base!$O:$O, "Finalizado"), 0) +
      IFERROR(COUNTIFS(Base!$X:$X, A96, Base!$O:$O, "Concluído"), 0) +
      IFERROR(COUNTIFS(Base!$Y:$Y, A96, Base!$O:$O, "Finalizado"), 0) +
      IFERROR(COUNTIFS(Base!$Y:$Y, A96, Base!$O:$O, "Concluído"), 0) +
      IFERROR(COUNTIFS(Base!$Z:$Z, A96, Base!$O:$O, "Finalizado"), 0) +
      IFERROR(COUNTIFS(Base!$Z:$Z, A96, Base!$O:$O, "Concluído"), 0)
    ) = 0,
    "-",
    (
      IFERROR(COUNTIFS(Base!$W:$W, A96, Base!$U:$U, TRUE), 0) +
      IFERROR(COUNTIFS(Base!$X:$X, A96, Base!$U:$U, TRUE), 0) +
      IFERROR(COUNTIFS(Base!$Y:$Y, A96, Base!$U:$U, TRUE), 0) +
      IFERROR(COUNTIFS(Base!$Z:$Z, A96, Base!$U:$U, TRUE), 0)
    ) /
    (
      IFERROR(COUNTIFS(Base!$W:$W, A96, Base!$O:$O, "Finalizado"), 0) +
      IFERROR(COUNTIFS(Base!$W:$W, A96, Base!$O:$O, "Concluído"), 0) +
      IFERROR(COUNTIFS(Base!$X:$X, A96, Base!$O:$O, "Finalizado"), 0) +
      IFERROR(COUNTIFS(Base!$X:$X, A96, Base!$O:$O, "Concluído"), 0) +
      IFERROR(COUNTIFS(Base!$Y:$Y, A96, Base!$O:$O, "Finalizado"), 0) +
      IFERROR(COUNTIFS(Base!$Y:$Y, A96, Base!$O:$O, "Concluído"), 0) +
      IFERROR(COUNTIFS(Base!$Z:$Z, A96, Base!$O:$O, "Finalizado"), 0) +
      IFERROR(COUNTIFS(Base!$Z:$Z, A96, Base!$O:$O, "Concluído"), 0)
    )
  )
)
</f>
        <v>0.6666666667</v>
      </c>
      <c r="N96" s="120">
        <f>COUNTIF(Base!V:V,$A96)</f>
        <v>0</v>
      </c>
      <c r="O96" s="120">
        <f>COUNTIF(Base!W:W,$A96)</f>
        <v>5</v>
      </c>
      <c r="P96" s="120">
        <f>COUNTIF(Base!X:X,$A96)</f>
        <v>1</v>
      </c>
      <c r="Q96" s="120">
        <f>COUNTIF(Base!Y:Y,$A96)</f>
        <v>0</v>
      </c>
      <c r="R96" s="120">
        <f>COUNTIF(Base!Z:Z,$A96)</f>
        <v>0</v>
      </c>
      <c r="S96" s="120">
        <f t="shared" si="3"/>
        <v>6</v>
      </c>
      <c r="T96" s="120">
        <f t="shared" si="4"/>
        <v>6</v>
      </c>
      <c r="V96" s="293">
        <f>IF(
  (
    COUNTIF('Acompanhamento quinzenal'!$N:$N, A96) +
    COUNTIF('Acompanhamento quinzenal'!$T:$T, A96) +
    COUNTIF('Acompanhamento quinzenal'!$Z:$Z, A96) +
    COUNTIF('Acompanhamento quinzenal'!$AF:$AF, A96)
  ) = 0,
  "-",
  (
    IFERROR(SUMIFS('Acompanhamento quinzenal'!$S:$S, 'Acompanhamento quinzenal'!$N:$N, A96), 0) +
    IFERROR(SUMIFS('Acompanhamento quinzenal'!$Y:$Y, 'Acompanhamento quinzenal'!$T:$T, A96), 0) +
    IFERROR(SUMIFS('Acompanhamento quinzenal'!$AE:$AE, 'Acompanhamento quinzenal'!$Z:$Z, A96), 0) +
    IFERROR(SUMIFS('Acompanhamento quinzenal'!$AK:$AK, 'Acompanhamento quinzenal'!$AF:$AF, A96), 0)
  ) /
  (
    COUNTIF('Acompanhamento quinzenal'!$N:$N, A96) +
    COUNTIF('Acompanhamento quinzenal'!$T:$T, A96) +
    COUNTIF('Acompanhamento quinzenal'!$Z:$Z, A96) +
    COUNTIF('Acompanhamento quinzenal'!$AF:$AF, A96)
  )
)
</f>
        <v>3.066666667</v>
      </c>
      <c r="W96" s="293">
        <f>IF(
  (
    COUNTIF('Acompanhamento quinzenal'!$N:$N, A96) +
    COUNTIF('Acompanhamento quinzenal'!$T:$T, A96) +
    COUNTIF('Acompanhamento quinzenal'!$Z:$Z, A96) +
    COUNTIF('Acompanhamento quinzenal'!$AF:$AF, A96)
  ) = 0,
  "-",
  (
    IFERROR(SUMIFS('Acompanhamento quinzenal'!$O:$O, 'Acompanhamento quinzenal'!$N:$N, A96), 0) +
    IFERROR(SUMIFS('Acompanhamento quinzenal'!$U:$U, 'Acompanhamento quinzenal'!$T:$T, A96), 0) +
    IFERROR(SUMIFS('Acompanhamento quinzenal'!$AA:$AA, 'Acompanhamento quinzenal'!$Z:$Z, A96), 0) +
    IFERROR(SUMIFS('Acompanhamento quinzenal'!$AG:$AG, 'Acompanhamento quinzenal'!$AF:$AF, A96), 0)
  ) /
  (
    COUNTIF('Acompanhamento quinzenal'!$N:$N, A96) +
    COUNTIF('Acompanhamento quinzenal'!$T:$T, A96) +
    COUNTIF('Acompanhamento quinzenal'!$Z:$Z, A96) +
    COUNTIF('Acompanhamento quinzenal'!$AF:$AF, A96)
  )
)
</f>
        <v>3.1</v>
      </c>
      <c r="X96" s="294">
        <f>IF(
  (
    COUNTIF('Acompanhamento quinzenal'!$N:$N, A96) +
    COUNTIF('Acompanhamento quinzenal'!$T:$T, A96) +
    COUNTIF('Acompanhamento quinzenal'!$Z:$Z, A96) +
    COUNTIF('Acompanhamento quinzenal'!$AF:$AF, A96)
  ) = 0,
  "-",
  (
    IFERROR(SUMIFS('Acompanhamento quinzenal'!$P:$P, 'Acompanhamento quinzenal'!$N:$N, A96), 0) +
    IFERROR(SUMIFS('Acompanhamento quinzenal'!$V:$V, 'Acompanhamento quinzenal'!$T:$T, A96), 0) +
    IFERROR(SUMIFS('Acompanhamento quinzenal'!$AB:$AB, 'Acompanhamento quinzenal'!$Z:$Z, A96), 0) +
    IFERROR(SUMIFS('Acompanhamento quinzenal'!$AH:$AH, 'Acompanhamento quinzenal'!$AF:$AF, A96), 0)
  ) /
  (
    COUNTIF('Acompanhamento quinzenal'!$N:$N, A96) +
    COUNTIF('Acompanhamento quinzenal'!$T:$T, A96) +
    COUNTIF('Acompanhamento quinzenal'!$Z:$Z, A96) +
    COUNTIF('Acompanhamento quinzenal'!$AF:$AF, A96)
  )
)
</f>
        <v>3.6</v>
      </c>
      <c r="Y96" s="293">
        <f>IF(
  (
    COUNTIF('Acompanhamento quinzenal'!$N:$N, A96) +
    COUNTIF('Acompanhamento quinzenal'!$T:$T, A96) +
    COUNTIF('Acompanhamento quinzenal'!$Z:$Z, A96) +
    COUNTIF('Acompanhamento quinzenal'!$AF:$AF, A96)
  ) = 0,
  "-",
  (
    IFERROR(SUMIFS('Acompanhamento quinzenal'!$Q:$Q, 'Acompanhamento quinzenal'!$N:$N, A96), 0) +
    IFERROR(SUMIFS('Acompanhamento quinzenal'!$W:$W, 'Acompanhamento quinzenal'!$T:$T, A96), 0) +
    IFERROR(SUMIFS('Acompanhamento quinzenal'!$AC:$AC, 'Acompanhamento quinzenal'!$Z:$Z, A96), 0) +
    IFERROR(SUMIFS('Acompanhamento quinzenal'!$AI:$AI, 'Acompanhamento quinzenal'!$AF:$AF, A96), 0)
  ) /
  (
    COUNTIF('Acompanhamento quinzenal'!$N:$N, A96) +
    COUNTIF('Acompanhamento quinzenal'!$T:$T, A96) +
    COUNTIF('Acompanhamento quinzenal'!$Z:$Z, A96) +
    COUNTIF('Acompanhamento quinzenal'!$AF:$AF, A96)
  )
)
</f>
        <v>3.3</v>
      </c>
    </row>
    <row r="97">
      <c r="A97" s="291" t="str">
        <f>IFERROR(__xludf.DUMMYFUNCTION("""COMPUTED_VALUE"""),"jose.lyra")</f>
        <v>jose.lyra</v>
      </c>
      <c r="B97" s="120" t="str">
        <f>IFERROR(__xludf.DUMMYFUNCTION("""COMPUTED_VALUE"""),"Trainee")</f>
        <v>Trainee</v>
      </c>
      <c r="C97" s="120" t="str">
        <f>IFERROR(__xludf.DUMMYFUNCTION("""COMPUTED_VALUE"""),"NDados")</f>
        <v>NDados</v>
      </c>
      <c r="D97" s="292" t="str">
        <f>IFERROR((COUNTIFS(Base!$V:$V,A97,Base!$S:$S,"&gt;8") - COUNTIFS(Base!$V:$V,A97,Base!$S:$S,"&lt;7"))/COUNTIFS(Base!$V:$V,A97,Base!$S:$S,"&lt;&gt;"),"-")</f>
        <v>-</v>
      </c>
      <c r="E97" s="292" t="str">
        <f>IF(
  (
    COUNTIFS(Base!$W:$W, A97, Base!$S:$S, "&lt;&gt;") +
    COUNTIFS(Base!$X:$X, A97, Base!$S:$S, "&lt;&gt;") +
    COUNTIFS(Base!$Y:$Y, A97, Base!$S:$S, "&lt;&gt;") +
    COUNTIFS(Base!$Z:$Z, A97, Base!$S:$S, "&lt;&gt;")
  ) = 0,
  "-",
  (
    COUNTIFS(Base!$W:$W, A97, Base!$S:$S, "&gt;8") - COUNTIFS(Base!$W:$W, A97, Base!$S:$S, "&lt;7") +
    COUNTIFS(Base!$X:$X, A97, Base!$S:$S, "&gt;8") - COUNTIFS(Base!$X:$X, A97, Base!$S:$S, "&lt;7") +
    COUNTIFS(Base!$Y:$Y, A97, Base!$S:$S, "&gt;8") - COUNTIFS(Base!$Y:$Y, A97, Base!$S:$S, "&lt;7") +
    COUNTIFS(Base!$Z:$Z, A97, Base!$S:$S, "&gt;8") - COUNTIFS(Base!$Z:$Z, A97, Base!$S:$S, "&lt;7")
  ) /
  (
    COUNTIFS(Base!$W:$W, A97, Base!$S:$S, "&lt;&gt;") +
    COUNTIFS(Base!$X:$X, A97, Base!$S:$S, "&lt;&gt;") +
    COUNTIFS(Base!$Y:$Y, A97, Base!$S:$S, "&lt;&gt;") +
    COUNTIFS(Base!$Z:$Z, A97, Base!$S:$S, "&lt;&gt;")
  )
)
</f>
        <v>-</v>
      </c>
      <c r="F97" s="290">
        <f>SUMIFS(Base!$N:$N,Base!$V:$V,A97,Base!$N:$N,"&lt;&gt;")-SUMIFS(Base!$K:$K,Base!$V:$V,A97,Base!$N:$N,"&lt;&gt;")-(SUMIFS(Base!$L:$L,Base!$V:$V,A97,Base!$N:$N,"&lt;&gt;")*7)</f>
        <v>0</v>
      </c>
      <c r="G97" s="290">
        <f>SUMIFS(Base!$N:$N,Base!$W:$W,A97,Base!$N:$N,"&lt;&gt;")-SUMIFS(Base!$K:$K,Base!$W:$W,A97,Base!$N:$N,"&lt;&gt;")-(SUMIFS(Base!$L:$L,Base!$W:$W,A97,Base!$N:$N,"&lt;&gt;")*7)</f>
        <v>0</v>
      </c>
      <c r="H97" s="290">
        <f>SUMIFS(Base!$F:$F,Base!$V:$V,A97,Base!$N:$N,"&lt;&gt;")*7</f>
        <v>0</v>
      </c>
      <c r="I97" s="290">
        <f>SUMIFS(Base!$F:$F,Base!$W:$W,A97,Base!$N:$N,"&lt;&gt;")*7</f>
        <v>0</v>
      </c>
      <c r="J97" s="292" t="str">
        <f t="shared" ref="J97:K97" si="98">IFERROR(F97/H97,"-")</f>
        <v>-</v>
      </c>
      <c r="K97" s="292" t="str">
        <f t="shared" si="98"/>
        <v>-</v>
      </c>
      <c r="L97" s="292" t="str">
        <f>IFERROR((COUNTIFS(Base!$V:$V,A97,Base!$U:$U,TRUE))/(COUNTIFS(Base!$V:$V,A97,Base!$O:$O,"Finalizado")+COUNTIFS(Base!$V:$V,A97,Base!$O:$O,"Concluído")),"-")</f>
        <v>-</v>
      </c>
      <c r="M97" s="292" t="str">
        <f>IF(
  (
    IFERROR(COUNTIF(Base!$W:$W, A97), 0) +
    IFERROR(COUNTIF(Base!$X:$X, A97), 0) +
    IFERROR(COUNTIF(Base!$Y:$Y, A97), 0) +
    IFERROR(COUNTIF(Base!$Z:$Z, A97), 0)
  ) = 0,
  "-",
  IF(
    (
      IFERROR(COUNTIFS(Base!$W:$W, A97, Base!$O:$O, "Finalizado"), 0) +
      IFERROR(COUNTIFS(Base!$W:$W, A97, Base!$O:$O, "Concluído"), 0) +
      IFERROR(COUNTIFS(Base!$X:$X, A97, Base!$O:$O, "Finalizado"), 0) +
      IFERROR(COUNTIFS(Base!$X:$X, A97, Base!$O:$O, "Concluído"), 0) +
      IFERROR(COUNTIFS(Base!$Y:$Y, A97, Base!$O:$O, "Finalizado"), 0) +
      IFERROR(COUNTIFS(Base!$Y:$Y, A97, Base!$O:$O, "Concluído"), 0) +
      IFERROR(COUNTIFS(Base!$Z:$Z, A97, Base!$O:$O, "Finalizado"), 0) +
      IFERROR(COUNTIFS(Base!$Z:$Z, A97, Base!$O:$O, "Concluído"), 0)
    ) = 0,
    "-",
    (
      IFERROR(COUNTIFS(Base!$W:$W, A97, Base!$U:$U, TRUE), 0) +
      IFERROR(COUNTIFS(Base!$X:$X, A97, Base!$U:$U, TRUE), 0) +
      IFERROR(COUNTIFS(Base!$Y:$Y, A97, Base!$U:$U, TRUE), 0) +
      IFERROR(COUNTIFS(Base!$Z:$Z, A97, Base!$U:$U, TRUE), 0)
    ) /
    (
      IFERROR(COUNTIFS(Base!$W:$W, A97, Base!$O:$O, "Finalizado"), 0) +
      IFERROR(COUNTIFS(Base!$W:$W, A97, Base!$O:$O, "Concluído"), 0) +
      IFERROR(COUNTIFS(Base!$X:$X, A97, Base!$O:$O, "Finalizado"), 0) +
      IFERROR(COUNTIFS(Base!$X:$X, A97, Base!$O:$O, "Concluído"), 0) +
      IFERROR(COUNTIFS(Base!$Y:$Y, A97, Base!$O:$O, "Finalizado"), 0) +
      IFERROR(COUNTIFS(Base!$Y:$Y, A97, Base!$O:$O, "Concluído"), 0) +
      IFERROR(COUNTIFS(Base!$Z:$Z, A97, Base!$O:$O, "Finalizado"), 0) +
      IFERROR(COUNTIFS(Base!$Z:$Z, A97, Base!$O:$O, "Concluído"), 0)
    )
  )
)
</f>
        <v>-</v>
      </c>
      <c r="N97" s="120">
        <f>COUNTIF(Base!V:V,$A97)</f>
        <v>0</v>
      </c>
      <c r="O97" s="120">
        <f>COUNTIF(Base!W:W,$A97)</f>
        <v>1</v>
      </c>
      <c r="P97" s="120">
        <f>COUNTIF(Base!X:X,$A97)</f>
        <v>0</v>
      </c>
      <c r="Q97" s="120">
        <f>COUNTIF(Base!Y:Y,$A97)</f>
        <v>0</v>
      </c>
      <c r="R97" s="120">
        <f>COUNTIF(Base!Z:Z,$A97)</f>
        <v>0</v>
      </c>
      <c r="S97" s="120">
        <f t="shared" si="3"/>
        <v>1</v>
      </c>
      <c r="T97" s="120">
        <f t="shared" si="4"/>
        <v>1</v>
      </c>
      <c r="V97" s="293" t="str">
        <f>IF(
  (
    COUNTIF('Acompanhamento quinzenal'!$N:$N, A97) +
    COUNTIF('Acompanhamento quinzenal'!$T:$T, A97) +
    COUNTIF('Acompanhamento quinzenal'!$Z:$Z, A97) +
    COUNTIF('Acompanhamento quinzenal'!$AF:$AF, A97)
  ) = 0,
  "-",
  (
    IFERROR(SUMIFS('Acompanhamento quinzenal'!$S:$S, 'Acompanhamento quinzenal'!$N:$N, A97), 0) +
    IFERROR(SUMIFS('Acompanhamento quinzenal'!$Y:$Y, 'Acompanhamento quinzenal'!$T:$T, A97), 0) +
    IFERROR(SUMIFS('Acompanhamento quinzenal'!$AE:$AE, 'Acompanhamento quinzenal'!$Z:$Z, A97), 0) +
    IFERROR(SUMIFS('Acompanhamento quinzenal'!$AK:$AK, 'Acompanhamento quinzenal'!$AF:$AF, A97), 0)
  ) /
  (
    COUNTIF('Acompanhamento quinzenal'!$N:$N, A97) +
    COUNTIF('Acompanhamento quinzenal'!$T:$T, A97) +
    COUNTIF('Acompanhamento quinzenal'!$Z:$Z, A97) +
    COUNTIF('Acompanhamento quinzenal'!$AF:$AF, A97)
  )
)
</f>
        <v>-</v>
      </c>
      <c r="W97" s="293" t="str">
        <f>IF(
  (
    COUNTIF('Acompanhamento quinzenal'!$N:$N, A97) +
    COUNTIF('Acompanhamento quinzenal'!$T:$T, A97) +
    COUNTIF('Acompanhamento quinzenal'!$Z:$Z, A97) +
    COUNTIF('Acompanhamento quinzenal'!$AF:$AF, A97)
  ) = 0,
  "-",
  (
    IFERROR(SUMIFS('Acompanhamento quinzenal'!$O:$O, 'Acompanhamento quinzenal'!$N:$N, A97), 0) +
    IFERROR(SUMIFS('Acompanhamento quinzenal'!$U:$U, 'Acompanhamento quinzenal'!$T:$T, A97), 0) +
    IFERROR(SUMIFS('Acompanhamento quinzenal'!$AA:$AA, 'Acompanhamento quinzenal'!$Z:$Z, A97), 0) +
    IFERROR(SUMIFS('Acompanhamento quinzenal'!$AG:$AG, 'Acompanhamento quinzenal'!$AF:$AF, A97), 0)
  ) /
  (
    COUNTIF('Acompanhamento quinzenal'!$N:$N, A97) +
    COUNTIF('Acompanhamento quinzenal'!$T:$T, A97) +
    COUNTIF('Acompanhamento quinzenal'!$Z:$Z, A97) +
    COUNTIF('Acompanhamento quinzenal'!$AF:$AF, A97)
  )
)
</f>
        <v>-</v>
      </c>
      <c r="X97" s="294" t="str">
        <f>IF(
  (
    COUNTIF('Acompanhamento quinzenal'!$N:$N, A97) +
    COUNTIF('Acompanhamento quinzenal'!$T:$T, A97) +
    COUNTIF('Acompanhamento quinzenal'!$Z:$Z, A97) +
    COUNTIF('Acompanhamento quinzenal'!$AF:$AF, A97)
  ) = 0,
  "-",
  (
    IFERROR(SUMIFS('Acompanhamento quinzenal'!$P:$P, 'Acompanhamento quinzenal'!$N:$N, A97), 0) +
    IFERROR(SUMIFS('Acompanhamento quinzenal'!$V:$V, 'Acompanhamento quinzenal'!$T:$T, A97), 0) +
    IFERROR(SUMIFS('Acompanhamento quinzenal'!$AB:$AB, 'Acompanhamento quinzenal'!$Z:$Z, A97), 0) +
    IFERROR(SUMIFS('Acompanhamento quinzenal'!$AH:$AH, 'Acompanhamento quinzenal'!$AF:$AF, A97), 0)
  ) /
  (
    COUNTIF('Acompanhamento quinzenal'!$N:$N, A97) +
    COUNTIF('Acompanhamento quinzenal'!$T:$T, A97) +
    COUNTIF('Acompanhamento quinzenal'!$Z:$Z, A97) +
    COUNTIF('Acompanhamento quinzenal'!$AF:$AF, A97)
  )
)
</f>
        <v>-</v>
      </c>
      <c r="Y97" s="293" t="str">
        <f>IF(
  (
    COUNTIF('Acompanhamento quinzenal'!$N:$N, A97) +
    COUNTIF('Acompanhamento quinzenal'!$T:$T, A97) +
    COUNTIF('Acompanhamento quinzenal'!$Z:$Z, A97) +
    COUNTIF('Acompanhamento quinzenal'!$AF:$AF, A97)
  ) = 0,
  "-",
  (
    IFERROR(SUMIFS('Acompanhamento quinzenal'!$Q:$Q, 'Acompanhamento quinzenal'!$N:$N, A97), 0) +
    IFERROR(SUMIFS('Acompanhamento quinzenal'!$W:$W, 'Acompanhamento quinzenal'!$T:$T, A97), 0) +
    IFERROR(SUMIFS('Acompanhamento quinzenal'!$AC:$AC, 'Acompanhamento quinzenal'!$Z:$Z, A97), 0) +
    IFERROR(SUMIFS('Acompanhamento quinzenal'!$AI:$AI, 'Acompanhamento quinzenal'!$AF:$AF, A97), 0)
  ) /
  (
    COUNTIF('Acompanhamento quinzenal'!$N:$N, A97) +
    COUNTIF('Acompanhamento quinzenal'!$T:$T, A97) +
    COUNTIF('Acompanhamento quinzenal'!$Z:$Z, A97) +
    COUNTIF('Acompanhamento quinzenal'!$AF:$AF, A97)
  )
)
</f>
        <v>-</v>
      </c>
    </row>
    <row r="98" hidden="1">
      <c r="A98" s="291" t="str">
        <f>IFERROR(__xludf.DUMMYFUNCTION("""COMPUTED_VALUE"""),"julia.terrigno")</f>
        <v>julia.terrigno</v>
      </c>
      <c r="B98" s="120" t="str">
        <f>IFERROR(__xludf.DUMMYFUNCTION("""COMPUTED_VALUE"""),"Gerente")</f>
        <v>Gerente</v>
      </c>
      <c r="C98" s="120" t="str">
        <f>IFERROR(__xludf.DUMMYFUNCTION("""COMPUTED_VALUE"""),"NI")</f>
        <v>NI</v>
      </c>
      <c r="D98" s="292" t="str">
        <f>IFERROR((COUNTIFS(Base!$V:$V,A98,Base!$S:$S,"&gt;8") - COUNTIFS(Base!$V:$V,A98,Base!$S:$S,"&lt;7"))/COUNTIFS(Base!$V:$V,A98,Base!$S:$S,"&lt;&gt;"),"-")</f>
        <v>-</v>
      </c>
      <c r="E98" s="292" t="str">
        <f>IF(
  (
    COUNTIFS(Base!$W:$W, A98, Base!$S:$S, "&lt;&gt;") +
    COUNTIFS(Base!$X:$X, A98, Base!$S:$S, "&lt;&gt;") +
    COUNTIFS(Base!$Y:$Y, A98, Base!$S:$S, "&lt;&gt;") +
    COUNTIFS(Base!$Z:$Z, A98, Base!$S:$S, "&lt;&gt;")
  ) = 0,
  "-",
  (
    COUNTIFS(Base!$W:$W, A98, Base!$S:$S, "&gt;8") - COUNTIFS(Base!$W:$W, A98, Base!$S:$S, "&lt;7") +
    COUNTIFS(Base!$X:$X, A98, Base!$S:$S, "&gt;8") - COUNTIFS(Base!$X:$X, A98, Base!$S:$S, "&lt;7") +
    COUNTIFS(Base!$Y:$Y, A98, Base!$S:$S, "&gt;8") - COUNTIFS(Base!$Y:$Y, A98, Base!$S:$S, "&lt;7") +
    COUNTIFS(Base!$Z:$Z, A98, Base!$S:$S, "&gt;8") - COUNTIFS(Base!$Z:$Z, A98, Base!$S:$S, "&lt;7")
  ) /
  (
    COUNTIFS(Base!$W:$W, A98, Base!$S:$S, "&lt;&gt;") +
    COUNTIFS(Base!$X:$X, A98, Base!$S:$S, "&lt;&gt;") +
    COUNTIFS(Base!$Y:$Y, A98, Base!$S:$S, "&lt;&gt;") +
    COUNTIFS(Base!$Z:$Z, A98, Base!$S:$S, "&lt;&gt;")
  )
)
</f>
        <v>-</v>
      </c>
      <c r="F98" s="290">
        <f>SUMIFS(Base!$N:$N,Base!$V:$V,A98,Base!$N:$N,"&lt;&gt;")-SUMIFS(Base!$K:$K,Base!$V:$V,A98,Base!$N:$N,"&lt;&gt;")-(SUMIFS(Base!$L:$L,Base!$V:$V,A98,Base!$N:$N,"&lt;&gt;")*7)</f>
        <v>0</v>
      </c>
      <c r="G98" s="290"/>
      <c r="H98" s="290">
        <f>SUMIFS(Base!$F:$F,Base!$V:$V,A98,Base!$N:$N,"&lt;&gt;")*7</f>
        <v>0</v>
      </c>
      <c r="I98" s="290"/>
      <c r="J98" s="292" t="str">
        <f t="shared" ref="J98:K98" si="99">IFERROR(F98/H98,"-")</f>
        <v>-</v>
      </c>
      <c r="K98" s="292" t="str">
        <f t="shared" si="99"/>
        <v>-</v>
      </c>
      <c r="L98" s="292" t="str">
        <f>IFERROR((COUNTIFS(Base!$V:$V,A98,Base!$U:$U,TRUE))/(COUNTIFS(Base!$V:$V,A98,Base!$O:$O,"Finalizado")+COUNTIFS(Base!$V:$V,A98,Base!$O:$O,"Concluído")),"-")</f>
        <v>-</v>
      </c>
      <c r="M98" s="292" t="str">
        <f>IF(
  (
    IFERROR(COUNTIF(Base!$W:$W, A98), 0) +
    IFERROR(COUNTIF(Base!$X:$X, A98), 0) +
    IFERROR(COUNTIF(Base!$Y:$Y, A98), 0) +
    IFERROR(COUNTIF(Base!$Z:$Z, A98), 0)
  ) = 0,
  "-",
  IF(
    (
      IFERROR(COUNTIFS(Base!$W:$W, A98, Base!$O:$O, "Finalizado"), 0) +
      IFERROR(COUNTIFS(Base!$W:$W, A98, Base!$O:$O, "Concluído"), 0) +
      IFERROR(COUNTIFS(Base!$X:$X, A98, Base!$O:$O, "Finalizado"), 0) +
      IFERROR(COUNTIFS(Base!$X:$X, A98, Base!$O:$O, "Concluído"), 0) +
      IFERROR(COUNTIFS(Base!$Y:$Y, A98, Base!$O:$O, "Finalizado"), 0) +
      IFERROR(COUNTIFS(Base!$Y:$Y, A98, Base!$O:$O, "Concluído"), 0) +
      IFERROR(COUNTIFS(Base!$Z:$Z, A98, Base!$O:$O, "Finalizado"), 0) +
      IFERROR(COUNTIFS(Base!$Z:$Z, A98, Base!$O:$O, "Concluído"), 0)
    ) = 0,
    "-",
    (
      IFERROR(COUNTIFS(Base!$W:$W, A98, Base!$U:$U, TRUE), 0) +
      IFERROR(COUNTIFS(Base!$X:$X, A98, Base!$U:$U, TRUE), 0) +
      IFERROR(COUNTIFS(Base!$Y:$Y, A98, Base!$U:$U, TRUE), 0) +
      IFERROR(COUNTIFS(Base!$Z:$Z, A98, Base!$U:$U, TRUE), 0)
    ) /
    (
      IFERROR(COUNTIFS(Base!$W:$W, A98, Base!$O:$O, "Finalizado"), 0) +
      IFERROR(COUNTIFS(Base!$W:$W, A98, Base!$O:$O, "Concluído"), 0) +
      IFERROR(COUNTIFS(Base!$X:$X, A98, Base!$O:$O, "Finalizado"), 0) +
      IFERROR(COUNTIFS(Base!$X:$X, A98, Base!$O:$O, "Concluído"), 0) +
      IFERROR(COUNTIFS(Base!$Y:$Y, A98, Base!$O:$O, "Finalizado"), 0) +
      IFERROR(COUNTIFS(Base!$Y:$Y, A98, Base!$O:$O, "Concluído"), 0) +
      IFERROR(COUNTIFS(Base!$Z:$Z, A98, Base!$O:$O, "Finalizado"), 0) +
      IFERROR(COUNTIFS(Base!$Z:$Z, A98, Base!$O:$O, "Concluído"), 0)
    )
  )
)
</f>
        <v>-</v>
      </c>
      <c r="N98" s="120">
        <f>COUNTIF(Base!V:V,$A98)</f>
        <v>0</v>
      </c>
      <c r="O98" s="120">
        <f>COUNTIF(Base!W:W,$A98)</f>
        <v>0</v>
      </c>
      <c r="P98" s="120">
        <f>COUNTIF(Base!X:X,$A98)</f>
        <v>0</v>
      </c>
      <c r="Q98" s="120">
        <f>COUNTIF(Base!Y:Y,$A98)</f>
        <v>0</v>
      </c>
      <c r="R98" s="120">
        <f>COUNTIF(Base!Z:Z,$A98)</f>
        <v>0</v>
      </c>
      <c r="S98" s="120">
        <f t="shared" si="3"/>
        <v>0</v>
      </c>
      <c r="T98" s="120">
        <f t="shared" si="4"/>
        <v>0</v>
      </c>
      <c r="V98" s="293" t="str">
        <f>IF(
  (
    COUNTIF('Acompanhamento quinzenal'!$N:$N, A98) +
    COUNTIF('Acompanhamento quinzenal'!$T:$T, A98) +
    COUNTIF('Acompanhamento quinzenal'!$Z:$Z, A98) +
    COUNTIF('Acompanhamento quinzenal'!$AF:$AF, A98)
  ) = 0,
  "-",
  (
    IFERROR(SUMIFS('Acompanhamento quinzenal'!$S:$S, 'Acompanhamento quinzenal'!$N:$N, A98), 0) +
    IFERROR(SUMIFS('Acompanhamento quinzenal'!$Y:$Y, 'Acompanhamento quinzenal'!$T:$T, A98), 0) +
    IFERROR(SUMIFS('Acompanhamento quinzenal'!$AE:$AE, 'Acompanhamento quinzenal'!$Z:$Z, A98), 0) +
    IFERROR(SUMIFS('Acompanhamento quinzenal'!$AK:$AK, 'Acompanhamento quinzenal'!$AF:$AF, A98), 0)
  ) /
  (
    COUNTIF('Acompanhamento quinzenal'!$N:$N, A98) +
    COUNTIF('Acompanhamento quinzenal'!$T:$T, A98) +
    COUNTIF('Acompanhamento quinzenal'!$Z:$Z, A98) +
    COUNTIF('Acompanhamento quinzenal'!$AF:$AF, A98)
  )
)
</f>
        <v>-</v>
      </c>
      <c r="W98" s="293" t="str">
        <f>IF(
  (
    COUNTIF('Acompanhamento quinzenal'!$N:$N, A98) +
    COUNTIF('Acompanhamento quinzenal'!$T:$T, A98) +
    COUNTIF('Acompanhamento quinzenal'!$Z:$Z, A98) +
    COUNTIF('Acompanhamento quinzenal'!$AF:$AF, A98)
  ) = 0,
  "-",
  (
    IFERROR(SUMIFS('Acompanhamento quinzenal'!$O:$O, 'Acompanhamento quinzenal'!$N:$N, A98), 0) +
    IFERROR(SUMIFS('Acompanhamento quinzenal'!$U:$U, 'Acompanhamento quinzenal'!$T:$T, A98), 0) +
    IFERROR(SUMIFS('Acompanhamento quinzenal'!$AA:$AA, 'Acompanhamento quinzenal'!$Z:$Z, A98), 0) +
    IFERROR(SUMIFS('Acompanhamento quinzenal'!$AG:$AG, 'Acompanhamento quinzenal'!$AF:$AF, A98), 0)
  ) /
  (
    COUNTIF('Acompanhamento quinzenal'!$N:$N, A98) +
    COUNTIF('Acompanhamento quinzenal'!$T:$T, A98) +
    COUNTIF('Acompanhamento quinzenal'!$Z:$Z, A98) +
    COUNTIF('Acompanhamento quinzenal'!$AF:$AF, A98)
  )
)
</f>
        <v>-</v>
      </c>
      <c r="X98" s="294" t="str">
        <f>IF(
  (
    COUNTIF('Acompanhamento quinzenal'!$N:$N, A98) +
    COUNTIF('Acompanhamento quinzenal'!$T:$T, A98) +
    COUNTIF('Acompanhamento quinzenal'!$Z:$Z, A98) +
    COUNTIF('Acompanhamento quinzenal'!$AF:$AF, A98)
  ) = 0,
  "-",
  (
    IFERROR(SUMIFS('Acompanhamento quinzenal'!$P:$P, 'Acompanhamento quinzenal'!$N:$N, A98), 0) +
    IFERROR(SUMIFS('Acompanhamento quinzenal'!$V:$V, 'Acompanhamento quinzenal'!$T:$T, A98), 0) +
    IFERROR(SUMIFS('Acompanhamento quinzenal'!$AB:$AB, 'Acompanhamento quinzenal'!$Z:$Z, A98), 0) +
    IFERROR(SUMIFS('Acompanhamento quinzenal'!$AH:$AH, 'Acompanhamento quinzenal'!$AF:$AF, A98), 0)
  ) /
  (
    COUNTIF('Acompanhamento quinzenal'!$N:$N, A98) +
    COUNTIF('Acompanhamento quinzenal'!$T:$T, A98) +
    COUNTIF('Acompanhamento quinzenal'!$Z:$Z, A98) +
    COUNTIF('Acompanhamento quinzenal'!$AF:$AF, A98)
  )
)
</f>
        <v>-</v>
      </c>
      <c r="Y98" s="293" t="str">
        <f>IF(
  (
    COUNTIF('Acompanhamento quinzenal'!$N:$N, A98) +
    COUNTIF('Acompanhamento quinzenal'!$T:$T, A98) +
    COUNTIF('Acompanhamento quinzenal'!$Z:$Z, A98) +
    COUNTIF('Acompanhamento quinzenal'!$AF:$AF, A98)
  ) = 0,
  "-",
  (
    IFERROR(SUMIFS('Acompanhamento quinzenal'!$Q:$Q, 'Acompanhamento quinzenal'!$N:$N, A98), 0) +
    IFERROR(SUMIFS('Acompanhamento quinzenal'!$W:$W, 'Acompanhamento quinzenal'!$T:$T, A98), 0) +
    IFERROR(SUMIFS('Acompanhamento quinzenal'!$AC:$AC, 'Acompanhamento quinzenal'!$Z:$Z, A98), 0) +
    IFERROR(SUMIFS('Acompanhamento quinzenal'!$AI:$AI, 'Acompanhamento quinzenal'!$AF:$AF, A98), 0)
  ) /
  (
    COUNTIF('Acompanhamento quinzenal'!$N:$N, A98) +
    COUNTIF('Acompanhamento quinzenal'!$T:$T, A98) +
    COUNTIF('Acompanhamento quinzenal'!$Z:$Z, A98) +
    COUNTIF('Acompanhamento quinzenal'!$AF:$AF, A98)
  )
)
</f>
        <v>-</v>
      </c>
    </row>
    <row r="99">
      <c r="A99" s="291" t="str">
        <f>IFERROR(__xludf.DUMMYFUNCTION("""COMPUTED_VALUE"""),"julia.romero")</f>
        <v>julia.romero</v>
      </c>
      <c r="B99" s="120" t="str">
        <f>IFERROR(__xludf.DUMMYFUNCTION("""COMPUTED_VALUE"""),"Trainee")</f>
        <v>Trainee</v>
      </c>
      <c r="C99" s="120" t="str">
        <f>IFERROR(__xludf.DUMMYFUNCTION("""COMPUTED_VALUE"""),"NDados")</f>
        <v>NDados</v>
      </c>
      <c r="D99" s="292" t="str">
        <f>IFERROR((COUNTIFS(Base!$V:$V,A99,Base!$S:$S,"&gt;8") - COUNTIFS(Base!$V:$V,A99,Base!$S:$S,"&lt;7"))/COUNTIFS(Base!$V:$V,A99,Base!$S:$S,"&lt;&gt;"),"-")</f>
        <v>-</v>
      </c>
      <c r="E99" s="292" t="str">
        <f>IF(
  (
    COUNTIFS(Base!$W:$W, A99, Base!$S:$S, "&lt;&gt;") +
    COUNTIFS(Base!$X:$X, A99, Base!$S:$S, "&lt;&gt;") +
    COUNTIFS(Base!$Y:$Y, A99, Base!$S:$S, "&lt;&gt;") +
    COUNTIFS(Base!$Z:$Z, A99, Base!$S:$S, "&lt;&gt;")
  ) = 0,
  "-",
  (
    COUNTIFS(Base!$W:$W, A99, Base!$S:$S, "&gt;8") - COUNTIFS(Base!$W:$W, A99, Base!$S:$S, "&lt;7") +
    COUNTIFS(Base!$X:$X, A99, Base!$S:$S, "&gt;8") - COUNTIFS(Base!$X:$X, A99, Base!$S:$S, "&lt;7") +
    COUNTIFS(Base!$Y:$Y, A99, Base!$S:$S, "&gt;8") - COUNTIFS(Base!$Y:$Y, A99, Base!$S:$S, "&lt;7") +
    COUNTIFS(Base!$Z:$Z, A99, Base!$S:$S, "&gt;8") - COUNTIFS(Base!$Z:$Z, A99, Base!$S:$S, "&lt;7")
  ) /
  (
    COUNTIFS(Base!$W:$W, A99, Base!$S:$S, "&lt;&gt;") +
    COUNTIFS(Base!$X:$X, A99, Base!$S:$S, "&lt;&gt;") +
    COUNTIFS(Base!$Y:$Y, A99, Base!$S:$S, "&lt;&gt;") +
    COUNTIFS(Base!$Z:$Z, A99, Base!$S:$S, "&lt;&gt;")
  )
)
</f>
        <v>-</v>
      </c>
      <c r="F99" s="290">
        <f>SUMIFS(Base!$N:$N,Base!$V:$V,A99,Base!$N:$N,"&lt;&gt;")-SUMIFS(Base!$K:$K,Base!$V:$V,A99,Base!$N:$N,"&lt;&gt;")-(SUMIFS(Base!$L:$L,Base!$V:$V,A99,Base!$N:$N,"&lt;&gt;")*7)</f>
        <v>0</v>
      </c>
      <c r="G99" s="290"/>
      <c r="H99" s="290">
        <f>SUMIFS(Base!$F:$F,Base!$V:$V,A99,Base!$N:$N,"&lt;&gt;")*7</f>
        <v>0</v>
      </c>
      <c r="I99" s="290"/>
      <c r="J99" s="292" t="str">
        <f t="shared" ref="J99:K99" si="100">IFERROR(F99/H99,"-")</f>
        <v>-</v>
      </c>
      <c r="K99" s="292" t="str">
        <f t="shared" si="100"/>
        <v>-</v>
      </c>
      <c r="L99" s="292" t="str">
        <f>IFERROR((COUNTIFS(Base!$V:$V,A99,Base!$U:$U,TRUE))/(COUNTIFS(Base!$V:$V,A99,Base!$O:$O,"Finalizado")+COUNTIFS(Base!$V:$V,A99,Base!$O:$O,"Concluído")),"-")</f>
        <v>-</v>
      </c>
      <c r="M99" s="292" t="str">
        <f>IF(
  (
    IFERROR(COUNTIF(Base!$W:$W, A99), 0) +
    IFERROR(COUNTIF(Base!$X:$X, A99), 0) +
    IFERROR(COUNTIF(Base!$Y:$Y, A99), 0) +
    IFERROR(COUNTIF(Base!$Z:$Z, A99), 0)
  ) = 0,
  "-",
  IF(
    (
      IFERROR(COUNTIFS(Base!$W:$W, A99, Base!$O:$O, "Finalizado"), 0) +
      IFERROR(COUNTIFS(Base!$W:$W, A99, Base!$O:$O, "Concluído"), 0) +
      IFERROR(COUNTIFS(Base!$X:$X, A99, Base!$O:$O, "Finalizado"), 0) +
      IFERROR(COUNTIFS(Base!$X:$X, A99, Base!$O:$O, "Concluído"), 0) +
      IFERROR(COUNTIFS(Base!$Y:$Y, A99, Base!$O:$O, "Finalizado"), 0) +
      IFERROR(COUNTIFS(Base!$Y:$Y, A99, Base!$O:$O, "Concluído"), 0) +
      IFERROR(COUNTIFS(Base!$Z:$Z, A99, Base!$O:$O, "Finalizado"), 0) +
      IFERROR(COUNTIFS(Base!$Z:$Z, A99, Base!$O:$O, "Concluído"), 0)
    ) = 0,
    "-",
    (
      IFERROR(COUNTIFS(Base!$W:$W, A99, Base!$U:$U, TRUE), 0) +
      IFERROR(COUNTIFS(Base!$X:$X, A99, Base!$U:$U, TRUE), 0) +
      IFERROR(COUNTIFS(Base!$Y:$Y, A99, Base!$U:$U, TRUE), 0) +
      IFERROR(COUNTIFS(Base!$Z:$Z, A99, Base!$U:$U, TRUE), 0)
    ) /
    (
      IFERROR(COUNTIFS(Base!$W:$W, A99, Base!$O:$O, "Finalizado"), 0) +
      IFERROR(COUNTIFS(Base!$W:$W, A99, Base!$O:$O, "Concluído"), 0) +
      IFERROR(COUNTIFS(Base!$X:$X, A99, Base!$O:$O, "Finalizado"), 0) +
      IFERROR(COUNTIFS(Base!$X:$X, A99, Base!$O:$O, "Concluído"), 0) +
      IFERROR(COUNTIFS(Base!$Y:$Y, A99, Base!$O:$O, "Finalizado"), 0) +
      IFERROR(COUNTIFS(Base!$Y:$Y, A99, Base!$O:$O, "Concluído"), 0) +
      IFERROR(COUNTIFS(Base!$Z:$Z, A99, Base!$O:$O, "Finalizado"), 0) +
      IFERROR(COUNTIFS(Base!$Z:$Z, A99, Base!$O:$O, "Concluído"), 0)
    )
  )
)
</f>
        <v>-</v>
      </c>
      <c r="N99" s="120">
        <f>COUNTIF(Base!V:V,$A99)</f>
        <v>0</v>
      </c>
      <c r="O99" s="120">
        <f>COUNTIF(Base!W:W,$A99)</f>
        <v>0</v>
      </c>
      <c r="P99" s="120">
        <f>COUNTIF(Base!X:X,$A99)</f>
        <v>2</v>
      </c>
      <c r="Q99" s="120">
        <f>COUNTIF(Base!Y:Y,$A99)</f>
        <v>0</v>
      </c>
      <c r="R99" s="120">
        <f>COUNTIF(Base!Z:Z,$A99)</f>
        <v>0</v>
      </c>
      <c r="S99" s="120">
        <f t="shared" si="3"/>
        <v>2</v>
      </c>
      <c r="T99" s="120">
        <f t="shared" si="4"/>
        <v>2</v>
      </c>
      <c r="V99" s="293">
        <f>IF(
  (
    COUNTIF('Acompanhamento quinzenal'!$N:$N, A99) +
    COUNTIF('Acompanhamento quinzenal'!$T:$T, A99) +
    COUNTIF('Acompanhamento quinzenal'!$Z:$Z, A99) +
    COUNTIF('Acompanhamento quinzenal'!$AF:$AF, A99)
  ) = 0,
  "-",
  (
    IFERROR(SUMIFS('Acompanhamento quinzenal'!$S:$S, 'Acompanhamento quinzenal'!$N:$N, A99), 0) +
    IFERROR(SUMIFS('Acompanhamento quinzenal'!$Y:$Y, 'Acompanhamento quinzenal'!$T:$T, A99), 0) +
    IFERROR(SUMIFS('Acompanhamento quinzenal'!$AE:$AE, 'Acompanhamento quinzenal'!$Z:$Z, A99), 0) +
    IFERROR(SUMIFS('Acompanhamento quinzenal'!$AK:$AK, 'Acompanhamento quinzenal'!$AF:$AF, A99), 0)
  ) /
  (
    COUNTIF('Acompanhamento quinzenal'!$N:$N, A99) +
    COUNTIF('Acompanhamento quinzenal'!$T:$T, A99) +
    COUNTIF('Acompanhamento quinzenal'!$Z:$Z, A99) +
    COUNTIF('Acompanhamento quinzenal'!$AF:$AF, A99)
  )
)
</f>
        <v>2</v>
      </c>
      <c r="W99" s="293">
        <f>IF(
  (
    COUNTIF('Acompanhamento quinzenal'!$N:$N, A99) +
    COUNTIF('Acompanhamento quinzenal'!$T:$T, A99) +
    COUNTIF('Acompanhamento quinzenal'!$Z:$Z, A99) +
    COUNTIF('Acompanhamento quinzenal'!$AF:$AF, A99)
  ) = 0,
  "-",
  (
    IFERROR(SUMIFS('Acompanhamento quinzenal'!$O:$O, 'Acompanhamento quinzenal'!$N:$N, A99), 0) +
    IFERROR(SUMIFS('Acompanhamento quinzenal'!$U:$U, 'Acompanhamento quinzenal'!$T:$T, A99), 0) +
    IFERROR(SUMIFS('Acompanhamento quinzenal'!$AA:$AA, 'Acompanhamento quinzenal'!$Z:$Z, A99), 0) +
    IFERROR(SUMIFS('Acompanhamento quinzenal'!$AG:$AG, 'Acompanhamento quinzenal'!$AF:$AF, A99), 0)
  ) /
  (
    COUNTIF('Acompanhamento quinzenal'!$N:$N, A99) +
    COUNTIF('Acompanhamento quinzenal'!$T:$T, A99) +
    COUNTIF('Acompanhamento quinzenal'!$Z:$Z, A99) +
    COUNTIF('Acompanhamento quinzenal'!$AF:$AF, A99)
  )
)
</f>
        <v>3</v>
      </c>
      <c r="X99" s="294">
        <f>IF(
  (
    COUNTIF('Acompanhamento quinzenal'!$N:$N, A99) +
    COUNTIF('Acompanhamento quinzenal'!$T:$T, A99) +
    COUNTIF('Acompanhamento quinzenal'!$Z:$Z, A99) +
    COUNTIF('Acompanhamento quinzenal'!$AF:$AF, A99)
  ) = 0,
  "-",
  (
    IFERROR(SUMIFS('Acompanhamento quinzenal'!$P:$P, 'Acompanhamento quinzenal'!$N:$N, A99), 0) +
    IFERROR(SUMIFS('Acompanhamento quinzenal'!$V:$V, 'Acompanhamento quinzenal'!$T:$T, A99), 0) +
    IFERROR(SUMIFS('Acompanhamento quinzenal'!$AB:$AB, 'Acompanhamento quinzenal'!$Z:$Z, A99), 0) +
    IFERROR(SUMIFS('Acompanhamento quinzenal'!$AH:$AH, 'Acompanhamento quinzenal'!$AF:$AF, A99), 0)
  ) /
  (
    COUNTIF('Acompanhamento quinzenal'!$N:$N, A99) +
    COUNTIF('Acompanhamento quinzenal'!$T:$T, A99) +
    COUNTIF('Acompanhamento quinzenal'!$Z:$Z, A99) +
    COUNTIF('Acompanhamento quinzenal'!$AF:$AF, A99)
  )
)
</f>
        <v>3</v>
      </c>
      <c r="Y99" s="293">
        <f>IF(
  (
    COUNTIF('Acompanhamento quinzenal'!$N:$N, A99) +
    COUNTIF('Acompanhamento quinzenal'!$T:$T, A99) +
    COUNTIF('Acompanhamento quinzenal'!$Z:$Z, A99) +
    COUNTIF('Acompanhamento quinzenal'!$AF:$AF, A99)
  ) = 0,
  "-",
  (
    IFERROR(SUMIFS('Acompanhamento quinzenal'!$Q:$Q, 'Acompanhamento quinzenal'!$N:$N, A99), 0) +
    IFERROR(SUMIFS('Acompanhamento quinzenal'!$W:$W, 'Acompanhamento quinzenal'!$T:$T, A99), 0) +
    IFERROR(SUMIFS('Acompanhamento quinzenal'!$AC:$AC, 'Acompanhamento quinzenal'!$Z:$Z, A99), 0) +
    IFERROR(SUMIFS('Acompanhamento quinzenal'!$AI:$AI, 'Acompanhamento quinzenal'!$AF:$AF, A99), 0)
  ) /
  (
    COUNTIF('Acompanhamento quinzenal'!$N:$N, A99) +
    COUNTIF('Acompanhamento quinzenal'!$T:$T, A99) +
    COUNTIF('Acompanhamento quinzenal'!$Z:$Z, A99) +
    COUNTIF('Acompanhamento quinzenal'!$AF:$AF, A99)
  )
)
</f>
        <v>3</v>
      </c>
    </row>
    <row r="100" hidden="1">
      <c r="A100" s="291" t="str">
        <f>IFERROR(__xludf.DUMMYFUNCTION("""COMPUTED_VALUE"""),"juliana.clark")</f>
        <v>juliana.clark</v>
      </c>
      <c r="B100" s="120" t="str">
        <f>IFERROR(__xludf.DUMMYFUNCTION("""COMPUTED_VALUE"""),"Consultor")</f>
        <v>Consultor</v>
      </c>
      <c r="C100" s="120" t="str">
        <f>IFERROR(__xludf.DUMMYFUNCTION("""COMPUTED_VALUE"""),"NCiv")</f>
        <v>NCiv</v>
      </c>
      <c r="D100" s="292" t="str">
        <f>IFERROR((COUNTIFS(Base!$V:$V,A100,Base!$S:$S,"&gt;8") - COUNTIFS(Base!$V:$V,A100,Base!$S:$S,"&lt;7"))/COUNTIFS(Base!$V:$V,A100,Base!$S:$S,"&lt;&gt;"),"-")</f>
        <v>-</v>
      </c>
      <c r="E100" s="292" t="str">
        <f>IF(
  (
    COUNTIFS(Base!$W:$W, A100, Base!$S:$S, "&lt;&gt;") +
    COUNTIFS(Base!$X:$X, A100, Base!$S:$S, "&lt;&gt;") +
    COUNTIFS(Base!$Y:$Y, A100, Base!$S:$S, "&lt;&gt;") +
    COUNTIFS(Base!$Z:$Z, A100, Base!$S:$S, "&lt;&gt;")
  ) = 0,
  "-",
  (
    COUNTIFS(Base!$W:$W, A100, Base!$S:$S, "&gt;8") - COUNTIFS(Base!$W:$W, A100, Base!$S:$S, "&lt;7") +
    COUNTIFS(Base!$X:$X, A100, Base!$S:$S, "&gt;8") - COUNTIFS(Base!$X:$X, A100, Base!$S:$S, "&lt;7") +
    COUNTIFS(Base!$Y:$Y, A100, Base!$S:$S, "&gt;8") - COUNTIFS(Base!$Y:$Y, A100, Base!$S:$S, "&lt;7") +
    COUNTIFS(Base!$Z:$Z, A100, Base!$S:$S, "&gt;8") - COUNTIFS(Base!$Z:$Z, A100, Base!$S:$S, "&lt;7")
  ) /
  (
    COUNTIFS(Base!$W:$W, A100, Base!$S:$S, "&lt;&gt;") +
    COUNTIFS(Base!$X:$X, A100, Base!$S:$S, "&lt;&gt;") +
    COUNTIFS(Base!$Y:$Y, A100, Base!$S:$S, "&lt;&gt;") +
    COUNTIFS(Base!$Z:$Z, A100, Base!$S:$S, "&lt;&gt;")
  )
)
</f>
        <v>-</v>
      </c>
      <c r="F100" s="290">
        <f>SUMIFS(Base!$N:$N,Base!$V:$V,A100,Base!$N:$N,"&lt;&gt;")-SUMIFS(Base!$K:$K,Base!$V:$V,A100,Base!$N:$N,"&lt;&gt;")-(SUMIFS(Base!$L:$L,Base!$V:$V,A100,Base!$N:$N,"&lt;&gt;")*7)</f>
        <v>0</v>
      </c>
      <c r="G100" s="290"/>
      <c r="H100" s="290">
        <f>SUMIFS(Base!$F:$F,Base!$V:$V,A100,Base!$N:$N,"&lt;&gt;")*7</f>
        <v>0</v>
      </c>
      <c r="I100" s="290"/>
      <c r="J100" s="292" t="str">
        <f t="shared" ref="J100:K100" si="101">IFERROR(F100/H100,"-")</f>
        <v>-</v>
      </c>
      <c r="K100" s="292" t="str">
        <f t="shared" si="101"/>
        <v>-</v>
      </c>
      <c r="L100" s="292" t="str">
        <f>IFERROR((COUNTIFS(Base!$V:$V,A100,Base!$U:$U,TRUE))/(COUNTIFS(Base!$V:$V,A100,Base!$O:$O,"Finalizado")+COUNTIFS(Base!$V:$V,A100,Base!$O:$O,"Concluído")),"-")</f>
        <v>-</v>
      </c>
      <c r="M100" s="292" t="str">
        <f>IF(
  (
    IFERROR(COUNTIF(Base!$W:$W, A100), 0) +
    IFERROR(COUNTIF(Base!$X:$X, A100), 0) +
    IFERROR(COUNTIF(Base!$Y:$Y, A100), 0) +
    IFERROR(COUNTIF(Base!$Z:$Z, A100), 0)
  ) = 0,
  "-",
  IF(
    (
      IFERROR(COUNTIFS(Base!$W:$W, A100, Base!$O:$O, "Finalizado"), 0) +
      IFERROR(COUNTIFS(Base!$W:$W, A100, Base!$O:$O, "Concluído"), 0) +
      IFERROR(COUNTIFS(Base!$X:$X, A100, Base!$O:$O, "Finalizado"), 0) +
      IFERROR(COUNTIFS(Base!$X:$X, A100, Base!$O:$O, "Concluído"), 0) +
      IFERROR(COUNTIFS(Base!$Y:$Y, A100, Base!$O:$O, "Finalizado"), 0) +
      IFERROR(COUNTIFS(Base!$Y:$Y, A100, Base!$O:$O, "Concluído"), 0) +
      IFERROR(COUNTIFS(Base!$Z:$Z, A100, Base!$O:$O, "Finalizado"), 0) +
      IFERROR(COUNTIFS(Base!$Z:$Z, A100, Base!$O:$O, "Concluído"), 0)
    ) = 0,
    "-",
    (
      IFERROR(COUNTIFS(Base!$W:$W, A100, Base!$U:$U, TRUE), 0) +
      IFERROR(COUNTIFS(Base!$X:$X, A100, Base!$U:$U, TRUE), 0) +
      IFERROR(COUNTIFS(Base!$Y:$Y, A100, Base!$U:$U, TRUE), 0) +
      IFERROR(COUNTIFS(Base!$Z:$Z, A100, Base!$U:$U, TRUE), 0)
    ) /
    (
      IFERROR(COUNTIFS(Base!$W:$W, A100, Base!$O:$O, "Finalizado"), 0) +
      IFERROR(COUNTIFS(Base!$W:$W, A100, Base!$O:$O, "Concluído"), 0) +
      IFERROR(COUNTIFS(Base!$X:$X, A100, Base!$O:$O, "Finalizado"), 0) +
      IFERROR(COUNTIFS(Base!$X:$X, A100, Base!$O:$O, "Concluído"), 0) +
      IFERROR(COUNTIFS(Base!$Y:$Y, A100, Base!$O:$O, "Finalizado"), 0) +
      IFERROR(COUNTIFS(Base!$Y:$Y, A100, Base!$O:$O, "Concluído"), 0) +
      IFERROR(COUNTIFS(Base!$Z:$Z, A100, Base!$O:$O, "Finalizado"), 0) +
      IFERROR(COUNTIFS(Base!$Z:$Z, A100, Base!$O:$O, "Concluído"), 0)
    )
  )
)
</f>
        <v>-</v>
      </c>
      <c r="N100" s="120">
        <f>COUNTIF(Base!V:V,$A100)</f>
        <v>0</v>
      </c>
      <c r="O100" s="120">
        <f>COUNTIF(Base!W:W,$A100)</f>
        <v>0</v>
      </c>
      <c r="P100" s="120">
        <f>COUNTIF(Base!X:X,$A100)</f>
        <v>0</v>
      </c>
      <c r="Q100" s="120">
        <f>COUNTIF(Base!Y:Y,$A100)</f>
        <v>1</v>
      </c>
      <c r="R100" s="120">
        <f>COUNTIF(Base!Z:Z,$A100)</f>
        <v>1</v>
      </c>
      <c r="S100" s="120">
        <f t="shared" si="3"/>
        <v>2</v>
      </c>
      <c r="T100" s="120">
        <f t="shared" si="4"/>
        <v>2</v>
      </c>
      <c r="V100" s="293">
        <f>IF(
  (
    COUNTIF('Acompanhamento quinzenal'!$N:$N, A100) +
    COUNTIF('Acompanhamento quinzenal'!$T:$T, A100) +
    COUNTIF('Acompanhamento quinzenal'!$Z:$Z, A100) +
    COUNTIF('Acompanhamento quinzenal'!$AF:$AF, A100)
  ) = 0,
  "-",
  (
    IFERROR(SUMIFS('Acompanhamento quinzenal'!$S:$S, 'Acompanhamento quinzenal'!$N:$N, A100), 0) +
    IFERROR(SUMIFS('Acompanhamento quinzenal'!$Y:$Y, 'Acompanhamento quinzenal'!$T:$T, A100), 0) +
    IFERROR(SUMIFS('Acompanhamento quinzenal'!$AE:$AE, 'Acompanhamento quinzenal'!$Z:$Z, A100), 0) +
    IFERROR(SUMIFS('Acompanhamento quinzenal'!$AK:$AK, 'Acompanhamento quinzenal'!$AF:$AF, A100), 0)
  ) /
  (
    COUNTIF('Acompanhamento quinzenal'!$N:$N, A100) +
    COUNTIF('Acompanhamento quinzenal'!$T:$T, A100) +
    COUNTIF('Acompanhamento quinzenal'!$Z:$Z, A100) +
    COUNTIF('Acompanhamento quinzenal'!$AF:$AF, A100)
  )
)
</f>
        <v>2.166666667</v>
      </c>
      <c r="W100" s="293">
        <f>IF(
  (
    COUNTIF('Acompanhamento quinzenal'!$N:$N, A100) +
    COUNTIF('Acompanhamento quinzenal'!$T:$T, A100) +
    COUNTIF('Acompanhamento quinzenal'!$Z:$Z, A100) +
    COUNTIF('Acompanhamento quinzenal'!$AF:$AF, A100)
  ) = 0,
  "-",
  (
    IFERROR(SUMIFS('Acompanhamento quinzenal'!$O:$O, 'Acompanhamento quinzenal'!$N:$N, A100), 0) +
    IFERROR(SUMIFS('Acompanhamento quinzenal'!$U:$U, 'Acompanhamento quinzenal'!$T:$T, A100), 0) +
    IFERROR(SUMIFS('Acompanhamento quinzenal'!$AA:$AA, 'Acompanhamento quinzenal'!$Z:$Z, A100), 0) +
    IFERROR(SUMIFS('Acompanhamento quinzenal'!$AG:$AG, 'Acompanhamento quinzenal'!$AF:$AF, A100), 0)
  ) /
  (
    COUNTIF('Acompanhamento quinzenal'!$N:$N, A100) +
    COUNTIF('Acompanhamento quinzenal'!$T:$T, A100) +
    COUNTIF('Acompanhamento quinzenal'!$Z:$Z, A100) +
    COUNTIF('Acompanhamento quinzenal'!$AF:$AF, A100)
  )
)
</f>
        <v>2.833333333</v>
      </c>
      <c r="X100" s="294">
        <f>IF(
  (
    COUNTIF('Acompanhamento quinzenal'!$N:$N, A100) +
    COUNTIF('Acompanhamento quinzenal'!$T:$T, A100) +
    COUNTIF('Acompanhamento quinzenal'!$Z:$Z, A100) +
    COUNTIF('Acompanhamento quinzenal'!$AF:$AF, A100)
  ) = 0,
  "-",
  (
    IFERROR(SUMIFS('Acompanhamento quinzenal'!$P:$P, 'Acompanhamento quinzenal'!$N:$N, A100), 0) +
    IFERROR(SUMIFS('Acompanhamento quinzenal'!$V:$V, 'Acompanhamento quinzenal'!$T:$T, A100), 0) +
    IFERROR(SUMIFS('Acompanhamento quinzenal'!$AB:$AB, 'Acompanhamento quinzenal'!$Z:$Z, A100), 0) +
    IFERROR(SUMIFS('Acompanhamento quinzenal'!$AH:$AH, 'Acompanhamento quinzenal'!$AF:$AF, A100), 0)
  ) /
  (
    COUNTIF('Acompanhamento quinzenal'!$N:$N, A100) +
    COUNTIF('Acompanhamento quinzenal'!$T:$T, A100) +
    COUNTIF('Acompanhamento quinzenal'!$Z:$Z, A100) +
    COUNTIF('Acompanhamento quinzenal'!$AF:$AF, A100)
  )
)
</f>
        <v>2</v>
      </c>
      <c r="Y100" s="293">
        <f>IF(
  (
    COUNTIF('Acompanhamento quinzenal'!$N:$N, A100) +
    COUNTIF('Acompanhamento quinzenal'!$T:$T, A100) +
    COUNTIF('Acompanhamento quinzenal'!$Z:$Z, A100) +
    COUNTIF('Acompanhamento quinzenal'!$AF:$AF, A100)
  ) = 0,
  "-",
  (
    IFERROR(SUMIFS('Acompanhamento quinzenal'!$Q:$Q, 'Acompanhamento quinzenal'!$N:$N, A100), 0) +
    IFERROR(SUMIFS('Acompanhamento quinzenal'!$W:$W, 'Acompanhamento quinzenal'!$T:$T, A100), 0) +
    IFERROR(SUMIFS('Acompanhamento quinzenal'!$AC:$AC, 'Acompanhamento quinzenal'!$Z:$Z, A100), 0) +
    IFERROR(SUMIFS('Acompanhamento quinzenal'!$AI:$AI, 'Acompanhamento quinzenal'!$AF:$AF, A100), 0)
  ) /
  (
    COUNTIF('Acompanhamento quinzenal'!$N:$N, A100) +
    COUNTIF('Acompanhamento quinzenal'!$T:$T, A100) +
    COUNTIF('Acompanhamento quinzenal'!$Z:$Z, A100) +
    COUNTIF('Acompanhamento quinzenal'!$AF:$AF, A100)
  )
)
</f>
        <v>2.666666667</v>
      </c>
    </row>
    <row r="101" hidden="1">
      <c r="A101" s="291" t="str">
        <f>IFERROR(__xludf.DUMMYFUNCTION("""COMPUTED_VALUE"""),"kamila.freitas ")</f>
        <v>kamila.freitas </v>
      </c>
      <c r="B101" s="120" t="str">
        <f>IFERROR(__xludf.DUMMYFUNCTION("""COMPUTED_VALUE"""),"Trainee")</f>
        <v>Trainee</v>
      </c>
      <c r="C101" s="120" t="str">
        <f>IFERROR(__xludf.DUMMYFUNCTION("""COMPUTED_VALUE"""),"NCiv")</f>
        <v>NCiv</v>
      </c>
      <c r="D101" s="292" t="str">
        <f>IFERROR((COUNTIFS(Base!$V:$V,A101,Base!$S:$S,"&gt;8") - COUNTIFS(Base!$V:$V,A101,Base!$S:$S,"&lt;7"))/COUNTIFS(Base!$V:$V,A101,Base!$S:$S,"&lt;&gt;"),"-")</f>
        <v>-</v>
      </c>
      <c r="E101" s="292" t="str">
        <f>IF(
  (
    COUNTIFS(Base!$W:$W, A101, Base!$S:$S, "&lt;&gt;") +
    COUNTIFS(Base!$X:$X, A101, Base!$S:$S, "&lt;&gt;") +
    COUNTIFS(Base!$Y:$Y, A101, Base!$S:$S, "&lt;&gt;") +
    COUNTIFS(Base!$Z:$Z, A101, Base!$S:$S, "&lt;&gt;")
  ) = 0,
  "-",
  (
    COUNTIFS(Base!$W:$W, A101, Base!$S:$S, "&gt;8") - COUNTIFS(Base!$W:$W, A101, Base!$S:$S, "&lt;7") +
    COUNTIFS(Base!$X:$X, A101, Base!$S:$S, "&gt;8") - COUNTIFS(Base!$X:$X, A101, Base!$S:$S, "&lt;7") +
    COUNTIFS(Base!$Y:$Y, A101, Base!$S:$S, "&gt;8") - COUNTIFS(Base!$Y:$Y, A101, Base!$S:$S, "&lt;7") +
    COUNTIFS(Base!$Z:$Z, A101, Base!$S:$S, "&gt;8") - COUNTIFS(Base!$Z:$Z, A101, Base!$S:$S, "&lt;7")
  ) /
  (
    COUNTIFS(Base!$W:$W, A101, Base!$S:$S, "&lt;&gt;") +
    COUNTIFS(Base!$X:$X, A101, Base!$S:$S, "&lt;&gt;") +
    COUNTIFS(Base!$Y:$Y, A101, Base!$S:$S, "&lt;&gt;") +
    COUNTIFS(Base!$Z:$Z, A101, Base!$S:$S, "&lt;&gt;")
  )
)
</f>
        <v>-</v>
      </c>
      <c r="F101" s="290">
        <f>SUMIFS(Base!$N:$N,Base!$V:$V,A101,Base!$N:$N,"&lt;&gt;")-SUMIFS(Base!$K:$K,Base!$V:$V,A101,Base!$N:$N,"&lt;&gt;")-(SUMIFS(Base!$L:$L,Base!$V:$V,A101,Base!$N:$N,"&lt;&gt;")*7)</f>
        <v>0</v>
      </c>
      <c r="G101" s="290"/>
      <c r="H101" s="290">
        <f>SUMIFS(Base!$F:$F,Base!$V:$V,A101,Base!$N:$N,"&lt;&gt;")*7</f>
        <v>0</v>
      </c>
      <c r="I101" s="290"/>
      <c r="J101" s="292" t="str">
        <f t="shared" ref="J101:K101" si="102">IFERROR(F101/H101,"-")</f>
        <v>-</v>
      </c>
      <c r="K101" s="292" t="str">
        <f t="shared" si="102"/>
        <v>-</v>
      </c>
      <c r="L101" s="292" t="str">
        <f>IFERROR((COUNTIFS(Base!$V:$V,A101,Base!$U:$U,TRUE))/(COUNTIFS(Base!$V:$V,A101,Base!$O:$O,"Finalizado")+COUNTIFS(Base!$V:$V,A101,Base!$O:$O,"Concluído")),"-")</f>
        <v>-</v>
      </c>
      <c r="M101" s="292" t="str">
        <f>IF(
  (
    IFERROR(COUNTIF(Base!$W:$W, A101), 0) +
    IFERROR(COUNTIF(Base!$X:$X, A101), 0) +
    IFERROR(COUNTIF(Base!$Y:$Y, A101), 0) +
    IFERROR(COUNTIF(Base!$Z:$Z, A101), 0)
  ) = 0,
  "-",
  IF(
    (
      IFERROR(COUNTIFS(Base!$W:$W, A101, Base!$O:$O, "Finalizado"), 0) +
      IFERROR(COUNTIFS(Base!$W:$W, A101, Base!$O:$O, "Concluído"), 0) +
      IFERROR(COUNTIFS(Base!$X:$X, A101, Base!$O:$O, "Finalizado"), 0) +
      IFERROR(COUNTIFS(Base!$X:$X, A101, Base!$O:$O, "Concluído"), 0) +
      IFERROR(COUNTIFS(Base!$Y:$Y, A101, Base!$O:$O, "Finalizado"), 0) +
      IFERROR(COUNTIFS(Base!$Y:$Y, A101, Base!$O:$O, "Concluído"), 0) +
      IFERROR(COUNTIFS(Base!$Z:$Z, A101, Base!$O:$O, "Finalizado"), 0) +
      IFERROR(COUNTIFS(Base!$Z:$Z, A101, Base!$O:$O, "Concluído"), 0)
    ) = 0,
    "-",
    (
      IFERROR(COUNTIFS(Base!$W:$W, A101, Base!$U:$U, TRUE), 0) +
      IFERROR(COUNTIFS(Base!$X:$X, A101, Base!$U:$U, TRUE), 0) +
      IFERROR(COUNTIFS(Base!$Y:$Y, A101, Base!$U:$U, TRUE), 0) +
      IFERROR(COUNTIFS(Base!$Z:$Z, A101, Base!$U:$U, TRUE), 0)
    ) /
    (
      IFERROR(COUNTIFS(Base!$W:$W, A101, Base!$O:$O, "Finalizado"), 0) +
      IFERROR(COUNTIFS(Base!$W:$W, A101, Base!$O:$O, "Concluído"), 0) +
      IFERROR(COUNTIFS(Base!$X:$X, A101, Base!$O:$O, "Finalizado"), 0) +
      IFERROR(COUNTIFS(Base!$X:$X, A101, Base!$O:$O, "Concluído"), 0) +
      IFERROR(COUNTIFS(Base!$Y:$Y, A101, Base!$O:$O, "Finalizado"), 0) +
      IFERROR(COUNTIFS(Base!$Y:$Y, A101, Base!$O:$O, "Concluído"), 0) +
      IFERROR(COUNTIFS(Base!$Z:$Z, A101, Base!$O:$O, "Finalizado"), 0) +
      IFERROR(COUNTIFS(Base!$Z:$Z, A101, Base!$O:$O, "Concluído"), 0)
    )
  )
)
</f>
        <v>-</v>
      </c>
      <c r="N101" s="120">
        <f>COUNTIF(Base!V:V,$A101)</f>
        <v>0</v>
      </c>
      <c r="O101" s="120">
        <f>COUNTIF(Base!W:W,$A101)</f>
        <v>0</v>
      </c>
      <c r="P101" s="120">
        <f>COUNTIF(Base!X:X,$A101)</f>
        <v>0</v>
      </c>
      <c r="Q101" s="120">
        <f>COUNTIF(Base!Y:Y,$A101)</f>
        <v>0</v>
      </c>
      <c r="R101" s="120">
        <f>COUNTIF(Base!Z:Z,$A101)</f>
        <v>0</v>
      </c>
      <c r="S101" s="120">
        <f t="shared" si="3"/>
        <v>0</v>
      </c>
      <c r="T101" s="120">
        <f t="shared" si="4"/>
        <v>0</v>
      </c>
      <c r="V101" s="293" t="str">
        <f>IF(
  (
    COUNTIF('Acompanhamento quinzenal'!$N:$N, A101) +
    COUNTIF('Acompanhamento quinzenal'!$T:$T, A101) +
    COUNTIF('Acompanhamento quinzenal'!$Z:$Z, A101) +
    COUNTIF('Acompanhamento quinzenal'!$AF:$AF, A101)
  ) = 0,
  "-",
  (
    IFERROR(SUMIFS('Acompanhamento quinzenal'!$S:$S, 'Acompanhamento quinzenal'!$N:$N, A101), 0) +
    IFERROR(SUMIFS('Acompanhamento quinzenal'!$Y:$Y, 'Acompanhamento quinzenal'!$T:$T, A101), 0) +
    IFERROR(SUMIFS('Acompanhamento quinzenal'!$AE:$AE, 'Acompanhamento quinzenal'!$Z:$Z, A101), 0) +
    IFERROR(SUMIFS('Acompanhamento quinzenal'!$AK:$AK, 'Acompanhamento quinzenal'!$AF:$AF, A101), 0)
  ) /
  (
    COUNTIF('Acompanhamento quinzenal'!$N:$N, A101) +
    COUNTIF('Acompanhamento quinzenal'!$T:$T, A101) +
    COUNTIF('Acompanhamento quinzenal'!$Z:$Z, A101) +
    COUNTIF('Acompanhamento quinzenal'!$AF:$AF, A101)
  )
)
</f>
        <v>-</v>
      </c>
      <c r="W101" s="293" t="str">
        <f>IF(
  (
    COUNTIF('Acompanhamento quinzenal'!$N:$N, A101) +
    COUNTIF('Acompanhamento quinzenal'!$T:$T, A101) +
    COUNTIF('Acompanhamento quinzenal'!$Z:$Z, A101) +
    COUNTIF('Acompanhamento quinzenal'!$AF:$AF, A101)
  ) = 0,
  "-",
  (
    IFERROR(SUMIFS('Acompanhamento quinzenal'!$O:$O, 'Acompanhamento quinzenal'!$N:$N, A101), 0) +
    IFERROR(SUMIFS('Acompanhamento quinzenal'!$U:$U, 'Acompanhamento quinzenal'!$T:$T, A101), 0) +
    IFERROR(SUMIFS('Acompanhamento quinzenal'!$AA:$AA, 'Acompanhamento quinzenal'!$Z:$Z, A101), 0) +
    IFERROR(SUMIFS('Acompanhamento quinzenal'!$AG:$AG, 'Acompanhamento quinzenal'!$AF:$AF, A101), 0)
  ) /
  (
    COUNTIF('Acompanhamento quinzenal'!$N:$N, A101) +
    COUNTIF('Acompanhamento quinzenal'!$T:$T, A101) +
    COUNTIF('Acompanhamento quinzenal'!$Z:$Z, A101) +
    COUNTIF('Acompanhamento quinzenal'!$AF:$AF, A101)
  )
)
</f>
        <v>-</v>
      </c>
      <c r="X101" s="294" t="str">
        <f>IF(
  (
    COUNTIF('Acompanhamento quinzenal'!$N:$N, A101) +
    COUNTIF('Acompanhamento quinzenal'!$T:$T, A101) +
    COUNTIF('Acompanhamento quinzenal'!$Z:$Z, A101) +
    COUNTIF('Acompanhamento quinzenal'!$AF:$AF, A101)
  ) = 0,
  "-",
  (
    IFERROR(SUMIFS('Acompanhamento quinzenal'!$P:$P, 'Acompanhamento quinzenal'!$N:$N, A101), 0) +
    IFERROR(SUMIFS('Acompanhamento quinzenal'!$V:$V, 'Acompanhamento quinzenal'!$T:$T, A101), 0) +
    IFERROR(SUMIFS('Acompanhamento quinzenal'!$AB:$AB, 'Acompanhamento quinzenal'!$Z:$Z, A101), 0) +
    IFERROR(SUMIFS('Acompanhamento quinzenal'!$AH:$AH, 'Acompanhamento quinzenal'!$AF:$AF, A101), 0)
  ) /
  (
    COUNTIF('Acompanhamento quinzenal'!$N:$N, A101) +
    COUNTIF('Acompanhamento quinzenal'!$T:$T, A101) +
    COUNTIF('Acompanhamento quinzenal'!$Z:$Z, A101) +
    COUNTIF('Acompanhamento quinzenal'!$AF:$AF, A101)
  )
)
</f>
        <v>-</v>
      </c>
      <c r="Y101" s="293" t="str">
        <f>IF(
  (
    COUNTIF('Acompanhamento quinzenal'!$N:$N, A101) +
    COUNTIF('Acompanhamento quinzenal'!$T:$T, A101) +
    COUNTIF('Acompanhamento quinzenal'!$Z:$Z, A101) +
    COUNTIF('Acompanhamento quinzenal'!$AF:$AF, A101)
  ) = 0,
  "-",
  (
    IFERROR(SUMIFS('Acompanhamento quinzenal'!$Q:$Q, 'Acompanhamento quinzenal'!$N:$N, A101), 0) +
    IFERROR(SUMIFS('Acompanhamento quinzenal'!$W:$W, 'Acompanhamento quinzenal'!$T:$T, A101), 0) +
    IFERROR(SUMIFS('Acompanhamento quinzenal'!$AC:$AC, 'Acompanhamento quinzenal'!$Z:$Z, A101), 0) +
    IFERROR(SUMIFS('Acompanhamento quinzenal'!$AI:$AI, 'Acompanhamento quinzenal'!$AF:$AF, A101), 0)
  ) /
  (
    COUNTIF('Acompanhamento quinzenal'!$N:$N, A101) +
    COUNTIF('Acompanhamento quinzenal'!$T:$T, A101) +
    COUNTIF('Acompanhamento quinzenal'!$Z:$Z, A101) +
    COUNTIF('Acompanhamento quinzenal'!$AF:$AF, A101)
  )
)
</f>
        <v>-</v>
      </c>
    </row>
    <row r="102" hidden="1">
      <c r="A102" s="291" t="str">
        <f>IFERROR(__xludf.DUMMYFUNCTION("""COMPUTED_VALUE"""),"kaua.bolonha")</f>
        <v>kaua.bolonha</v>
      </c>
      <c r="B102" s="120" t="str">
        <f>IFERROR(__xludf.DUMMYFUNCTION("""COMPUTED_VALUE"""),"Coordenador")</f>
        <v>Coordenador</v>
      </c>
      <c r="C102" s="120" t="str">
        <f>IFERROR(__xludf.DUMMYFUNCTION("""COMPUTED_VALUE"""),"NCiv")</f>
        <v>NCiv</v>
      </c>
      <c r="D102" s="292">
        <f>IFERROR((COUNTIFS(Base!$V:$V,A102,Base!$S:$S,"&gt;8") - COUNTIFS(Base!$V:$V,A102,Base!$S:$S,"&lt;7"))/COUNTIFS(Base!$V:$V,A102,Base!$S:$S,"&lt;&gt;"),"-")</f>
        <v>1</v>
      </c>
      <c r="E102" s="292">
        <f>IF(
  (
    COUNTIFS(Base!$W:$W, A102, Base!$S:$S, "&lt;&gt;") +
    COUNTIFS(Base!$X:$X, A102, Base!$S:$S, "&lt;&gt;") +
    COUNTIFS(Base!$Y:$Y, A102, Base!$S:$S, "&lt;&gt;") +
    COUNTIFS(Base!$Z:$Z, A102, Base!$S:$S, "&lt;&gt;")
  ) = 0,
  "-",
  (
    COUNTIFS(Base!$W:$W, A102, Base!$S:$S, "&gt;8") - COUNTIFS(Base!$W:$W, A102, Base!$S:$S, "&lt;7") +
    COUNTIFS(Base!$X:$X, A102, Base!$S:$S, "&gt;8") - COUNTIFS(Base!$X:$X, A102, Base!$S:$S, "&lt;7") +
    COUNTIFS(Base!$Y:$Y, A102, Base!$S:$S, "&gt;8") - COUNTIFS(Base!$Y:$Y, A102, Base!$S:$S, "&lt;7") +
    COUNTIFS(Base!$Z:$Z, A102, Base!$S:$S, "&gt;8") - COUNTIFS(Base!$Z:$Z, A102, Base!$S:$S, "&lt;7")
  ) /
  (
    COUNTIFS(Base!$W:$W, A102, Base!$S:$S, "&lt;&gt;") +
    COUNTIFS(Base!$X:$X, A102, Base!$S:$S, "&lt;&gt;") +
    COUNTIFS(Base!$Y:$Y, A102, Base!$S:$S, "&lt;&gt;") +
    COUNTIFS(Base!$Z:$Z, A102, Base!$S:$S, "&lt;&gt;")
  )
)
</f>
        <v>1</v>
      </c>
      <c r="F102" s="290">
        <f>SUMIFS(Base!$N:$N,Base!$V:$V,A102,Base!$N:$N,"&lt;&gt;")-SUMIFS(Base!$K:$K,Base!$V:$V,A102,Base!$N:$N,"&lt;&gt;")-(SUMIFS(Base!$L:$L,Base!$V:$V,A102,Base!$N:$N,"&lt;&gt;")*7)</f>
        <v>339</v>
      </c>
      <c r="G102" s="290"/>
      <c r="H102" s="290">
        <f>SUMIFS(Base!$F:$F,Base!$V:$V,A102,Base!$N:$N,"&lt;&gt;")*7</f>
        <v>210</v>
      </c>
      <c r="I102" s="290"/>
      <c r="J102" s="292">
        <f t="shared" ref="J102:K102" si="103">IFERROR(F102/H102,"-")</f>
        <v>1.614285714</v>
      </c>
      <c r="K102" s="292" t="str">
        <f t="shared" si="103"/>
        <v>-</v>
      </c>
      <c r="L102" s="292">
        <f>IFERROR((COUNTIFS(Base!$V:$V,A102,Base!$U:$U,TRUE))/(COUNTIFS(Base!$V:$V,A102,Base!$O:$O,"Finalizado")+COUNTIFS(Base!$V:$V,A102,Base!$O:$O,"Concluído")),"-")</f>
        <v>0</v>
      </c>
      <c r="M102" s="292">
        <f>IF(
  (
    IFERROR(COUNTIF(Base!$W:$W, A102), 0) +
    IFERROR(COUNTIF(Base!$X:$X, A102), 0) +
    IFERROR(COUNTIF(Base!$Y:$Y, A102), 0) +
    IFERROR(COUNTIF(Base!$Z:$Z, A102), 0)
  ) = 0,
  "-",
  IF(
    (
      IFERROR(COUNTIFS(Base!$W:$W, A102, Base!$O:$O, "Finalizado"), 0) +
      IFERROR(COUNTIFS(Base!$W:$W, A102, Base!$O:$O, "Concluído"), 0) +
      IFERROR(COUNTIFS(Base!$X:$X, A102, Base!$O:$O, "Finalizado"), 0) +
      IFERROR(COUNTIFS(Base!$X:$X, A102, Base!$O:$O, "Concluído"), 0) +
      IFERROR(COUNTIFS(Base!$Y:$Y, A102, Base!$O:$O, "Finalizado"), 0) +
      IFERROR(COUNTIFS(Base!$Y:$Y, A102, Base!$O:$O, "Concluído"), 0) +
      IFERROR(COUNTIFS(Base!$Z:$Z, A102, Base!$O:$O, "Finalizado"), 0) +
      IFERROR(COUNTIFS(Base!$Z:$Z, A102, Base!$O:$O, "Concluído"), 0)
    ) = 0,
    "-",
    (
      IFERROR(COUNTIFS(Base!$W:$W, A102, Base!$U:$U, TRUE), 0) +
      IFERROR(COUNTIFS(Base!$X:$X, A102, Base!$U:$U, TRUE), 0) +
      IFERROR(COUNTIFS(Base!$Y:$Y, A102, Base!$U:$U, TRUE), 0) +
      IFERROR(COUNTIFS(Base!$Z:$Z, A102, Base!$U:$U, TRUE), 0)
    ) /
    (
      IFERROR(COUNTIFS(Base!$W:$W, A102, Base!$O:$O, "Finalizado"), 0) +
      IFERROR(COUNTIFS(Base!$W:$W, A102, Base!$O:$O, "Concluído"), 0) +
      IFERROR(COUNTIFS(Base!$X:$X, A102, Base!$O:$O, "Finalizado"), 0) +
      IFERROR(COUNTIFS(Base!$X:$X, A102, Base!$O:$O, "Concluído"), 0) +
      IFERROR(COUNTIFS(Base!$Y:$Y, A102, Base!$O:$O, "Finalizado"), 0) +
      IFERROR(COUNTIFS(Base!$Y:$Y, A102, Base!$O:$O, "Concluído"), 0) +
      IFERROR(COUNTIFS(Base!$Z:$Z, A102, Base!$O:$O, "Finalizado"), 0) +
      IFERROR(COUNTIFS(Base!$Z:$Z, A102, Base!$O:$O, "Concluído"), 0)
    )
  )
)
</f>
        <v>0</v>
      </c>
      <c r="N102" s="120">
        <f>COUNTIF(Base!V:V,$A102)</f>
        <v>8</v>
      </c>
      <c r="O102" s="120">
        <f>COUNTIF(Base!W:W,$A102)</f>
        <v>1</v>
      </c>
      <c r="P102" s="120">
        <f>COUNTIF(Base!X:X,$A102)</f>
        <v>0</v>
      </c>
      <c r="Q102" s="120">
        <f>COUNTIF(Base!Y:Y,$A102)</f>
        <v>0</v>
      </c>
      <c r="R102" s="120">
        <f>COUNTIF(Base!Z:Z,$A102)</f>
        <v>0</v>
      </c>
      <c r="S102" s="120">
        <f t="shared" si="3"/>
        <v>9</v>
      </c>
      <c r="T102" s="120">
        <f t="shared" si="4"/>
        <v>1</v>
      </c>
      <c r="V102" s="293" t="str">
        <f>IF(
  (
    COUNTIF('Acompanhamento quinzenal'!$N:$N, A102) +
    COUNTIF('Acompanhamento quinzenal'!$T:$T, A102) +
    COUNTIF('Acompanhamento quinzenal'!$Z:$Z, A102) +
    COUNTIF('Acompanhamento quinzenal'!$AF:$AF, A102)
  ) = 0,
  "-",
  (
    IFERROR(SUMIFS('Acompanhamento quinzenal'!$S:$S, 'Acompanhamento quinzenal'!$N:$N, A102), 0) +
    IFERROR(SUMIFS('Acompanhamento quinzenal'!$Y:$Y, 'Acompanhamento quinzenal'!$T:$T, A102), 0) +
    IFERROR(SUMIFS('Acompanhamento quinzenal'!$AE:$AE, 'Acompanhamento quinzenal'!$Z:$Z, A102), 0) +
    IFERROR(SUMIFS('Acompanhamento quinzenal'!$AK:$AK, 'Acompanhamento quinzenal'!$AF:$AF, A102), 0)
  ) /
  (
    COUNTIF('Acompanhamento quinzenal'!$N:$N, A102) +
    COUNTIF('Acompanhamento quinzenal'!$T:$T, A102) +
    COUNTIF('Acompanhamento quinzenal'!$Z:$Z, A102) +
    COUNTIF('Acompanhamento quinzenal'!$AF:$AF, A102)
  )
)
</f>
        <v>-</v>
      </c>
      <c r="W102" s="293" t="str">
        <f>IF(
  (
    COUNTIF('Acompanhamento quinzenal'!$N:$N, A102) +
    COUNTIF('Acompanhamento quinzenal'!$T:$T, A102) +
    COUNTIF('Acompanhamento quinzenal'!$Z:$Z, A102) +
    COUNTIF('Acompanhamento quinzenal'!$AF:$AF, A102)
  ) = 0,
  "-",
  (
    IFERROR(SUMIFS('Acompanhamento quinzenal'!$O:$O, 'Acompanhamento quinzenal'!$N:$N, A102), 0) +
    IFERROR(SUMIFS('Acompanhamento quinzenal'!$U:$U, 'Acompanhamento quinzenal'!$T:$T, A102), 0) +
    IFERROR(SUMIFS('Acompanhamento quinzenal'!$AA:$AA, 'Acompanhamento quinzenal'!$Z:$Z, A102), 0) +
    IFERROR(SUMIFS('Acompanhamento quinzenal'!$AG:$AG, 'Acompanhamento quinzenal'!$AF:$AF, A102), 0)
  ) /
  (
    COUNTIF('Acompanhamento quinzenal'!$N:$N, A102) +
    COUNTIF('Acompanhamento quinzenal'!$T:$T, A102) +
    COUNTIF('Acompanhamento quinzenal'!$Z:$Z, A102) +
    COUNTIF('Acompanhamento quinzenal'!$AF:$AF, A102)
  )
)
</f>
        <v>-</v>
      </c>
      <c r="X102" s="294" t="str">
        <f>IF(
  (
    COUNTIF('Acompanhamento quinzenal'!$N:$N, A102) +
    COUNTIF('Acompanhamento quinzenal'!$T:$T, A102) +
    COUNTIF('Acompanhamento quinzenal'!$Z:$Z, A102) +
    COUNTIF('Acompanhamento quinzenal'!$AF:$AF, A102)
  ) = 0,
  "-",
  (
    IFERROR(SUMIFS('Acompanhamento quinzenal'!$P:$P, 'Acompanhamento quinzenal'!$N:$N, A102), 0) +
    IFERROR(SUMIFS('Acompanhamento quinzenal'!$V:$V, 'Acompanhamento quinzenal'!$T:$T, A102), 0) +
    IFERROR(SUMIFS('Acompanhamento quinzenal'!$AB:$AB, 'Acompanhamento quinzenal'!$Z:$Z, A102), 0) +
    IFERROR(SUMIFS('Acompanhamento quinzenal'!$AH:$AH, 'Acompanhamento quinzenal'!$AF:$AF, A102), 0)
  ) /
  (
    COUNTIF('Acompanhamento quinzenal'!$N:$N, A102) +
    COUNTIF('Acompanhamento quinzenal'!$T:$T, A102) +
    COUNTIF('Acompanhamento quinzenal'!$Z:$Z, A102) +
    COUNTIF('Acompanhamento quinzenal'!$AF:$AF, A102)
  )
)
</f>
        <v>-</v>
      </c>
      <c r="Y102" s="293" t="str">
        <f>IF(
  (
    COUNTIF('Acompanhamento quinzenal'!$N:$N, A102) +
    COUNTIF('Acompanhamento quinzenal'!$T:$T, A102) +
    COUNTIF('Acompanhamento quinzenal'!$Z:$Z, A102) +
    COUNTIF('Acompanhamento quinzenal'!$AF:$AF, A102)
  ) = 0,
  "-",
  (
    IFERROR(SUMIFS('Acompanhamento quinzenal'!$Q:$Q, 'Acompanhamento quinzenal'!$N:$N, A102), 0) +
    IFERROR(SUMIFS('Acompanhamento quinzenal'!$W:$W, 'Acompanhamento quinzenal'!$T:$T, A102), 0) +
    IFERROR(SUMIFS('Acompanhamento quinzenal'!$AC:$AC, 'Acompanhamento quinzenal'!$Z:$Z, A102), 0) +
    IFERROR(SUMIFS('Acompanhamento quinzenal'!$AI:$AI, 'Acompanhamento quinzenal'!$AF:$AF, A102), 0)
  ) /
  (
    COUNTIF('Acompanhamento quinzenal'!$N:$N, A102) +
    COUNTIF('Acompanhamento quinzenal'!$T:$T, A102) +
    COUNTIF('Acompanhamento quinzenal'!$Z:$Z, A102) +
    COUNTIF('Acompanhamento quinzenal'!$AF:$AF, A102)
  )
)
</f>
        <v>-</v>
      </c>
    </row>
    <row r="103" hidden="1">
      <c r="A103" s="291" t="str">
        <f>IFERROR(__xludf.DUMMYFUNCTION("""COMPUTED_VALUE"""),"lara.couto")</f>
        <v>lara.couto</v>
      </c>
      <c r="B103" s="120" t="str">
        <f>IFERROR(__xludf.DUMMYFUNCTION("""COMPUTED_VALUE"""),"Coordenador")</f>
        <v>Coordenador</v>
      </c>
      <c r="C103" s="120" t="str">
        <f>IFERROR(__xludf.DUMMYFUNCTION("""COMPUTED_VALUE"""),"NCon")</f>
        <v>NCon</v>
      </c>
      <c r="D103" s="292" t="str">
        <f>IFERROR((COUNTIFS(Base!$V:$V,A103,Base!$S:$S,"&gt;8") - COUNTIFS(Base!$V:$V,A103,Base!$S:$S,"&lt;7"))/COUNTIFS(Base!$V:$V,A103,Base!$S:$S,"&lt;&gt;"),"-")</f>
        <v>-</v>
      </c>
      <c r="E103" s="292" t="str">
        <f>IF(
  (
    COUNTIFS(Base!$W:$W, A103, Base!$S:$S, "&lt;&gt;") +
    COUNTIFS(Base!$X:$X, A103, Base!$S:$S, "&lt;&gt;") +
    COUNTIFS(Base!$Y:$Y, A103, Base!$S:$S, "&lt;&gt;") +
    COUNTIFS(Base!$Z:$Z, A103, Base!$S:$S, "&lt;&gt;")
  ) = 0,
  "-",
  (
    COUNTIFS(Base!$W:$W, A103, Base!$S:$S, "&gt;8") - COUNTIFS(Base!$W:$W, A103, Base!$S:$S, "&lt;7") +
    COUNTIFS(Base!$X:$X, A103, Base!$S:$S, "&gt;8") - COUNTIFS(Base!$X:$X, A103, Base!$S:$S, "&lt;7") +
    COUNTIFS(Base!$Y:$Y, A103, Base!$S:$S, "&gt;8") - COUNTIFS(Base!$Y:$Y, A103, Base!$S:$S, "&lt;7") +
    COUNTIFS(Base!$Z:$Z, A103, Base!$S:$S, "&gt;8") - COUNTIFS(Base!$Z:$Z, A103, Base!$S:$S, "&lt;7")
  ) /
  (
    COUNTIFS(Base!$W:$W, A103, Base!$S:$S, "&lt;&gt;") +
    COUNTIFS(Base!$X:$X, A103, Base!$S:$S, "&lt;&gt;") +
    COUNTIFS(Base!$Y:$Y, A103, Base!$S:$S, "&lt;&gt;") +
    COUNTIFS(Base!$Z:$Z, A103, Base!$S:$S, "&lt;&gt;")
  )
)
</f>
        <v>-</v>
      </c>
      <c r="F103" s="290">
        <f>SUMIFS(Base!$N:$N,Base!$V:$V,A103,Base!$N:$N,"&lt;&gt;")-SUMIFS(Base!$K:$K,Base!$V:$V,A103,Base!$N:$N,"&lt;&gt;")-(SUMIFS(Base!$L:$L,Base!$V:$V,A103,Base!$N:$N,"&lt;&gt;")*7)</f>
        <v>0</v>
      </c>
      <c r="G103" s="290"/>
      <c r="H103" s="290">
        <f>SUMIFS(Base!$F:$F,Base!$V:$V,A103,Base!$N:$N,"&lt;&gt;")*7</f>
        <v>0</v>
      </c>
      <c r="I103" s="290"/>
      <c r="J103" s="292" t="str">
        <f t="shared" ref="J103:K103" si="104">IFERROR(F103/H103,"-")</f>
        <v>-</v>
      </c>
      <c r="K103" s="292" t="str">
        <f t="shared" si="104"/>
        <v>-</v>
      </c>
      <c r="L103" s="292" t="str">
        <f>IFERROR((COUNTIFS(Base!$V:$V,A103,Base!$U:$U,TRUE))/(COUNTIFS(Base!$V:$V,A103,Base!$O:$O,"Finalizado")+COUNTIFS(Base!$V:$V,A103,Base!$O:$O,"Concluído")),"-")</f>
        <v>-</v>
      </c>
      <c r="M103" s="292" t="str">
        <f>IF(
  (
    IFERROR(COUNTIF(Base!$W:$W, A103), 0) +
    IFERROR(COUNTIF(Base!$X:$X, A103), 0) +
    IFERROR(COUNTIF(Base!$Y:$Y, A103), 0) +
    IFERROR(COUNTIF(Base!$Z:$Z, A103), 0)
  ) = 0,
  "-",
  IF(
    (
      IFERROR(COUNTIFS(Base!$W:$W, A103, Base!$O:$O, "Finalizado"), 0) +
      IFERROR(COUNTIFS(Base!$W:$W, A103, Base!$O:$O, "Concluído"), 0) +
      IFERROR(COUNTIFS(Base!$X:$X, A103, Base!$O:$O, "Finalizado"), 0) +
      IFERROR(COUNTIFS(Base!$X:$X, A103, Base!$O:$O, "Concluído"), 0) +
      IFERROR(COUNTIFS(Base!$Y:$Y, A103, Base!$O:$O, "Finalizado"), 0) +
      IFERROR(COUNTIFS(Base!$Y:$Y, A103, Base!$O:$O, "Concluído"), 0) +
      IFERROR(COUNTIFS(Base!$Z:$Z, A103, Base!$O:$O, "Finalizado"), 0) +
      IFERROR(COUNTIFS(Base!$Z:$Z, A103, Base!$O:$O, "Concluído"), 0)
    ) = 0,
    "-",
    (
      IFERROR(COUNTIFS(Base!$W:$W, A103, Base!$U:$U, TRUE), 0) +
      IFERROR(COUNTIFS(Base!$X:$X, A103, Base!$U:$U, TRUE), 0) +
      IFERROR(COUNTIFS(Base!$Y:$Y, A103, Base!$U:$U, TRUE), 0) +
      IFERROR(COUNTIFS(Base!$Z:$Z, A103, Base!$U:$U, TRUE), 0)
    ) /
    (
      IFERROR(COUNTIFS(Base!$W:$W, A103, Base!$O:$O, "Finalizado"), 0) +
      IFERROR(COUNTIFS(Base!$W:$W, A103, Base!$O:$O, "Concluído"), 0) +
      IFERROR(COUNTIFS(Base!$X:$X, A103, Base!$O:$O, "Finalizado"), 0) +
      IFERROR(COUNTIFS(Base!$X:$X, A103, Base!$O:$O, "Concluído"), 0) +
      IFERROR(COUNTIFS(Base!$Y:$Y, A103, Base!$O:$O, "Finalizado"), 0) +
      IFERROR(COUNTIFS(Base!$Y:$Y, A103, Base!$O:$O, "Concluído"), 0) +
      IFERROR(COUNTIFS(Base!$Z:$Z, A103, Base!$O:$O, "Finalizado"), 0) +
      IFERROR(COUNTIFS(Base!$Z:$Z, A103, Base!$O:$O, "Concluído"), 0)
    )
  )
)
</f>
        <v>-</v>
      </c>
      <c r="N103" s="120">
        <f>COUNTIF(Base!V:V,$A103)</f>
        <v>0</v>
      </c>
      <c r="O103" s="120">
        <f>COUNTIF(Base!W:W,$A103)</f>
        <v>0</v>
      </c>
      <c r="P103" s="120">
        <f>COUNTIF(Base!X:X,$A103)</f>
        <v>0</v>
      </c>
      <c r="Q103" s="120">
        <f>COUNTIF(Base!Y:Y,$A103)</f>
        <v>0</v>
      </c>
      <c r="R103" s="120">
        <f>COUNTIF(Base!Z:Z,$A103)</f>
        <v>0</v>
      </c>
      <c r="S103" s="120">
        <f t="shared" si="3"/>
        <v>0</v>
      </c>
      <c r="T103" s="120">
        <f t="shared" si="4"/>
        <v>0</v>
      </c>
      <c r="V103" s="293" t="str">
        <f>IF(
  (
    COUNTIF('Acompanhamento quinzenal'!$N:$N, A103) +
    COUNTIF('Acompanhamento quinzenal'!$T:$T, A103) +
    COUNTIF('Acompanhamento quinzenal'!$Z:$Z, A103) +
    COUNTIF('Acompanhamento quinzenal'!$AF:$AF, A103)
  ) = 0,
  "-",
  (
    IFERROR(SUMIFS('Acompanhamento quinzenal'!$S:$S, 'Acompanhamento quinzenal'!$N:$N, A103), 0) +
    IFERROR(SUMIFS('Acompanhamento quinzenal'!$Y:$Y, 'Acompanhamento quinzenal'!$T:$T, A103), 0) +
    IFERROR(SUMIFS('Acompanhamento quinzenal'!$AE:$AE, 'Acompanhamento quinzenal'!$Z:$Z, A103), 0) +
    IFERROR(SUMIFS('Acompanhamento quinzenal'!$AK:$AK, 'Acompanhamento quinzenal'!$AF:$AF, A103), 0)
  ) /
  (
    COUNTIF('Acompanhamento quinzenal'!$N:$N, A103) +
    COUNTIF('Acompanhamento quinzenal'!$T:$T, A103) +
    COUNTIF('Acompanhamento quinzenal'!$Z:$Z, A103) +
    COUNTIF('Acompanhamento quinzenal'!$AF:$AF, A103)
  )
)
</f>
        <v>-</v>
      </c>
      <c r="W103" s="293" t="str">
        <f>IF(
  (
    COUNTIF('Acompanhamento quinzenal'!$N:$N, A103) +
    COUNTIF('Acompanhamento quinzenal'!$T:$T, A103) +
    COUNTIF('Acompanhamento quinzenal'!$Z:$Z, A103) +
    COUNTIF('Acompanhamento quinzenal'!$AF:$AF, A103)
  ) = 0,
  "-",
  (
    IFERROR(SUMIFS('Acompanhamento quinzenal'!$O:$O, 'Acompanhamento quinzenal'!$N:$N, A103), 0) +
    IFERROR(SUMIFS('Acompanhamento quinzenal'!$U:$U, 'Acompanhamento quinzenal'!$T:$T, A103), 0) +
    IFERROR(SUMIFS('Acompanhamento quinzenal'!$AA:$AA, 'Acompanhamento quinzenal'!$Z:$Z, A103), 0) +
    IFERROR(SUMIFS('Acompanhamento quinzenal'!$AG:$AG, 'Acompanhamento quinzenal'!$AF:$AF, A103), 0)
  ) /
  (
    COUNTIF('Acompanhamento quinzenal'!$N:$N, A103) +
    COUNTIF('Acompanhamento quinzenal'!$T:$T, A103) +
    COUNTIF('Acompanhamento quinzenal'!$Z:$Z, A103) +
    COUNTIF('Acompanhamento quinzenal'!$AF:$AF, A103)
  )
)
</f>
        <v>-</v>
      </c>
      <c r="X103" s="294" t="str">
        <f>IF(
  (
    COUNTIF('Acompanhamento quinzenal'!$N:$N, A103) +
    COUNTIF('Acompanhamento quinzenal'!$T:$T, A103) +
    COUNTIF('Acompanhamento quinzenal'!$Z:$Z, A103) +
    COUNTIF('Acompanhamento quinzenal'!$AF:$AF, A103)
  ) = 0,
  "-",
  (
    IFERROR(SUMIFS('Acompanhamento quinzenal'!$P:$P, 'Acompanhamento quinzenal'!$N:$N, A103), 0) +
    IFERROR(SUMIFS('Acompanhamento quinzenal'!$V:$V, 'Acompanhamento quinzenal'!$T:$T, A103), 0) +
    IFERROR(SUMIFS('Acompanhamento quinzenal'!$AB:$AB, 'Acompanhamento quinzenal'!$Z:$Z, A103), 0) +
    IFERROR(SUMIFS('Acompanhamento quinzenal'!$AH:$AH, 'Acompanhamento quinzenal'!$AF:$AF, A103), 0)
  ) /
  (
    COUNTIF('Acompanhamento quinzenal'!$N:$N, A103) +
    COUNTIF('Acompanhamento quinzenal'!$T:$T, A103) +
    COUNTIF('Acompanhamento quinzenal'!$Z:$Z, A103) +
    COUNTIF('Acompanhamento quinzenal'!$AF:$AF, A103)
  )
)
</f>
        <v>-</v>
      </c>
      <c r="Y103" s="293" t="str">
        <f>IF(
  (
    COUNTIF('Acompanhamento quinzenal'!$N:$N, A103) +
    COUNTIF('Acompanhamento quinzenal'!$T:$T, A103) +
    COUNTIF('Acompanhamento quinzenal'!$Z:$Z, A103) +
    COUNTIF('Acompanhamento quinzenal'!$AF:$AF, A103)
  ) = 0,
  "-",
  (
    IFERROR(SUMIFS('Acompanhamento quinzenal'!$Q:$Q, 'Acompanhamento quinzenal'!$N:$N, A103), 0) +
    IFERROR(SUMIFS('Acompanhamento quinzenal'!$W:$W, 'Acompanhamento quinzenal'!$T:$T, A103), 0) +
    IFERROR(SUMIFS('Acompanhamento quinzenal'!$AC:$AC, 'Acompanhamento quinzenal'!$Z:$Z, A103), 0) +
    IFERROR(SUMIFS('Acompanhamento quinzenal'!$AI:$AI, 'Acompanhamento quinzenal'!$AF:$AF, A103), 0)
  ) /
  (
    COUNTIF('Acompanhamento quinzenal'!$N:$N, A103) +
    COUNTIF('Acompanhamento quinzenal'!$T:$T, A103) +
    COUNTIF('Acompanhamento quinzenal'!$Z:$Z, A103) +
    COUNTIF('Acompanhamento quinzenal'!$AF:$AF, A103)
  )
)
</f>
        <v>-</v>
      </c>
    </row>
    <row r="104" hidden="1">
      <c r="A104" s="291" t="str">
        <f>IFERROR(__xludf.DUMMYFUNCTION("""COMPUTED_VALUE"""),"larissa.oliveira")</f>
        <v>larissa.oliveira</v>
      </c>
      <c r="B104" s="120" t="str">
        <f>IFERROR(__xludf.DUMMYFUNCTION("""COMPUTED_VALUE"""),"Consultor")</f>
        <v>Consultor</v>
      </c>
      <c r="C104" s="120" t="str">
        <f>IFERROR(__xludf.DUMMYFUNCTION("""COMPUTED_VALUE"""),"NTec")</f>
        <v>NTec</v>
      </c>
      <c r="D104" s="292" t="str">
        <f>IFERROR((COUNTIFS(Base!$V:$V,A104,Base!$S:$S,"&gt;8") - COUNTIFS(Base!$V:$V,A104,Base!$S:$S,"&lt;7"))/COUNTIFS(Base!$V:$V,A104,Base!$S:$S,"&lt;&gt;"),"-")</f>
        <v>-</v>
      </c>
      <c r="E104" s="292" t="str">
        <f>IF(
  (
    COUNTIFS(Base!$W:$W, A104, Base!$S:$S, "&lt;&gt;") +
    COUNTIFS(Base!$X:$X, A104, Base!$S:$S, "&lt;&gt;") +
    COUNTIFS(Base!$Y:$Y, A104, Base!$S:$S, "&lt;&gt;") +
    COUNTIFS(Base!$Z:$Z, A104, Base!$S:$S, "&lt;&gt;")
  ) = 0,
  "-",
  (
    COUNTIFS(Base!$W:$W, A104, Base!$S:$S, "&gt;8") - COUNTIFS(Base!$W:$W, A104, Base!$S:$S, "&lt;7") +
    COUNTIFS(Base!$X:$X, A104, Base!$S:$S, "&gt;8") - COUNTIFS(Base!$X:$X, A104, Base!$S:$S, "&lt;7") +
    COUNTIFS(Base!$Y:$Y, A104, Base!$S:$S, "&gt;8") - COUNTIFS(Base!$Y:$Y, A104, Base!$S:$S, "&lt;7") +
    COUNTIFS(Base!$Z:$Z, A104, Base!$S:$S, "&gt;8") - COUNTIFS(Base!$Z:$Z, A104, Base!$S:$S, "&lt;7")
  ) /
  (
    COUNTIFS(Base!$W:$W, A104, Base!$S:$S, "&lt;&gt;") +
    COUNTIFS(Base!$X:$X, A104, Base!$S:$S, "&lt;&gt;") +
    COUNTIFS(Base!$Y:$Y, A104, Base!$S:$S, "&lt;&gt;") +
    COUNTIFS(Base!$Z:$Z, A104, Base!$S:$S, "&lt;&gt;")
  )
)
</f>
        <v>-</v>
      </c>
      <c r="F104" s="290">
        <f>SUMIFS(Base!$N:$N,Base!$V:$V,A104,Base!$N:$N,"&lt;&gt;")-SUMIFS(Base!$K:$K,Base!$V:$V,A104,Base!$N:$N,"&lt;&gt;")-(SUMIFS(Base!$L:$L,Base!$V:$V,A104,Base!$N:$N,"&lt;&gt;")*7)</f>
        <v>0</v>
      </c>
      <c r="G104" s="290"/>
      <c r="H104" s="290">
        <f>SUMIFS(Base!$F:$F,Base!$V:$V,A104,Base!$N:$N,"&lt;&gt;")*7</f>
        <v>0</v>
      </c>
      <c r="I104" s="290"/>
      <c r="J104" s="292" t="str">
        <f t="shared" ref="J104:K104" si="105">IFERROR(F104/H104,"-")</f>
        <v>-</v>
      </c>
      <c r="K104" s="292" t="str">
        <f t="shared" si="105"/>
        <v>-</v>
      </c>
      <c r="L104" s="292" t="str">
        <f>IFERROR((COUNTIFS(Base!$V:$V,A104,Base!$U:$U,TRUE))/(COUNTIFS(Base!$V:$V,A104,Base!$O:$O,"Finalizado")+COUNTIFS(Base!$V:$V,A104,Base!$O:$O,"Concluído")),"-")</f>
        <v>-</v>
      </c>
      <c r="M104" s="292" t="str">
        <f>IF(
  (
    IFERROR(COUNTIF(Base!$W:$W, A104), 0) +
    IFERROR(COUNTIF(Base!$X:$X, A104), 0) +
    IFERROR(COUNTIF(Base!$Y:$Y, A104), 0) +
    IFERROR(COUNTIF(Base!$Z:$Z, A104), 0)
  ) = 0,
  "-",
  IF(
    (
      IFERROR(COUNTIFS(Base!$W:$W, A104, Base!$O:$O, "Finalizado"), 0) +
      IFERROR(COUNTIFS(Base!$W:$W, A104, Base!$O:$O, "Concluído"), 0) +
      IFERROR(COUNTIFS(Base!$X:$X, A104, Base!$O:$O, "Finalizado"), 0) +
      IFERROR(COUNTIFS(Base!$X:$X, A104, Base!$O:$O, "Concluído"), 0) +
      IFERROR(COUNTIFS(Base!$Y:$Y, A104, Base!$O:$O, "Finalizado"), 0) +
      IFERROR(COUNTIFS(Base!$Y:$Y, A104, Base!$O:$O, "Concluído"), 0) +
      IFERROR(COUNTIFS(Base!$Z:$Z, A104, Base!$O:$O, "Finalizado"), 0) +
      IFERROR(COUNTIFS(Base!$Z:$Z, A104, Base!$O:$O, "Concluído"), 0)
    ) = 0,
    "-",
    (
      IFERROR(COUNTIFS(Base!$W:$W, A104, Base!$U:$U, TRUE), 0) +
      IFERROR(COUNTIFS(Base!$X:$X, A104, Base!$U:$U, TRUE), 0) +
      IFERROR(COUNTIFS(Base!$Y:$Y, A104, Base!$U:$U, TRUE), 0) +
      IFERROR(COUNTIFS(Base!$Z:$Z, A104, Base!$U:$U, TRUE), 0)
    ) /
    (
      IFERROR(COUNTIFS(Base!$W:$W, A104, Base!$O:$O, "Finalizado"), 0) +
      IFERROR(COUNTIFS(Base!$W:$W, A104, Base!$O:$O, "Concluído"), 0) +
      IFERROR(COUNTIFS(Base!$X:$X, A104, Base!$O:$O, "Finalizado"), 0) +
      IFERROR(COUNTIFS(Base!$X:$X, A104, Base!$O:$O, "Concluído"), 0) +
      IFERROR(COUNTIFS(Base!$Y:$Y, A104, Base!$O:$O, "Finalizado"), 0) +
      IFERROR(COUNTIFS(Base!$Y:$Y, A104, Base!$O:$O, "Concluído"), 0) +
      IFERROR(COUNTIFS(Base!$Z:$Z, A104, Base!$O:$O, "Finalizado"), 0) +
      IFERROR(COUNTIFS(Base!$Z:$Z, A104, Base!$O:$O, "Concluído"), 0)
    )
  )
)
</f>
        <v>-</v>
      </c>
      <c r="N104" s="120">
        <f>COUNTIF(Base!V:V,$A104)</f>
        <v>0</v>
      </c>
      <c r="O104" s="120">
        <f>COUNTIF(Base!W:W,$A104)</f>
        <v>0</v>
      </c>
      <c r="P104" s="120">
        <f>COUNTIF(Base!X:X,$A104)</f>
        <v>0</v>
      </c>
      <c r="Q104" s="120">
        <f>COUNTIF(Base!Y:Y,$A104)</f>
        <v>1</v>
      </c>
      <c r="R104" s="120">
        <f>COUNTIF(Base!Z:Z,$A104)</f>
        <v>0</v>
      </c>
      <c r="S104" s="120">
        <f t="shared" si="3"/>
        <v>1</v>
      </c>
      <c r="T104" s="120">
        <f t="shared" si="4"/>
        <v>1</v>
      </c>
      <c r="V104" s="293">
        <f>IF(
  (
    COUNTIF('Acompanhamento quinzenal'!$N:$N, A104) +
    COUNTIF('Acompanhamento quinzenal'!$T:$T, A104) +
    COUNTIF('Acompanhamento quinzenal'!$Z:$Z, A104) +
    COUNTIF('Acompanhamento quinzenal'!$AF:$AF, A104)
  ) = 0,
  "-",
  (
    IFERROR(SUMIFS('Acompanhamento quinzenal'!$S:$S, 'Acompanhamento quinzenal'!$N:$N, A104), 0) +
    IFERROR(SUMIFS('Acompanhamento quinzenal'!$Y:$Y, 'Acompanhamento quinzenal'!$T:$T, A104), 0) +
    IFERROR(SUMIFS('Acompanhamento quinzenal'!$AE:$AE, 'Acompanhamento quinzenal'!$Z:$Z, A104), 0) +
    IFERROR(SUMIFS('Acompanhamento quinzenal'!$AK:$AK, 'Acompanhamento quinzenal'!$AF:$AF, A104), 0)
  ) /
  (
    COUNTIF('Acompanhamento quinzenal'!$N:$N, A104) +
    COUNTIF('Acompanhamento quinzenal'!$T:$T, A104) +
    COUNTIF('Acompanhamento quinzenal'!$Z:$Z, A104) +
    COUNTIF('Acompanhamento quinzenal'!$AF:$AF, A104)
  )
)
</f>
        <v>4</v>
      </c>
      <c r="W104" s="293">
        <f>IF(
  (
    COUNTIF('Acompanhamento quinzenal'!$N:$N, A104) +
    COUNTIF('Acompanhamento quinzenal'!$T:$T, A104) +
    COUNTIF('Acompanhamento quinzenal'!$Z:$Z, A104) +
    COUNTIF('Acompanhamento quinzenal'!$AF:$AF, A104)
  ) = 0,
  "-",
  (
    IFERROR(SUMIFS('Acompanhamento quinzenal'!$O:$O, 'Acompanhamento quinzenal'!$N:$N, A104), 0) +
    IFERROR(SUMIFS('Acompanhamento quinzenal'!$U:$U, 'Acompanhamento quinzenal'!$T:$T, A104), 0) +
    IFERROR(SUMIFS('Acompanhamento quinzenal'!$AA:$AA, 'Acompanhamento quinzenal'!$Z:$Z, A104), 0) +
    IFERROR(SUMIFS('Acompanhamento quinzenal'!$AG:$AG, 'Acompanhamento quinzenal'!$AF:$AF, A104), 0)
  ) /
  (
    COUNTIF('Acompanhamento quinzenal'!$N:$N, A104) +
    COUNTIF('Acompanhamento quinzenal'!$T:$T, A104) +
    COUNTIF('Acompanhamento quinzenal'!$Z:$Z, A104) +
    COUNTIF('Acompanhamento quinzenal'!$AF:$AF, A104)
  )
)
</f>
        <v>4</v>
      </c>
      <c r="X104" s="294">
        <f>IF(
  (
    COUNTIF('Acompanhamento quinzenal'!$N:$N, A104) +
    COUNTIF('Acompanhamento quinzenal'!$T:$T, A104) +
    COUNTIF('Acompanhamento quinzenal'!$Z:$Z, A104) +
    COUNTIF('Acompanhamento quinzenal'!$AF:$AF, A104)
  ) = 0,
  "-",
  (
    IFERROR(SUMIFS('Acompanhamento quinzenal'!$P:$P, 'Acompanhamento quinzenal'!$N:$N, A104), 0) +
    IFERROR(SUMIFS('Acompanhamento quinzenal'!$V:$V, 'Acompanhamento quinzenal'!$T:$T, A104), 0) +
    IFERROR(SUMIFS('Acompanhamento quinzenal'!$AB:$AB, 'Acompanhamento quinzenal'!$Z:$Z, A104), 0) +
    IFERROR(SUMIFS('Acompanhamento quinzenal'!$AH:$AH, 'Acompanhamento quinzenal'!$AF:$AF, A104), 0)
  ) /
  (
    COUNTIF('Acompanhamento quinzenal'!$N:$N, A104) +
    COUNTIF('Acompanhamento quinzenal'!$T:$T, A104) +
    COUNTIF('Acompanhamento quinzenal'!$Z:$Z, A104) +
    COUNTIF('Acompanhamento quinzenal'!$AF:$AF, A104)
  )
)
</f>
        <v>4</v>
      </c>
      <c r="Y104" s="293">
        <f>IF(
  (
    COUNTIF('Acompanhamento quinzenal'!$N:$N, A104) +
    COUNTIF('Acompanhamento quinzenal'!$T:$T, A104) +
    COUNTIF('Acompanhamento quinzenal'!$Z:$Z, A104) +
    COUNTIF('Acompanhamento quinzenal'!$AF:$AF, A104)
  ) = 0,
  "-",
  (
    IFERROR(SUMIFS('Acompanhamento quinzenal'!$Q:$Q, 'Acompanhamento quinzenal'!$N:$N, A104), 0) +
    IFERROR(SUMIFS('Acompanhamento quinzenal'!$W:$W, 'Acompanhamento quinzenal'!$T:$T, A104), 0) +
    IFERROR(SUMIFS('Acompanhamento quinzenal'!$AC:$AC, 'Acompanhamento quinzenal'!$Z:$Z, A104), 0) +
    IFERROR(SUMIFS('Acompanhamento quinzenal'!$AI:$AI, 'Acompanhamento quinzenal'!$AF:$AF, A104), 0)
  ) /
  (
    COUNTIF('Acompanhamento quinzenal'!$N:$N, A104) +
    COUNTIF('Acompanhamento quinzenal'!$T:$T, A104) +
    COUNTIF('Acompanhamento quinzenal'!$Z:$Z, A104) +
    COUNTIF('Acompanhamento quinzenal'!$AF:$AF, A104)
  )
)
</f>
        <v>4</v>
      </c>
    </row>
    <row r="105">
      <c r="A105" s="291" t="str">
        <f>IFERROR(__xludf.DUMMYFUNCTION("""COMPUTED_VALUE"""),"lays.zandomingos")</f>
        <v>lays.zandomingos</v>
      </c>
      <c r="B105" s="120" t="str">
        <f>IFERROR(__xludf.DUMMYFUNCTION("""COMPUTED_VALUE"""),"Consultor")</f>
        <v>Consultor</v>
      </c>
      <c r="C105" s="120" t="str">
        <f>IFERROR(__xludf.DUMMYFUNCTION("""COMPUTED_VALUE"""),"NDados")</f>
        <v>NDados</v>
      </c>
      <c r="D105" s="292" t="str">
        <f>IFERROR((COUNTIFS(Base!$V:$V,A105,Base!$S:$S,"&gt;8") - COUNTIFS(Base!$V:$V,A105,Base!$S:$S,"&lt;7"))/COUNTIFS(Base!$V:$V,A105,Base!$S:$S,"&lt;&gt;"),"-")</f>
        <v>-</v>
      </c>
      <c r="E105" s="292">
        <f>IF(
  (
    COUNTIFS(Base!$W:$W, A105, Base!$S:$S, "&lt;&gt;") +
    COUNTIFS(Base!$X:$X, A105, Base!$S:$S, "&lt;&gt;") +
    COUNTIFS(Base!$Y:$Y, A105, Base!$S:$S, "&lt;&gt;") +
    COUNTIFS(Base!$Z:$Z, A105, Base!$S:$S, "&lt;&gt;")
  ) = 0,
  "-",
  (
    COUNTIFS(Base!$W:$W, A105, Base!$S:$S, "&gt;8") - COUNTIFS(Base!$W:$W, A105, Base!$S:$S, "&lt;7") +
    COUNTIFS(Base!$X:$X, A105, Base!$S:$S, "&gt;8") - COUNTIFS(Base!$X:$X, A105, Base!$S:$S, "&lt;7") +
    COUNTIFS(Base!$Y:$Y, A105, Base!$S:$S, "&gt;8") - COUNTIFS(Base!$Y:$Y, A105, Base!$S:$S, "&lt;7") +
    COUNTIFS(Base!$Z:$Z, A105, Base!$S:$S, "&gt;8") - COUNTIFS(Base!$Z:$Z, A105, Base!$S:$S, "&lt;7")
  ) /
  (
    COUNTIFS(Base!$W:$W, A105, Base!$S:$S, "&lt;&gt;") +
    COUNTIFS(Base!$X:$X, A105, Base!$S:$S, "&lt;&gt;") +
    COUNTIFS(Base!$Y:$Y, A105, Base!$S:$S, "&lt;&gt;") +
    COUNTIFS(Base!$Z:$Z, A105, Base!$S:$S, "&lt;&gt;")
  )
)
</f>
        <v>1</v>
      </c>
      <c r="F105" s="290">
        <f>SUMIFS(Base!$N:$N,Base!$V:$V,A105,Base!$N:$N,"&lt;&gt;")-SUMIFS(Base!$K:$K,Base!$V:$V,A105,Base!$N:$N,"&lt;&gt;")-(SUMIFS(Base!$L:$L,Base!$V:$V,A105,Base!$N:$N,"&lt;&gt;")*7)</f>
        <v>0</v>
      </c>
      <c r="G105" s="290"/>
      <c r="H105" s="290">
        <f>SUMIFS(Base!$F:$F,Base!$V:$V,A105,Base!$N:$N,"&lt;&gt;")*7</f>
        <v>0</v>
      </c>
      <c r="I105" s="290"/>
      <c r="J105" s="292" t="str">
        <f t="shared" ref="J105:K105" si="106">IFERROR(F105/H105,"-")</f>
        <v>-</v>
      </c>
      <c r="K105" s="292" t="str">
        <f t="shared" si="106"/>
        <v>-</v>
      </c>
      <c r="L105" s="292" t="str">
        <f>IFERROR((COUNTIFS(Base!$V:$V,A105,Base!$U:$U,TRUE))/(COUNTIFS(Base!$V:$V,A105,Base!$O:$O,"Finalizado")+COUNTIFS(Base!$V:$V,A105,Base!$O:$O,"Concluído")),"-")</f>
        <v>-</v>
      </c>
      <c r="M105" s="292">
        <f>IF(
  (
    IFERROR(COUNTIF(Base!$W:$W, A105), 0) +
    IFERROR(COUNTIF(Base!$X:$X, A105), 0) +
    IFERROR(COUNTIF(Base!$Y:$Y, A105), 0) +
    IFERROR(COUNTIF(Base!$Z:$Z, A105), 0)
  ) = 0,
  "-",
  IF(
    (
      IFERROR(COUNTIFS(Base!$W:$W, A105, Base!$O:$O, "Finalizado"), 0) +
      IFERROR(COUNTIFS(Base!$W:$W, A105, Base!$O:$O, "Concluído"), 0) +
      IFERROR(COUNTIFS(Base!$X:$X, A105, Base!$O:$O, "Finalizado"), 0) +
      IFERROR(COUNTIFS(Base!$X:$X, A105, Base!$O:$O, "Concluído"), 0) +
      IFERROR(COUNTIFS(Base!$Y:$Y, A105, Base!$O:$O, "Finalizado"), 0) +
      IFERROR(COUNTIFS(Base!$Y:$Y, A105, Base!$O:$O, "Concluído"), 0) +
      IFERROR(COUNTIFS(Base!$Z:$Z, A105, Base!$O:$O, "Finalizado"), 0) +
      IFERROR(COUNTIFS(Base!$Z:$Z, A105, Base!$O:$O, "Concluído"), 0)
    ) = 0,
    "-",
    (
      IFERROR(COUNTIFS(Base!$W:$W, A105, Base!$U:$U, TRUE), 0) +
      IFERROR(COUNTIFS(Base!$X:$X, A105, Base!$U:$U, TRUE), 0) +
      IFERROR(COUNTIFS(Base!$Y:$Y, A105, Base!$U:$U, TRUE), 0) +
      IFERROR(COUNTIFS(Base!$Z:$Z, A105, Base!$U:$U, TRUE), 0)
    ) /
    (
      IFERROR(COUNTIFS(Base!$W:$W, A105, Base!$O:$O, "Finalizado"), 0) +
      IFERROR(COUNTIFS(Base!$W:$W, A105, Base!$O:$O, "Concluído"), 0) +
      IFERROR(COUNTIFS(Base!$X:$X, A105, Base!$O:$O, "Finalizado"), 0) +
      IFERROR(COUNTIFS(Base!$X:$X, A105, Base!$O:$O, "Concluído"), 0) +
      IFERROR(COUNTIFS(Base!$Y:$Y, A105, Base!$O:$O, "Finalizado"), 0) +
      IFERROR(COUNTIFS(Base!$Y:$Y, A105, Base!$O:$O, "Concluído"), 0) +
      IFERROR(COUNTIFS(Base!$Z:$Z, A105, Base!$O:$O, "Finalizado"), 0) +
      IFERROR(COUNTIFS(Base!$Z:$Z, A105, Base!$O:$O, "Concluído"), 0)
    )
  )
)
</f>
        <v>0.6666666667</v>
      </c>
      <c r="N105" s="120">
        <f>COUNTIF(Base!V:V,$A105)</f>
        <v>0</v>
      </c>
      <c r="O105" s="120">
        <f>COUNTIF(Base!W:W,$A105)</f>
        <v>3</v>
      </c>
      <c r="P105" s="120">
        <f>COUNTIF(Base!X:X,$A105)</f>
        <v>1</v>
      </c>
      <c r="Q105" s="120">
        <f>COUNTIF(Base!Y:Y,$A105)</f>
        <v>0</v>
      </c>
      <c r="R105" s="120">
        <f>COUNTIF(Base!Z:Z,$A105)</f>
        <v>0</v>
      </c>
      <c r="S105" s="120">
        <f t="shared" si="3"/>
        <v>4</v>
      </c>
      <c r="T105" s="120">
        <f t="shared" si="4"/>
        <v>4</v>
      </c>
      <c r="V105" s="293">
        <f>IF(
  (
    COUNTIF('Acompanhamento quinzenal'!$N:$N, A105) +
    COUNTIF('Acompanhamento quinzenal'!$T:$T, A105) +
    COUNTIF('Acompanhamento quinzenal'!$Z:$Z, A105) +
    COUNTIF('Acompanhamento quinzenal'!$AF:$AF, A105)
  ) = 0,
  "-",
  (
    IFERROR(SUMIFS('Acompanhamento quinzenal'!$S:$S, 'Acompanhamento quinzenal'!$N:$N, A105), 0) +
    IFERROR(SUMIFS('Acompanhamento quinzenal'!$Y:$Y, 'Acompanhamento quinzenal'!$T:$T, A105), 0) +
    IFERROR(SUMIFS('Acompanhamento quinzenal'!$AE:$AE, 'Acompanhamento quinzenal'!$Z:$Z, A105), 0) +
    IFERROR(SUMIFS('Acompanhamento quinzenal'!$AK:$AK, 'Acompanhamento quinzenal'!$AF:$AF, A105), 0)
  ) /
  (
    COUNTIF('Acompanhamento quinzenal'!$N:$N, A105) +
    COUNTIF('Acompanhamento quinzenal'!$T:$T, A105) +
    COUNTIF('Acompanhamento quinzenal'!$Z:$Z, A105) +
    COUNTIF('Acompanhamento quinzenal'!$AF:$AF, A105)
  )
)
</f>
        <v>3.333333333</v>
      </c>
      <c r="W105" s="293">
        <f>IF(
  (
    COUNTIF('Acompanhamento quinzenal'!$N:$N, A105) +
    COUNTIF('Acompanhamento quinzenal'!$T:$T, A105) +
    COUNTIF('Acompanhamento quinzenal'!$Z:$Z, A105) +
    COUNTIF('Acompanhamento quinzenal'!$AF:$AF, A105)
  ) = 0,
  "-",
  (
    IFERROR(SUMIFS('Acompanhamento quinzenal'!$O:$O, 'Acompanhamento quinzenal'!$N:$N, A105), 0) +
    IFERROR(SUMIFS('Acompanhamento quinzenal'!$U:$U, 'Acompanhamento quinzenal'!$T:$T, A105), 0) +
    IFERROR(SUMIFS('Acompanhamento quinzenal'!$AA:$AA, 'Acompanhamento quinzenal'!$Z:$Z, A105), 0) +
    IFERROR(SUMIFS('Acompanhamento quinzenal'!$AG:$AG, 'Acompanhamento quinzenal'!$AF:$AF, A105), 0)
  ) /
  (
    COUNTIF('Acompanhamento quinzenal'!$N:$N, A105) +
    COUNTIF('Acompanhamento quinzenal'!$T:$T, A105) +
    COUNTIF('Acompanhamento quinzenal'!$Z:$Z, A105) +
    COUNTIF('Acompanhamento quinzenal'!$AF:$AF, A105)
  )
)
</f>
        <v>3.5</v>
      </c>
      <c r="X105" s="294">
        <f>IF(
  (
    COUNTIF('Acompanhamento quinzenal'!$N:$N, A105) +
    COUNTIF('Acompanhamento quinzenal'!$T:$T, A105) +
    COUNTIF('Acompanhamento quinzenal'!$Z:$Z, A105) +
    COUNTIF('Acompanhamento quinzenal'!$AF:$AF, A105)
  ) = 0,
  "-",
  (
    IFERROR(SUMIFS('Acompanhamento quinzenal'!$P:$P, 'Acompanhamento quinzenal'!$N:$N, A105), 0) +
    IFERROR(SUMIFS('Acompanhamento quinzenal'!$V:$V, 'Acompanhamento quinzenal'!$T:$T, A105), 0) +
    IFERROR(SUMIFS('Acompanhamento quinzenal'!$AB:$AB, 'Acompanhamento quinzenal'!$Z:$Z, A105), 0) +
    IFERROR(SUMIFS('Acompanhamento quinzenal'!$AH:$AH, 'Acompanhamento quinzenal'!$AF:$AF, A105), 0)
  ) /
  (
    COUNTIF('Acompanhamento quinzenal'!$N:$N, A105) +
    COUNTIF('Acompanhamento quinzenal'!$T:$T, A105) +
    COUNTIF('Acompanhamento quinzenal'!$Z:$Z, A105) +
    COUNTIF('Acompanhamento quinzenal'!$AF:$AF, A105)
  )
)
</f>
        <v>3.5</v>
      </c>
      <c r="Y105" s="293">
        <f>IF(
  (
    COUNTIF('Acompanhamento quinzenal'!$N:$N, A105) +
    COUNTIF('Acompanhamento quinzenal'!$T:$T, A105) +
    COUNTIF('Acompanhamento quinzenal'!$Z:$Z, A105) +
    COUNTIF('Acompanhamento quinzenal'!$AF:$AF, A105)
  ) = 0,
  "-",
  (
    IFERROR(SUMIFS('Acompanhamento quinzenal'!$Q:$Q, 'Acompanhamento quinzenal'!$N:$N, A105), 0) +
    IFERROR(SUMIFS('Acompanhamento quinzenal'!$W:$W, 'Acompanhamento quinzenal'!$T:$T, A105), 0) +
    IFERROR(SUMIFS('Acompanhamento quinzenal'!$AC:$AC, 'Acompanhamento quinzenal'!$Z:$Z, A105), 0) +
    IFERROR(SUMIFS('Acompanhamento quinzenal'!$AI:$AI, 'Acompanhamento quinzenal'!$AF:$AF, A105), 0)
  ) /
  (
    COUNTIF('Acompanhamento quinzenal'!$N:$N, A105) +
    COUNTIF('Acompanhamento quinzenal'!$T:$T, A105) +
    COUNTIF('Acompanhamento quinzenal'!$Z:$Z, A105) +
    COUNTIF('Acompanhamento quinzenal'!$AF:$AF, A105)
  )
)
</f>
        <v>3</v>
      </c>
    </row>
    <row r="106" hidden="1">
      <c r="A106" s="291" t="str">
        <f>IFERROR(__xludf.DUMMYFUNCTION("""COMPUTED_VALUE"""),"leonardo.merkel")</f>
        <v>leonardo.merkel</v>
      </c>
      <c r="B106" s="120" t="str">
        <f>IFERROR(__xludf.DUMMYFUNCTION("""COMPUTED_VALUE"""),"Gerente")</f>
        <v>Gerente</v>
      </c>
      <c r="C106" s="120" t="str">
        <f>IFERROR(__xludf.DUMMYFUNCTION("""COMPUTED_VALUE"""),"NCiv")</f>
        <v>NCiv</v>
      </c>
      <c r="D106" s="292" t="str">
        <f>IFERROR((COUNTIFS(Base!$V:$V,A106,Base!$S:$S,"&gt;8") - COUNTIFS(Base!$V:$V,A106,Base!$S:$S,"&lt;7"))/COUNTIFS(Base!$V:$V,A106,Base!$S:$S,"&lt;&gt;"),"-")</f>
        <v>-</v>
      </c>
      <c r="E106" s="292" t="str">
        <f>IF(
  (
    COUNTIFS(Base!$W:$W, A106, Base!$S:$S, "&lt;&gt;") +
    COUNTIFS(Base!$X:$X, A106, Base!$S:$S, "&lt;&gt;") +
    COUNTIFS(Base!$Y:$Y, A106, Base!$S:$S, "&lt;&gt;") +
    COUNTIFS(Base!$Z:$Z, A106, Base!$S:$S, "&lt;&gt;")
  ) = 0,
  "-",
  (
    COUNTIFS(Base!$W:$W, A106, Base!$S:$S, "&gt;8") - COUNTIFS(Base!$W:$W, A106, Base!$S:$S, "&lt;7") +
    COUNTIFS(Base!$X:$X, A106, Base!$S:$S, "&gt;8") - COUNTIFS(Base!$X:$X, A106, Base!$S:$S, "&lt;7") +
    COUNTIFS(Base!$Y:$Y, A106, Base!$S:$S, "&gt;8") - COUNTIFS(Base!$Y:$Y, A106, Base!$S:$S, "&lt;7") +
    COUNTIFS(Base!$Z:$Z, A106, Base!$S:$S, "&gt;8") - COUNTIFS(Base!$Z:$Z, A106, Base!$S:$S, "&lt;7")
  ) /
  (
    COUNTIFS(Base!$W:$W, A106, Base!$S:$S, "&lt;&gt;") +
    COUNTIFS(Base!$X:$X, A106, Base!$S:$S, "&lt;&gt;") +
    COUNTIFS(Base!$Y:$Y, A106, Base!$S:$S, "&lt;&gt;") +
    COUNTIFS(Base!$Z:$Z, A106, Base!$S:$S, "&lt;&gt;")
  )
)
</f>
        <v>-</v>
      </c>
      <c r="F106" s="290">
        <f>SUMIFS(Base!$N:$N,Base!$V:$V,A106,Base!$N:$N,"&lt;&gt;")-SUMIFS(Base!$K:$K,Base!$V:$V,A106,Base!$N:$N,"&lt;&gt;")-(SUMIFS(Base!$L:$L,Base!$V:$V,A106,Base!$N:$N,"&lt;&gt;")*7)</f>
        <v>0</v>
      </c>
      <c r="G106" s="290"/>
      <c r="H106" s="290">
        <f>SUMIFS(Base!$F:$F,Base!$V:$V,A106,Base!$N:$N,"&lt;&gt;")*7</f>
        <v>0</v>
      </c>
      <c r="I106" s="290"/>
      <c r="J106" s="292" t="str">
        <f t="shared" ref="J106:K106" si="107">IFERROR(F106/H106,"-")</f>
        <v>-</v>
      </c>
      <c r="K106" s="292" t="str">
        <f t="shared" si="107"/>
        <v>-</v>
      </c>
      <c r="L106" s="292" t="str">
        <f>IFERROR((COUNTIFS(Base!$V:$V,A106,Base!$U:$U,TRUE))/(COUNTIFS(Base!$V:$V,A106,Base!$O:$O,"Finalizado")+COUNTIFS(Base!$V:$V,A106,Base!$O:$O,"Concluído")),"-")</f>
        <v>-</v>
      </c>
      <c r="M106" s="292" t="str">
        <f>IF(
  (
    IFERROR(COUNTIF(Base!$W:$W, A106), 0) +
    IFERROR(COUNTIF(Base!$X:$X, A106), 0) +
    IFERROR(COUNTIF(Base!$Y:$Y, A106), 0) +
    IFERROR(COUNTIF(Base!$Z:$Z, A106), 0)
  ) = 0,
  "-",
  IF(
    (
      IFERROR(COUNTIFS(Base!$W:$W, A106, Base!$O:$O, "Finalizado"), 0) +
      IFERROR(COUNTIFS(Base!$W:$W, A106, Base!$O:$O, "Concluído"), 0) +
      IFERROR(COUNTIFS(Base!$X:$X, A106, Base!$O:$O, "Finalizado"), 0) +
      IFERROR(COUNTIFS(Base!$X:$X, A106, Base!$O:$O, "Concluído"), 0) +
      IFERROR(COUNTIFS(Base!$Y:$Y, A106, Base!$O:$O, "Finalizado"), 0) +
      IFERROR(COUNTIFS(Base!$Y:$Y, A106, Base!$O:$O, "Concluído"), 0) +
      IFERROR(COUNTIFS(Base!$Z:$Z, A106, Base!$O:$O, "Finalizado"), 0) +
      IFERROR(COUNTIFS(Base!$Z:$Z, A106, Base!$O:$O, "Concluído"), 0)
    ) = 0,
    "-",
    (
      IFERROR(COUNTIFS(Base!$W:$W, A106, Base!$U:$U, TRUE), 0) +
      IFERROR(COUNTIFS(Base!$X:$X, A106, Base!$U:$U, TRUE), 0) +
      IFERROR(COUNTIFS(Base!$Y:$Y, A106, Base!$U:$U, TRUE), 0) +
      IFERROR(COUNTIFS(Base!$Z:$Z, A106, Base!$U:$U, TRUE), 0)
    ) /
    (
      IFERROR(COUNTIFS(Base!$W:$W, A106, Base!$O:$O, "Finalizado"), 0) +
      IFERROR(COUNTIFS(Base!$W:$W, A106, Base!$O:$O, "Concluído"), 0) +
      IFERROR(COUNTIFS(Base!$X:$X, A106, Base!$O:$O, "Finalizado"), 0) +
      IFERROR(COUNTIFS(Base!$X:$X, A106, Base!$O:$O, "Concluído"), 0) +
      IFERROR(COUNTIFS(Base!$Y:$Y, A106, Base!$O:$O, "Finalizado"), 0) +
      IFERROR(COUNTIFS(Base!$Y:$Y, A106, Base!$O:$O, "Concluído"), 0) +
      IFERROR(COUNTIFS(Base!$Z:$Z, A106, Base!$O:$O, "Finalizado"), 0) +
      IFERROR(COUNTIFS(Base!$Z:$Z, A106, Base!$O:$O, "Concluído"), 0)
    )
  )
)
</f>
        <v>-</v>
      </c>
      <c r="N106" s="120">
        <f>COUNTIF(Base!V:V,$A106)</f>
        <v>0</v>
      </c>
      <c r="O106" s="120">
        <f>COUNTIF(Base!W:W,$A106)</f>
        <v>0</v>
      </c>
      <c r="P106" s="120">
        <f>COUNTIF(Base!X:X,$A106)</f>
        <v>0</v>
      </c>
      <c r="Q106" s="120">
        <f>COUNTIF(Base!Y:Y,$A106)</f>
        <v>0</v>
      </c>
      <c r="R106" s="120">
        <f>COUNTIF(Base!Z:Z,$A106)</f>
        <v>0</v>
      </c>
      <c r="S106" s="120">
        <f t="shared" si="3"/>
        <v>0</v>
      </c>
      <c r="T106" s="120">
        <f t="shared" si="4"/>
        <v>0</v>
      </c>
      <c r="V106" s="293" t="str">
        <f>IF(
  (
    COUNTIF('Acompanhamento quinzenal'!$N:$N, A106) +
    COUNTIF('Acompanhamento quinzenal'!$T:$T, A106) +
    COUNTIF('Acompanhamento quinzenal'!$Z:$Z, A106) +
    COUNTIF('Acompanhamento quinzenal'!$AF:$AF, A106)
  ) = 0,
  "-",
  (
    IFERROR(SUMIFS('Acompanhamento quinzenal'!$S:$S, 'Acompanhamento quinzenal'!$N:$N, A106), 0) +
    IFERROR(SUMIFS('Acompanhamento quinzenal'!$Y:$Y, 'Acompanhamento quinzenal'!$T:$T, A106), 0) +
    IFERROR(SUMIFS('Acompanhamento quinzenal'!$AE:$AE, 'Acompanhamento quinzenal'!$Z:$Z, A106), 0) +
    IFERROR(SUMIFS('Acompanhamento quinzenal'!$AK:$AK, 'Acompanhamento quinzenal'!$AF:$AF, A106), 0)
  ) /
  (
    COUNTIF('Acompanhamento quinzenal'!$N:$N, A106) +
    COUNTIF('Acompanhamento quinzenal'!$T:$T, A106) +
    COUNTIF('Acompanhamento quinzenal'!$Z:$Z, A106) +
    COUNTIF('Acompanhamento quinzenal'!$AF:$AF, A106)
  )
)
</f>
        <v>-</v>
      </c>
      <c r="W106" s="293" t="str">
        <f>IF(
  (
    COUNTIF('Acompanhamento quinzenal'!$N:$N, A106) +
    COUNTIF('Acompanhamento quinzenal'!$T:$T, A106) +
    COUNTIF('Acompanhamento quinzenal'!$Z:$Z, A106) +
    COUNTIF('Acompanhamento quinzenal'!$AF:$AF, A106)
  ) = 0,
  "-",
  (
    IFERROR(SUMIFS('Acompanhamento quinzenal'!$O:$O, 'Acompanhamento quinzenal'!$N:$N, A106), 0) +
    IFERROR(SUMIFS('Acompanhamento quinzenal'!$U:$U, 'Acompanhamento quinzenal'!$T:$T, A106), 0) +
    IFERROR(SUMIFS('Acompanhamento quinzenal'!$AA:$AA, 'Acompanhamento quinzenal'!$Z:$Z, A106), 0) +
    IFERROR(SUMIFS('Acompanhamento quinzenal'!$AG:$AG, 'Acompanhamento quinzenal'!$AF:$AF, A106), 0)
  ) /
  (
    COUNTIF('Acompanhamento quinzenal'!$N:$N, A106) +
    COUNTIF('Acompanhamento quinzenal'!$T:$T, A106) +
    COUNTIF('Acompanhamento quinzenal'!$Z:$Z, A106) +
    COUNTIF('Acompanhamento quinzenal'!$AF:$AF, A106)
  )
)
</f>
        <v>-</v>
      </c>
      <c r="X106" s="294" t="str">
        <f>IF(
  (
    COUNTIF('Acompanhamento quinzenal'!$N:$N, A106) +
    COUNTIF('Acompanhamento quinzenal'!$T:$T, A106) +
    COUNTIF('Acompanhamento quinzenal'!$Z:$Z, A106) +
    COUNTIF('Acompanhamento quinzenal'!$AF:$AF, A106)
  ) = 0,
  "-",
  (
    IFERROR(SUMIFS('Acompanhamento quinzenal'!$P:$P, 'Acompanhamento quinzenal'!$N:$N, A106), 0) +
    IFERROR(SUMIFS('Acompanhamento quinzenal'!$V:$V, 'Acompanhamento quinzenal'!$T:$T, A106), 0) +
    IFERROR(SUMIFS('Acompanhamento quinzenal'!$AB:$AB, 'Acompanhamento quinzenal'!$Z:$Z, A106), 0) +
    IFERROR(SUMIFS('Acompanhamento quinzenal'!$AH:$AH, 'Acompanhamento quinzenal'!$AF:$AF, A106), 0)
  ) /
  (
    COUNTIF('Acompanhamento quinzenal'!$N:$N, A106) +
    COUNTIF('Acompanhamento quinzenal'!$T:$T, A106) +
    COUNTIF('Acompanhamento quinzenal'!$Z:$Z, A106) +
    COUNTIF('Acompanhamento quinzenal'!$AF:$AF, A106)
  )
)
</f>
        <v>-</v>
      </c>
      <c r="Y106" s="293" t="str">
        <f>IF(
  (
    COUNTIF('Acompanhamento quinzenal'!$N:$N, A106) +
    COUNTIF('Acompanhamento quinzenal'!$T:$T, A106) +
    COUNTIF('Acompanhamento quinzenal'!$Z:$Z, A106) +
    COUNTIF('Acompanhamento quinzenal'!$AF:$AF, A106)
  ) = 0,
  "-",
  (
    IFERROR(SUMIFS('Acompanhamento quinzenal'!$Q:$Q, 'Acompanhamento quinzenal'!$N:$N, A106), 0) +
    IFERROR(SUMIFS('Acompanhamento quinzenal'!$W:$W, 'Acompanhamento quinzenal'!$T:$T, A106), 0) +
    IFERROR(SUMIFS('Acompanhamento quinzenal'!$AC:$AC, 'Acompanhamento quinzenal'!$Z:$Z, A106), 0) +
    IFERROR(SUMIFS('Acompanhamento quinzenal'!$AI:$AI, 'Acompanhamento quinzenal'!$AF:$AF, A106), 0)
  ) /
  (
    COUNTIF('Acompanhamento quinzenal'!$N:$N, A106) +
    COUNTIF('Acompanhamento quinzenal'!$T:$T, A106) +
    COUNTIF('Acompanhamento quinzenal'!$Z:$Z, A106) +
    COUNTIF('Acompanhamento quinzenal'!$AF:$AF, A106)
  )
)
</f>
        <v>-</v>
      </c>
    </row>
    <row r="107" hidden="1">
      <c r="A107" s="291" t="str">
        <f>IFERROR(__xludf.DUMMYFUNCTION("""COMPUTED_VALUE"""),"leonardo.varella")</f>
        <v>leonardo.varella</v>
      </c>
      <c r="B107" s="120" t="str">
        <f>IFERROR(__xludf.DUMMYFUNCTION("""COMPUTED_VALUE"""),"Trainee")</f>
        <v>Trainee</v>
      </c>
      <c r="C107" s="120" t="str">
        <f>IFERROR(__xludf.DUMMYFUNCTION("""COMPUTED_VALUE"""),"NTec")</f>
        <v>NTec</v>
      </c>
      <c r="D107" s="292" t="str">
        <f>IFERROR((COUNTIFS(Base!$V:$V,A107,Base!$S:$S,"&gt;8") - COUNTIFS(Base!$V:$V,A107,Base!$S:$S,"&lt;7"))/COUNTIFS(Base!$V:$V,A107,Base!$S:$S,"&lt;&gt;"),"-")</f>
        <v>-</v>
      </c>
      <c r="E107" s="292" t="str">
        <f>IF(
  (
    COUNTIFS(Base!$W:$W, A107, Base!$S:$S, "&lt;&gt;") +
    COUNTIFS(Base!$X:$X, A107, Base!$S:$S, "&lt;&gt;") +
    COUNTIFS(Base!$Y:$Y, A107, Base!$S:$S, "&lt;&gt;") +
    COUNTIFS(Base!$Z:$Z, A107, Base!$S:$S, "&lt;&gt;")
  ) = 0,
  "-",
  (
    COUNTIFS(Base!$W:$W, A107, Base!$S:$S, "&gt;8") - COUNTIFS(Base!$W:$W, A107, Base!$S:$S, "&lt;7") +
    COUNTIFS(Base!$X:$X, A107, Base!$S:$S, "&gt;8") - COUNTIFS(Base!$X:$X, A107, Base!$S:$S, "&lt;7") +
    COUNTIFS(Base!$Y:$Y, A107, Base!$S:$S, "&gt;8") - COUNTIFS(Base!$Y:$Y, A107, Base!$S:$S, "&lt;7") +
    COUNTIFS(Base!$Z:$Z, A107, Base!$S:$S, "&gt;8") - COUNTIFS(Base!$Z:$Z, A107, Base!$S:$S, "&lt;7")
  ) /
  (
    COUNTIFS(Base!$W:$W, A107, Base!$S:$S, "&lt;&gt;") +
    COUNTIFS(Base!$X:$X, A107, Base!$S:$S, "&lt;&gt;") +
    COUNTIFS(Base!$Y:$Y, A107, Base!$S:$S, "&lt;&gt;") +
    COUNTIFS(Base!$Z:$Z, A107, Base!$S:$S, "&lt;&gt;")
  )
)
</f>
        <v>-</v>
      </c>
      <c r="F107" s="290">
        <f>SUMIFS(Base!$N:$N,Base!$V:$V,A107,Base!$N:$N,"&lt;&gt;")-SUMIFS(Base!$K:$K,Base!$V:$V,A107,Base!$N:$N,"&lt;&gt;")-(SUMIFS(Base!$L:$L,Base!$V:$V,A107,Base!$N:$N,"&lt;&gt;")*7)</f>
        <v>0</v>
      </c>
      <c r="G107" s="290"/>
      <c r="H107" s="290">
        <f>SUMIFS(Base!$F:$F,Base!$V:$V,A107,Base!$N:$N,"&lt;&gt;")*7</f>
        <v>0</v>
      </c>
      <c r="I107" s="290"/>
      <c r="J107" s="292" t="str">
        <f t="shared" ref="J107:K107" si="108">IFERROR(F107/H107,"-")</f>
        <v>-</v>
      </c>
      <c r="K107" s="292" t="str">
        <f t="shared" si="108"/>
        <v>-</v>
      </c>
      <c r="L107" s="292" t="str">
        <f>IFERROR((COUNTIFS(Base!$V:$V,A107,Base!$U:$U,TRUE))/(COUNTIFS(Base!$V:$V,A107,Base!$O:$O,"Finalizado")+COUNTIFS(Base!$V:$V,A107,Base!$O:$O,"Concluído")),"-")</f>
        <v>-</v>
      </c>
      <c r="M107" s="292" t="str">
        <f>IF(
  (
    IFERROR(COUNTIF(Base!$W:$W, A107), 0) +
    IFERROR(COUNTIF(Base!$X:$X, A107), 0) +
    IFERROR(COUNTIF(Base!$Y:$Y, A107), 0) +
    IFERROR(COUNTIF(Base!$Z:$Z, A107), 0)
  ) = 0,
  "-",
  IF(
    (
      IFERROR(COUNTIFS(Base!$W:$W, A107, Base!$O:$O, "Finalizado"), 0) +
      IFERROR(COUNTIFS(Base!$W:$W, A107, Base!$O:$O, "Concluído"), 0) +
      IFERROR(COUNTIFS(Base!$X:$X, A107, Base!$O:$O, "Finalizado"), 0) +
      IFERROR(COUNTIFS(Base!$X:$X, A107, Base!$O:$O, "Concluído"), 0) +
      IFERROR(COUNTIFS(Base!$Y:$Y, A107, Base!$O:$O, "Finalizado"), 0) +
      IFERROR(COUNTIFS(Base!$Y:$Y, A107, Base!$O:$O, "Concluído"), 0) +
      IFERROR(COUNTIFS(Base!$Z:$Z, A107, Base!$O:$O, "Finalizado"), 0) +
      IFERROR(COUNTIFS(Base!$Z:$Z, A107, Base!$O:$O, "Concluído"), 0)
    ) = 0,
    "-",
    (
      IFERROR(COUNTIFS(Base!$W:$W, A107, Base!$U:$U, TRUE), 0) +
      IFERROR(COUNTIFS(Base!$X:$X, A107, Base!$U:$U, TRUE), 0) +
      IFERROR(COUNTIFS(Base!$Y:$Y, A107, Base!$U:$U, TRUE), 0) +
      IFERROR(COUNTIFS(Base!$Z:$Z, A107, Base!$U:$U, TRUE), 0)
    ) /
    (
      IFERROR(COUNTIFS(Base!$W:$W, A107, Base!$O:$O, "Finalizado"), 0) +
      IFERROR(COUNTIFS(Base!$W:$W, A107, Base!$O:$O, "Concluído"), 0) +
      IFERROR(COUNTIFS(Base!$X:$X, A107, Base!$O:$O, "Finalizado"), 0) +
      IFERROR(COUNTIFS(Base!$X:$X, A107, Base!$O:$O, "Concluído"), 0) +
      IFERROR(COUNTIFS(Base!$Y:$Y, A107, Base!$O:$O, "Finalizado"), 0) +
      IFERROR(COUNTIFS(Base!$Y:$Y, A107, Base!$O:$O, "Concluído"), 0) +
      IFERROR(COUNTIFS(Base!$Z:$Z, A107, Base!$O:$O, "Finalizado"), 0) +
      IFERROR(COUNTIFS(Base!$Z:$Z, A107, Base!$O:$O, "Concluído"), 0)
    )
  )
)
</f>
        <v>-</v>
      </c>
      <c r="N107" s="120">
        <f>COUNTIF(Base!V:V,$A107)</f>
        <v>0</v>
      </c>
      <c r="O107" s="120">
        <f>COUNTIF(Base!W:W,$A107)</f>
        <v>0</v>
      </c>
      <c r="P107" s="120">
        <f>COUNTIF(Base!X:X,$A107)</f>
        <v>0</v>
      </c>
      <c r="Q107" s="120">
        <f>COUNTIF(Base!Y:Y,$A107)</f>
        <v>0</v>
      </c>
      <c r="R107" s="120">
        <f>COUNTIF(Base!Z:Z,$A107)</f>
        <v>0</v>
      </c>
      <c r="S107" s="120">
        <f t="shared" si="3"/>
        <v>0</v>
      </c>
      <c r="T107" s="120">
        <f t="shared" si="4"/>
        <v>0</v>
      </c>
      <c r="V107" s="293" t="str">
        <f>IF(
  (
    COUNTIF('Acompanhamento quinzenal'!$N:$N, A107) +
    COUNTIF('Acompanhamento quinzenal'!$T:$T, A107) +
    COUNTIF('Acompanhamento quinzenal'!$Z:$Z, A107) +
    COUNTIF('Acompanhamento quinzenal'!$AF:$AF, A107)
  ) = 0,
  "-",
  (
    IFERROR(SUMIFS('Acompanhamento quinzenal'!$S:$S, 'Acompanhamento quinzenal'!$N:$N, A107), 0) +
    IFERROR(SUMIFS('Acompanhamento quinzenal'!$Y:$Y, 'Acompanhamento quinzenal'!$T:$T, A107), 0) +
    IFERROR(SUMIFS('Acompanhamento quinzenal'!$AE:$AE, 'Acompanhamento quinzenal'!$Z:$Z, A107), 0) +
    IFERROR(SUMIFS('Acompanhamento quinzenal'!$AK:$AK, 'Acompanhamento quinzenal'!$AF:$AF, A107), 0)
  ) /
  (
    COUNTIF('Acompanhamento quinzenal'!$N:$N, A107) +
    COUNTIF('Acompanhamento quinzenal'!$T:$T, A107) +
    COUNTIF('Acompanhamento quinzenal'!$Z:$Z, A107) +
    COUNTIF('Acompanhamento quinzenal'!$AF:$AF, A107)
  )
)
</f>
        <v>-</v>
      </c>
      <c r="W107" s="293" t="str">
        <f>IF(
  (
    COUNTIF('Acompanhamento quinzenal'!$N:$N, A107) +
    COUNTIF('Acompanhamento quinzenal'!$T:$T, A107) +
    COUNTIF('Acompanhamento quinzenal'!$Z:$Z, A107) +
    COUNTIF('Acompanhamento quinzenal'!$AF:$AF, A107)
  ) = 0,
  "-",
  (
    IFERROR(SUMIFS('Acompanhamento quinzenal'!$O:$O, 'Acompanhamento quinzenal'!$N:$N, A107), 0) +
    IFERROR(SUMIFS('Acompanhamento quinzenal'!$U:$U, 'Acompanhamento quinzenal'!$T:$T, A107), 0) +
    IFERROR(SUMIFS('Acompanhamento quinzenal'!$AA:$AA, 'Acompanhamento quinzenal'!$Z:$Z, A107), 0) +
    IFERROR(SUMIFS('Acompanhamento quinzenal'!$AG:$AG, 'Acompanhamento quinzenal'!$AF:$AF, A107), 0)
  ) /
  (
    COUNTIF('Acompanhamento quinzenal'!$N:$N, A107) +
    COUNTIF('Acompanhamento quinzenal'!$T:$T, A107) +
    COUNTIF('Acompanhamento quinzenal'!$Z:$Z, A107) +
    COUNTIF('Acompanhamento quinzenal'!$AF:$AF, A107)
  )
)
</f>
        <v>-</v>
      </c>
      <c r="X107" s="294" t="str">
        <f>IF(
  (
    COUNTIF('Acompanhamento quinzenal'!$N:$N, A107) +
    COUNTIF('Acompanhamento quinzenal'!$T:$T, A107) +
    COUNTIF('Acompanhamento quinzenal'!$Z:$Z, A107) +
    COUNTIF('Acompanhamento quinzenal'!$AF:$AF, A107)
  ) = 0,
  "-",
  (
    IFERROR(SUMIFS('Acompanhamento quinzenal'!$P:$P, 'Acompanhamento quinzenal'!$N:$N, A107), 0) +
    IFERROR(SUMIFS('Acompanhamento quinzenal'!$V:$V, 'Acompanhamento quinzenal'!$T:$T, A107), 0) +
    IFERROR(SUMIFS('Acompanhamento quinzenal'!$AB:$AB, 'Acompanhamento quinzenal'!$Z:$Z, A107), 0) +
    IFERROR(SUMIFS('Acompanhamento quinzenal'!$AH:$AH, 'Acompanhamento quinzenal'!$AF:$AF, A107), 0)
  ) /
  (
    COUNTIF('Acompanhamento quinzenal'!$N:$N, A107) +
    COUNTIF('Acompanhamento quinzenal'!$T:$T, A107) +
    COUNTIF('Acompanhamento quinzenal'!$Z:$Z, A107) +
    COUNTIF('Acompanhamento quinzenal'!$AF:$AF, A107)
  )
)
</f>
        <v>-</v>
      </c>
      <c r="Y107" s="293" t="str">
        <f>IF(
  (
    COUNTIF('Acompanhamento quinzenal'!$N:$N, A107) +
    COUNTIF('Acompanhamento quinzenal'!$T:$T, A107) +
    COUNTIF('Acompanhamento quinzenal'!$Z:$Z, A107) +
    COUNTIF('Acompanhamento quinzenal'!$AF:$AF, A107)
  ) = 0,
  "-",
  (
    IFERROR(SUMIFS('Acompanhamento quinzenal'!$Q:$Q, 'Acompanhamento quinzenal'!$N:$N, A107), 0) +
    IFERROR(SUMIFS('Acompanhamento quinzenal'!$W:$W, 'Acompanhamento quinzenal'!$T:$T, A107), 0) +
    IFERROR(SUMIFS('Acompanhamento quinzenal'!$AC:$AC, 'Acompanhamento quinzenal'!$Z:$Z, A107), 0) +
    IFERROR(SUMIFS('Acompanhamento quinzenal'!$AI:$AI, 'Acompanhamento quinzenal'!$AF:$AF, A107), 0)
  ) /
  (
    COUNTIF('Acompanhamento quinzenal'!$N:$N, A107) +
    COUNTIF('Acompanhamento quinzenal'!$T:$T, A107) +
    COUNTIF('Acompanhamento quinzenal'!$Z:$Z, A107) +
    COUNTIF('Acompanhamento quinzenal'!$AF:$AF, A107)
  )
)
</f>
        <v>-</v>
      </c>
    </row>
    <row r="108" hidden="1">
      <c r="A108" s="291" t="str">
        <f>IFERROR(__xludf.DUMMYFUNCTION("""COMPUTED_VALUE"""),"ligia.pegorer")</f>
        <v>ligia.pegorer</v>
      </c>
      <c r="B108" s="120" t="str">
        <f>IFERROR(__xludf.DUMMYFUNCTION("""COMPUTED_VALUE"""),"Trainee")</f>
        <v>Trainee</v>
      </c>
      <c r="C108" s="120" t="str">
        <f>IFERROR(__xludf.DUMMYFUNCTION("""COMPUTED_VALUE"""),"NCiv")</f>
        <v>NCiv</v>
      </c>
      <c r="D108" s="292" t="str">
        <f>IFERROR((COUNTIFS(Base!$V:$V,A108,Base!$S:$S,"&gt;8") - COUNTIFS(Base!$V:$V,A108,Base!$S:$S,"&lt;7"))/COUNTIFS(Base!$V:$V,A108,Base!$S:$S,"&lt;&gt;"),"-")</f>
        <v>-</v>
      </c>
      <c r="E108" s="292" t="str">
        <f>IF(
  (
    COUNTIFS(Base!$W:$W, A108, Base!$S:$S, "&lt;&gt;") +
    COUNTIFS(Base!$X:$X, A108, Base!$S:$S, "&lt;&gt;") +
    COUNTIFS(Base!$Y:$Y, A108, Base!$S:$S, "&lt;&gt;") +
    COUNTIFS(Base!$Z:$Z, A108, Base!$S:$S, "&lt;&gt;")
  ) = 0,
  "-",
  (
    COUNTIFS(Base!$W:$W, A108, Base!$S:$S, "&gt;8") - COUNTIFS(Base!$W:$W, A108, Base!$S:$S, "&lt;7") +
    COUNTIFS(Base!$X:$X, A108, Base!$S:$S, "&gt;8") - COUNTIFS(Base!$X:$X, A108, Base!$S:$S, "&lt;7") +
    COUNTIFS(Base!$Y:$Y, A108, Base!$S:$S, "&gt;8") - COUNTIFS(Base!$Y:$Y, A108, Base!$S:$S, "&lt;7") +
    COUNTIFS(Base!$Z:$Z, A108, Base!$S:$S, "&gt;8") - COUNTIFS(Base!$Z:$Z, A108, Base!$S:$S, "&lt;7")
  ) /
  (
    COUNTIFS(Base!$W:$W, A108, Base!$S:$S, "&lt;&gt;") +
    COUNTIFS(Base!$X:$X, A108, Base!$S:$S, "&lt;&gt;") +
    COUNTIFS(Base!$Y:$Y, A108, Base!$S:$S, "&lt;&gt;") +
    COUNTIFS(Base!$Z:$Z, A108, Base!$S:$S, "&lt;&gt;")
  )
)
</f>
        <v>-</v>
      </c>
      <c r="F108" s="290">
        <f>SUMIFS(Base!$N:$N,Base!$V:$V,A108,Base!$N:$N,"&lt;&gt;")-SUMIFS(Base!$K:$K,Base!$V:$V,A108,Base!$N:$N,"&lt;&gt;")-(SUMIFS(Base!$L:$L,Base!$V:$V,A108,Base!$N:$N,"&lt;&gt;")*7)</f>
        <v>0</v>
      </c>
      <c r="G108" s="290"/>
      <c r="H108" s="290">
        <f>SUMIFS(Base!$F:$F,Base!$V:$V,A108,Base!$N:$N,"&lt;&gt;")*7</f>
        <v>0</v>
      </c>
      <c r="I108" s="290"/>
      <c r="J108" s="292" t="str">
        <f t="shared" ref="J108:K108" si="109">IFERROR(F108/H108,"-")</f>
        <v>-</v>
      </c>
      <c r="K108" s="292" t="str">
        <f t="shared" si="109"/>
        <v>-</v>
      </c>
      <c r="L108" s="292" t="str">
        <f>IFERROR((COUNTIFS(Base!$V:$V,A108,Base!$U:$U,TRUE))/(COUNTIFS(Base!$V:$V,A108,Base!$O:$O,"Finalizado")+COUNTIFS(Base!$V:$V,A108,Base!$O:$O,"Concluído")),"-")</f>
        <v>-</v>
      </c>
      <c r="M108" s="292" t="str">
        <f>IF(
  (
    IFERROR(COUNTIF(Base!$W:$W, A108), 0) +
    IFERROR(COUNTIF(Base!$X:$X, A108), 0) +
    IFERROR(COUNTIF(Base!$Y:$Y, A108), 0) +
    IFERROR(COUNTIF(Base!$Z:$Z, A108), 0)
  ) = 0,
  "-",
  IF(
    (
      IFERROR(COUNTIFS(Base!$W:$W, A108, Base!$O:$O, "Finalizado"), 0) +
      IFERROR(COUNTIFS(Base!$W:$W, A108, Base!$O:$O, "Concluído"), 0) +
      IFERROR(COUNTIFS(Base!$X:$X, A108, Base!$O:$O, "Finalizado"), 0) +
      IFERROR(COUNTIFS(Base!$X:$X, A108, Base!$O:$O, "Concluído"), 0) +
      IFERROR(COUNTIFS(Base!$Y:$Y, A108, Base!$O:$O, "Finalizado"), 0) +
      IFERROR(COUNTIFS(Base!$Y:$Y, A108, Base!$O:$O, "Concluído"), 0) +
      IFERROR(COUNTIFS(Base!$Z:$Z, A108, Base!$O:$O, "Finalizado"), 0) +
      IFERROR(COUNTIFS(Base!$Z:$Z, A108, Base!$O:$O, "Concluído"), 0)
    ) = 0,
    "-",
    (
      IFERROR(COUNTIFS(Base!$W:$W, A108, Base!$U:$U, TRUE), 0) +
      IFERROR(COUNTIFS(Base!$X:$X, A108, Base!$U:$U, TRUE), 0) +
      IFERROR(COUNTIFS(Base!$Y:$Y, A108, Base!$U:$U, TRUE), 0) +
      IFERROR(COUNTIFS(Base!$Z:$Z, A108, Base!$U:$U, TRUE), 0)
    ) /
    (
      IFERROR(COUNTIFS(Base!$W:$W, A108, Base!$O:$O, "Finalizado"), 0) +
      IFERROR(COUNTIFS(Base!$W:$W, A108, Base!$O:$O, "Concluído"), 0) +
      IFERROR(COUNTIFS(Base!$X:$X, A108, Base!$O:$O, "Finalizado"), 0) +
      IFERROR(COUNTIFS(Base!$X:$X, A108, Base!$O:$O, "Concluído"), 0) +
      IFERROR(COUNTIFS(Base!$Y:$Y, A108, Base!$O:$O, "Finalizado"), 0) +
      IFERROR(COUNTIFS(Base!$Y:$Y, A108, Base!$O:$O, "Concluído"), 0) +
      IFERROR(COUNTIFS(Base!$Z:$Z, A108, Base!$O:$O, "Finalizado"), 0) +
      IFERROR(COUNTIFS(Base!$Z:$Z, A108, Base!$O:$O, "Concluído"), 0)
    )
  )
)
</f>
        <v>-</v>
      </c>
      <c r="N108" s="120">
        <f>COUNTIF(Base!V:V,$A108)</f>
        <v>0</v>
      </c>
      <c r="O108" s="120">
        <f>COUNTIF(Base!W:W,$A108)</f>
        <v>0</v>
      </c>
      <c r="P108" s="120">
        <f>COUNTIF(Base!X:X,$A108)</f>
        <v>0</v>
      </c>
      <c r="Q108" s="120">
        <f>COUNTIF(Base!Y:Y,$A108)</f>
        <v>0</v>
      </c>
      <c r="R108" s="120">
        <f>COUNTIF(Base!Z:Z,$A108)</f>
        <v>0</v>
      </c>
      <c r="S108" s="120">
        <f t="shared" si="3"/>
        <v>0</v>
      </c>
      <c r="T108" s="120">
        <f t="shared" si="4"/>
        <v>0</v>
      </c>
      <c r="V108" s="293" t="str">
        <f>IF(
  (
    COUNTIF('Acompanhamento quinzenal'!$N:$N, A108) +
    COUNTIF('Acompanhamento quinzenal'!$T:$T, A108) +
    COUNTIF('Acompanhamento quinzenal'!$Z:$Z, A108) +
    COUNTIF('Acompanhamento quinzenal'!$AF:$AF, A108)
  ) = 0,
  "-",
  (
    IFERROR(SUMIFS('Acompanhamento quinzenal'!$S:$S, 'Acompanhamento quinzenal'!$N:$N, A108), 0) +
    IFERROR(SUMIFS('Acompanhamento quinzenal'!$Y:$Y, 'Acompanhamento quinzenal'!$T:$T, A108), 0) +
    IFERROR(SUMIFS('Acompanhamento quinzenal'!$AE:$AE, 'Acompanhamento quinzenal'!$Z:$Z, A108), 0) +
    IFERROR(SUMIFS('Acompanhamento quinzenal'!$AK:$AK, 'Acompanhamento quinzenal'!$AF:$AF, A108), 0)
  ) /
  (
    COUNTIF('Acompanhamento quinzenal'!$N:$N, A108) +
    COUNTIF('Acompanhamento quinzenal'!$T:$T, A108) +
    COUNTIF('Acompanhamento quinzenal'!$Z:$Z, A108) +
    COUNTIF('Acompanhamento quinzenal'!$AF:$AF, A108)
  )
)
</f>
        <v>-</v>
      </c>
      <c r="W108" s="293" t="str">
        <f>IF(
  (
    COUNTIF('Acompanhamento quinzenal'!$N:$N, A108) +
    COUNTIF('Acompanhamento quinzenal'!$T:$T, A108) +
    COUNTIF('Acompanhamento quinzenal'!$Z:$Z, A108) +
    COUNTIF('Acompanhamento quinzenal'!$AF:$AF, A108)
  ) = 0,
  "-",
  (
    IFERROR(SUMIFS('Acompanhamento quinzenal'!$O:$O, 'Acompanhamento quinzenal'!$N:$N, A108), 0) +
    IFERROR(SUMIFS('Acompanhamento quinzenal'!$U:$U, 'Acompanhamento quinzenal'!$T:$T, A108), 0) +
    IFERROR(SUMIFS('Acompanhamento quinzenal'!$AA:$AA, 'Acompanhamento quinzenal'!$Z:$Z, A108), 0) +
    IFERROR(SUMIFS('Acompanhamento quinzenal'!$AG:$AG, 'Acompanhamento quinzenal'!$AF:$AF, A108), 0)
  ) /
  (
    COUNTIF('Acompanhamento quinzenal'!$N:$N, A108) +
    COUNTIF('Acompanhamento quinzenal'!$T:$T, A108) +
    COUNTIF('Acompanhamento quinzenal'!$Z:$Z, A108) +
    COUNTIF('Acompanhamento quinzenal'!$AF:$AF, A108)
  )
)
</f>
        <v>-</v>
      </c>
      <c r="X108" s="294" t="str">
        <f>IF(
  (
    COUNTIF('Acompanhamento quinzenal'!$N:$N, A108) +
    COUNTIF('Acompanhamento quinzenal'!$T:$T, A108) +
    COUNTIF('Acompanhamento quinzenal'!$Z:$Z, A108) +
    COUNTIF('Acompanhamento quinzenal'!$AF:$AF, A108)
  ) = 0,
  "-",
  (
    IFERROR(SUMIFS('Acompanhamento quinzenal'!$P:$P, 'Acompanhamento quinzenal'!$N:$N, A108), 0) +
    IFERROR(SUMIFS('Acompanhamento quinzenal'!$V:$V, 'Acompanhamento quinzenal'!$T:$T, A108), 0) +
    IFERROR(SUMIFS('Acompanhamento quinzenal'!$AB:$AB, 'Acompanhamento quinzenal'!$Z:$Z, A108), 0) +
    IFERROR(SUMIFS('Acompanhamento quinzenal'!$AH:$AH, 'Acompanhamento quinzenal'!$AF:$AF, A108), 0)
  ) /
  (
    COUNTIF('Acompanhamento quinzenal'!$N:$N, A108) +
    COUNTIF('Acompanhamento quinzenal'!$T:$T, A108) +
    COUNTIF('Acompanhamento quinzenal'!$Z:$Z, A108) +
    COUNTIF('Acompanhamento quinzenal'!$AF:$AF, A108)
  )
)
</f>
        <v>-</v>
      </c>
      <c r="Y108" s="293" t="str">
        <f>IF(
  (
    COUNTIF('Acompanhamento quinzenal'!$N:$N, A108) +
    COUNTIF('Acompanhamento quinzenal'!$T:$T, A108) +
    COUNTIF('Acompanhamento quinzenal'!$Z:$Z, A108) +
    COUNTIF('Acompanhamento quinzenal'!$AF:$AF, A108)
  ) = 0,
  "-",
  (
    IFERROR(SUMIFS('Acompanhamento quinzenal'!$Q:$Q, 'Acompanhamento quinzenal'!$N:$N, A108), 0) +
    IFERROR(SUMIFS('Acompanhamento quinzenal'!$W:$W, 'Acompanhamento quinzenal'!$T:$T, A108), 0) +
    IFERROR(SUMIFS('Acompanhamento quinzenal'!$AC:$AC, 'Acompanhamento quinzenal'!$Z:$Z, A108), 0) +
    IFERROR(SUMIFS('Acompanhamento quinzenal'!$AI:$AI, 'Acompanhamento quinzenal'!$AF:$AF, A108), 0)
  ) /
  (
    COUNTIF('Acompanhamento quinzenal'!$N:$N, A108) +
    COUNTIF('Acompanhamento quinzenal'!$T:$T, A108) +
    COUNTIF('Acompanhamento quinzenal'!$Z:$Z, A108) +
    COUNTIF('Acompanhamento quinzenal'!$AF:$AF, A108)
  )
)
</f>
        <v>-</v>
      </c>
    </row>
    <row r="109" hidden="1">
      <c r="A109" s="291" t="str">
        <f>IFERROR(__xludf.DUMMYFUNCTION("""COMPUTED_VALUE"""),"luana.santos")</f>
        <v>luana.santos</v>
      </c>
      <c r="B109" s="120" t="str">
        <f>IFERROR(__xludf.DUMMYFUNCTION("""COMPUTED_VALUE"""),"Trainee")</f>
        <v>Trainee</v>
      </c>
      <c r="C109" s="120" t="str">
        <f>IFERROR(__xludf.DUMMYFUNCTION("""COMPUTED_VALUE"""),"NCiv")</f>
        <v>NCiv</v>
      </c>
      <c r="D109" s="292" t="str">
        <f>IFERROR((COUNTIFS(Base!$V:$V,A109,Base!$S:$S,"&gt;8") - COUNTIFS(Base!$V:$V,A109,Base!$S:$S,"&lt;7"))/COUNTIFS(Base!$V:$V,A109,Base!$S:$S,"&lt;&gt;"),"-")</f>
        <v>-</v>
      </c>
      <c r="E109" s="292" t="str">
        <f>IF(
  (
    COUNTIFS(Base!$W:$W, A109, Base!$S:$S, "&lt;&gt;") +
    COUNTIFS(Base!$X:$X, A109, Base!$S:$S, "&lt;&gt;") +
    COUNTIFS(Base!$Y:$Y, A109, Base!$S:$S, "&lt;&gt;") +
    COUNTIFS(Base!$Z:$Z, A109, Base!$S:$S, "&lt;&gt;")
  ) = 0,
  "-",
  (
    COUNTIFS(Base!$W:$W, A109, Base!$S:$S, "&gt;8") - COUNTIFS(Base!$W:$W, A109, Base!$S:$S, "&lt;7") +
    COUNTIFS(Base!$X:$X, A109, Base!$S:$S, "&gt;8") - COUNTIFS(Base!$X:$X, A109, Base!$S:$S, "&lt;7") +
    COUNTIFS(Base!$Y:$Y, A109, Base!$S:$S, "&gt;8") - COUNTIFS(Base!$Y:$Y, A109, Base!$S:$S, "&lt;7") +
    COUNTIFS(Base!$Z:$Z, A109, Base!$S:$S, "&gt;8") - COUNTIFS(Base!$Z:$Z, A109, Base!$S:$S, "&lt;7")
  ) /
  (
    COUNTIFS(Base!$W:$W, A109, Base!$S:$S, "&lt;&gt;") +
    COUNTIFS(Base!$X:$X, A109, Base!$S:$S, "&lt;&gt;") +
    COUNTIFS(Base!$Y:$Y, A109, Base!$S:$S, "&lt;&gt;") +
    COUNTIFS(Base!$Z:$Z, A109, Base!$S:$S, "&lt;&gt;")
  )
)
</f>
        <v>-</v>
      </c>
      <c r="F109" s="290">
        <f>SUMIFS(Base!$N:$N,Base!$V:$V,A109,Base!$N:$N,"&lt;&gt;")-SUMIFS(Base!$K:$K,Base!$V:$V,A109,Base!$N:$N,"&lt;&gt;")-(SUMIFS(Base!$L:$L,Base!$V:$V,A109,Base!$N:$N,"&lt;&gt;")*7)</f>
        <v>0</v>
      </c>
      <c r="G109" s="290"/>
      <c r="H109" s="290">
        <f>SUMIFS(Base!$F:$F,Base!$V:$V,A109,Base!$N:$N,"&lt;&gt;")*7</f>
        <v>0</v>
      </c>
      <c r="I109" s="290"/>
      <c r="J109" s="292" t="str">
        <f t="shared" ref="J109:K109" si="110">IFERROR(F109/H109,"-")</f>
        <v>-</v>
      </c>
      <c r="K109" s="292" t="str">
        <f t="shared" si="110"/>
        <v>-</v>
      </c>
      <c r="L109" s="292" t="str">
        <f>IFERROR((COUNTIFS(Base!$V:$V,A109,Base!$U:$U,TRUE))/(COUNTIFS(Base!$V:$V,A109,Base!$O:$O,"Finalizado")+COUNTIFS(Base!$V:$V,A109,Base!$O:$O,"Concluído")),"-")</f>
        <v>-</v>
      </c>
      <c r="M109" s="292" t="str">
        <f>IF(
  (
    IFERROR(COUNTIF(Base!$W:$W, A109), 0) +
    IFERROR(COUNTIF(Base!$X:$X, A109), 0) +
    IFERROR(COUNTIF(Base!$Y:$Y, A109), 0) +
    IFERROR(COUNTIF(Base!$Z:$Z, A109), 0)
  ) = 0,
  "-",
  IF(
    (
      IFERROR(COUNTIFS(Base!$W:$W, A109, Base!$O:$O, "Finalizado"), 0) +
      IFERROR(COUNTIFS(Base!$W:$W, A109, Base!$O:$O, "Concluído"), 0) +
      IFERROR(COUNTIFS(Base!$X:$X, A109, Base!$O:$O, "Finalizado"), 0) +
      IFERROR(COUNTIFS(Base!$X:$X, A109, Base!$O:$O, "Concluído"), 0) +
      IFERROR(COUNTIFS(Base!$Y:$Y, A109, Base!$O:$O, "Finalizado"), 0) +
      IFERROR(COUNTIFS(Base!$Y:$Y, A109, Base!$O:$O, "Concluído"), 0) +
      IFERROR(COUNTIFS(Base!$Z:$Z, A109, Base!$O:$O, "Finalizado"), 0) +
      IFERROR(COUNTIFS(Base!$Z:$Z, A109, Base!$O:$O, "Concluído"), 0)
    ) = 0,
    "-",
    (
      IFERROR(COUNTIFS(Base!$W:$W, A109, Base!$U:$U, TRUE), 0) +
      IFERROR(COUNTIFS(Base!$X:$X, A109, Base!$U:$U, TRUE), 0) +
      IFERROR(COUNTIFS(Base!$Y:$Y, A109, Base!$U:$U, TRUE), 0) +
      IFERROR(COUNTIFS(Base!$Z:$Z, A109, Base!$U:$U, TRUE), 0)
    ) /
    (
      IFERROR(COUNTIFS(Base!$W:$W, A109, Base!$O:$O, "Finalizado"), 0) +
      IFERROR(COUNTIFS(Base!$W:$W, A109, Base!$O:$O, "Concluído"), 0) +
      IFERROR(COUNTIFS(Base!$X:$X, A109, Base!$O:$O, "Finalizado"), 0) +
      IFERROR(COUNTIFS(Base!$X:$X, A109, Base!$O:$O, "Concluído"), 0) +
      IFERROR(COUNTIFS(Base!$Y:$Y, A109, Base!$O:$O, "Finalizado"), 0) +
      IFERROR(COUNTIFS(Base!$Y:$Y, A109, Base!$O:$O, "Concluído"), 0) +
      IFERROR(COUNTIFS(Base!$Z:$Z, A109, Base!$O:$O, "Finalizado"), 0) +
      IFERROR(COUNTIFS(Base!$Z:$Z, A109, Base!$O:$O, "Concluído"), 0)
    )
  )
)
</f>
        <v>-</v>
      </c>
      <c r="N109" s="120">
        <f>COUNTIF(Base!V:V,$A109)</f>
        <v>0</v>
      </c>
      <c r="O109" s="120">
        <f>COUNTIF(Base!W:W,$A109)</f>
        <v>0</v>
      </c>
      <c r="P109" s="120">
        <f>COUNTIF(Base!X:X,$A109)</f>
        <v>0</v>
      </c>
      <c r="Q109" s="120">
        <f>COUNTIF(Base!Y:Y,$A109)</f>
        <v>1</v>
      </c>
      <c r="R109" s="120">
        <f>COUNTIF(Base!Z:Z,$A109)</f>
        <v>0</v>
      </c>
      <c r="S109" s="120">
        <f t="shared" si="3"/>
        <v>1</v>
      </c>
      <c r="T109" s="120">
        <f t="shared" si="4"/>
        <v>1</v>
      </c>
      <c r="V109" s="293">
        <f>IF(
  (
    COUNTIF('Acompanhamento quinzenal'!$N:$N, A109) +
    COUNTIF('Acompanhamento quinzenal'!$T:$T, A109) +
    COUNTIF('Acompanhamento quinzenal'!$Z:$Z, A109) +
    COUNTIF('Acompanhamento quinzenal'!$AF:$AF, A109)
  ) = 0,
  "-",
  (
    IFERROR(SUMIFS('Acompanhamento quinzenal'!$S:$S, 'Acompanhamento quinzenal'!$N:$N, A109), 0) +
    IFERROR(SUMIFS('Acompanhamento quinzenal'!$Y:$Y, 'Acompanhamento quinzenal'!$T:$T, A109), 0) +
    IFERROR(SUMIFS('Acompanhamento quinzenal'!$AE:$AE, 'Acompanhamento quinzenal'!$Z:$Z, A109), 0) +
    IFERROR(SUMIFS('Acompanhamento quinzenal'!$AK:$AK, 'Acompanhamento quinzenal'!$AF:$AF, A109), 0)
  ) /
  (
    COUNTIF('Acompanhamento quinzenal'!$N:$N, A109) +
    COUNTIF('Acompanhamento quinzenal'!$T:$T, A109) +
    COUNTIF('Acompanhamento quinzenal'!$Z:$Z, A109) +
    COUNTIF('Acompanhamento quinzenal'!$AF:$AF, A109)
  )
)
</f>
        <v>0</v>
      </c>
      <c r="W109" s="293">
        <f>IF(
  (
    COUNTIF('Acompanhamento quinzenal'!$N:$N, A109) +
    COUNTIF('Acompanhamento quinzenal'!$T:$T, A109) +
    COUNTIF('Acompanhamento quinzenal'!$Z:$Z, A109) +
    COUNTIF('Acompanhamento quinzenal'!$AF:$AF, A109)
  ) = 0,
  "-",
  (
    IFERROR(SUMIFS('Acompanhamento quinzenal'!$O:$O, 'Acompanhamento quinzenal'!$N:$N, A109), 0) +
    IFERROR(SUMIFS('Acompanhamento quinzenal'!$U:$U, 'Acompanhamento quinzenal'!$T:$T, A109), 0) +
    IFERROR(SUMIFS('Acompanhamento quinzenal'!$AA:$AA, 'Acompanhamento quinzenal'!$Z:$Z, A109), 0) +
    IFERROR(SUMIFS('Acompanhamento quinzenal'!$AG:$AG, 'Acompanhamento quinzenal'!$AF:$AF, A109), 0)
  ) /
  (
    COUNTIF('Acompanhamento quinzenal'!$N:$N, A109) +
    COUNTIF('Acompanhamento quinzenal'!$T:$T, A109) +
    COUNTIF('Acompanhamento quinzenal'!$Z:$Z, A109) +
    COUNTIF('Acompanhamento quinzenal'!$AF:$AF, A109)
  )
)
</f>
        <v>3</v>
      </c>
      <c r="X109" s="294">
        <f>IF(
  (
    COUNTIF('Acompanhamento quinzenal'!$N:$N, A109) +
    COUNTIF('Acompanhamento quinzenal'!$T:$T, A109) +
    COUNTIF('Acompanhamento quinzenal'!$Z:$Z, A109) +
    COUNTIF('Acompanhamento quinzenal'!$AF:$AF, A109)
  ) = 0,
  "-",
  (
    IFERROR(SUMIFS('Acompanhamento quinzenal'!$P:$P, 'Acompanhamento quinzenal'!$N:$N, A109), 0) +
    IFERROR(SUMIFS('Acompanhamento quinzenal'!$V:$V, 'Acompanhamento quinzenal'!$T:$T, A109), 0) +
    IFERROR(SUMIFS('Acompanhamento quinzenal'!$AB:$AB, 'Acompanhamento quinzenal'!$Z:$Z, A109), 0) +
    IFERROR(SUMIFS('Acompanhamento quinzenal'!$AH:$AH, 'Acompanhamento quinzenal'!$AF:$AF, A109), 0)
  ) /
  (
    COUNTIF('Acompanhamento quinzenal'!$N:$N, A109) +
    COUNTIF('Acompanhamento quinzenal'!$T:$T, A109) +
    COUNTIF('Acompanhamento quinzenal'!$Z:$Z, A109) +
    COUNTIF('Acompanhamento quinzenal'!$AF:$AF, A109)
  )
)
</f>
        <v>2</v>
      </c>
      <c r="Y109" s="293">
        <f>IF(
  (
    COUNTIF('Acompanhamento quinzenal'!$N:$N, A109) +
    COUNTIF('Acompanhamento quinzenal'!$T:$T, A109) +
    COUNTIF('Acompanhamento quinzenal'!$Z:$Z, A109) +
    COUNTIF('Acompanhamento quinzenal'!$AF:$AF, A109)
  ) = 0,
  "-",
  (
    IFERROR(SUMIFS('Acompanhamento quinzenal'!$Q:$Q, 'Acompanhamento quinzenal'!$N:$N, A109), 0) +
    IFERROR(SUMIFS('Acompanhamento quinzenal'!$W:$W, 'Acompanhamento quinzenal'!$T:$T, A109), 0) +
    IFERROR(SUMIFS('Acompanhamento quinzenal'!$AC:$AC, 'Acompanhamento quinzenal'!$Z:$Z, A109), 0) +
    IFERROR(SUMIFS('Acompanhamento quinzenal'!$AI:$AI, 'Acompanhamento quinzenal'!$AF:$AF, A109), 0)
  ) /
  (
    COUNTIF('Acompanhamento quinzenal'!$N:$N, A109) +
    COUNTIF('Acompanhamento quinzenal'!$T:$T, A109) +
    COUNTIF('Acompanhamento quinzenal'!$Z:$Z, A109) +
    COUNTIF('Acompanhamento quinzenal'!$AF:$AF, A109)
  )
)
</f>
        <v>3</v>
      </c>
    </row>
    <row r="110" hidden="1">
      <c r="A110" s="291" t="str">
        <f>IFERROR(__xludf.DUMMYFUNCTION("""COMPUTED_VALUE"""),"lucas.aguiar")</f>
        <v>lucas.aguiar</v>
      </c>
      <c r="B110" s="120" t="str">
        <f>IFERROR(__xludf.DUMMYFUNCTION("""COMPUTED_VALUE"""),"Consultor")</f>
        <v>Consultor</v>
      </c>
      <c r="C110" s="120" t="str">
        <f>IFERROR(__xludf.DUMMYFUNCTION("""COMPUTED_VALUE"""),"NTec")</f>
        <v>NTec</v>
      </c>
      <c r="D110" s="292">
        <f>IFERROR((COUNTIFS(Base!$V:$V,A110,Base!$S:$S,"&gt;8") - COUNTIFS(Base!$V:$V,A110,Base!$S:$S,"&lt;7"))/COUNTIFS(Base!$V:$V,A110,Base!$S:$S,"&lt;&gt;"),"-")</f>
        <v>1</v>
      </c>
      <c r="E110" s="292">
        <f>IF(
  (
    COUNTIFS(Base!$W:$W, A110, Base!$S:$S, "&lt;&gt;") +
    COUNTIFS(Base!$X:$X, A110, Base!$S:$S, "&lt;&gt;") +
    COUNTIFS(Base!$Y:$Y, A110, Base!$S:$S, "&lt;&gt;") +
    COUNTIFS(Base!$Z:$Z, A110, Base!$S:$S, "&lt;&gt;")
  ) = 0,
  "-",
  (
    COUNTIFS(Base!$W:$W, A110, Base!$S:$S, "&gt;8") - COUNTIFS(Base!$W:$W, A110, Base!$S:$S, "&lt;7") +
    COUNTIFS(Base!$X:$X, A110, Base!$S:$S, "&gt;8") - COUNTIFS(Base!$X:$X, A110, Base!$S:$S, "&lt;7") +
    COUNTIFS(Base!$Y:$Y, A110, Base!$S:$S, "&gt;8") - COUNTIFS(Base!$Y:$Y, A110, Base!$S:$S, "&lt;7") +
    COUNTIFS(Base!$Z:$Z, A110, Base!$S:$S, "&gt;8") - COUNTIFS(Base!$Z:$Z, A110, Base!$S:$S, "&lt;7")
  ) /
  (
    COUNTIFS(Base!$W:$W, A110, Base!$S:$S, "&lt;&gt;") +
    COUNTIFS(Base!$X:$X, A110, Base!$S:$S, "&lt;&gt;") +
    COUNTIFS(Base!$Y:$Y, A110, Base!$S:$S, "&lt;&gt;") +
    COUNTIFS(Base!$Z:$Z, A110, Base!$S:$S, "&lt;&gt;")
  )
)
</f>
        <v>0</v>
      </c>
      <c r="F110" s="290">
        <f>SUMIFS(Base!$N:$N,Base!$V:$V,A110,Base!$N:$N,"&lt;&gt;")-SUMIFS(Base!$K:$K,Base!$V:$V,A110,Base!$N:$N,"&lt;&gt;")-(SUMIFS(Base!$L:$L,Base!$V:$V,A110,Base!$N:$N,"&lt;&gt;")*7)</f>
        <v>7</v>
      </c>
      <c r="G110" s="290"/>
      <c r="H110" s="290">
        <f>SUMIFS(Base!$F:$F,Base!$V:$V,A110,Base!$N:$N,"&lt;&gt;")*7</f>
        <v>7</v>
      </c>
      <c r="I110" s="290"/>
      <c r="J110" s="292">
        <f t="shared" ref="J110:K110" si="111">IFERROR(F110/H110,"-")</f>
        <v>1</v>
      </c>
      <c r="K110" s="292" t="str">
        <f t="shared" si="111"/>
        <v>-</v>
      </c>
      <c r="L110" s="292">
        <f>IFERROR((COUNTIFS(Base!$V:$V,A110,Base!$U:$U,TRUE))/(COUNTIFS(Base!$V:$V,A110,Base!$O:$O,"Finalizado")+COUNTIFS(Base!$V:$V,A110,Base!$O:$O,"Concluído")),"-")</f>
        <v>0</v>
      </c>
      <c r="M110" s="292">
        <f>IF(
  (
    IFERROR(COUNTIF(Base!$W:$W, A110), 0) +
    IFERROR(COUNTIF(Base!$X:$X, A110), 0) +
    IFERROR(COUNTIF(Base!$Y:$Y, A110), 0) +
    IFERROR(COUNTIF(Base!$Z:$Z, A110), 0)
  ) = 0,
  "-",
  IF(
    (
      IFERROR(COUNTIFS(Base!$W:$W, A110, Base!$O:$O, "Finalizado"), 0) +
      IFERROR(COUNTIFS(Base!$W:$W, A110, Base!$O:$O, "Concluído"), 0) +
      IFERROR(COUNTIFS(Base!$X:$X, A110, Base!$O:$O, "Finalizado"), 0) +
      IFERROR(COUNTIFS(Base!$X:$X, A110, Base!$O:$O, "Concluído"), 0) +
      IFERROR(COUNTIFS(Base!$Y:$Y, A110, Base!$O:$O, "Finalizado"), 0) +
      IFERROR(COUNTIFS(Base!$Y:$Y, A110, Base!$O:$O, "Concluído"), 0) +
      IFERROR(COUNTIFS(Base!$Z:$Z, A110, Base!$O:$O, "Finalizado"), 0) +
      IFERROR(COUNTIFS(Base!$Z:$Z, A110, Base!$O:$O, "Concluído"), 0)
    ) = 0,
    "-",
    (
      IFERROR(COUNTIFS(Base!$W:$W, A110, Base!$U:$U, TRUE), 0) +
      IFERROR(COUNTIFS(Base!$X:$X, A110, Base!$U:$U, TRUE), 0) +
      IFERROR(COUNTIFS(Base!$Y:$Y, A110, Base!$U:$U, TRUE), 0) +
      IFERROR(COUNTIFS(Base!$Z:$Z, A110, Base!$U:$U, TRUE), 0)
    ) /
    (
      IFERROR(COUNTIFS(Base!$W:$W, A110, Base!$O:$O, "Finalizado"), 0) +
      IFERROR(COUNTIFS(Base!$W:$W, A110, Base!$O:$O, "Concluído"), 0) +
      IFERROR(COUNTIFS(Base!$X:$X, A110, Base!$O:$O, "Finalizado"), 0) +
      IFERROR(COUNTIFS(Base!$X:$X, A110, Base!$O:$O, "Concluído"), 0) +
      IFERROR(COUNTIFS(Base!$Y:$Y, A110, Base!$O:$O, "Finalizado"), 0) +
      IFERROR(COUNTIFS(Base!$Y:$Y, A110, Base!$O:$O, "Concluído"), 0) +
      IFERROR(COUNTIFS(Base!$Z:$Z, A110, Base!$O:$O, "Finalizado"), 0) +
      IFERROR(COUNTIFS(Base!$Z:$Z, A110, Base!$O:$O, "Concluído"), 0)
    )
  )
)
</f>
        <v>0</v>
      </c>
      <c r="N110" s="120">
        <f>COUNTIF(Base!V:V,$A110)</f>
        <v>4</v>
      </c>
      <c r="O110" s="120">
        <f>COUNTIF(Base!W:W,$A110)</f>
        <v>0</v>
      </c>
      <c r="P110" s="120">
        <f>COUNTIF(Base!X:X,$A110)</f>
        <v>0</v>
      </c>
      <c r="Q110" s="120">
        <f>COUNTIF(Base!Y:Y,$A110)</f>
        <v>2</v>
      </c>
      <c r="R110" s="120">
        <f>COUNTIF(Base!Z:Z,$A110)</f>
        <v>0</v>
      </c>
      <c r="S110" s="120">
        <f t="shared" si="3"/>
        <v>6</v>
      </c>
      <c r="T110" s="120">
        <f t="shared" si="4"/>
        <v>2</v>
      </c>
      <c r="V110" s="293" t="str">
        <f>IF(
  (
    COUNTIF('Acompanhamento quinzenal'!$N:$N, A110) +
    COUNTIF('Acompanhamento quinzenal'!$T:$T, A110) +
    COUNTIF('Acompanhamento quinzenal'!$Z:$Z, A110) +
    COUNTIF('Acompanhamento quinzenal'!$AF:$AF, A110)
  ) = 0,
  "-",
  (
    IFERROR(SUMIFS('Acompanhamento quinzenal'!$S:$S, 'Acompanhamento quinzenal'!$N:$N, A110), 0) +
    IFERROR(SUMIFS('Acompanhamento quinzenal'!$Y:$Y, 'Acompanhamento quinzenal'!$T:$T, A110), 0) +
    IFERROR(SUMIFS('Acompanhamento quinzenal'!$AE:$AE, 'Acompanhamento quinzenal'!$Z:$Z, A110), 0) +
    IFERROR(SUMIFS('Acompanhamento quinzenal'!$AK:$AK, 'Acompanhamento quinzenal'!$AF:$AF, A110), 0)
  ) /
  (
    COUNTIF('Acompanhamento quinzenal'!$N:$N, A110) +
    COUNTIF('Acompanhamento quinzenal'!$T:$T, A110) +
    COUNTIF('Acompanhamento quinzenal'!$Z:$Z, A110) +
    COUNTIF('Acompanhamento quinzenal'!$AF:$AF, A110)
  )
)
</f>
        <v>-</v>
      </c>
      <c r="W110" s="293" t="str">
        <f>IF(
  (
    COUNTIF('Acompanhamento quinzenal'!$N:$N, A110) +
    COUNTIF('Acompanhamento quinzenal'!$T:$T, A110) +
    COUNTIF('Acompanhamento quinzenal'!$Z:$Z, A110) +
    COUNTIF('Acompanhamento quinzenal'!$AF:$AF, A110)
  ) = 0,
  "-",
  (
    IFERROR(SUMIFS('Acompanhamento quinzenal'!$O:$O, 'Acompanhamento quinzenal'!$N:$N, A110), 0) +
    IFERROR(SUMIFS('Acompanhamento quinzenal'!$U:$U, 'Acompanhamento quinzenal'!$T:$T, A110), 0) +
    IFERROR(SUMIFS('Acompanhamento quinzenal'!$AA:$AA, 'Acompanhamento quinzenal'!$Z:$Z, A110), 0) +
    IFERROR(SUMIFS('Acompanhamento quinzenal'!$AG:$AG, 'Acompanhamento quinzenal'!$AF:$AF, A110), 0)
  ) /
  (
    COUNTIF('Acompanhamento quinzenal'!$N:$N, A110) +
    COUNTIF('Acompanhamento quinzenal'!$T:$T, A110) +
    COUNTIF('Acompanhamento quinzenal'!$Z:$Z, A110) +
    COUNTIF('Acompanhamento quinzenal'!$AF:$AF, A110)
  )
)
</f>
        <v>-</v>
      </c>
      <c r="X110" s="294" t="str">
        <f>IF(
  (
    COUNTIF('Acompanhamento quinzenal'!$N:$N, A110) +
    COUNTIF('Acompanhamento quinzenal'!$T:$T, A110) +
    COUNTIF('Acompanhamento quinzenal'!$Z:$Z, A110) +
    COUNTIF('Acompanhamento quinzenal'!$AF:$AF, A110)
  ) = 0,
  "-",
  (
    IFERROR(SUMIFS('Acompanhamento quinzenal'!$P:$P, 'Acompanhamento quinzenal'!$N:$N, A110), 0) +
    IFERROR(SUMIFS('Acompanhamento quinzenal'!$V:$V, 'Acompanhamento quinzenal'!$T:$T, A110), 0) +
    IFERROR(SUMIFS('Acompanhamento quinzenal'!$AB:$AB, 'Acompanhamento quinzenal'!$Z:$Z, A110), 0) +
    IFERROR(SUMIFS('Acompanhamento quinzenal'!$AH:$AH, 'Acompanhamento quinzenal'!$AF:$AF, A110), 0)
  ) /
  (
    COUNTIF('Acompanhamento quinzenal'!$N:$N, A110) +
    COUNTIF('Acompanhamento quinzenal'!$T:$T, A110) +
    COUNTIF('Acompanhamento quinzenal'!$Z:$Z, A110) +
    COUNTIF('Acompanhamento quinzenal'!$AF:$AF, A110)
  )
)
</f>
        <v>-</v>
      </c>
      <c r="Y110" s="293" t="str">
        <f>IF(
  (
    COUNTIF('Acompanhamento quinzenal'!$N:$N, A110) +
    COUNTIF('Acompanhamento quinzenal'!$T:$T, A110) +
    COUNTIF('Acompanhamento quinzenal'!$Z:$Z, A110) +
    COUNTIF('Acompanhamento quinzenal'!$AF:$AF, A110)
  ) = 0,
  "-",
  (
    IFERROR(SUMIFS('Acompanhamento quinzenal'!$Q:$Q, 'Acompanhamento quinzenal'!$N:$N, A110), 0) +
    IFERROR(SUMIFS('Acompanhamento quinzenal'!$W:$W, 'Acompanhamento quinzenal'!$T:$T, A110), 0) +
    IFERROR(SUMIFS('Acompanhamento quinzenal'!$AC:$AC, 'Acompanhamento quinzenal'!$Z:$Z, A110), 0) +
    IFERROR(SUMIFS('Acompanhamento quinzenal'!$AI:$AI, 'Acompanhamento quinzenal'!$AF:$AF, A110), 0)
  ) /
  (
    COUNTIF('Acompanhamento quinzenal'!$N:$N, A110) +
    COUNTIF('Acompanhamento quinzenal'!$T:$T, A110) +
    COUNTIF('Acompanhamento quinzenal'!$Z:$Z, A110) +
    COUNTIF('Acompanhamento quinzenal'!$AF:$AF, A110)
  )
)
</f>
        <v>-</v>
      </c>
    </row>
    <row r="111" hidden="1">
      <c r="A111" s="291" t="str">
        <f>IFERROR(__xludf.DUMMYFUNCTION("""COMPUTED_VALUE"""),"lucas.munerato")</f>
        <v>lucas.munerato</v>
      </c>
      <c r="B111" s="120" t="str">
        <f>IFERROR(__xludf.DUMMYFUNCTION("""COMPUTED_VALUE"""),"Trainee")</f>
        <v>Trainee</v>
      </c>
      <c r="C111" s="120" t="str">
        <f>IFERROR(__xludf.DUMMYFUNCTION("""COMPUTED_VALUE"""),"NTec")</f>
        <v>NTec</v>
      </c>
      <c r="D111" s="292" t="str">
        <f>IFERROR((COUNTIFS(Base!$V:$V,A111,Base!$S:$S,"&gt;8") - COUNTIFS(Base!$V:$V,A111,Base!$S:$S,"&lt;7"))/COUNTIFS(Base!$V:$V,A111,Base!$S:$S,"&lt;&gt;"),"-")</f>
        <v>-</v>
      </c>
      <c r="E111" s="292" t="str">
        <f>IF(
  (
    COUNTIFS(Base!$W:$W, A111, Base!$S:$S, "&lt;&gt;") +
    COUNTIFS(Base!$X:$X, A111, Base!$S:$S, "&lt;&gt;") +
    COUNTIFS(Base!$Y:$Y, A111, Base!$S:$S, "&lt;&gt;") +
    COUNTIFS(Base!$Z:$Z, A111, Base!$S:$S, "&lt;&gt;")
  ) = 0,
  "-",
  (
    COUNTIFS(Base!$W:$W, A111, Base!$S:$S, "&gt;8") - COUNTIFS(Base!$W:$W, A111, Base!$S:$S, "&lt;7") +
    COUNTIFS(Base!$X:$X, A111, Base!$S:$S, "&gt;8") - COUNTIFS(Base!$X:$X, A111, Base!$S:$S, "&lt;7") +
    COUNTIFS(Base!$Y:$Y, A111, Base!$S:$S, "&gt;8") - COUNTIFS(Base!$Y:$Y, A111, Base!$S:$S, "&lt;7") +
    COUNTIFS(Base!$Z:$Z, A111, Base!$S:$S, "&gt;8") - COUNTIFS(Base!$Z:$Z, A111, Base!$S:$S, "&lt;7")
  ) /
  (
    COUNTIFS(Base!$W:$W, A111, Base!$S:$S, "&lt;&gt;") +
    COUNTIFS(Base!$X:$X, A111, Base!$S:$S, "&lt;&gt;") +
    COUNTIFS(Base!$Y:$Y, A111, Base!$S:$S, "&lt;&gt;") +
    COUNTIFS(Base!$Z:$Z, A111, Base!$S:$S, "&lt;&gt;")
  )
)
</f>
        <v>-</v>
      </c>
      <c r="F111" s="290">
        <f>SUMIFS(Base!$N:$N,Base!$V:$V,A111,Base!$N:$N,"&lt;&gt;")-SUMIFS(Base!$K:$K,Base!$V:$V,A111,Base!$N:$N,"&lt;&gt;")-(SUMIFS(Base!$L:$L,Base!$V:$V,A111,Base!$N:$N,"&lt;&gt;")*7)</f>
        <v>0</v>
      </c>
      <c r="G111" s="290"/>
      <c r="H111" s="290">
        <f>SUMIFS(Base!$F:$F,Base!$V:$V,A111,Base!$N:$N,"&lt;&gt;")*7</f>
        <v>0</v>
      </c>
      <c r="I111" s="290"/>
      <c r="J111" s="292" t="str">
        <f t="shared" ref="J111:K111" si="112">IFERROR(F111/H111,"-")</f>
        <v>-</v>
      </c>
      <c r="K111" s="292" t="str">
        <f t="shared" si="112"/>
        <v>-</v>
      </c>
      <c r="L111" s="292" t="str">
        <f>IFERROR((COUNTIFS(Base!$V:$V,A111,Base!$U:$U,TRUE))/(COUNTIFS(Base!$V:$V,A111,Base!$O:$O,"Finalizado")+COUNTIFS(Base!$V:$V,A111,Base!$O:$O,"Concluído")),"-")</f>
        <v>-</v>
      </c>
      <c r="M111" s="292" t="str">
        <f>IF(
  (
    IFERROR(COUNTIF(Base!$W:$W, A111), 0) +
    IFERROR(COUNTIF(Base!$X:$X, A111), 0) +
    IFERROR(COUNTIF(Base!$Y:$Y, A111), 0) +
    IFERROR(COUNTIF(Base!$Z:$Z, A111), 0)
  ) = 0,
  "-",
  IF(
    (
      IFERROR(COUNTIFS(Base!$W:$W, A111, Base!$O:$O, "Finalizado"), 0) +
      IFERROR(COUNTIFS(Base!$W:$W, A111, Base!$O:$O, "Concluído"), 0) +
      IFERROR(COUNTIFS(Base!$X:$X, A111, Base!$O:$O, "Finalizado"), 0) +
      IFERROR(COUNTIFS(Base!$X:$X, A111, Base!$O:$O, "Concluído"), 0) +
      IFERROR(COUNTIFS(Base!$Y:$Y, A111, Base!$O:$O, "Finalizado"), 0) +
      IFERROR(COUNTIFS(Base!$Y:$Y, A111, Base!$O:$O, "Concluído"), 0) +
      IFERROR(COUNTIFS(Base!$Z:$Z, A111, Base!$O:$O, "Finalizado"), 0) +
      IFERROR(COUNTIFS(Base!$Z:$Z, A111, Base!$O:$O, "Concluído"), 0)
    ) = 0,
    "-",
    (
      IFERROR(COUNTIFS(Base!$W:$W, A111, Base!$U:$U, TRUE), 0) +
      IFERROR(COUNTIFS(Base!$X:$X, A111, Base!$U:$U, TRUE), 0) +
      IFERROR(COUNTIFS(Base!$Y:$Y, A111, Base!$U:$U, TRUE), 0) +
      IFERROR(COUNTIFS(Base!$Z:$Z, A111, Base!$U:$U, TRUE), 0)
    ) /
    (
      IFERROR(COUNTIFS(Base!$W:$W, A111, Base!$O:$O, "Finalizado"), 0) +
      IFERROR(COUNTIFS(Base!$W:$W, A111, Base!$O:$O, "Concluído"), 0) +
      IFERROR(COUNTIFS(Base!$X:$X, A111, Base!$O:$O, "Finalizado"), 0) +
      IFERROR(COUNTIFS(Base!$X:$X, A111, Base!$O:$O, "Concluído"), 0) +
      IFERROR(COUNTIFS(Base!$Y:$Y, A111, Base!$O:$O, "Finalizado"), 0) +
      IFERROR(COUNTIFS(Base!$Y:$Y, A111, Base!$O:$O, "Concluído"), 0) +
      IFERROR(COUNTIFS(Base!$Z:$Z, A111, Base!$O:$O, "Finalizado"), 0) +
      IFERROR(COUNTIFS(Base!$Z:$Z, A111, Base!$O:$O, "Concluído"), 0)
    )
  )
)
</f>
        <v>-</v>
      </c>
      <c r="N111" s="120">
        <f>COUNTIF(Base!V:V,$A111)</f>
        <v>0</v>
      </c>
      <c r="O111" s="120">
        <f>COUNTIF(Base!W:W,$A111)</f>
        <v>0</v>
      </c>
      <c r="P111" s="120">
        <f>COUNTIF(Base!X:X,$A111)</f>
        <v>0</v>
      </c>
      <c r="Q111" s="120">
        <f>COUNTIF(Base!Y:Y,$A111)</f>
        <v>0</v>
      </c>
      <c r="R111" s="120">
        <f>COUNTIF(Base!Z:Z,$A111)</f>
        <v>0</v>
      </c>
      <c r="S111" s="120">
        <f t="shared" si="3"/>
        <v>0</v>
      </c>
      <c r="T111" s="120">
        <f t="shared" si="4"/>
        <v>0</v>
      </c>
      <c r="V111" s="293" t="str">
        <f>IF(
  (
    COUNTIF('Acompanhamento quinzenal'!$N:$N, A111) +
    COUNTIF('Acompanhamento quinzenal'!$T:$T, A111) +
    COUNTIF('Acompanhamento quinzenal'!$Z:$Z, A111) +
    COUNTIF('Acompanhamento quinzenal'!$AF:$AF, A111)
  ) = 0,
  "-",
  (
    IFERROR(SUMIFS('Acompanhamento quinzenal'!$S:$S, 'Acompanhamento quinzenal'!$N:$N, A111), 0) +
    IFERROR(SUMIFS('Acompanhamento quinzenal'!$Y:$Y, 'Acompanhamento quinzenal'!$T:$T, A111), 0) +
    IFERROR(SUMIFS('Acompanhamento quinzenal'!$AE:$AE, 'Acompanhamento quinzenal'!$Z:$Z, A111), 0) +
    IFERROR(SUMIFS('Acompanhamento quinzenal'!$AK:$AK, 'Acompanhamento quinzenal'!$AF:$AF, A111), 0)
  ) /
  (
    COUNTIF('Acompanhamento quinzenal'!$N:$N, A111) +
    COUNTIF('Acompanhamento quinzenal'!$T:$T, A111) +
    COUNTIF('Acompanhamento quinzenal'!$Z:$Z, A111) +
    COUNTIF('Acompanhamento quinzenal'!$AF:$AF, A111)
  )
)
</f>
        <v>-</v>
      </c>
      <c r="W111" s="293" t="str">
        <f>IF(
  (
    COUNTIF('Acompanhamento quinzenal'!$N:$N, A111) +
    COUNTIF('Acompanhamento quinzenal'!$T:$T, A111) +
    COUNTIF('Acompanhamento quinzenal'!$Z:$Z, A111) +
    COUNTIF('Acompanhamento quinzenal'!$AF:$AF, A111)
  ) = 0,
  "-",
  (
    IFERROR(SUMIFS('Acompanhamento quinzenal'!$O:$O, 'Acompanhamento quinzenal'!$N:$N, A111), 0) +
    IFERROR(SUMIFS('Acompanhamento quinzenal'!$U:$U, 'Acompanhamento quinzenal'!$T:$T, A111), 0) +
    IFERROR(SUMIFS('Acompanhamento quinzenal'!$AA:$AA, 'Acompanhamento quinzenal'!$Z:$Z, A111), 0) +
    IFERROR(SUMIFS('Acompanhamento quinzenal'!$AG:$AG, 'Acompanhamento quinzenal'!$AF:$AF, A111), 0)
  ) /
  (
    COUNTIF('Acompanhamento quinzenal'!$N:$N, A111) +
    COUNTIF('Acompanhamento quinzenal'!$T:$T, A111) +
    COUNTIF('Acompanhamento quinzenal'!$Z:$Z, A111) +
    COUNTIF('Acompanhamento quinzenal'!$AF:$AF, A111)
  )
)
</f>
        <v>-</v>
      </c>
      <c r="X111" s="294" t="str">
        <f>IF(
  (
    COUNTIF('Acompanhamento quinzenal'!$N:$N, A111) +
    COUNTIF('Acompanhamento quinzenal'!$T:$T, A111) +
    COUNTIF('Acompanhamento quinzenal'!$Z:$Z, A111) +
    COUNTIF('Acompanhamento quinzenal'!$AF:$AF, A111)
  ) = 0,
  "-",
  (
    IFERROR(SUMIFS('Acompanhamento quinzenal'!$P:$P, 'Acompanhamento quinzenal'!$N:$N, A111), 0) +
    IFERROR(SUMIFS('Acompanhamento quinzenal'!$V:$V, 'Acompanhamento quinzenal'!$T:$T, A111), 0) +
    IFERROR(SUMIFS('Acompanhamento quinzenal'!$AB:$AB, 'Acompanhamento quinzenal'!$Z:$Z, A111), 0) +
    IFERROR(SUMIFS('Acompanhamento quinzenal'!$AH:$AH, 'Acompanhamento quinzenal'!$AF:$AF, A111), 0)
  ) /
  (
    COUNTIF('Acompanhamento quinzenal'!$N:$N, A111) +
    COUNTIF('Acompanhamento quinzenal'!$T:$T, A111) +
    COUNTIF('Acompanhamento quinzenal'!$Z:$Z, A111) +
    COUNTIF('Acompanhamento quinzenal'!$AF:$AF, A111)
  )
)
</f>
        <v>-</v>
      </c>
      <c r="Y111" s="293" t="str">
        <f>IF(
  (
    COUNTIF('Acompanhamento quinzenal'!$N:$N, A111) +
    COUNTIF('Acompanhamento quinzenal'!$T:$T, A111) +
    COUNTIF('Acompanhamento quinzenal'!$Z:$Z, A111) +
    COUNTIF('Acompanhamento quinzenal'!$AF:$AF, A111)
  ) = 0,
  "-",
  (
    IFERROR(SUMIFS('Acompanhamento quinzenal'!$Q:$Q, 'Acompanhamento quinzenal'!$N:$N, A111), 0) +
    IFERROR(SUMIFS('Acompanhamento quinzenal'!$W:$W, 'Acompanhamento quinzenal'!$T:$T, A111), 0) +
    IFERROR(SUMIFS('Acompanhamento quinzenal'!$AC:$AC, 'Acompanhamento quinzenal'!$Z:$Z, A111), 0) +
    IFERROR(SUMIFS('Acompanhamento quinzenal'!$AI:$AI, 'Acompanhamento quinzenal'!$AF:$AF, A111), 0)
  ) /
  (
    COUNTIF('Acompanhamento quinzenal'!$N:$N, A111) +
    COUNTIF('Acompanhamento quinzenal'!$T:$T, A111) +
    COUNTIF('Acompanhamento quinzenal'!$Z:$Z, A111) +
    COUNTIF('Acompanhamento quinzenal'!$AF:$AF, A111)
  )
)
</f>
        <v>-</v>
      </c>
    </row>
    <row r="112" hidden="1">
      <c r="A112" s="291" t="str">
        <f>IFERROR(__xludf.DUMMYFUNCTION("""COMPUTED_VALUE"""),"lucas.cavalcante")</f>
        <v>lucas.cavalcante</v>
      </c>
      <c r="B112" s="120" t="str">
        <f>IFERROR(__xludf.DUMMYFUNCTION("""COMPUTED_VALUE"""),"Trainee")</f>
        <v>Trainee</v>
      </c>
      <c r="C112" s="120" t="str">
        <f>IFERROR(__xludf.DUMMYFUNCTION("""COMPUTED_VALUE"""),"NTec")</f>
        <v>NTec</v>
      </c>
      <c r="D112" s="292" t="str">
        <f>IFERROR((COUNTIFS(Base!$V:$V,A112,Base!$S:$S,"&gt;8") - COUNTIFS(Base!$V:$V,A112,Base!$S:$S,"&lt;7"))/COUNTIFS(Base!$V:$V,A112,Base!$S:$S,"&lt;&gt;"),"-")</f>
        <v>-</v>
      </c>
      <c r="E112" s="292" t="str">
        <f>IF(
  (
    COUNTIFS(Base!$W:$W, A112, Base!$S:$S, "&lt;&gt;") +
    COUNTIFS(Base!$X:$X, A112, Base!$S:$S, "&lt;&gt;") +
    COUNTIFS(Base!$Y:$Y, A112, Base!$S:$S, "&lt;&gt;") +
    COUNTIFS(Base!$Z:$Z, A112, Base!$S:$S, "&lt;&gt;")
  ) = 0,
  "-",
  (
    COUNTIFS(Base!$W:$W, A112, Base!$S:$S, "&gt;8") - COUNTIFS(Base!$W:$W, A112, Base!$S:$S, "&lt;7") +
    COUNTIFS(Base!$X:$X, A112, Base!$S:$S, "&gt;8") - COUNTIFS(Base!$X:$X, A112, Base!$S:$S, "&lt;7") +
    COUNTIFS(Base!$Y:$Y, A112, Base!$S:$S, "&gt;8") - COUNTIFS(Base!$Y:$Y, A112, Base!$S:$S, "&lt;7") +
    COUNTIFS(Base!$Z:$Z, A112, Base!$S:$S, "&gt;8") - COUNTIFS(Base!$Z:$Z, A112, Base!$S:$S, "&lt;7")
  ) /
  (
    COUNTIFS(Base!$W:$W, A112, Base!$S:$S, "&lt;&gt;") +
    COUNTIFS(Base!$X:$X, A112, Base!$S:$S, "&lt;&gt;") +
    COUNTIFS(Base!$Y:$Y, A112, Base!$S:$S, "&lt;&gt;") +
    COUNTIFS(Base!$Z:$Z, A112, Base!$S:$S, "&lt;&gt;")
  )
)
</f>
        <v>-</v>
      </c>
      <c r="F112" s="290">
        <f>SUMIFS(Base!$N:$N,Base!$V:$V,A112,Base!$N:$N,"&lt;&gt;")-SUMIFS(Base!$K:$K,Base!$V:$V,A112,Base!$N:$N,"&lt;&gt;")-(SUMIFS(Base!$L:$L,Base!$V:$V,A112,Base!$N:$N,"&lt;&gt;")*7)</f>
        <v>0</v>
      </c>
      <c r="G112" s="290"/>
      <c r="H112" s="290">
        <f>SUMIFS(Base!$F:$F,Base!$V:$V,A112,Base!$N:$N,"&lt;&gt;")*7</f>
        <v>0</v>
      </c>
      <c r="I112" s="290"/>
      <c r="J112" s="292" t="str">
        <f t="shared" ref="J112:K112" si="113">IFERROR(F112/H112,"-")</f>
        <v>-</v>
      </c>
      <c r="K112" s="292" t="str">
        <f t="shared" si="113"/>
        <v>-</v>
      </c>
      <c r="L112" s="292" t="str">
        <f>IFERROR((COUNTIFS(Base!$V:$V,A112,Base!$U:$U,TRUE))/(COUNTIFS(Base!$V:$V,A112,Base!$O:$O,"Finalizado")+COUNTIFS(Base!$V:$V,A112,Base!$O:$O,"Concluído")),"-")</f>
        <v>-</v>
      </c>
      <c r="M112" s="292" t="str">
        <f>IF(
  (
    IFERROR(COUNTIF(Base!$W:$W, A112), 0) +
    IFERROR(COUNTIF(Base!$X:$X, A112), 0) +
    IFERROR(COUNTIF(Base!$Y:$Y, A112), 0) +
    IFERROR(COUNTIF(Base!$Z:$Z, A112), 0)
  ) = 0,
  "-",
  IF(
    (
      IFERROR(COUNTIFS(Base!$W:$W, A112, Base!$O:$O, "Finalizado"), 0) +
      IFERROR(COUNTIFS(Base!$W:$W, A112, Base!$O:$O, "Concluído"), 0) +
      IFERROR(COUNTIFS(Base!$X:$X, A112, Base!$O:$O, "Finalizado"), 0) +
      IFERROR(COUNTIFS(Base!$X:$X, A112, Base!$O:$O, "Concluído"), 0) +
      IFERROR(COUNTIFS(Base!$Y:$Y, A112, Base!$O:$O, "Finalizado"), 0) +
      IFERROR(COUNTIFS(Base!$Y:$Y, A112, Base!$O:$O, "Concluído"), 0) +
      IFERROR(COUNTIFS(Base!$Z:$Z, A112, Base!$O:$O, "Finalizado"), 0) +
      IFERROR(COUNTIFS(Base!$Z:$Z, A112, Base!$O:$O, "Concluído"), 0)
    ) = 0,
    "-",
    (
      IFERROR(COUNTIFS(Base!$W:$W, A112, Base!$U:$U, TRUE), 0) +
      IFERROR(COUNTIFS(Base!$X:$X, A112, Base!$U:$U, TRUE), 0) +
      IFERROR(COUNTIFS(Base!$Y:$Y, A112, Base!$U:$U, TRUE), 0) +
      IFERROR(COUNTIFS(Base!$Z:$Z, A112, Base!$U:$U, TRUE), 0)
    ) /
    (
      IFERROR(COUNTIFS(Base!$W:$W, A112, Base!$O:$O, "Finalizado"), 0) +
      IFERROR(COUNTIFS(Base!$W:$W, A112, Base!$O:$O, "Concluído"), 0) +
      IFERROR(COUNTIFS(Base!$X:$X, A112, Base!$O:$O, "Finalizado"), 0) +
      IFERROR(COUNTIFS(Base!$X:$X, A112, Base!$O:$O, "Concluído"), 0) +
      IFERROR(COUNTIFS(Base!$Y:$Y, A112, Base!$O:$O, "Finalizado"), 0) +
      IFERROR(COUNTIFS(Base!$Y:$Y, A112, Base!$O:$O, "Concluído"), 0) +
      IFERROR(COUNTIFS(Base!$Z:$Z, A112, Base!$O:$O, "Finalizado"), 0) +
      IFERROR(COUNTIFS(Base!$Z:$Z, A112, Base!$O:$O, "Concluído"), 0)
    )
  )
)
</f>
        <v>-</v>
      </c>
      <c r="N112" s="120">
        <f>COUNTIF(Base!V:V,$A112)</f>
        <v>0</v>
      </c>
      <c r="O112" s="120">
        <f>COUNTIF(Base!W:W,$A112)</f>
        <v>0</v>
      </c>
      <c r="P112" s="120">
        <f>COUNTIF(Base!X:X,$A112)</f>
        <v>0</v>
      </c>
      <c r="Q112" s="120">
        <f>COUNTIF(Base!Y:Y,$A112)</f>
        <v>0</v>
      </c>
      <c r="R112" s="120">
        <f>COUNTIF(Base!Z:Z,$A112)</f>
        <v>0</v>
      </c>
      <c r="S112" s="120">
        <f t="shared" si="3"/>
        <v>0</v>
      </c>
      <c r="T112" s="120">
        <f t="shared" si="4"/>
        <v>0</v>
      </c>
      <c r="V112" s="293" t="str">
        <f>IF(
  (
    COUNTIF('Acompanhamento quinzenal'!$N:$N, A112) +
    COUNTIF('Acompanhamento quinzenal'!$T:$T, A112) +
    COUNTIF('Acompanhamento quinzenal'!$Z:$Z, A112) +
    COUNTIF('Acompanhamento quinzenal'!$AF:$AF, A112)
  ) = 0,
  "-",
  (
    IFERROR(SUMIFS('Acompanhamento quinzenal'!$S:$S, 'Acompanhamento quinzenal'!$N:$N, A112), 0) +
    IFERROR(SUMIFS('Acompanhamento quinzenal'!$Y:$Y, 'Acompanhamento quinzenal'!$T:$T, A112), 0) +
    IFERROR(SUMIFS('Acompanhamento quinzenal'!$AE:$AE, 'Acompanhamento quinzenal'!$Z:$Z, A112), 0) +
    IFERROR(SUMIFS('Acompanhamento quinzenal'!$AK:$AK, 'Acompanhamento quinzenal'!$AF:$AF, A112), 0)
  ) /
  (
    COUNTIF('Acompanhamento quinzenal'!$N:$N, A112) +
    COUNTIF('Acompanhamento quinzenal'!$T:$T, A112) +
    COUNTIF('Acompanhamento quinzenal'!$Z:$Z, A112) +
    COUNTIF('Acompanhamento quinzenal'!$AF:$AF, A112)
  )
)
</f>
        <v>-</v>
      </c>
      <c r="W112" s="293" t="str">
        <f>IF(
  (
    COUNTIF('Acompanhamento quinzenal'!$N:$N, A112) +
    COUNTIF('Acompanhamento quinzenal'!$T:$T, A112) +
    COUNTIF('Acompanhamento quinzenal'!$Z:$Z, A112) +
    COUNTIF('Acompanhamento quinzenal'!$AF:$AF, A112)
  ) = 0,
  "-",
  (
    IFERROR(SUMIFS('Acompanhamento quinzenal'!$O:$O, 'Acompanhamento quinzenal'!$N:$N, A112), 0) +
    IFERROR(SUMIFS('Acompanhamento quinzenal'!$U:$U, 'Acompanhamento quinzenal'!$T:$T, A112), 0) +
    IFERROR(SUMIFS('Acompanhamento quinzenal'!$AA:$AA, 'Acompanhamento quinzenal'!$Z:$Z, A112), 0) +
    IFERROR(SUMIFS('Acompanhamento quinzenal'!$AG:$AG, 'Acompanhamento quinzenal'!$AF:$AF, A112), 0)
  ) /
  (
    COUNTIF('Acompanhamento quinzenal'!$N:$N, A112) +
    COUNTIF('Acompanhamento quinzenal'!$T:$T, A112) +
    COUNTIF('Acompanhamento quinzenal'!$Z:$Z, A112) +
    COUNTIF('Acompanhamento quinzenal'!$AF:$AF, A112)
  )
)
</f>
        <v>-</v>
      </c>
      <c r="X112" s="294" t="str">
        <f>IF(
  (
    COUNTIF('Acompanhamento quinzenal'!$N:$N, A112) +
    COUNTIF('Acompanhamento quinzenal'!$T:$T, A112) +
    COUNTIF('Acompanhamento quinzenal'!$Z:$Z, A112) +
    COUNTIF('Acompanhamento quinzenal'!$AF:$AF, A112)
  ) = 0,
  "-",
  (
    IFERROR(SUMIFS('Acompanhamento quinzenal'!$P:$P, 'Acompanhamento quinzenal'!$N:$N, A112), 0) +
    IFERROR(SUMIFS('Acompanhamento quinzenal'!$V:$V, 'Acompanhamento quinzenal'!$T:$T, A112), 0) +
    IFERROR(SUMIFS('Acompanhamento quinzenal'!$AB:$AB, 'Acompanhamento quinzenal'!$Z:$Z, A112), 0) +
    IFERROR(SUMIFS('Acompanhamento quinzenal'!$AH:$AH, 'Acompanhamento quinzenal'!$AF:$AF, A112), 0)
  ) /
  (
    COUNTIF('Acompanhamento quinzenal'!$N:$N, A112) +
    COUNTIF('Acompanhamento quinzenal'!$T:$T, A112) +
    COUNTIF('Acompanhamento quinzenal'!$Z:$Z, A112) +
    COUNTIF('Acompanhamento quinzenal'!$AF:$AF, A112)
  )
)
</f>
        <v>-</v>
      </c>
      <c r="Y112" s="293" t="str">
        <f>IF(
  (
    COUNTIF('Acompanhamento quinzenal'!$N:$N, A112) +
    COUNTIF('Acompanhamento quinzenal'!$T:$T, A112) +
    COUNTIF('Acompanhamento quinzenal'!$Z:$Z, A112) +
    COUNTIF('Acompanhamento quinzenal'!$AF:$AF, A112)
  ) = 0,
  "-",
  (
    IFERROR(SUMIFS('Acompanhamento quinzenal'!$Q:$Q, 'Acompanhamento quinzenal'!$N:$N, A112), 0) +
    IFERROR(SUMIFS('Acompanhamento quinzenal'!$W:$W, 'Acompanhamento quinzenal'!$T:$T, A112), 0) +
    IFERROR(SUMIFS('Acompanhamento quinzenal'!$AC:$AC, 'Acompanhamento quinzenal'!$Z:$Z, A112), 0) +
    IFERROR(SUMIFS('Acompanhamento quinzenal'!$AI:$AI, 'Acompanhamento quinzenal'!$AF:$AF, A112), 0)
  ) /
  (
    COUNTIF('Acompanhamento quinzenal'!$N:$N, A112) +
    COUNTIF('Acompanhamento quinzenal'!$T:$T, A112) +
    COUNTIF('Acompanhamento quinzenal'!$Z:$Z, A112) +
    COUNTIF('Acompanhamento quinzenal'!$AF:$AF, A112)
  )
)
</f>
        <v>-</v>
      </c>
    </row>
    <row r="113" hidden="1">
      <c r="A113" s="291" t="str">
        <f>IFERROR(__xludf.DUMMYFUNCTION("""COMPUTED_VALUE"""),"lucas.loureiro")</f>
        <v>lucas.loureiro</v>
      </c>
      <c r="B113" s="120" t="str">
        <f>IFERROR(__xludf.DUMMYFUNCTION("""COMPUTED_VALUE"""),"Trainee")</f>
        <v>Trainee</v>
      </c>
      <c r="C113" s="120" t="str">
        <f>IFERROR(__xludf.DUMMYFUNCTION("""COMPUTED_VALUE"""),"NCiv")</f>
        <v>NCiv</v>
      </c>
      <c r="D113" s="292" t="str">
        <f>IFERROR((COUNTIFS(Base!$V:$V,A113,Base!$S:$S,"&gt;8") - COUNTIFS(Base!$V:$V,A113,Base!$S:$S,"&lt;7"))/COUNTIFS(Base!$V:$V,A113,Base!$S:$S,"&lt;&gt;"),"-")</f>
        <v>-</v>
      </c>
      <c r="E113" s="292" t="str">
        <f>IF(
  (
    COUNTIFS(Base!$W:$W, A113, Base!$S:$S, "&lt;&gt;") +
    COUNTIFS(Base!$X:$X, A113, Base!$S:$S, "&lt;&gt;") +
    COUNTIFS(Base!$Y:$Y, A113, Base!$S:$S, "&lt;&gt;") +
    COUNTIFS(Base!$Z:$Z, A113, Base!$S:$S, "&lt;&gt;")
  ) = 0,
  "-",
  (
    COUNTIFS(Base!$W:$W, A113, Base!$S:$S, "&gt;8") - COUNTIFS(Base!$W:$W, A113, Base!$S:$S, "&lt;7") +
    COUNTIFS(Base!$X:$X, A113, Base!$S:$S, "&gt;8") - COUNTIFS(Base!$X:$X, A113, Base!$S:$S, "&lt;7") +
    COUNTIFS(Base!$Y:$Y, A113, Base!$S:$S, "&gt;8") - COUNTIFS(Base!$Y:$Y, A113, Base!$S:$S, "&lt;7") +
    COUNTIFS(Base!$Z:$Z, A113, Base!$S:$S, "&gt;8") - COUNTIFS(Base!$Z:$Z, A113, Base!$S:$S, "&lt;7")
  ) /
  (
    COUNTIFS(Base!$W:$W, A113, Base!$S:$S, "&lt;&gt;") +
    COUNTIFS(Base!$X:$X, A113, Base!$S:$S, "&lt;&gt;") +
    COUNTIFS(Base!$Y:$Y, A113, Base!$S:$S, "&lt;&gt;") +
    COUNTIFS(Base!$Z:$Z, A113, Base!$S:$S, "&lt;&gt;")
  )
)
</f>
        <v>-</v>
      </c>
      <c r="F113" s="290">
        <f>SUMIFS(Base!$N:$N,Base!$V:$V,A113,Base!$N:$N,"&lt;&gt;")-SUMIFS(Base!$K:$K,Base!$V:$V,A113,Base!$N:$N,"&lt;&gt;")-(SUMIFS(Base!$L:$L,Base!$V:$V,A113,Base!$N:$N,"&lt;&gt;")*7)</f>
        <v>0</v>
      </c>
      <c r="G113" s="290"/>
      <c r="H113" s="290">
        <f>SUMIFS(Base!$F:$F,Base!$V:$V,A113,Base!$N:$N,"&lt;&gt;")*7</f>
        <v>0</v>
      </c>
      <c r="I113" s="290"/>
      <c r="J113" s="292" t="str">
        <f t="shared" ref="J113:K113" si="114">IFERROR(F113/H113,"-")</f>
        <v>-</v>
      </c>
      <c r="K113" s="292" t="str">
        <f t="shared" si="114"/>
        <v>-</v>
      </c>
      <c r="L113" s="292" t="str">
        <f>IFERROR((COUNTIFS(Base!$V:$V,A113,Base!$U:$U,TRUE))/(COUNTIFS(Base!$V:$V,A113,Base!$O:$O,"Finalizado")+COUNTIFS(Base!$V:$V,A113,Base!$O:$O,"Concluído")),"-")</f>
        <v>-</v>
      </c>
      <c r="M113" s="292" t="str">
        <f>IF(
  (
    IFERROR(COUNTIF(Base!$W:$W, A113), 0) +
    IFERROR(COUNTIF(Base!$X:$X, A113), 0) +
    IFERROR(COUNTIF(Base!$Y:$Y, A113), 0) +
    IFERROR(COUNTIF(Base!$Z:$Z, A113), 0)
  ) = 0,
  "-",
  IF(
    (
      IFERROR(COUNTIFS(Base!$W:$W, A113, Base!$O:$O, "Finalizado"), 0) +
      IFERROR(COUNTIFS(Base!$W:$W, A113, Base!$O:$O, "Concluído"), 0) +
      IFERROR(COUNTIFS(Base!$X:$X, A113, Base!$O:$O, "Finalizado"), 0) +
      IFERROR(COUNTIFS(Base!$X:$X, A113, Base!$O:$O, "Concluído"), 0) +
      IFERROR(COUNTIFS(Base!$Y:$Y, A113, Base!$O:$O, "Finalizado"), 0) +
      IFERROR(COUNTIFS(Base!$Y:$Y, A113, Base!$O:$O, "Concluído"), 0) +
      IFERROR(COUNTIFS(Base!$Z:$Z, A113, Base!$O:$O, "Finalizado"), 0) +
      IFERROR(COUNTIFS(Base!$Z:$Z, A113, Base!$O:$O, "Concluído"), 0)
    ) = 0,
    "-",
    (
      IFERROR(COUNTIFS(Base!$W:$W, A113, Base!$U:$U, TRUE), 0) +
      IFERROR(COUNTIFS(Base!$X:$X, A113, Base!$U:$U, TRUE), 0) +
      IFERROR(COUNTIFS(Base!$Y:$Y, A113, Base!$U:$U, TRUE), 0) +
      IFERROR(COUNTIFS(Base!$Z:$Z, A113, Base!$U:$U, TRUE), 0)
    ) /
    (
      IFERROR(COUNTIFS(Base!$W:$W, A113, Base!$O:$O, "Finalizado"), 0) +
      IFERROR(COUNTIFS(Base!$W:$W, A113, Base!$O:$O, "Concluído"), 0) +
      IFERROR(COUNTIFS(Base!$X:$X, A113, Base!$O:$O, "Finalizado"), 0) +
      IFERROR(COUNTIFS(Base!$X:$X, A113, Base!$O:$O, "Concluído"), 0) +
      IFERROR(COUNTIFS(Base!$Y:$Y, A113, Base!$O:$O, "Finalizado"), 0) +
      IFERROR(COUNTIFS(Base!$Y:$Y, A113, Base!$O:$O, "Concluído"), 0) +
      IFERROR(COUNTIFS(Base!$Z:$Z, A113, Base!$O:$O, "Finalizado"), 0) +
      IFERROR(COUNTIFS(Base!$Z:$Z, A113, Base!$O:$O, "Concluído"), 0)
    )
  )
)
</f>
        <v>-</v>
      </c>
      <c r="N113" s="120">
        <f>COUNTIF(Base!V:V,$A113)</f>
        <v>0</v>
      </c>
      <c r="O113" s="120">
        <f>COUNTIF(Base!W:W,$A113)</f>
        <v>1</v>
      </c>
      <c r="P113" s="120">
        <f>COUNTIF(Base!X:X,$A113)</f>
        <v>0</v>
      </c>
      <c r="Q113" s="120">
        <f>COUNTIF(Base!Y:Y,$A113)</f>
        <v>0</v>
      </c>
      <c r="R113" s="120">
        <f>COUNTIF(Base!Z:Z,$A113)</f>
        <v>0</v>
      </c>
      <c r="S113" s="120">
        <f t="shared" si="3"/>
        <v>1</v>
      </c>
      <c r="T113" s="120">
        <f t="shared" si="4"/>
        <v>1</v>
      </c>
      <c r="V113" s="293">
        <f>IF(
  (
    COUNTIF('Acompanhamento quinzenal'!$N:$N, A113) +
    COUNTIF('Acompanhamento quinzenal'!$T:$T, A113) +
    COUNTIF('Acompanhamento quinzenal'!$Z:$Z, A113) +
    COUNTIF('Acompanhamento quinzenal'!$AF:$AF, A113)
  ) = 0,
  "-",
  (
    IFERROR(SUMIFS('Acompanhamento quinzenal'!$S:$S, 'Acompanhamento quinzenal'!$N:$N, A113), 0) +
    IFERROR(SUMIFS('Acompanhamento quinzenal'!$Y:$Y, 'Acompanhamento quinzenal'!$T:$T, A113), 0) +
    IFERROR(SUMIFS('Acompanhamento quinzenal'!$AE:$AE, 'Acompanhamento quinzenal'!$Z:$Z, A113), 0) +
    IFERROR(SUMIFS('Acompanhamento quinzenal'!$AK:$AK, 'Acompanhamento quinzenal'!$AF:$AF, A113), 0)
  ) /
  (
    COUNTIF('Acompanhamento quinzenal'!$N:$N, A113) +
    COUNTIF('Acompanhamento quinzenal'!$T:$T, A113) +
    COUNTIF('Acompanhamento quinzenal'!$Z:$Z, A113) +
    COUNTIF('Acompanhamento quinzenal'!$AF:$AF, A113)
  )
)
</f>
        <v>2</v>
      </c>
      <c r="W113" s="293">
        <f>IF(
  (
    COUNTIF('Acompanhamento quinzenal'!$N:$N, A113) +
    COUNTIF('Acompanhamento quinzenal'!$T:$T, A113) +
    COUNTIF('Acompanhamento quinzenal'!$Z:$Z, A113) +
    COUNTIF('Acompanhamento quinzenal'!$AF:$AF, A113)
  ) = 0,
  "-",
  (
    IFERROR(SUMIFS('Acompanhamento quinzenal'!$O:$O, 'Acompanhamento quinzenal'!$N:$N, A113), 0) +
    IFERROR(SUMIFS('Acompanhamento quinzenal'!$U:$U, 'Acompanhamento quinzenal'!$T:$T, A113), 0) +
    IFERROR(SUMIFS('Acompanhamento quinzenal'!$AA:$AA, 'Acompanhamento quinzenal'!$Z:$Z, A113), 0) +
    IFERROR(SUMIFS('Acompanhamento quinzenal'!$AG:$AG, 'Acompanhamento quinzenal'!$AF:$AF, A113), 0)
  ) /
  (
    COUNTIF('Acompanhamento quinzenal'!$N:$N, A113) +
    COUNTIF('Acompanhamento quinzenal'!$T:$T, A113) +
    COUNTIF('Acompanhamento quinzenal'!$Z:$Z, A113) +
    COUNTIF('Acompanhamento quinzenal'!$AF:$AF, A113)
  )
)
</f>
        <v>1</v>
      </c>
      <c r="X113" s="294">
        <f>IF(
  (
    COUNTIF('Acompanhamento quinzenal'!$N:$N, A113) +
    COUNTIF('Acompanhamento quinzenal'!$T:$T, A113) +
    COUNTIF('Acompanhamento quinzenal'!$Z:$Z, A113) +
    COUNTIF('Acompanhamento quinzenal'!$AF:$AF, A113)
  ) = 0,
  "-",
  (
    IFERROR(SUMIFS('Acompanhamento quinzenal'!$P:$P, 'Acompanhamento quinzenal'!$N:$N, A113), 0) +
    IFERROR(SUMIFS('Acompanhamento quinzenal'!$V:$V, 'Acompanhamento quinzenal'!$T:$T, A113), 0) +
    IFERROR(SUMIFS('Acompanhamento quinzenal'!$AB:$AB, 'Acompanhamento quinzenal'!$Z:$Z, A113), 0) +
    IFERROR(SUMIFS('Acompanhamento quinzenal'!$AH:$AH, 'Acompanhamento quinzenal'!$AF:$AF, A113), 0)
  ) /
  (
    COUNTIF('Acompanhamento quinzenal'!$N:$N, A113) +
    COUNTIF('Acompanhamento quinzenal'!$T:$T, A113) +
    COUNTIF('Acompanhamento quinzenal'!$Z:$Z, A113) +
    COUNTIF('Acompanhamento quinzenal'!$AF:$AF, A113)
  )
)
</f>
        <v>2</v>
      </c>
      <c r="Y113" s="293">
        <f>IF(
  (
    COUNTIF('Acompanhamento quinzenal'!$N:$N, A113) +
    COUNTIF('Acompanhamento quinzenal'!$T:$T, A113) +
    COUNTIF('Acompanhamento quinzenal'!$Z:$Z, A113) +
    COUNTIF('Acompanhamento quinzenal'!$AF:$AF, A113)
  ) = 0,
  "-",
  (
    IFERROR(SUMIFS('Acompanhamento quinzenal'!$Q:$Q, 'Acompanhamento quinzenal'!$N:$N, A113), 0) +
    IFERROR(SUMIFS('Acompanhamento quinzenal'!$W:$W, 'Acompanhamento quinzenal'!$T:$T, A113), 0) +
    IFERROR(SUMIFS('Acompanhamento quinzenal'!$AC:$AC, 'Acompanhamento quinzenal'!$Z:$Z, A113), 0) +
    IFERROR(SUMIFS('Acompanhamento quinzenal'!$AI:$AI, 'Acompanhamento quinzenal'!$AF:$AF, A113), 0)
  ) /
  (
    COUNTIF('Acompanhamento quinzenal'!$N:$N, A113) +
    COUNTIF('Acompanhamento quinzenal'!$T:$T, A113) +
    COUNTIF('Acompanhamento quinzenal'!$Z:$Z, A113) +
    COUNTIF('Acompanhamento quinzenal'!$AF:$AF, A113)
  )
)
</f>
        <v>3</v>
      </c>
    </row>
    <row r="114" hidden="1">
      <c r="A114" s="291" t="str">
        <f>IFERROR(__xludf.DUMMYFUNCTION("""COMPUTED_VALUE"""),"lucas.siomi")</f>
        <v>lucas.siomi</v>
      </c>
      <c r="B114" s="120" t="str">
        <f>IFERROR(__xludf.DUMMYFUNCTION("""COMPUTED_VALUE"""),"Trainee")</f>
        <v>Trainee</v>
      </c>
      <c r="C114" s="120" t="str">
        <f>IFERROR(__xludf.DUMMYFUNCTION("""COMPUTED_VALUE"""),"NI")</f>
        <v>NI</v>
      </c>
      <c r="D114" s="292" t="str">
        <f>IFERROR((COUNTIFS(Base!$V:$V,A114,Base!$S:$S,"&gt;8") - COUNTIFS(Base!$V:$V,A114,Base!$S:$S,"&lt;7"))/COUNTIFS(Base!$V:$V,A114,Base!$S:$S,"&lt;&gt;"),"-")</f>
        <v>-</v>
      </c>
      <c r="E114" s="292" t="str">
        <f>IF(
  (
    COUNTIFS(Base!$W:$W, A114, Base!$S:$S, "&lt;&gt;") +
    COUNTIFS(Base!$X:$X, A114, Base!$S:$S, "&lt;&gt;") +
    COUNTIFS(Base!$Y:$Y, A114, Base!$S:$S, "&lt;&gt;") +
    COUNTIFS(Base!$Z:$Z, A114, Base!$S:$S, "&lt;&gt;")
  ) = 0,
  "-",
  (
    COUNTIFS(Base!$W:$W, A114, Base!$S:$S, "&gt;8") - COUNTIFS(Base!$W:$W, A114, Base!$S:$S, "&lt;7") +
    COUNTIFS(Base!$X:$X, A114, Base!$S:$S, "&gt;8") - COUNTIFS(Base!$X:$X, A114, Base!$S:$S, "&lt;7") +
    COUNTIFS(Base!$Y:$Y, A114, Base!$S:$S, "&gt;8") - COUNTIFS(Base!$Y:$Y, A114, Base!$S:$S, "&lt;7") +
    COUNTIFS(Base!$Z:$Z, A114, Base!$S:$S, "&gt;8") - COUNTIFS(Base!$Z:$Z, A114, Base!$S:$S, "&lt;7")
  ) /
  (
    COUNTIFS(Base!$W:$W, A114, Base!$S:$S, "&lt;&gt;") +
    COUNTIFS(Base!$X:$X, A114, Base!$S:$S, "&lt;&gt;") +
    COUNTIFS(Base!$Y:$Y, A114, Base!$S:$S, "&lt;&gt;") +
    COUNTIFS(Base!$Z:$Z, A114, Base!$S:$S, "&lt;&gt;")
  )
)
</f>
        <v>-</v>
      </c>
      <c r="F114" s="290">
        <f>SUMIFS(Base!$N:$N,Base!$V:$V,A114,Base!$N:$N,"&lt;&gt;")-SUMIFS(Base!$K:$K,Base!$V:$V,A114,Base!$N:$N,"&lt;&gt;")-(SUMIFS(Base!$L:$L,Base!$V:$V,A114,Base!$N:$N,"&lt;&gt;")*7)</f>
        <v>0</v>
      </c>
      <c r="G114" s="290"/>
      <c r="H114" s="290">
        <f>SUMIFS(Base!$F:$F,Base!$V:$V,A114,Base!$N:$N,"&lt;&gt;")*7</f>
        <v>0</v>
      </c>
      <c r="I114" s="290"/>
      <c r="J114" s="292" t="str">
        <f t="shared" ref="J114:K114" si="115">IFERROR(F114/H114,"-")</f>
        <v>-</v>
      </c>
      <c r="K114" s="292" t="str">
        <f t="shared" si="115"/>
        <v>-</v>
      </c>
      <c r="L114" s="292" t="str">
        <f>IFERROR((COUNTIFS(Base!$V:$V,A114,Base!$U:$U,TRUE))/(COUNTIFS(Base!$V:$V,A114,Base!$O:$O,"Finalizado")+COUNTIFS(Base!$V:$V,A114,Base!$O:$O,"Concluído")),"-")</f>
        <v>-</v>
      </c>
      <c r="M114" s="292" t="str">
        <f>IF(
  (
    IFERROR(COUNTIF(Base!$W:$W, A114), 0) +
    IFERROR(COUNTIF(Base!$X:$X, A114), 0) +
    IFERROR(COUNTIF(Base!$Y:$Y, A114), 0) +
    IFERROR(COUNTIF(Base!$Z:$Z, A114), 0)
  ) = 0,
  "-",
  IF(
    (
      IFERROR(COUNTIFS(Base!$W:$W, A114, Base!$O:$O, "Finalizado"), 0) +
      IFERROR(COUNTIFS(Base!$W:$W, A114, Base!$O:$O, "Concluído"), 0) +
      IFERROR(COUNTIFS(Base!$X:$X, A114, Base!$O:$O, "Finalizado"), 0) +
      IFERROR(COUNTIFS(Base!$X:$X, A114, Base!$O:$O, "Concluído"), 0) +
      IFERROR(COUNTIFS(Base!$Y:$Y, A114, Base!$O:$O, "Finalizado"), 0) +
      IFERROR(COUNTIFS(Base!$Y:$Y, A114, Base!$O:$O, "Concluído"), 0) +
      IFERROR(COUNTIFS(Base!$Z:$Z, A114, Base!$O:$O, "Finalizado"), 0) +
      IFERROR(COUNTIFS(Base!$Z:$Z, A114, Base!$O:$O, "Concluído"), 0)
    ) = 0,
    "-",
    (
      IFERROR(COUNTIFS(Base!$W:$W, A114, Base!$U:$U, TRUE), 0) +
      IFERROR(COUNTIFS(Base!$X:$X, A114, Base!$U:$U, TRUE), 0) +
      IFERROR(COUNTIFS(Base!$Y:$Y, A114, Base!$U:$U, TRUE), 0) +
      IFERROR(COUNTIFS(Base!$Z:$Z, A114, Base!$U:$U, TRUE), 0)
    ) /
    (
      IFERROR(COUNTIFS(Base!$W:$W, A114, Base!$O:$O, "Finalizado"), 0) +
      IFERROR(COUNTIFS(Base!$W:$W, A114, Base!$O:$O, "Concluído"), 0) +
      IFERROR(COUNTIFS(Base!$X:$X, A114, Base!$O:$O, "Finalizado"), 0) +
      IFERROR(COUNTIFS(Base!$X:$X, A114, Base!$O:$O, "Concluído"), 0) +
      IFERROR(COUNTIFS(Base!$Y:$Y, A114, Base!$O:$O, "Finalizado"), 0) +
      IFERROR(COUNTIFS(Base!$Y:$Y, A114, Base!$O:$O, "Concluído"), 0) +
      IFERROR(COUNTIFS(Base!$Z:$Z, A114, Base!$O:$O, "Finalizado"), 0) +
      IFERROR(COUNTIFS(Base!$Z:$Z, A114, Base!$O:$O, "Concluído"), 0)
    )
  )
)
</f>
        <v>-</v>
      </c>
      <c r="N114" s="120">
        <f>COUNTIF(Base!V:V,$A114)</f>
        <v>0</v>
      </c>
      <c r="O114" s="120">
        <f>COUNTIF(Base!W:W,$A114)</f>
        <v>0</v>
      </c>
      <c r="P114" s="120">
        <f>COUNTIF(Base!X:X,$A114)</f>
        <v>0</v>
      </c>
      <c r="Q114" s="120">
        <f>COUNTIF(Base!Y:Y,$A114)</f>
        <v>0</v>
      </c>
      <c r="R114" s="120">
        <f>COUNTIF(Base!Z:Z,$A114)</f>
        <v>0</v>
      </c>
      <c r="S114" s="120">
        <f t="shared" si="3"/>
        <v>0</v>
      </c>
      <c r="T114" s="120">
        <f t="shared" si="4"/>
        <v>0</v>
      </c>
      <c r="V114" s="293" t="str">
        <f>IF(
  (
    COUNTIF('Acompanhamento quinzenal'!$N:$N, A114) +
    COUNTIF('Acompanhamento quinzenal'!$T:$T, A114) +
    COUNTIF('Acompanhamento quinzenal'!$Z:$Z, A114) +
    COUNTIF('Acompanhamento quinzenal'!$AF:$AF, A114)
  ) = 0,
  "-",
  (
    IFERROR(SUMIFS('Acompanhamento quinzenal'!$S:$S, 'Acompanhamento quinzenal'!$N:$N, A114), 0) +
    IFERROR(SUMIFS('Acompanhamento quinzenal'!$Y:$Y, 'Acompanhamento quinzenal'!$T:$T, A114), 0) +
    IFERROR(SUMIFS('Acompanhamento quinzenal'!$AE:$AE, 'Acompanhamento quinzenal'!$Z:$Z, A114), 0) +
    IFERROR(SUMIFS('Acompanhamento quinzenal'!$AK:$AK, 'Acompanhamento quinzenal'!$AF:$AF, A114), 0)
  ) /
  (
    COUNTIF('Acompanhamento quinzenal'!$N:$N, A114) +
    COUNTIF('Acompanhamento quinzenal'!$T:$T, A114) +
    COUNTIF('Acompanhamento quinzenal'!$Z:$Z, A114) +
    COUNTIF('Acompanhamento quinzenal'!$AF:$AF, A114)
  )
)
</f>
        <v>-</v>
      </c>
      <c r="W114" s="293" t="str">
        <f>IF(
  (
    COUNTIF('Acompanhamento quinzenal'!$N:$N, A114) +
    COUNTIF('Acompanhamento quinzenal'!$T:$T, A114) +
    COUNTIF('Acompanhamento quinzenal'!$Z:$Z, A114) +
    COUNTIF('Acompanhamento quinzenal'!$AF:$AF, A114)
  ) = 0,
  "-",
  (
    IFERROR(SUMIFS('Acompanhamento quinzenal'!$O:$O, 'Acompanhamento quinzenal'!$N:$N, A114), 0) +
    IFERROR(SUMIFS('Acompanhamento quinzenal'!$U:$U, 'Acompanhamento quinzenal'!$T:$T, A114), 0) +
    IFERROR(SUMIFS('Acompanhamento quinzenal'!$AA:$AA, 'Acompanhamento quinzenal'!$Z:$Z, A114), 0) +
    IFERROR(SUMIFS('Acompanhamento quinzenal'!$AG:$AG, 'Acompanhamento quinzenal'!$AF:$AF, A114), 0)
  ) /
  (
    COUNTIF('Acompanhamento quinzenal'!$N:$N, A114) +
    COUNTIF('Acompanhamento quinzenal'!$T:$T, A114) +
    COUNTIF('Acompanhamento quinzenal'!$Z:$Z, A114) +
    COUNTIF('Acompanhamento quinzenal'!$AF:$AF, A114)
  )
)
</f>
        <v>-</v>
      </c>
      <c r="X114" s="294" t="str">
        <f>IF(
  (
    COUNTIF('Acompanhamento quinzenal'!$N:$N, A114) +
    COUNTIF('Acompanhamento quinzenal'!$T:$T, A114) +
    COUNTIF('Acompanhamento quinzenal'!$Z:$Z, A114) +
    COUNTIF('Acompanhamento quinzenal'!$AF:$AF, A114)
  ) = 0,
  "-",
  (
    IFERROR(SUMIFS('Acompanhamento quinzenal'!$P:$P, 'Acompanhamento quinzenal'!$N:$N, A114), 0) +
    IFERROR(SUMIFS('Acompanhamento quinzenal'!$V:$V, 'Acompanhamento quinzenal'!$T:$T, A114), 0) +
    IFERROR(SUMIFS('Acompanhamento quinzenal'!$AB:$AB, 'Acompanhamento quinzenal'!$Z:$Z, A114), 0) +
    IFERROR(SUMIFS('Acompanhamento quinzenal'!$AH:$AH, 'Acompanhamento quinzenal'!$AF:$AF, A114), 0)
  ) /
  (
    COUNTIF('Acompanhamento quinzenal'!$N:$N, A114) +
    COUNTIF('Acompanhamento quinzenal'!$T:$T, A114) +
    COUNTIF('Acompanhamento quinzenal'!$Z:$Z, A114) +
    COUNTIF('Acompanhamento quinzenal'!$AF:$AF, A114)
  )
)
</f>
        <v>-</v>
      </c>
      <c r="Y114" s="293" t="str">
        <f>IF(
  (
    COUNTIF('Acompanhamento quinzenal'!$N:$N, A114) +
    COUNTIF('Acompanhamento quinzenal'!$T:$T, A114) +
    COUNTIF('Acompanhamento quinzenal'!$Z:$Z, A114) +
    COUNTIF('Acompanhamento quinzenal'!$AF:$AF, A114)
  ) = 0,
  "-",
  (
    IFERROR(SUMIFS('Acompanhamento quinzenal'!$Q:$Q, 'Acompanhamento quinzenal'!$N:$N, A114), 0) +
    IFERROR(SUMIFS('Acompanhamento quinzenal'!$W:$W, 'Acompanhamento quinzenal'!$T:$T, A114), 0) +
    IFERROR(SUMIFS('Acompanhamento quinzenal'!$AC:$AC, 'Acompanhamento quinzenal'!$Z:$Z, A114), 0) +
    IFERROR(SUMIFS('Acompanhamento quinzenal'!$AI:$AI, 'Acompanhamento quinzenal'!$AF:$AF, A114), 0)
  ) /
  (
    COUNTIF('Acompanhamento quinzenal'!$N:$N, A114) +
    COUNTIF('Acompanhamento quinzenal'!$T:$T, A114) +
    COUNTIF('Acompanhamento quinzenal'!$Z:$Z, A114) +
    COUNTIF('Acompanhamento quinzenal'!$AF:$AF, A114)
  )
)
</f>
        <v>-</v>
      </c>
    </row>
    <row r="115" hidden="1">
      <c r="A115" s="291" t="str">
        <f>IFERROR(__xludf.DUMMYFUNCTION("""COMPUTED_VALUE"""),"lucas.wu")</f>
        <v>lucas.wu</v>
      </c>
      <c r="B115" s="120" t="str">
        <f>IFERROR(__xludf.DUMMYFUNCTION("""COMPUTED_VALUE"""),"Trainee")</f>
        <v>Trainee</v>
      </c>
      <c r="C115" s="120" t="str">
        <f>IFERROR(__xludf.DUMMYFUNCTION("""COMPUTED_VALUE"""),"NCon")</f>
        <v>NCon</v>
      </c>
      <c r="D115" s="292" t="str">
        <f>IFERROR((COUNTIFS(Base!$V:$V,A115,Base!$S:$S,"&gt;8") - COUNTIFS(Base!$V:$V,A115,Base!$S:$S,"&lt;7"))/COUNTIFS(Base!$V:$V,A115,Base!$S:$S,"&lt;&gt;"),"-")</f>
        <v>-</v>
      </c>
      <c r="E115" s="292" t="str">
        <f>IF(
  (
    COUNTIFS(Base!$W:$W, A115, Base!$S:$S, "&lt;&gt;") +
    COUNTIFS(Base!$X:$X, A115, Base!$S:$S, "&lt;&gt;") +
    COUNTIFS(Base!$Y:$Y, A115, Base!$S:$S, "&lt;&gt;") +
    COUNTIFS(Base!$Z:$Z, A115, Base!$S:$S, "&lt;&gt;")
  ) = 0,
  "-",
  (
    COUNTIFS(Base!$W:$W, A115, Base!$S:$S, "&gt;8") - COUNTIFS(Base!$W:$W, A115, Base!$S:$S, "&lt;7") +
    COUNTIFS(Base!$X:$X, A115, Base!$S:$S, "&gt;8") - COUNTIFS(Base!$X:$X, A115, Base!$S:$S, "&lt;7") +
    COUNTIFS(Base!$Y:$Y, A115, Base!$S:$S, "&gt;8") - COUNTIFS(Base!$Y:$Y, A115, Base!$S:$S, "&lt;7") +
    COUNTIFS(Base!$Z:$Z, A115, Base!$S:$S, "&gt;8") - COUNTIFS(Base!$Z:$Z, A115, Base!$S:$S, "&lt;7")
  ) /
  (
    COUNTIFS(Base!$W:$W, A115, Base!$S:$S, "&lt;&gt;") +
    COUNTIFS(Base!$X:$X, A115, Base!$S:$S, "&lt;&gt;") +
    COUNTIFS(Base!$Y:$Y, A115, Base!$S:$S, "&lt;&gt;") +
    COUNTIFS(Base!$Z:$Z, A115, Base!$S:$S, "&lt;&gt;")
  )
)
</f>
        <v>-</v>
      </c>
      <c r="F115" s="290">
        <f>SUMIFS(Base!$N:$N,Base!$V:$V,A115,Base!$N:$N,"&lt;&gt;")-SUMIFS(Base!$K:$K,Base!$V:$V,A115,Base!$N:$N,"&lt;&gt;")-(SUMIFS(Base!$L:$L,Base!$V:$V,A115,Base!$N:$N,"&lt;&gt;")*7)</f>
        <v>0</v>
      </c>
      <c r="G115" s="290"/>
      <c r="H115" s="290">
        <f>SUMIFS(Base!$F:$F,Base!$V:$V,A115,Base!$N:$N,"&lt;&gt;")*7</f>
        <v>0</v>
      </c>
      <c r="I115" s="290"/>
      <c r="J115" s="292" t="str">
        <f t="shared" ref="J115:K115" si="116">IFERROR(F115/H115,"-")</f>
        <v>-</v>
      </c>
      <c r="K115" s="292" t="str">
        <f t="shared" si="116"/>
        <v>-</v>
      </c>
      <c r="L115" s="292" t="str">
        <f>IFERROR((COUNTIFS(Base!$V:$V,A115,Base!$U:$U,TRUE))/(COUNTIFS(Base!$V:$V,A115,Base!$O:$O,"Finalizado")+COUNTIFS(Base!$V:$V,A115,Base!$O:$O,"Concluído")),"-")</f>
        <v>-</v>
      </c>
      <c r="M115" s="292" t="str">
        <f>IF(
  (
    IFERROR(COUNTIF(Base!$W:$W, A115), 0) +
    IFERROR(COUNTIF(Base!$X:$X, A115), 0) +
    IFERROR(COUNTIF(Base!$Y:$Y, A115), 0) +
    IFERROR(COUNTIF(Base!$Z:$Z, A115), 0)
  ) = 0,
  "-",
  IF(
    (
      IFERROR(COUNTIFS(Base!$W:$W, A115, Base!$O:$O, "Finalizado"), 0) +
      IFERROR(COUNTIFS(Base!$W:$W, A115, Base!$O:$O, "Concluído"), 0) +
      IFERROR(COUNTIFS(Base!$X:$X, A115, Base!$O:$O, "Finalizado"), 0) +
      IFERROR(COUNTIFS(Base!$X:$X, A115, Base!$O:$O, "Concluído"), 0) +
      IFERROR(COUNTIFS(Base!$Y:$Y, A115, Base!$O:$O, "Finalizado"), 0) +
      IFERROR(COUNTIFS(Base!$Y:$Y, A115, Base!$O:$O, "Concluído"), 0) +
      IFERROR(COUNTIFS(Base!$Z:$Z, A115, Base!$O:$O, "Finalizado"), 0) +
      IFERROR(COUNTIFS(Base!$Z:$Z, A115, Base!$O:$O, "Concluído"), 0)
    ) = 0,
    "-",
    (
      IFERROR(COUNTIFS(Base!$W:$W, A115, Base!$U:$U, TRUE), 0) +
      IFERROR(COUNTIFS(Base!$X:$X, A115, Base!$U:$U, TRUE), 0) +
      IFERROR(COUNTIFS(Base!$Y:$Y, A115, Base!$U:$U, TRUE), 0) +
      IFERROR(COUNTIFS(Base!$Z:$Z, A115, Base!$U:$U, TRUE), 0)
    ) /
    (
      IFERROR(COUNTIFS(Base!$W:$W, A115, Base!$O:$O, "Finalizado"), 0) +
      IFERROR(COUNTIFS(Base!$W:$W, A115, Base!$O:$O, "Concluído"), 0) +
      IFERROR(COUNTIFS(Base!$X:$X, A115, Base!$O:$O, "Finalizado"), 0) +
      IFERROR(COUNTIFS(Base!$X:$X, A115, Base!$O:$O, "Concluído"), 0) +
      IFERROR(COUNTIFS(Base!$Y:$Y, A115, Base!$O:$O, "Finalizado"), 0) +
      IFERROR(COUNTIFS(Base!$Y:$Y, A115, Base!$O:$O, "Concluído"), 0) +
      IFERROR(COUNTIFS(Base!$Z:$Z, A115, Base!$O:$O, "Finalizado"), 0) +
      IFERROR(COUNTIFS(Base!$Z:$Z, A115, Base!$O:$O, "Concluído"), 0)
    )
  )
)
</f>
        <v>-</v>
      </c>
      <c r="N115" s="120">
        <f>COUNTIF(Base!V:V,$A115)</f>
        <v>0</v>
      </c>
      <c r="O115" s="120">
        <f>COUNTIF(Base!W:W,$A115)</f>
        <v>0</v>
      </c>
      <c r="P115" s="120">
        <f>COUNTIF(Base!X:X,$A115)</f>
        <v>0</v>
      </c>
      <c r="Q115" s="120">
        <f>COUNTIF(Base!Y:Y,$A115)</f>
        <v>0</v>
      </c>
      <c r="R115" s="120">
        <f>COUNTIF(Base!Z:Z,$A115)</f>
        <v>0</v>
      </c>
      <c r="S115" s="120">
        <f t="shared" si="3"/>
        <v>0</v>
      </c>
      <c r="T115" s="120">
        <f t="shared" si="4"/>
        <v>0</v>
      </c>
      <c r="V115" s="293" t="str">
        <f>IF(
  (
    COUNTIF('Acompanhamento quinzenal'!$N:$N, A115) +
    COUNTIF('Acompanhamento quinzenal'!$T:$T, A115) +
    COUNTIF('Acompanhamento quinzenal'!$Z:$Z, A115) +
    COUNTIF('Acompanhamento quinzenal'!$AF:$AF, A115)
  ) = 0,
  "-",
  (
    IFERROR(SUMIFS('Acompanhamento quinzenal'!$S:$S, 'Acompanhamento quinzenal'!$N:$N, A115), 0) +
    IFERROR(SUMIFS('Acompanhamento quinzenal'!$Y:$Y, 'Acompanhamento quinzenal'!$T:$T, A115), 0) +
    IFERROR(SUMIFS('Acompanhamento quinzenal'!$AE:$AE, 'Acompanhamento quinzenal'!$Z:$Z, A115), 0) +
    IFERROR(SUMIFS('Acompanhamento quinzenal'!$AK:$AK, 'Acompanhamento quinzenal'!$AF:$AF, A115), 0)
  ) /
  (
    COUNTIF('Acompanhamento quinzenal'!$N:$N, A115) +
    COUNTIF('Acompanhamento quinzenal'!$T:$T, A115) +
    COUNTIF('Acompanhamento quinzenal'!$Z:$Z, A115) +
    COUNTIF('Acompanhamento quinzenal'!$AF:$AF, A115)
  )
)
</f>
        <v>-</v>
      </c>
      <c r="W115" s="293" t="str">
        <f>IF(
  (
    COUNTIF('Acompanhamento quinzenal'!$N:$N, A115) +
    COUNTIF('Acompanhamento quinzenal'!$T:$T, A115) +
    COUNTIF('Acompanhamento quinzenal'!$Z:$Z, A115) +
    COUNTIF('Acompanhamento quinzenal'!$AF:$AF, A115)
  ) = 0,
  "-",
  (
    IFERROR(SUMIFS('Acompanhamento quinzenal'!$O:$O, 'Acompanhamento quinzenal'!$N:$N, A115), 0) +
    IFERROR(SUMIFS('Acompanhamento quinzenal'!$U:$U, 'Acompanhamento quinzenal'!$T:$T, A115), 0) +
    IFERROR(SUMIFS('Acompanhamento quinzenal'!$AA:$AA, 'Acompanhamento quinzenal'!$Z:$Z, A115), 0) +
    IFERROR(SUMIFS('Acompanhamento quinzenal'!$AG:$AG, 'Acompanhamento quinzenal'!$AF:$AF, A115), 0)
  ) /
  (
    COUNTIF('Acompanhamento quinzenal'!$N:$N, A115) +
    COUNTIF('Acompanhamento quinzenal'!$T:$T, A115) +
    COUNTIF('Acompanhamento quinzenal'!$Z:$Z, A115) +
    COUNTIF('Acompanhamento quinzenal'!$AF:$AF, A115)
  )
)
</f>
        <v>-</v>
      </c>
      <c r="X115" s="294" t="str">
        <f>IF(
  (
    COUNTIF('Acompanhamento quinzenal'!$N:$N, A115) +
    COUNTIF('Acompanhamento quinzenal'!$T:$T, A115) +
    COUNTIF('Acompanhamento quinzenal'!$Z:$Z, A115) +
    COUNTIF('Acompanhamento quinzenal'!$AF:$AF, A115)
  ) = 0,
  "-",
  (
    IFERROR(SUMIFS('Acompanhamento quinzenal'!$P:$P, 'Acompanhamento quinzenal'!$N:$N, A115), 0) +
    IFERROR(SUMIFS('Acompanhamento quinzenal'!$V:$V, 'Acompanhamento quinzenal'!$T:$T, A115), 0) +
    IFERROR(SUMIFS('Acompanhamento quinzenal'!$AB:$AB, 'Acompanhamento quinzenal'!$Z:$Z, A115), 0) +
    IFERROR(SUMIFS('Acompanhamento quinzenal'!$AH:$AH, 'Acompanhamento quinzenal'!$AF:$AF, A115), 0)
  ) /
  (
    COUNTIF('Acompanhamento quinzenal'!$N:$N, A115) +
    COUNTIF('Acompanhamento quinzenal'!$T:$T, A115) +
    COUNTIF('Acompanhamento quinzenal'!$Z:$Z, A115) +
    COUNTIF('Acompanhamento quinzenal'!$AF:$AF, A115)
  )
)
</f>
        <v>-</v>
      </c>
      <c r="Y115" s="293" t="str">
        <f>IF(
  (
    COUNTIF('Acompanhamento quinzenal'!$N:$N, A115) +
    COUNTIF('Acompanhamento quinzenal'!$T:$T, A115) +
    COUNTIF('Acompanhamento quinzenal'!$Z:$Z, A115) +
    COUNTIF('Acompanhamento quinzenal'!$AF:$AF, A115)
  ) = 0,
  "-",
  (
    IFERROR(SUMIFS('Acompanhamento quinzenal'!$Q:$Q, 'Acompanhamento quinzenal'!$N:$N, A115), 0) +
    IFERROR(SUMIFS('Acompanhamento quinzenal'!$W:$W, 'Acompanhamento quinzenal'!$T:$T, A115), 0) +
    IFERROR(SUMIFS('Acompanhamento quinzenal'!$AC:$AC, 'Acompanhamento quinzenal'!$Z:$Z, A115), 0) +
    IFERROR(SUMIFS('Acompanhamento quinzenal'!$AI:$AI, 'Acompanhamento quinzenal'!$AF:$AF, A115), 0)
  ) /
  (
    COUNTIF('Acompanhamento quinzenal'!$N:$N, A115) +
    COUNTIF('Acompanhamento quinzenal'!$T:$T, A115) +
    COUNTIF('Acompanhamento quinzenal'!$Z:$Z, A115) +
    COUNTIF('Acompanhamento quinzenal'!$AF:$AF, A115)
  )
)
</f>
        <v>-</v>
      </c>
    </row>
    <row r="116" hidden="1">
      <c r="A116" s="291" t="str">
        <f>IFERROR(__xludf.DUMMYFUNCTION("""COMPUTED_VALUE"""),"Lucas.murat")</f>
        <v>Lucas.murat</v>
      </c>
      <c r="B116" s="120" t="str">
        <f>IFERROR(__xludf.DUMMYFUNCTION("""COMPUTED_VALUE"""),"Consultor")</f>
        <v>Consultor</v>
      </c>
      <c r="C116" s="120" t="str">
        <f>IFERROR(__xludf.DUMMYFUNCTION("""COMPUTED_VALUE"""),"NCon")</f>
        <v>NCon</v>
      </c>
      <c r="D116" s="292" t="str">
        <f>IFERROR((COUNTIFS(Base!$V:$V,A116,Base!$S:$S,"&gt;8") - COUNTIFS(Base!$V:$V,A116,Base!$S:$S,"&lt;7"))/COUNTIFS(Base!$V:$V,A116,Base!$S:$S,"&lt;&gt;"),"-")</f>
        <v>-</v>
      </c>
      <c r="E116" s="292">
        <f>IF(
  (
    COUNTIFS(Base!$W:$W, A116, Base!$S:$S, "&lt;&gt;") +
    COUNTIFS(Base!$X:$X, A116, Base!$S:$S, "&lt;&gt;") +
    COUNTIFS(Base!$Y:$Y, A116, Base!$S:$S, "&lt;&gt;") +
    COUNTIFS(Base!$Z:$Z, A116, Base!$S:$S, "&lt;&gt;")
  ) = 0,
  "-",
  (
    COUNTIFS(Base!$W:$W, A116, Base!$S:$S, "&gt;8") - COUNTIFS(Base!$W:$W, A116, Base!$S:$S, "&lt;7") +
    COUNTIFS(Base!$X:$X, A116, Base!$S:$S, "&gt;8") - COUNTIFS(Base!$X:$X, A116, Base!$S:$S, "&lt;7") +
    COUNTIFS(Base!$Y:$Y, A116, Base!$S:$S, "&gt;8") - COUNTIFS(Base!$Y:$Y, A116, Base!$S:$S, "&lt;7") +
    COUNTIFS(Base!$Z:$Z, A116, Base!$S:$S, "&gt;8") - COUNTIFS(Base!$Z:$Z, A116, Base!$S:$S, "&lt;7")
  ) /
  (
    COUNTIFS(Base!$W:$W, A116, Base!$S:$S, "&lt;&gt;") +
    COUNTIFS(Base!$X:$X, A116, Base!$S:$S, "&lt;&gt;") +
    COUNTIFS(Base!$Y:$Y, A116, Base!$S:$S, "&lt;&gt;") +
    COUNTIFS(Base!$Z:$Z, A116, Base!$S:$S, "&lt;&gt;")
  )
)
</f>
        <v>0</v>
      </c>
      <c r="F116" s="290">
        <f>SUMIFS(Base!$N:$N,Base!$V:$V,A116,Base!$N:$N,"&lt;&gt;")-SUMIFS(Base!$K:$K,Base!$V:$V,A116,Base!$N:$N,"&lt;&gt;")-(SUMIFS(Base!$L:$L,Base!$V:$V,A116,Base!$N:$N,"&lt;&gt;")*7)</f>
        <v>0</v>
      </c>
      <c r="G116" s="290"/>
      <c r="H116" s="290">
        <f>SUMIFS(Base!$F:$F,Base!$V:$V,A116,Base!$N:$N,"&lt;&gt;")*7</f>
        <v>0</v>
      </c>
      <c r="I116" s="290"/>
      <c r="J116" s="292" t="str">
        <f t="shared" ref="J116:K116" si="117">IFERROR(F116/H116,"-")</f>
        <v>-</v>
      </c>
      <c r="K116" s="292" t="str">
        <f t="shared" si="117"/>
        <v>-</v>
      </c>
      <c r="L116" s="292" t="str">
        <f>IFERROR((COUNTIFS(Base!$V:$V,A116,Base!$U:$U,TRUE))/(COUNTIFS(Base!$V:$V,A116,Base!$O:$O,"Finalizado")+COUNTIFS(Base!$V:$V,A116,Base!$O:$O,"Concluído")),"-")</f>
        <v>-</v>
      </c>
      <c r="M116" s="292">
        <f>IF(
  (
    IFERROR(COUNTIF(Base!$W:$W, A116), 0) +
    IFERROR(COUNTIF(Base!$X:$X, A116), 0) +
    IFERROR(COUNTIF(Base!$Y:$Y, A116), 0) +
    IFERROR(COUNTIF(Base!$Z:$Z, A116), 0)
  ) = 0,
  "-",
  IF(
    (
      IFERROR(COUNTIFS(Base!$W:$W, A116, Base!$O:$O, "Finalizado"), 0) +
      IFERROR(COUNTIFS(Base!$W:$W, A116, Base!$O:$O, "Concluído"), 0) +
      IFERROR(COUNTIFS(Base!$X:$X, A116, Base!$O:$O, "Finalizado"), 0) +
      IFERROR(COUNTIFS(Base!$X:$X, A116, Base!$O:$O, "Concluído"), 0) +
      IFERROR(COUNTIFS(Base!$Y:$Y, A116, Base!$O:$O, "Finalizado"), 0) +
      IFERROR(COUNTIFS(Base!$Y:$Y, A116, Base!$O:$O, "Concluído"), 0) +
      IFERROR(COUNTIFS(Base!$Z:$Z, A116, Base!$O:$O, "Finalizado"), 0) +
      IFERROR(COUNTIFS(Base!$Z:$Z, A116, Base!$O:$O, "Concluído"), 0)
    ) = 0,
    "-",
    (
      IFERROR(COUNTIFS(Base!$W:$W, A116, Base!$U:$U, TRUE), 0) +
      IFERROR(COUNTIFS(Base!$X:$X, A116, Base!$U:$U, TRUE), 0) +
      IFERROR(COUNTIFS(Base!$Y:$Y, A116, Base!$U:$U, TRUE), 0) +
      IFERROR(COUNTIFS(Base!$Z:$Z, A116, Base!$U:$U, TRUE), 0)
    ) /
    (
      IFERROR(COUNTIFS(Base!$W:$W, A116, Base!$O:$O, "Finalizado"), 0) +
      IFERROR(COUNTIFS(Base!$W:$W, A116, Base!$O:$O, "Concluído"), 0) +
      IFERROR(COUNTIFS(Base!$X:$X, A116, Base!$O:$O, "Finalizado"), 0) +
      IFERROR(COUNTIFS(Base!$X:$X, A116, Base!$O:$O, "Concluído"), 0) +
      IFERROR(COUNTIFS(Base!$Y:$Y, A116, Base!$O:$O, "Finalizado"), 0) +
      IFERROR(COUNTIFS(Base!$Y:$Y, A116, Base!$O:$O, "Concluído"), 0) +
      IFERROR(COUNTIFS(Base!$Z:$Z, A116, Base!$O:$O, "Finalizado"), 0) +
      IFERROR(COUNTIFS(Base!$Z:$Z, A116, Base!$O:$O, "Concluído"), 0)
    )
  )
)
</f>
        <v>0</v>
      </c>
      <c r="N116" s="120">
        <f>COUNTIF(Base!V:V,$A116)</f>
        <v>0</v>
      </c>
      <c r="O116" s="120">
        <f>COUNTIF(Base!W:W,$A116)</f>
        <v>3</v>
      </c>
      <c r="P116" s="120">
        <f>COUNTIF(Base!X:X,$A116)</f>
        <v>3</v>
      </c>
      <c r="Q116" s="120">
        <f>COUNTIF(Base!Y:Y,$A116)</f>
        <v>0</v>
      </c>
      <c r="R116" s="120">
        <f>COUNTIF(Base!Z:Z,$A116)</f>
        <v>1</v>
      </c>
      <c r="S116" s="120">
        <f t="shared" si="3"/>
        <v>7</v>
      </c>
      <c r="T116" s="120">
        <f t="shared" si="4"/>
        <v>7</v>
      </c>
      <c r="V116" s="293">
        <f>IF(
  (
    COUNTIF('Acompanhamento quinzenal'!$N:$N, A116) +
    COUNTIF('Acompanhamento quinzenal'!$T:$T, A116) +
    COUNTIF('Acompanhamento quinzenal'!$Z:$Z, A116) +
    COUNTIF('Acompanhamento quinzenal'!$AF:$AF, A116)
  ) = 0,
  "-",
  (
    IFERROR(SUMIFS('Acompanhamento quinzenal'!$S:$S, 'Acompanhamento quinzenal'!$N:$N, A116), 0) +
    IFERROR(SUMIFS('Acompanhamento quinzenal'!$Y:$Y, 'Acompanhamento quinzenal'!$T:$T, A116), 0) +
    IFERROR(SUMIFS('Acompanhamento quinzenal'!$AE:$AE, 'Acompanhamento quinzenal'!$Z:$Z, A116), 0) +
    IFERROR(SUMIFS('Acompanhamento quinzenal'!$AK:$AK, 'Acompanhamento quinzenal'!$AF:$AF, A116), 0)
  ) /
  (
    COUNTIF('Acompanhamento quinzenal'!$N:$N, A116) +
    COUNTIF('Acompanhamento quinzenal'!$T:$T, A116) +
    COUNTIF('Acompanhamento quinzenal'!$Z:$Z, A116) +
    COUNTIF('Acompanhamento quinzenal'!$AF:$AF, A116)
  )
)
</f>
        <v>3.777777778</v>
      </c>
      <c r="W116" s="293">
        <f>IF(
  (
    COUNTIF('Acompanhamento quinzenal'!$N:$N, A116) +
    COUNTIF('Acompanhamento quinzenal'!$T:$T, A116) +
    COUNTIF('Acompanhamento quinzenal'!$Z:$Z, A116) +
    COUNTIF('Acompanhamento quinzenal'!$AF:$AF, A116)
  ) = 0,
  "-",
  (
    IFERROR(SUMIFS('Acompanhamento quinzenal'!$O:$O, 'Acompanhamento quinzenal'!$N:$N, A116), 0) +
    IFERROR(SUMIFS('Acompanhamento quinzenal'!$U:$U, 'Acompanhamento quinzenal'!$T:$T, A116), 0) +
    IFERROR(SUMIFS('Acompanhamento quinzenal'!$AA:$AA, 'Acompanhamento quinzenal'!$Z:$Z, A116), 0) +
    IFERROR(SUMIFS('Acompanhamento quinzenal'!$AG:$AG, 'Acompanhamento quinzenal'!$AF:$AF, A116), 0)
  ) /
  (
    COUNTIF('Acompanhamento quinzenal'!$N:$N, A116) +
    COUNTIF('Acompanhamento quinzenal'!$T:$T, A116) +
    COUNTIF('Acompanhamento quinzenal'!$Z:$Z, A116) +
    COUNTIF('Acompanhamento quinzenal'!$AF:$AF, A116)
  )
)
</f>
        <v>3.666666667</v>
      </c>
      <c r="X116" s="294">
        <f>IF(
  (
    COUNTIF('Acompanhamento quinzenal'!$N:$N, A116) +
    COUNTIF('Acompanhamento quinzenal'!$T:$T, A116) +
    COUNTIF('Acompanhamento quinzenal'!$Z:$Z, A116) +
    COUNTIF('Acompanhamento quinzenal'!$AF:$AF, A116)
  ) = 0,
  "-",
  (
    IFERROR(SUMIFS('Acompanhamento quinzenal'!$P:$P, 'Acompanhamento quinzenal'!$N:$N, A116), 0) +
    IFERROR(SUMIFS('Acompanhamento quinzenal'!$V:$V, 'Acompanhamento quinzenal'!$T:$T, A116), 0) +
    IFERROR(SUMIFS('Acompanhamento quinzenal'!$AB:$AB, 'Acompanhamento quinzenal'!$Z:$Z, A116), 0) +
    IFERROR(SUMIFS('Acompanhamento quinzenal'!$AH:$AH, 'Acompanhamento quinzenal'!$AF:$AF, A116), 0)
  ) /
  (
    COUNTIF('Acompanhamento quinzenal'!$N:$N, A116) +
    COUNTIF('Acompanhamento quinzenal'!$T:$T, A116) +
    COUNTIF('Acompanhamento quinzenal'!$Z:$Z, A116) +
    COUNTIF('Acompanhamento quinzenal'!$AF:$AF, A116)
  )
)
</f>
        <v>4</v>
      </c>
      <c r="Y116" s="293">
        <f>IF(
  (
    COUNTIF('Acompanhamento quinzenal'!$N:$N, A116) +
    COUNTIF('Acompanhamento quinzenal'!$T:$T, A116) +
    COUNTIF('Acompanhamento quinzenal'!$Z:$Z, A116) +
    COUNTIF('Acompanhamento quinzenal'!$AF:$AF, A116)
  ) = 0,
  "-",
  (
    IFERROR(SUMIFS('Acompanhamento quinzenal'!$Q:$Q, 'Acompanhamento quinzenal'!$N:$N, A116), 0) +
    IFERROR(SUMIFS('Acompanhamento quinzenal'!$W:$W, 'Acompanhamento quinzenal'!$T:$T, A116), 0) +
    IFERROR(SUMIFS('Acompanhamento quinzenal'!$AC:$AC, 'Acompanhamento quinzenal'!$Z:$Z, A116), 0) +
    IFERROR(SUMIFS('Acompanhamento quinzenal'!$AI:$AI, 'Acompanhamento quinzenal'!$AF:$AF, A116), 0)
  ) /
  (
    COUNTIF('Acompanhamento quinzenal'!$N:$N, A116) +
    COUNTIF('Acompanhamento quinzenal'!$T:$T, A116) +
    COUNTIF('Acompanhamento quinzenal'!$Z:$Z, A116) +
    COUNTIF('Acompanhamento quinzenal'!$AF:$AF, A116)
  )
)
</f>
        <v>3.666666667</v>
      </c>
    </row>
    <row r="117" hidden="1">
      <c r="A117" s="291" t="str">
        <f>IFERROR(__xludf.DUMMYFUNCTION("""COMPUTED_VALUE"""),"lucas.oliveira")</f>
        <v>lucas.oliveira</v>
      </c>
      <c r="B117" s="120" t="str">
        <f>IFERROR(__xludf.DUMMYFUNCTION("""COMPUTED_VALUE"""),"Gerente")</f>
        <v>Gerente</v>
      </c>
      <c r="C117" s="120" t="str">
        <f>IFERROR(__xludf.DUMMYFUNCTION("""COMPUTED_VALUE"""),"Anucleado")</f>
        <v>Anucleado</v>
      </c>
      <c r="D117" s="292" t="str">
        <f>IFERROR((COUNTIFS(Base!$V:$V,A117,Base!$S:$S,"&gt;8") - COUNTIFS(Base!$V:$V,A117,Base!$S:$S,"&lt;7"))/COUNTIFS(Base!$V:$V,A117,Base!$S:$S,"&lt;&gt;"),"-")</f>
        <v>-</v>
      </c>
      <c r="E117" s="292" t="str">
        <f>IF(
  (
    COUNTIFS(Base!$W:$W, A117, Base!$S:$S, "&lt;&gt;") +
    COUNTIFS(Base!$X:$X, A117, Base!$S:$S, "&lt;&gt;") +
    COUNTIFS(Base!$Y:$Y, A117, Base!$S:$S, "&lt;&gt;") +
    COUNTIFS(Base!$Z:$Z, A117, Base!$S:$S, "&lt;&gt;")
  ) = 0,
  "-",
  (
    COUNTIFS(Base!$W:$W, A117, Base!$S:$S, "&gt;8") - COUNTIFS(Base!$W:$W, A117, Base!$S:$S, "&lt;7") +
    COUNTIFS(Base!$X:$X, A117, Base!$S:$S, "&gt;8") - COUNTIFS(Base!$X:$X, A117, Base!$S:$S, "&lt;7") +
    COUNTIFS(Base!$Y:$Y, A117, Base!$S:$S, "&gt;8") - COUNTIFS(Base!$Y:$Y, A117, Base!$S:$S, "&lt;7") +
    COUNTIFS(Base!$Z:$Z, A117, Base!$S:$S, "&gt;8") - COUNTIFS(Base!$Z:$Z, A117, Base!$S:$S, "&lt;7")
  ) /
  (
    COUNTIFS(Base!$W:$W, A117, Base!$S:$S, "&lt;&gt;") +
    COUNTIFS(Base!$X:$X, A117, Base!$S:$S, "&lt;&gt;") +
    COUNTIFS(Base!$Y:$Y, A117, Base!$S:$S, "&lt;&gt;") +
    COUNTIFS(Base!$Z:$Z, A117, Base!$S:$S, "&lt;&gt;")
  )
)
</f>
        <v>-</v>
      </c>
      <c r="F117" s="290">
        <f>SUMIFS(Base!$N:$N,Base!$V:$V,A117,Base!$N:$N,"&lt;&gt;")-SUMIFS(Base!$K:$K,Base!$V:$V,A117,Base!$N:$N,"&lt;&gt;")-(SUMIFS(Base!$L:$L,Base!$V:$V,A117,Base!$N:$N,"&lt;&gt;")*7)</f>
        <v>0</v>
      </c>
      <c r="G117" s="290"/>
      <c r="H117" s="290">
        <f>SUMIFS(Base!$F:$F,Base!$V:$V,A117,Base!$N:$N,"&lt;&gt;")*7</f>
        <v>0</v>
      </c>
      <c r="I117" s="290"/>
      <c r="J117" s="292" t="str">
        <f t="shared" ref="J117:K117" si="118">IFERROR(F117/H117,"-")</f>
        <v>-</v>
      </c>
      <c r="K117" s="292" t="str">
        <f t="shared" si="118"/>
        <v>-</v>
      </c>
      <c r="L117" s="292" t="str">
        <f>IFERROR((COUNTIFS(Base!$V:$V,A117,Base!$U:$U,TRUE))/(COUNTIFS(Base!$V:$V,A117,Base!$O:$O,"Finalizado")+COUNTIFS(Base!$V:$V,A117,Base!$O:$O,"Concluído")),"-")</f>
        <v>-</v>
      </c>
      <c r="M117" s="292" t="str">
        <f>IF(
  (
    IFERROR(COUNTIF(Base!$W:$W, A117), 0) +
    IFERROR(COUNTIF(Base!$X:$X, A117), 0) +
    IFERROR(COUNTIF(Base!$Y:$Y, A117), 0) +
    IFERROR(COUNTIF(Base!$Z:$Z, A117), 0)
  ) = 0,
  "-",
  IF(
    (
      IFERROR(COUNTIFS(Base!$W:$W, A117, Base!$O:$O, "Finalizado"), 0) +
      IFERROR(COUNTIFS(Base!$W:$W, A117, Base!$O:$O, "Concluído"), 0) +
      IFERROR(COUNTIFS(Base!$X:$X, A117, Base!$O:$O, "Finalizado"), 0) +
      IFERROR(COUNTIFS(Base!$X:$X, A117, Base!$O:$O, "Concluído"), 0) +
      IFERROR(COUNTIFS(Base!$Y:$Y, A117, Base!$O:$O, "Finalizado"), 0) +
      IFERROR(COUNTIFS(Base!$Y:$Y, A117, Base!$O:$O, "Concluído"), 0) +
      IFERROR(COUNTIFS(Base!$Z:$Z, A117, Base!$O:$O, "Finalizado"), 0) +
      IFERROR(COUNTIFS(Base!$Z:$Z, A117, Base!$O:$O, "Concluído"), 0)
    ) = 0,
    "-",
    (
      IFERROR(COUNTIFS(Base!$W:$W, A117, Base!$U:$U, TRUE), 0) +
      IFERROR(COUNTIFS(Base!$X:$X, A117, Base!$U:$U, TRUE), 0) +
      IFERROR(COUNTIFS(Base!$Y:$Y, A117, Base!$U:$U, TRUE), 0) +
      IFERROR(COUNTIFS(Base!$Z:$Z, A117, Base!$U:$U, TRUE), 0)
    ) /
    (
      IFERROR(COUNTIFS(Base!$W:$W, A117, Base!$O:$O, "Finalizado"), 0) +
      IFERROR(COUNTIFS(Base!$W:$W, A117, Base!$O:$O, "Concluído"), 0) +
      IFERROR(COUNTIFS(Base!$X:$X, A117, Base!$O:$O, "Finalizado"), 0) +
      IFERROR(COUNTIFS(Base!$X:$X, A117, Base!$O:$O, "Concluído"), 0) +
      IFERROR(COUNTIFS(Base!$Y:$Y, A117, Base!$O:$O, "Finalizado"), 0) +
      IFERROR(COUNTIFS(Base!$Y:$Y, A117, Base!$O:$O, "Concluído"), 0) +
      IFERROR(COUNTIFS(Base!$Z:$Z, A117, Base!$O:$O, "Finalizado"), 0) +
      IFERROR(COUNTIFS(Base!$Z:$Z, A117, Base!$O:$O, "Concluído"), 0)
    )
  )
)
</f>
        <v>-</v>
      </c>
      <c r="N117" s="120">
        <f>COUNTIF(Base!V:V,$A117)</f>
        <v>0</v>
      </c>
      <c r="O117" s="120">
        <f>COUNTIF(Base!W:W,$A117)</f>
        <v>0</v>
      </c>
      <c r="P117" s="120">
        <f>COUNTIF(Base!X:X,$A117)</f>
        <v>0</v>
      </c>
      <c r="Q117" s="120">
        <f>COUNTIF(Base!Y:Y,$A117)</f>
        <v>0</v>
      </c>
      <c r="R117" s="120">
        <f>COUNTIF(Base!Z:Z,$A117)</f>
        <v>0</v>
      </c>
      <c r="S117" s="120">
        <f t="shared" si="3"/>
        <v>0</v>
      </c>
      <c r="T117" s="120">
        <f t="shared" si="4"/>
        <v>0</v>
      </c>
      <c r="V117" s="293" t="str">
        <f>IF(
  (
    COUNTIF('Acompanhamento quinzenal'!$N:$N, A117) +
    COUNTIF('Acompanhamento quinzenal'!$T:$T, A117) +
    COUNTIF('Acompanhamento quinzenal'!$Z:$Z, A117) +
    COUNTIF('Acompanhamento quinzenal'!$AF:$AF, A117)
  ) = 0,
  "-",
  (
    IFERROR(SUMIFS('Acompanhamento quinzenal'!$S:$S, 'Acompanhamento quinzenal'!$N:$N, A117), 0) +
    IFERROR(SUMIFS('Acompanhamento quinzenal'!$Y:$Y, 'Acompanhamento quinzenal'!$T:$T, A117), 0) +
    IFERROR(SUMIFS('Acompanhamento quinzenal'!$AE:$AE, 'Acompanhamento quinzenal'!$Z:$Z, A117), 0) +
    IFERROR(SUMIFS('Acompanhamento quinzenal'!$AK:$AK, 'Acompanhamento quinzenal'!$AF:$AF, A117), 0)
  ) /
  (
    COUNTIF('Acompanhamento quinzenal'!$N:$N, A117) +
    COUNTIF('Acompanhamento quinzenal'!$T:$T, A117) +
    COUNTIF('Acompanhamento quinzenal'!$Z:$Z, A117) +
    COUNTIF('Acompanhamento quinzenal'!$AF:$AF, A117)
  )
)
</f>
        <v>-</v>
      </c>
      <c r="W117" s="293" t="str">
        <f>IF(
  (
    COUNTIF('Acompanhamento quinzenal'!$N:$N, A117) +
    COUNTIF('Acompanhamento quinzenal'!$T:$T, A117) +
    COUNTIF('Acompanhamento quinzenal'!$Z:$Z, A117) +
    COUNTIF('Acompanhamento quinzenal'!$AF:$AF, A117)
  ) = 0,
  "-",
  (
    IFERROR(SUMIFS('Acompanhamento quinzenal'!$O:$O, 'Acompanhamento quinzenal'!$N:$N, A117), 0) +
    IFERROR(SUMIFS('Acompanhamento quinzenal'!$U:$U, 'Acompanhamento quinzenal'!$T:$T, A117), 0) +
    IFERROR(SUMIFS('Acompanhamento quinzenal'!$AA:$AA, 'Acompanhamento quinzenal'!$Z:$Z, A117), 0) +
    IFERROR(SUMIFS('Acompanhamento quinzenal'!$AG:$AG, 'Acompanhamento quinzenal'!$AF:$AF, A117), 0)
  ) /
  (
    COUNTIF('Acompanhamento quinzenal'!$N:$N, A117) +
    COUNTIF('Acompanhamento quinzenal'!$T:$T, A117) +
    COUNTIF('Acompanhamento quinzenal'!$Z:$Z, A117) +
    COUNTIF('Acompanhamento quinzenal'!$AF:$AF, A117)
  )
)
</f>
        <v>-</v>
      </c>
      <c r="X117" s="294" t="str">
        <f>IF(
  (
    COUNTIF('Acompanhamento quinzenal'!$N:$N, A117) +
    COUNTIF('Acompanhamento quinzenal'!$T:$T, A117) +
    COUNTIF('Acompanhamento quinzenal'!$Z:$Z, A117) +
    COUNTIF('Acompanhamento quinzenal'!$AF:$AF, A117)
  ) = 0,
  "-",
  (
    IFERROR(SUMIFS('Acompanhamento quinzenal'!$P:$P, 'Acompanhamento quinzenal'!$N:$N, A117), 0) +
    IFERROR(SUMIFS('Acompanhamento quinzenal'!$V:$V, 'Acompanhamento quinzenal'!$T:$T, A117), 0) +
    IFERROR(SUMIFS('Acompanhamento quinzenal'!$AB:$AB, 'Acompanhamento quinzenal'!$Z:$Z, A117), 0) +
    IFERROR(SUMIFS('Acompanhamento quinzenal'!$AH:$AH, 'Acompanhamento quinzenal'!$AF:$AF, A117), 0)
  ) /
  (
    COUNTIF('Acompanhamento quinzenal'!$N:$N, A117) +
    COUNTIF('Acompanhamento quinzenal'!$T:$T, A117) +
    COUNTIF('Acompanhamento quinzenal'!$Z:$Z, A117) +
    COUNTIF('Acompanhamento quinzenal'!$AF:$AF, A117)
  )
)
</f>
        <v>-</v>
      </c>
      <c r="Y117" s="293" t="str">
        <f>IF(
  (
    COUNTIF('Acompanhamento quinzenal'!$N:$N, A117) +
    COUNTIF('Acompanhamento quinzenal'!$T:$T, A117) +
    COUNTIF('Acompanhamento quinzenal'!$Z:$Z, A117) +
    COUNTIF('Acompanhamento quinzenal'!$AF:$AF, A117)
  ) = 0,
  "-",
  (
    IFERROR(SUMIFS('Acompanhamento quinzenal'!$Q:$Q, 'Acompanhamento quinzenal'!$N:$N, A117), 0) +
    IFERROR(SUMIFS('Acompanhamento quinzenal'!$W:$W, 'Acompanhamento quinzenal'!$T:$T, A117), 0) +
    IFERROR(SUMIFS('Acompanhamento quinzenal'!$AC:$AC, 'Acompanhamento quinzenal'!$Z:$Z, A117), 0) +
    IFERROR(SUMIFS('Acompanhamento quinzenal'!$AI:$AI, 'Acompanhamento quinzenal'!$AF:$AF, A117), 0)
  ) /
  (
    COUNTIF('Acompanhamento quinzenal'!$N:$N, A117) +
    COUNTIF('Acompanhamento quinzenal'!$T:$T, A117) +
    COUNTIF('Acompanhamento quinzenal'!$Z:$Z, A117) +
    COUNTIF('Acompanhamento quinzenal'!$AF:$AF, A117)
  )
)
</f>
        <v>-</v>
      </c>
    </row>
    <row r="118" hidden="1">
      <c r="A118" s="291" t="str">
        <f>IFERROR(__xludf.DUMMYFUNCTION("""COMPUTED_VALUE"""),"lucas.godoy")</f>
        <v>lucas.godoy</v>
      </c>
      <c r="B118" s="120" t="str">
        <f>IFERROR(__xludf.DUMMYFUNCTION("""COMPUTED_VALUE"""),"Consultor")</f>
        <v>Consultor</v>
      </c>
      <c r="C118" s="120" t="str">
        <f>IFERROR(__xludf.DUMMYFUNCTION("""COMPUTED_VALUE"""),"NTec")</f>
        <v>NTec</v>
      </c>
      <c r="D118" s="292" t="str">
        <f>IFERROR((COUNTIFS(Base!$V:$V,A118,Base!$S:$S,"&gt;8") - COUNTIFS(Base!$V:$V,A118,Base!$S:$S,"&lt;7"))/COUNTIFS(Base!$V:$V,A118,Base!$S:$S,"&lt;&gt;"),"-")</f>
        <v>-</v>
      </c>
      <c r="E118" s="292" t="str">
        <f>IF(
  (
    COUNTIFS(Base!$W:$W, A118, Base!$S:$S, "&lt;&gt;") +
    COUNTIFS(Base!$X:$X, A118, Base!$S:$S, "&lt;&gt;") +
    COUNTIFS(Base!$Y:$Y, A118, Base!$S:$S, "&lt;&gt;") +
    COUNTIFS(Base!$Z:$Z, A118, Base!$S:$S, "&lt;&gt;")
  ) = 0,
  "-",
  (
    COUNTIFS(Base!$W:$W, A118, Base!$S:$S, "&gt;8") - COUNTIFS(Base!$W:$W, A118, Base!$S:$S, "&lt;7") +
    COUNTIFS(Base!$X:$X, A118, Base!$S:$S, "&gt;8") - COUNTIFS(Base!$X:$X, A118, Base!$S:$S, "&lt;7") +
    COUNTIFS(Base!$Y:$Y, A118, Base!$S:$S, "&gt;8") - COUNTIFS(Base!$Y:$Y, A118, Base!$S:$S, "&lt;7") +
    COUNTIFS(Base!$Z:$Z, A118, Base!$S:$S, "&gt;8") - COUNTIFS(Base!$Z:$Z, A118, Base!$S:$S, "&lt;7")
  ) /
  (
    COUNTIFS(Base!$W:$W, A118, Base!$S:$S, "&lt;&gt;") +
    COUNTIFS(Base!$X:$X, A118, Base!$S:$S, "&lt;&gt;") +
    COUNTIFS(Base!$Y:$Y, A118, Base!$S:$S, "&lt;&gt;") +
    COUNTIFS(Base!$Z:$Z, A118, Base!$S:$S, "&lt;&gt;")
  )
)
</f>
        <v>-</v>
      </c>
      <c r="F118" s="290">
        <f>SUMIFS(Base!$N:$N,Base!$V:$V,A118,Base!$N:$N,"&lt;&gt;")-SUMIFS(Base!$K:$K,Base!$V:$V,A118,Base!$N:$N,"&lt;&gt;")-(SUMIFS(Base!$L:$L,Base!$V:$V,A118,Base!$N:$N,"&lt;&gt;")*7)</f>
        <v>0</v>
      </c>
      <c r="G118" s="290"/>
      <c r="H118" s="290">
        <f>SUMIFS(Base!$F:$F,Base!$V:$V,A118,Base!$N:$N,"&lt;&gt;")*7</f>
        <v>0</v>
      </c>
      <c r="I118" s="290"/>
      <c r="J118" s="292" t="str">
        <f t="shared" ref="J118:K118" si="119">IFERROR(F118/H118,"-")</f>
        <v>-</v>
      </c>
      <c r="K118" s="292" t="str">
        <f t="shared" si="119"/>
        <v>-</v>
      </c>
      <c r="L118" s="292" t="str">
        <f>IFERROR((COUNTIFS(Base!$V:$V,A118,Base!$U:$U,TRUE))/(COUNTIFS(Base!$V:$V,A118,Base!$O:$O,"Finalizado")+COUNTIFS(Base!$V:$V,A118,Base!$O:$O,"Concluído")),"-")</f>
        <v>-</v>
      </c>
      <c r="M118" s="292" t="str">
        <f>IF(
  (
    IFERROR(COUNTIF(Base!$W:$W, A118), 0) +
    IFERROR(COUNTIF(Base!$X:$X, A118), 0) +
    IFERROR(COUNTIF(Base!$Y:$Y, A118), 0) +
    IFERROR(COUNTIF(Base!$Z:$Z, A118), 0)
  ) = 0,
  "-",
  IF(
    (
      IFERROR(COUNTIFS(Base!$W:$W, A118, Base!$O:$O, "Finalizado"), 0) +
      IFERROR(COUNTIFS(Base!$W:$W, A118, Base!$O:$O, "Concluído"), 0) +
      IFERROR(COUNTIFS(Base!$X:$X, A118, Base!$O:$O, "Finalizado"), 0) +
      IFERROR(COUNTIFS(Base!$X:$X, A118, Base!$O:$O, "Concluído"), 0) +
      IFERROR(COUNTIFS(Base!$Y:$Y, A118, Base!$O:$O, "Finalizado"), 0) +
      IFERROR(COUNTIFS(Base!$Y:$Y, A118, Base!$O:$O, "Concluído"), 0) +
      IFERROR(COUNTIFS(Base!$Z:$Z, A118, Base!$O:$O, "Finalizado"), 0) +
      IFERROR(COUNTIFS(Base!$Z:$Z, A118, Base!$O:$O, "Concluído"), 0)
    ) = 0,
    "-",
    (
      IFERROR(COUNTIFS(Base!$W:$W, A118, Base!$U:$U, TRUE), 0) +
      IFERROR(COUNTIFS(Base!$X:$X, A118, Base!$U:$U, TRUE), 0) +
      IFERROR(COUNTIFS(Base!$Y:$Y, A118, Base!$U:$U, TRUE), 0) +
      IFERROR(COUNTIFS(Base!$Z:$Z, A118, Base!$U:$U, TRUE), 0)
    ) /
    (
      IFERROR(COUNTIFS(Base!$W:$W, A118, Base!$O:$O, "Finalizado"), 0) +
      IFERROR(COUNTIFS(Base!$W:$W, A118, Base!$O:$O, "Concluído"), 0) +
      IFERROR(COUNTIFS(Base!$X:$X, A118, Base!$O:$O, "Finalizado"), 0) +
      IFERROR(COUNTIFS(Base!$X:$X, A118, Base!$O:$O, "Concluído"), 0) +
      IFERROR(COUNTIFS(Base!$Y:$Y, A118, Base!$O:$O, "Finalizado"), 0) +
      IFERROR(COUNTIFS(Base!$Y:$Y, A118, Base!$O:$O, "Concluído"), 0) +
      IFERROR(COUNTIFS(Base!$Z:$Z, A118, Base!$O:$O, "Finalizado"), 0) +
      IFERROR(COUNTIFS(Base!$Z:$Z, A118, Base!$O:$O, "Concluído"), 0)
    )
  )
)
</f>
        <v>-</v>
      </c>
      <c r="N118" s="120">
        <f>COUNTIF(Base!V:V,$A118)</f>
        <v>0</v>
      </c>
      <c r="O118" s="120">
        <f>COUNTIF(Base!W:W,$A118)</f>
        <v>3</v>
      </c>
      <c r="P118" s="120">
        <f>COUNTIF(Base!X:X,$A118)</f>
        <v>3</v>
      </c>
      <c r="Q118" s="120">
        <f>COUNTIF(Base!Y:Y,$A118)</f>
        <v>0</v>
      </c>
      <c r="R118" s="120">
        <f>COUNTIF(Base!Z:Z,$A118)</f>
        <v>0</v>
      </c>
      <c r="S118" s="120">
        <f t="shared" si="3"/>
        <v>6</v>
      </c>
      <c r="T118" s="120">
        <f t="shared" si="4"/>
        <v>6</v>
      </c>
      <c r="V118" s="293">
        <f>IF(
  (
    COUNTIF('Acompanhamento quinzenal'!$N:$N, A118) +
    COUNTIF('Acompanhamento quinzenal'!$T:$T, A118) +
    COUNTIF('Acompanhamento quinzenal'!$Z:$Z, A118) +
    COUNTIF('Acompanhamento quinzenal'!$AF:$AF, A118)
  ) = 0,
  "-",
  (
    IFERROR(SUMIFS('Acompanhamento quinzenal'!$S:$S, 'Acompanhamento quinzenal'!$N:$N, A118), 0) +
    IFERROR(SUMIFS('Acompanhamento quinzenal'!$Y:$Y, 'Acompanhamento quinzenal'!$T:$T, A118), 0) +
    IFERROR(SUMIFS('Acompanhamento quinzenal'!$AE:$AE, 'Acompanhamento quinzenal'!$Z:$Z, A118), 0) +
    IFERROR(SUMIFS('Acompanhamento quinzenal'!$AK:$AK, 'Acompanhamento quinzenal'!$AF:$AF, A118), 0)
  ) /
  (
    COUNTIF('Acompanhamento quinzenal'!$N:$N, A118) +
    COUNTIF('Acompanhamento quinzenal'!$T:$T, A118) +
    COUNTIF('Acompanhamento quinzenal'!$Z:$Z, A118) +
    COUNTIF('Acompanhamento quinzenal'!$AF:$AF, A118)
  )
)
</f>
        <v>4.428571429</v>
      </c>
      <c r="W118" s="293">
        <f>IF(
  (
    COUNTIF('Acompanhamento quinzenal'!$N:$N, A118) +
    COUNTIF('Acompanhamento quinzenal'!$T:$T, A118) +
    COUNTIF('Acompanhamento quinzenal'!$Z:$Z, A118) +
    COUNTIF('Acompanhamento quinzenal'!$AF:$AF, A118)
  ) = 0,
  "-",
  (
    IFERROR(SUMIFS('Acompanhamento quinzenal'!$O:$O, 'Acompanhamento quinzenal'!$N:$N, A118), 0) +
    IFERROR(SUMIFS('Acompanhamento quinzenal'!$U:$U, 'Acompanhamento quinzenal'!$T:$T, A118), 0) +
    IFERROR(SUMIFS('Acompanhamento quinzenal'!$AA:$AA, 'Acompanhamento quinzenal'!$Z:$Z, A118), 0) +
    IFERROR(SUMIFS('Acompanhamento quinzenal'!$AG:$AG, 'Acompanhamento quinzenal'!$AF:$AF, A118), 0)
  ) /
  (
    COUNTIF('Acompanhamento quinzenal'!$N:$N, A118) +
    COUNTIF('Acompanhamento quinzenal'!$T:$T, A118) +
    COUNTIF('Acompanhamento quinzenal'!$Z:$Z, A118) +
    COUNTIF('Acompanhamento quinzenal'!$AF:$AF, A118)
  )
)
</f>
        <v>4.285714286</v>
      </c>
      <c r="X118" s="294">
        <f>IF(
  (
    COUNTIF('Acompanhamento quinzenal'!$N:$N, A118) +
    COUNTIF('Acompanhamento quinzenal'!$T:$T, A118) +
    COUNTIF('Acompanhamento quinzenal'!$Z:$Z, A118) +
    COUNTIF('Acompanhamento quinzenal'!$AF:$AF, A118)
  ) = 0,
  "-",
  (
    IFERROR(SUMIFS('Acompanhamento quinzenal'!$P:$P, 'Acompanhamento quinzenal'!$N:$N, A118), 0) +
    IFERROR(SUMIFS('Acompanhamento quinzenal'!$V:$V, 'Acompanhamento quinzenal'!$T:$T, A118), 0) +
    IFERROR(SUMIFS('Acompanhamento quinzenal'!$AB:$AB, 'Acompanhamento quinzenal'!$Z:$Z, A118), 0) +
    IFERROR(SUMIFS('Acompanhamento quinzenal'!$AH:$AH, 'Acompanhamento quinzenal'!$AF:$AF, A118), 0)
  ) /
  (
    COUNTIF('Acompanhamento quinzenal'!$N:$N, A118) +
    COUNTIF('Acompanhamento quinzenal'!$T:$T, A118) +
    COUNTIF('Acompanhamento quinzenal'!$Z:$Z, A118) +
    COUNTIF('Acompanhamento quinzenal'!$AF:$AF, A118)
  )
)
</f>
        <v>4.571428571</v>
      </c>
      <c r="Y118" s="293">
        <f>IF(
  (
    COUNTIF('Acompanhamento quinzenal'!$N:$N, A118) +
    COUNTIF('Acompanhamento quinzenal'!$T:$T, A118) +
    COUNTIF('Acompanhamento quinzenal'!$Z:$Z, A118) +
    COUNTIF('Acompanhamento quinzenal'!$AF:$AF, A118)
  ) = 0,
  "-",
  (
    IFERROR(SUMIFS('Acompanhamento quinzenal'!$Q:$Q, 'Acompanhamento quinzenal'!$N:$N, A118), 0) +
    IFERROR(SUMIFS('Acompanhamento quinzenal'!$W:$W, 'Acompanhamento quinzenal'!$T:$T, A118), 0) +
    IFERROR(SUMIFS('Acompanhamento quinzenal'!$AC:$AC, 'Acompanhamento quinzenal'!$Z:$Z, A118), 0) +
    IFERROR(SUMIFS('Acompanhamento quinzenal'!$AI:$AI, 'Acompanhamento quinzenal'!$AF:$AF, A118), 0)
  ) /
  (
    COUNTIF('Acompanhamento quinzenal'!$N:$N, A118) +
    COUNTIF('Acompanhamento quinzenal'!$T:$T, A118) +
    COUNTIF('Acompanhamento quinzenal'!$Z:$Z, A118) +
    COUNTIF('Acompanhamento quinzenal'!$AF:$AF, A118)
  )
)
</f>
        <v>4.428571429</v>
      </c>
    </row>
    <row r="119" hidden="1">
      <c r="A119" s="291" t="str">
        <f>IFERROR(__xludf.DUMMYFUNCTION("""COMPUTED_VALUE"""),"luis.ferreira")</f>
        <v>luis.ferreira</v>
      </c>
      <c r="B119" s="120" t="str">
        <f>IFERROR(__xludf.DUMMYFUNCTION("""COMPUTED_VALUE"""),"Trainee")</f>
        <v>Trainee</v>
      </c>
      <c r="C119" s="120" t="str">
        <f>IFERROR(__xludf.DUMMYFUNCTION("""COMPUTED_VALUE"""),"NCon")</f>
        <v>NCon</v>
      </c>
      <c r="D119" s="292" t="str">
        <f>IFERROR((COUNTIFS(Base!$V:$V,A119,Base!$S:$S,"&gt;8") - COUNTIFS(Base!$V:$V,A119,Base!$S:$S,"&lt;7"))/COUNTIFS(Base!$V:$V,A119,Base!$S:$S,"&lt;&gt;"),"-")</f>
        <v>-</v>
      </c>
      <c r="E119" s="292" t="str">
        <f>IF(
  (
    COUNTIFS(Base!$W:$W, A119, Base!$S:$S, "&lt;&gt;") +
    COUNTIFS(Base!$X:$X, A119, Base!$S:$S, "&lt;&gt;") +
    COUNTIFS(Base!$Y:$Y, A119, Base!$S:$S, "&lt;&gt;") +
    COUNTIFS(Base!$Z:$Z, A119, Base!$S:$S, "&lt;&gt;")
  ) = 0,
  "-",
  (
    COUNTIFS(Base!$W:$W, A119, Base!$S:$S, "&gt;8") - COUNTIFS(Base!$W:$W, A119, Base!$S:$S, "&lt;7") +
    COUNTIFS(Base!$X:$X, A119, Base!$S:$S, "&gt;8") - COUNTIFS(Base!$X:$X, A119, Base!$S:$S, "&lt;7") +
    COUNTIFS(Base!$Y:$Y, A119, Base!$S:$S, "&gt;8") - COUNTIFS(Base!$Y:$Y, A119, Base!$S:$S, "&lt;7") +
    COUNTIFS(Base!$Z:$Z, A119, Base!$S:$S, "&gt;8") - COUNTIFS(Base!$Z:$Z, A119, Base!$S:$S, "&lt;7")
  ) /
  (
    COUNTIFS(Base!$W:$W, A119, Base!$S:$S, "&lt;&gt;") +
    COUNTIFS(Base!$X:$X, A119, Base!$S:$S, "&lt;&gt;") +
    COUNTIFS(Base!$Y:$Y, A119, Base!$S:$S, "&lt;&gt;") +
    COUNTIFS(Base!$Z:$Z, A119, Base!$S:$S, "&lt;&gt;")
  )
)
</f>
        <v>-</v>
      </c>
      <c r="F119" s="290">
        <f>SUMIFS(Base!$N:$N,Base!$V:$V,A119,Base!$N:$N,"&lt;&gt;")-SUMIFS(Base!$K:$K,Base!$V:$V,A119,Base!$N:$N,"&lt;&gt;")-(SUMIFS(Base!$L:$L,Base!$V:$V,A119,Base!$N:$N,"&lt;&gt;")*7)</f>
        <v>0</v>
      </c>
      <c r="G119" s="290"/>
      <c r="H119" s="290">
        <f>SUMIFS(Base!$F:$F,Base!$V:$V,A119,Base!$N:$N,"&lt;&gt;")*7</f>
        <v>0</v>
      </c>
      <c r="I119" s="290"/>
      <c r="J119" s="292" t="str">
        <f t="shared" ref="J119:K119" si="120">IFERROR(F119/H119,"-")</f>
        <v>-</v>
      </c>
      <c r="K119" s="292" t="str">
        <f t="shared" si="120"/>
        <v>-</v>
      </c>
      <c r="L119" s="292" t="str">
        <f>IFERROR((COUNTIFS(Base!$V:$V,A119,Base!$U:$U,TRUE))/(COUNTIFS(Base!$V:$V,A119,Base!$O:$O,"Finalizado")+COUNTIFS(Base!$V:$V,A119,Base!$O:$O,"Concluído")),"-")</f>
        <v>-</v>
      </c>
      <c r="M119" s="292">
        <f>IF(
  (
    IFERROR(COUNTIF(Base!$W:$W, A119), 0) +
    IFERROR(COUNTIF(Base!$X:$X, A119), 0) +
    IFERROR(COUNTIF(Base!$Y:$Y, A119), 0) +
    IFERROR(COUNTIF(Base!$Z:$Z, A119), 0)
  ) = 0,
  "-",
  IF(
    (
      IFERROR(COUNTIFS(Base!$W:$W, A119, Base!$O:$O, "Finalizado"), 0) +
      IFERROR(COUNTIFS(Base!$W:$W, A119, Base!$O:$O, "Concluído"), 0) +
      IFERROR(COUNTIFS(Base!$X:$X, A119, Base!$O:$O, "Finalizado"), 0) +
      IFERROR(COUNTIFS(Base!$X:$X, A119, Base!$O:$O, "Concluído"), 0) +
      IFERROR(COUNTIFS(Base!$Y:$Y, A119, Base!$O:$O, "Finalizado"), 0) +
      IFERROR(COUNTIFS(Base!$Y:$Y, A119, Base!$O:$O, "Concluído"), 0) +
      IFERROR(COUNTIFS(Base!$Z:$Z, A119, Base!$O:$O, "Finalizado"), 0) +
      IFERROR(COUNTIFS(Base!$Z:$Z, A119, Base!$O:$O, "Concluído"), 0)
    ) = 0,
    "-",
    (
      IFERROR(COUNTIFS(Base!$W:$W, A119, Base!$U:$U, TRUE), 0) +
      IFERROR(COUNTIFS(Base!$X:$X, A119, Base!$U:$U, TRUE), 0) +
      IFERROR(COUNTIFS(Base!$Y:$Y, A119, Base!$U:$U, TRUE), 0) +
      IFERROR(COUNTIFS(Base!$Z:$Z, A119, Base!$U:$U, TRUE), 0)
    ) /
    (
      IFERROR(COUNTIFS(Base!$W:$W, A119, Base!$O:$O, "Finalizado"), 0) +
      IFERROR(COUNTIFS(Base!$W:$W, A119, Base!$O:$O, "Concluído"), 0) +
      IFERROR(COUNTIFS(Base!$X:$X, A119, Base!$O:$O, "Finalizado"), 0) +
      IFERROR(COUNTIFS(Base!$X:$X, A119, Base!$O:$O, "Concluído"), 0) +
      IFERROR(COUNTIFS(Base!$Y:$Y, A119, Base!$O:$O, "Finalizado"), 0) +
      IFERROR(COUNTIFS(Base!$Y:$Y, A119, Base!$O:$O, "Concluído"), 0) +
      IFERROR(COUNTIFS(Base!$Z:$Z, A119, Base!$O:$O, "Finalizado"), 0) +
      IFERROR(COUNTIFS(Base!$Z:$Z, A119, Base!$O:$O, "Concluído"), 0)
    )
  )
)
</f>
        <v>0</v>
      </c>
      <c r="N119" s="120">
        <f>COUNTIF(Base!V:V,$A119)</f>
        <v>0</v>
      </c>
      <c r="O119" s="120">
        <f>COUNTIF(Base!W:W,$A119)</f>
        <v>1</v>
      </c>
      <c r="P119" s="120">
        <f>COUNTIF(Base!X:X,$A119)</f>
        <v>2</v>
      </c>
      <c r="Q119" s="120">
        <f>COUNTIF(Base!Y:Y,$A119)</f>
        <v>0</v>
      </c>
      <c r="R119" s="120">
        <f>COUNTIF(Base!Z:Z,$A119)</f>
        <v>0</v>
      </c>
      <c r="S119" s="120">
        <f t="shared" si="3"/>
        <v>3</v>
      </c>
      <c r="T119" s="120">
        <f t="shared" si="4"/>
        <v>3</v>
      </c>
      <c r="V119" s="293">
        <f>IF(
  (
    COUNTIF('Acompanhamento quinzenal'!$N:$N, A119) +
    COUNTIF('Acompanhamento quinzenal'!$T:$T, A119) +
    COUNTIF('Acompanhamento quinzenal'!$Z:$Z, A119) +
    COUNTIF('Acompanhamento quinzenal'!$AF:$AF, A119)
  ) = 0,
  "-",
  (
    IFERROR(SUMIFS('Acompanhamento quinzenal'!$S:$S, 'Acompanhamento quinzenal'!$N:$N, A119), 0) +
    IFERROR(SUMIFS('Acompanhamento quinzenal'!$Y:$Y, 'Acompanhamento quinzenal'!$T:$T, A119), 0) +
    IFERROR(SUMIFS('Acompanhamento quinzenal'!$AE:$AE, 'Acompanhamento quinzenal'!$Z:$Z, A119), 0) +
    IFERROR(SUMIFS('Acompanhamento quinzenal'!$AK:$AK, 'Acompanhamento quinzenal'!$AF:$AF, A119), 0)
  ) /
  (
    COUNTIF('Acompanhamento quinzenal'!$N:$N, A119) +
    COUNTIF('Acompanhamento quinzenal'!$T:$T, A119) +
    COUNTIF('Acompanhamento quinzenal'!$Z:$Z, A119) +
    COUNTIF('Acompanhamento quinzenal'!$AF:$AF, A119)
  )
)
</f>
        <v>1.111111111</v>
      </c>
      <c r="W119" s="293">
        <f>IF(
  (
    COUNTIF('Acompanhamento quinzenal'!$N:$N, A119) +
    COUNTIF('Acompanhamento quinzenal'!$T:$T, A119) +
    COUNTIF('Acompanhamento quinzenal'!$Z:$Z, A119) +
    COUNTIF('Acompanhamento quinzenal'!$AF:$AF, A119)
  ) = 0,
  "-",
  (
    IFERROR(SUMIFS('Acompanhamento quinzenal'!$O:$O, 'Acompanhamento quinzenal'!$N:$N, A119), 0) +
    IFERROR(SUMIFS('Acompanhamento quinzenal'!$U:$U, 'Acompanhamento quinzenal'!$T:$T, A119), 0) +
    IFERROR(SUMIFS('Acompanhamento quinzenal'!$AA:$AA, 'Acompanhamento quinzenal'!$Z:$Z, A119), 0) +
    IFERROR(SUMIFS('Acompanhamento quinzenal'!$AG:$AG, 'Acompanhamento quinzenal'!$AF:$AF, A119), 0)
  ) /
  (
    COUNTIF('Acompanhamento quinzenal'!$N:$N, A119) +
    COUNTIF('Acompanhamento quinzenal'!$T:$T, A119) +
    COUNTIF('Acompanhamento quinzenal'!$Z:$Z, A119) +
    COUNTIF('Acompanhamento quinzenal'!$AF:$AF, A119)
  )
)
</f>
        <v>3</v>
      </c>
      <c r="X119" s="294">
        <f>IF(
  (
    COUNTIF('Acompanhamento quinzenal'!$N:$N, A119) +
    COUNTIF('Acompanhamento quinzenal'!$T:$T, A119) +
    COUNTIF('Acompanhamento quinzenal'!$Z:$Z, A119) +
    COUNTIF('Acompanhamento quinzenal'!$AF:$AF, A119)
  ) = 0,
  "-",
  (
    IFERROR(SUMIFS('Acompanhamento quinzenal'!$P:$P, 'Acompanhamento quinzenal'!$N:$N, A119), 0) +
    IFERROR(SUMIFS('Acompanhamento quinzenal'!$V:$V, 'Acompanhamento quinzenal'!$T:$T, A119), 0) +
    IFERROR(SUMIFS('Acompanhamento quinzenal'!$AB:$AB, 'Acompanhamento quinzenal'!$Z:$Z, A119), 0) +
    IFERROR(SUMIFS('Acompanhamento quinzenal'!$AH:$AH, 'Acompanhamento quinzenal'!$AF:$AF, A119), 0)
  ) /
  (
    COUNTIF('Acompanhamento quinzenal'!$N:$N, A119) +
    COUNTIF('Acompanhamento quinzenal'!$T:$T, A119) +
    COUNTIF('Acompanhamento quinzenal'!$Z:$Z, A119) +
    COUNTIF('Acompanhamento quinzenal'!$AF:$AF, A119)
  )
)
</f>
        <v>3</v>
      </c>
      <c r="Y119" s="293">
        <f>IF(
  (
    COUNTIF('Acompanhamento quinzenal'!$N:$N, A119) +
    COUNTIF('Acompanhamento quinzenal'!$T:$T, A119) +
    COUNTIF('Acompanhamento quinzenal'!$Z:$Z, A119) +
    COUNTIF('Acompanhamento quinzenal'!$AF:$AF, A119)
  ) = 0,
  "-",
  (
    IFERROR(SUMIFS('Acompanhamento quinzenal'!$Q:$Q, 'Acompanhamento quinzenal'!$N:$N, A119), 0) +
    IFERROR(SUMIFS('Acompanhamento quinzenal'!$W:$W, 'Acompanhamento quinzenal'!$T:$T, A119), 0) +
    IFERROR(SUMIFS('Acompanhamento quinzenal'!$AC:$AC, 'Acompanhamento quinzenal'!$Z:$Z, A119), 0) +
    IFERROR(SUMIFS('Acompanhamento quinzenal'!$AI:$AI, 'Acompanhamento quinzenal'!$AF:$AF, A119), 0)
  ) /
  (
    COUNTIF('Acompanhamento quinzenal'!$N:$N, A119) +
    COUNTIF('Acompanhamento quinzenal'!$T:$T, A119) +
    COUNTIF('Acompanhamento quinzenal'!$Z:$Z, A119) +
    COUNTIF('Acompanhamento quinzenal'!$AF:$AF, A119)
  )
)
</f>
        <v>2.666666667</v>
      </c>
    </row>
    <row r="120" hidden="1">
      <c r="A120" s="291" t="str">
        <f>IFERROR(__xludf.DUMMYFUNCTION("""COMPUTED_VALUE"""),"luis.machado")</f>
        <v>luis.machado</v>
      </c>
      <c r="B120" s="120" t="str">
        <f>IFERROR(__xludf.DUMMYFUNCTION("""COMPUTED_VALUE"""),"Trainee")</f>
        <v>Trainee</v>
      </c>
      <c r="C120" s="120" t="str">
        <f>IFERROR(__xludf.DUMMYFUNCTION("""COMPUTED_VALUE"""),"NI")</f>
        <v>NI</v>
      </c>
      <c r="D120" s="292" t="str">
        <f>IFERROR((COUNTIFS(Base!$V:$V,A120,Base!$S:$S,"&gt;8") - COUNTIFS(Base!$V:$V,A120,Base!$S:$S,"&lt;7"))/COUNTIFS(Base!$V:$V,A120,Base!$S:$S,"&lt;&gt;"),"-")</f>
        <v>-</v>
      </c>
      <c r="E120" s="292" t="str">
        <f>IF(
  (
    COUNTIFS(Base!$W:$W, A120, Base!$S:$S, "&lt;&gt;") +
    COUNTIFS(Base!$X:$X, A120, Base!$S:$S, "&lt;&gt;") +
    COUNTIFS(Base!$Y:$Y, A120, Base!$S:$S, "&lt;&gt;") +
    COUNTIFS(Base!$Z:$Z, A120, Base!$S:$S, "&lt;&gt;")
  ) = 0,
  "-",
  (
    COUNTIFS(Base!$W:$W, A120, Base!$S:$S, "&gt;8") - COUNTIFS(Base!$W:$W, A120, Base!$S:$S, "&lt;7") +
    COUNTIFS(Base!$X:$X, A120, Base!$S:$S, "&gt;8") - COUNTIFS(Base!$X:$X, A120, Base!$S:$S, "&lt;7") +
    COUNTIFS(Base!$Y:$Y, A120, Base!$S:$S, "&gt;8") - COUNTIFS(Base!$Y:$Y, A120, Base!$S:$S, "&lt;7") +
    COUNTIFS(Base!$Z:$Z, A120, Base!$S:$S, "&gt;8") - COUNTIFS(Base!$Z:$Z, A120, Base!$S:$S, "&lt;7")
  ) /
  (
    COUNTIFS(Base!$W:$W, A120, Base!$S:$S, "&lt;&gt;") +
    COUNTIFS(Base!$X:$X, A120, Base!$S:$S, "&lt;&gt;") +
    COUNTIFS(Base!$Y:$Y, A120, Base!$S:$S, "&lt;&gt;") +
    COUNTIFS(Base!$Z:$Z, A120, Base!$S:$S, "&lt;&gt;")
  )
)
</f>
        <v>-</v>
      </c>
      <c r="F120" s="290">
        <f>SUMIFS(Base!$N:$N,Base!$V:$V,A120,Base!$N:$N,"&lt;&gt;")-SUMIFS(Base!$K:$K,Base!$V:$V,A120,Base!$N:$N,"&lt;&gt;")-(SUMIFS(Base!$L:$L,Base!$V:$V,A120,Base!$N:$N,"&lt;&gt;")*7)</f>
        <v>0</v>
      </c>
      <c r="G120" s="290"/>
      <c r="H120" s="290">
        <f>SUMIFS(Base!$F:$F,Base!$V:$V,A120,Base!$N:$N,"&lt;&gt;")*7</f>
        <v>0</v>
      </c>
      <c r="I120" s="290"/>
      <c r="J120" s="292" t="str">
        <f t="shared" ref="J120:K120" si="121">IFERROR(F120/H120,"-")</f>
        <v>-</v>
      </c>
      <c r="K120" s="292" t="str">
        <f t="shared" si="121"/>
        <v>-</v>
      </c>
      <c r="L120" s="292" t="str">
        <f>IFERROR((COUNTIFS(Base!$V:$V,A120,Base!$U:$U,TRUE))/(COUNTIFS(Base!$V:$V,A120,Base!$O:$O,"Finalizado")+COUNTIFS(Base!$V:$V,A120,Base!$O:$O,"Concluído")),"-")</f>
        <v>-</v>
      </c>
      <c r="M120" s="292" t="str">
        <f>IF(
  (
    IFERROR(COUNTIF(Base!$W:$W, A120), 0) +
    IFERROR(COUNTIF(Base!$X:$X, A120), 0) +
    IFERROR(COUNTIF(Base!$Y:$Y, A120), 0) +
    IFERROR(COUNTIF(Base!$Z:$Z, A120), 0)
  ) = 0,
  "-",
  IF(
    (
      IFERROR(COUNTIFS(Base!$W:$W, A120, Base!$O:$O, "Finalizado"), 0) +
      IFERROR(COUNTIFS(Base!$W:$W, A120, Base!$O:$O, "Concluído"), 0) +
      IFERROR(COUNTIFS(Base!$X:$X, A120, Base!$O:$O, "Finalizado"), 0) +
      IFERROR(COUNTIFS(Base!$X:$X, A120, Base!$O:$O, "Concluído"), 0) +
      IFERROR(COUNTIFS(Base!$Y:$Y, A120, Base!$O:$O, "Finalizado"), 0) +
      IFERROR(COUNTIFS(Base!$Y:$Y, A120, Base!$O:$O, "Concluído"), 0) +
      IFERROR(COUNTIFS(Base!$Z:$Z, A120, Base!$O:$O, "Finalizado"), 0) +
      IFERROR(COUNTIFS(Base!$Z:$Z, A120, Base!$O:$O, "Concluído"), 0)
    ) = 0,
    "-",
    (
      IFERROR(COUNTIFS(Base!$W:$W, A120, Base!$U:$U, TRUE), 0) +
      IFERROR(COUNTIFS(Base!$X:$X, A120, Base!$U:$U, TRUE), 0) +
      IFERROR(COUNTIFS(Base!$Y:$Y, A120, Base!$U:$U, TRUE), 0) +
      IFERROR(COUNTIFS(Base!$Z:$Z, A120, Base!$U:$U, TRUE), 0)
    ) /
    (
      IFERROR(COUNTIFS(Base!$W:$W, A120, Base!$O:$O, "Finalizado"), 0) +
      IFERROR(COUNTIFS(Base!$W:$W, A120, Base!$O:$O, "Concluído"), 0) +
      IFERROR(COUNTIFS(Base!$X:$X, A120, Base!$O:$O, "Finalizado"), 0) +
      IFERROR(COUNTIFS(Base!$X:$X, A120, Base!$O:$O, "Concluído"), 0) +
      IFERROR(COUNTIFS(Base!$Y:$Y, A120, Base!$O:$O, "Finalizado"), 0) +
      IFERROR(COUNTIFS(Base!$Y:$Y, A120, Base!$O:$O, "Concluído"), 0) +
      IFERROR(COUNTIFS(Base!$Z:$Z, A120, Base!$O:$O, "Finalizado"), 0) +
      IFERROR(COUNTIFS(Base!$Z:$Z, A120, Base!$O:$O, "Concluído"), 0)
    )
  )
)
</f>
        <v>-</v>
      </c>
      <c r="N120" s="120">
        <f>COUNTIF(Base!V:V,$A120)</f>
        <v>0</v>
      </c>
      <c r="O120" s="120">
        <f>COUNTIF(Base!W:W,$A120)</f>
        <v>0</v>
      </c>
      <c r="P120" s="120">
        <f>COUNTIF(Base!X:X,$A120)</f>
        <v>0</v>
      </c>
      <c r="Q120" s="120">
        <f>COUNTIF(Base!Y:Y,$A120)</f>
        <v>0</v>
      </c>
      <c r="R120" s="120">
        <f>COUNTIF(Base!Z:Z,$A120)</f>
        <v>0</v>
      </c>
      <c r="S120" s="120">
        <f t="shared" si="3"/>
        <v>0</v>
      </c>
      <c r="T120" s="120">
        <f t="shared" si="4"/>
        <v>0</v>
      </c>
      <c r="V120" s="293" t="str">
        <f>IF(
  (
    COUNTIF('Acompanhamento quinzenal'!$N:$N, A120) +
    COUNTIF('Acompanhamento quinzenal'!$T:$T, A120) +
    COUNTIF('Acompanhamento quinzenal'!$Z:$Z, A120) +
    COUNTIF('Acompanhamento quinzenal'!$AF:$AF, A120)
  ) = 0,
  "-",
  (
    IFERROR(SUMIFS('Acompanhamento quinzenal'!$S:$S, 'Acompanhamento quinzenal'!$N:$N, A120), 0) +
    IFERROR(SUMIFS('Acompanhamento quinzenal'!$Y:$Y, 'Acompanhamento quinzenal'!$T:$T, A120), 0) +
    IFERROR(SUMIFS('Acompanhamento quinzenal'!$AE:$AE, 'Acompanhamento quinzenal'!$Z:$Z, A120), 0) +
    IFERROR(SUMIFS('Acompanhamento quinzenal'!$AK:$AK, 'Acompanhamento quinzenal'!$AF:$AF, A120), 0)
  ) /
  (
    COUNTIF('Acompanhamento quinzenal'!$N:$N, A120) +
    COUNTIF('Acompanhamento quinzenal'!$T:$T, A120) +
    COUNTIF('Acompanhamento quinzenal'!$Z:$Z, A120) +
    COUNTIF('Acompanhamento quinzenal'!$AF:$AF, A120)
  )
)
</f>
        <v>-</v>
      </c>
      <c r="W120" s="293" t="str">
        <f>IF(
  (
    COUNTIF('Acompanhamento quinzenal'!$N:$N, A120) +
    COUNTIF('Acompanhamento quinzenal'!$T:$T, A120) +
    COUNTIF('Acompanhamento quinzenal'!$Z:$Z, A120) +
    COUNTIF('Acompanhamento quinzenal'!$AF:$AF, A120)
  ) = 0,
  "-",
  (
    IFERROR(SUMIFS('Acompanhamento quinzenal'!$O:$O, 'Acompanhamento quinzenal'!$N:$N, A120), 0) +
    IFERROR(SUMIFS('Acompanhamento quinzenal'!$U:$U, 'Acompanhamento quinzenal'!$T:$T, A120), 0) +
    IFERROR(SUMIFS('Acompanhamento quinzenal'!$AA:$AA, 'Acompanhamento quinzenal'!$Z:$Z, A120), 0) +
    IFERROR(SUMIFS('Acompanhamento quinzenal'!$AG:$AG, 'Acompanhamento quinzenal'!$AF:$AF, A120), 0)
  ) /
  (
    COUNTIF('Acompanhamento quinzenal'!$N:$N, A120) +
    COUNTIF('Acompanhamento quinzenal'!$T:$T, A120) +
    COUNTIF('Acompanhamento quinzenal'!$Z:$Z, A120) +
    COUNTIF('Acompanhamento quinzenal'!$AF:$AF, A120)
  )
)
</f>
        <v>-</v>
      </c>
      <c r="X120" s="294" t="str">
        <f>IF(
  (
    COUNTIF('Acompanhamento quinzenal'!$N:$N, A120) +
    COUNTIF('Acompanhamento quinzenal'!$T:$T, A120) +
    COUNTIF('Acompanhamento quinzenal'!$Z:$Z, A120) +
    COUNTIF('Acompanhamento quinzenal'!$AF:$AF, A120)
  ) = 0,
  "-",
  (
    IFERROR(SUMIFS('Acompanhamento quinzenal'!$P:$P, 'Acompanhamento quinzenal'!$N:$N, A120), 0) +
    IFERROR(SUMIFS('Acompanhamento quinzenal'!$V:$V, 'Acompanhamento quinzenal'!$T:$T, A120), 0) +
    IFERROR(SUMIFS('Acompanhamento quinzenal'!$AB:$AB, 'Acompanhamento quinzenal'!$Z:$Z, A120), 0) +
    IFERROR(SUMIFS('Acompanhamento quinzenal'!$AH:$AH, 'Acompanhamento quinzenal'!$AF:$AF, A120), 0)
  ) /
  (
    COUNTIF('Acompanhamento quinzenal'!$N:$N, A120) +
    COUNTIF('Acompanhamento quinzenal'!$T:$T, A120) +
    COUNTIF('Acompanhamento quinzenal'!$Z:$Z, A120) +
    COUNTIF('Acompanhamento quinzenal'!$AF:$AF, A120)
  )
)
</f>
        <v>-</v>
      </c>
      <c r="Y120" s="293" t="str">
        <f>IF(
  (
    COUNTIF('Acompanhamento quinzenal'!$N:$N, A120) +
    COUNTIF('Acompanhamento quinzenal'!$T:$T, A120) +
    COUNTIF('Acompanhamento quinzenal'!$Z:$Z, A120) +
    COUNTIF('Acompanhamento quinzenal'!$AF:$AF, A120)
  ) = 0,
  "-",
  (
    IFERROR(SUMIFS('Acompanhamento quinzenal'!$Q:$Q, 'Acompanhamento quinzenal'!$N:$N, A120), 0) +
    IFERROR(SUMIFS('Acompanhamento quinzenal'!$W:$W, 'Acompanhamento quinzenal'!$T:$T, A120), 0) +
    IFERROR(SUMIFS('Acompanhamento quinzenal'!$AC:$AC, 'Acompanhamento quinzenal'!$Z:$Z, A120), 0) +
    IFERROR(SUMIFS('Acompanhamento quinzenal'!$AI:$AI, 'Acompanhamento quinzenal'!$AF:$AF, A120), 0)
  ) /
  (
    COUNTIF('Acompanhamento quinzenal'!$N:$N, A120) +
    COUNTIF('Acompanhamento quinzenal'!$T:$T, A120) +
    COUNTIF('Acompanhamento quinzenal'!$Z:$Z, A120) +
    COUNTIF('Acompanhamento quinzenal'!$AF:$AF, A120)
  )
)
</f>
        <v>-</v>
      </c>
    </row>
    <row r="121" hidden="1">
      <c r="A121" s="291" t="str">
        <f>IFERROR(__xludf.DUMMYFUNCTION("""COMPUTED_VALUE"""),"luis.cardoso")</f>
        <v>luis.cardoso</v>
      </c>
      <c r="B121" s="120" t="str">
        <f>IFERROR(__xludf.DUMMYFUNCTION("""COMPUTED_VALUE"""),"Consultor")</f>
        <v>Consultor</v>
      </c>
      <c r="C121" s="120" t="str">
        <f>IFERROR(__xludf.DUMMYFUNCTION("""COMPUTED_VALUE"""),"NCon")</f>
        <v>NCon</v>
      </c>
      <c r="D121" s="292" t="str">
        <f>IFERROR((COUNTIFS(Base!$V:$V,A121,Base!$S:$S,"&gt;8") - COUNTIFS(Base!$V:$V,A121,Base!$S:$S,"&lt;7"))/COUNTIFS(Base!$V:$V,A121,Base!$S:$S,"&lt;&gt;"),"-")</f>
        <v>-</v>
      </c>
      <c r="E121" s="292">
        <f>IF(
  (
    COUNTIFS(Base!$W:$W, A121, Base!$S:$S, "&lt;&gt;") +
    COUNTIFS(Base!$X:$X, A121, Base!$S:$S, "&lt;&gt;") +
    COUNTIFS(Base!$Y:$Y, A121, Base!$S:$S, "&lt;&gt;") +
    COUNTIFS(Base!$Z:$Z, A121, Base!$S:$S, "&lt;&gt;")
  ) = 0,
  "-",
  (
    COUNTIFS(Base!$W:$W, A121, Base!$S:$S, "&gt;8") - COUNTIFS(Base!$W:$W, A121, Base!$S:$S, "&lt;7") +
    COUNTIFS(Base!$X:$X, A121, Base!$S:$S, "&gt;8") - COUNTIFS(Base!$X:$X, A121, Base!$S:$S, "&lt;7") +
    COUNTIFS(Base!$Y:$Y, A121, Base!$S:$S, "&gt;8") - COUNTIFS(Base!$Y:$Y, A121, Base!$S:$S, "&lt;7") +
    COUNTIFS(Base!$Z:$Z, A121, Base!$S:$S, "&gt;8") - COUNTIFS(Base!$Z:$Z, A121, Base!$S:$S, "&lt;7")
  ) /
  (
    COUNTIFS(Base!$W:$W, A121, Base!$S:$S, "&lt;&gt;") +
    COUNTIFS(Base!$X:$X, A121, Base!$S:$S, "&lt;&gt;") +
    COUNTIFS(Base!$Y:$Y, A121, Base!$S:$S, "&lt;&gt;") +
    COUNTIFS(Base!$Z:$Z, A121, Base!$S:$S, "&lt;&gt;")
  )
)
</f>
        <v>0.6666666667</v>
      </c>
      <c r="F121" s="290">
        <f>SUMIFS(Base!$N:$N,Base!$V:$V,A121,Base!$N:$N,"&lt;&gt;")-SUMIFS(Base!$K:$K,Base!$V:$V,A121,Base!$N:$N,"&lt;&gt;")-(SUMIFS(Base!$L:$L,Base!$V:$V,A121,Base!$N:$N,"&lt;&gt;")*7)</f>
        <v>0</v>
      </c>
      <c r="G121" s="290"/>
      <c r="H121" s="290">
        <f>SUMIFS(Base!$F:$F,Base!$V:$V,A121,Base!$N:$N,"&lt;&gt;")*7</f>
        <v>0</v>
      </c>
      <c r="I121" s="290"/>
      <c r="J121" s="292" t="str">
        <f t="shared" ref="J121:K121" si="122">IFERROR(F121/H121,"-")</f>
        <v>-</v>
      </c>
      <c r="K121" s="292" t="str">
        <f t="shared" si="122"/>
        <v>-</v>
      </c>
      <c r="L121" s="292" t="str">
        <f>IFERROR((COUNTIFS(Base!$V:$V,A121,Base!$U:$U,TRUE))/(COUNTIFS(Base!$V:$V,A121,Base!$O:$O,"Finalizado")+COUNTIFS(Base!$V:$V,A121,Base!$O:$O,"Concluído")),"-")</f>
        <v>-</v>
      </c>
      <c r="M121" s="292">
        <f>IF(
  (
    IFERROR(COUNTIF(Base!$W:$W, A121), 0) +
    IFERROR(COUNTIF(Base!$X:$X, A121), 0) +
    IFERROR(COUNTIF(Base!$Y:$Y, A121), 0) +
    IFERROR(COUNTIF(Base!$Z:$Z, A121), 0)
  ) = 0,
  "-",
  IF(
    (
      IFERROR(COUNTIFS(Base!$W:$W, A121, Base!$O:$O, "Finalizado"), 0) +
      IFERROR(COUNTIFS(Base!$W:$W, A121, Base!$O:$O, "Concluído"), 0) +
      IFERROR(COUNTIFS(Base!$X:$X, A121, Base!$O:$O, "Finalizado"), 0) +
      IFERROR(COUNTIFS(Base!$X:$X, A121, Base!$O:$O, "Concluído"), 0) +
      IFERROR(COUNTIFS(Base!$Y:$Y, A121, Base!$O:$O, "Finalizado"), 0) +
      IFERROR(COUNTIFS(Base!$Y:$Y, A121, Base!$O:$O, "Concluído"), 0) +
      IFERROR(COUNTIFS(Base!$Z:$Z, A121, Base!$O:$O, "Finalizado"), 0) +
      IFERROR(COUNTIFS(Base!$Z:$Z, A121, Base!$O:$O, "Concluído"), 0)
    ) = 0,
    "-",
    (
      IFERROR(COUNTIFS(Base!$W:$W, A121, Base!$U:$U, TRUE), 0) +
      IFERROR(COUNTIFS(Base!$X:$X, A121, Base!$U:$U, TRUE), 0) +
      IFERROR(COUNTIFS(Base!$Y:$Y, A121, Base!$U:$U, TRUE), 0) +
      IFERROR(COUNTIFS(Base!$Z:$Z, A121, Base!$U:$U, TRUE), 0)
    ) /
    (
      IFERROR(COUNTIFS(Base!$W:$W, A121, Base!$O:$O, "Finalizado"), 0) +
      IFERROR(COUNTIFS(Base!$W:$W, A121, Base!$O:$O, "Concluído"), 0) +
      IFERROR(COUNTIFS(Base!$X:$X, A121, Base!$O:$O, "Finalizado"), 0) +
      IFERROR(COUNTIFS(Base!$X:$X, A121, Base!$O:$O, "Concluído"), 0) +
      IFERROR(COUNTIFS(Base!$Y:$Y, A121, Base!$O:$O, "Finalizado"), 0) +
      IFERROR(COUNTIFS(Base!$Y:$Y, A121, Base!$O:$O, "Concluído"), 0) +
      IFERROR(COUNTIFS(Base!$Z:$Z, A121, Base!$O:$O, "Finalizado"), 0) +
      IFERROR(COUNTIFS(Base!$Z:$Z, A121, Base!$O:$O, "Concluído"), 0)
    )
  )
)
</f>
        <v>0.6666666667</v>
      </c>
      <c r="N121" s="120">
        <f>COUNTIF(Base!V:V,$A121)</f>
        <v>0</v>
      </c>
      <c r="O121" s="120">
        <f>COUNTIF(Base!W:W,$A121)</f>
        <v>1</v>
      </c>
      <c r="P121" s="120">
        <f>COUNTIF(Base!X:X,$A121)</f>
        <v>2</v>
      </c>
      <c r="Q121" s="120">
        <f>COUNTIF(Base!Y:Y,$A121)</f>
        <v>0</v>
      </c>
      <c r="R121" s="120">
        <f>COUNTIF(Base!Z:Z,$A121)</f>
        <v>0</v>
      </c>
      <c r="S121" s="120">
        <f t="shared" si="3"/>
        <v>3</v>
      </c>
      <c r="T121" s="120">
        <f t="shared" si="4"/>
        <v>3</v>
      </c>
      <c r="V121" s="293">
        <f>IF(
  (
    COUNTIF('Acompanhamento quinzenal'!$N:$N, A121) +
    COUNTIF('Acompanhamento quinzenal'!$T:$T, A121) +
    COUNTIF('Acompanhamento quinzenal'!$Z:$Z, A121) +
    COUNTIF('Acompanhamento quinzenal'!$AF:$AF, A121)
  ) = 0,
  "-",
  (
    IFERROR(SUMIFS('Acompanhamento quinzenal'!$S:$S, 'Acompanhamento quinzenal'!$N:$N, A121), 0) +
    IFERROR(SUMIFS('Acompanhamento quinzenal'!$Y:$Y, 'Acompanhamento quinzenal'!$T:$T, A121), 0) +
    IFERROR(SUMIFS('Acompanhamento quinzenal'!$AE:$AE, 'Acompanhamento quinzenal'!$Z:$Z, A121), 0) +
    IFERROR(SUMIFS('Acompanhamento quinzenal'!$AK:$AK, 'Acompanhamento quinzenal'!$AF:$AF, A121), 0)
  ) /
  (
    COUNTIF('Acompanhamento quinzenal'!$N:$N, A121) +
    COUNTIF('Acompanhamento quinzenal'!$T:$T, A121) +
    COUNTIF('Acompanhamento quinzenal'!$Z:$Z, A121) +
    COUNTIF('Acompanhamento quinzenal'!$AF:$AF, A121)
  )
)
</f>
        <v>3</v>
      </c>
      <c r="W121" s="293">
        <f>IF(
  (
    COUNTIF('Acompanhamento quinzenal'!$N:$N, A121) +
    COUNTIF('Acompanhamento quinzenal'!$T:$T, A121) +
    COUNTIF('Acompanhamento quinzenal'!$Z:$Z, A121) +
    COUNTIF('Acompanhamento quinzenal'!$AF:$AF, A121)
  ) = 0,
  "-",
  (
    IFERROR(SUMIFS('Acompanhamento quinzenal'!$O:$O, 'Acompanhamento quinzenal'!$N:$N, A121), 0) +
    IFERROR(SUMIFS('Acompanhamento quinzenal'!$U:$U, 'Acompanhamento quinzenal'!$T:$T, A121), 0) +
    IFERROR(SUMIFS('Acompanhamento quinzenal'!$AA:$AA, 'Acompanhamento quinzenal'!$Z:$Z, A121), 0) +
    IFERROR(SUMIFS('Acompanhamento quinzenal'!$AG:$AG, 'Acompanhamento quinzenal'!$AF:$AF, A121), 0)
  ) /
  (
    COUNTIF('Acompanhamento quinzenal'!$N:$N, A121) +
    COUNTIF('Acompanhamento quinzenal'!$T:$T, A121) +
    COUNTIF('Acompanhamento quinzenal'!$Z:$Z, A121) +
    COUNTIF('Acompanhamento quinzenal'!$AF:$AF, A121)
  )
)
</f>
        <v>3.333333333</v>
      </c>
      <c r="X121" s="294">
        <f>IF(
  (
    COUNTIF('Acompanhamento quinzenal'!$N:$N, A121) +
    COUNTIF('Acompanhamento quinzenal'!$T:$T, A121) +
    COUNTIF('Acompanhamento quinzenal'!$Z:$Z, A121) +
    COUNTIF('Acompanhamento quinzenal'!$AF:$AF, A121)
  ) = 0,
  "-",
  (
    IFERROR(SUMIFS('Acompanhamento quinzenal'!$P:$P, 'Acompanhamento quinzenal'!$N:$N, A121), 0) +
    IFERROR(SUMIFS('Acompanhamento quinzenal'!$V:$V, 'Acompanhamento quinzenal'!$T:$T, A121), 0) +
    IFERROR(SUMIFS('Acompanhamento quinzenal'!$AB:$AB, 'Acompanhamento quinzenal'!$Z:$Z, A121), 0) +
    IFERROR(SUMIFS('Acompanhamento quinzenal'!$AH:$AH, 'Acompanhamento quinzenal'!$AF:$AF, A121), 0)
  ) /
  (
    COUNTIF('Acompanhamento quinzenal'!$N:$N, A121) +
    COUNTIF('Acompanhamento quinzenal'!$T:$T, A121) +
    COUNTIF('Acompanhamento quinzenal'!$Z:$Z, A121) +
    COUNTIF('Acompanhamento quinzenal'!$AF:$AF, A121)
  )
)
</f>
        <v>2.666666667</v>
      </c>
      <c r="Y121" s="293">
        <f>IF(
  (
    COUNTIF('Acompanhamento quinzenal'!$N:$N, A121) +
    COUNTIF('Acompanhamento quinzenal'!$T:$T, A121) +
    COUNTIF('Acompanhamento quinzenal'!$Z:$Z, A121) +
    COUNTIF('Acompanhamento quinzenal'!$AF:$AF, A121)
  ) = 0,
  "-",
  (
    IFERROR(SUMIFS('Acompanhamento quinzenal'!$Q:$Q, 'Acompanhamento quinzenal'!$N:$N, A121), 0) +
    IFERROR(SUMIFS('Acompanhamento quinzenal'!$W:$W, 'Acompanhamento quinzenal'!$T:$T, A121), 0) +
    IFERROR(SUMIFS('Acompanhamento quinzenal'!$AC:$AC, 'Acompanhamento quinzenal'!$Z:$Z, A121), 0) +
    IFERROR(SUMIFS('Acompanhamento quinzenal'!$AI:$AI, 'Acompanhamento quinzenal'!$AF:$AF, A121), 0)
  ) /
  (
    COUNTIF('Acompanhamento quinzenal'!$N:$N, A121) +
    COUNTIF('Acompanhamento quinzenal'!$T:$T, A121) +
    COUNTIF('Acompanhamento quinzenal'!$Z:$Z, A121) +
    COUNTIF('Acompanhamento quinzenal'!$AF:$AF, A121)
  )
)
</f>
        <v>3</v>
      </c>
    </row>
    <row r="122" hidden="1">
      <c r="A122" s="291" t="str">
        <f>IFERROR(__xludf.DUMMYFUNCTION("""COMPUTED_VALUE"""),"luiz.reis")</f>
        <v>luiz.reis</v>
      </c>
      <c r="B122" s="120" t="str">
        <f>IFERROR(__xludf.DUMMYFUNCTION("""COMPUTED_VALUE"""),"Consultor")</f>
        <v>Consultor</v>
      </c>
      <c r="C122" s="120" t="str">
        <f>IFERROR(__xludf.DUMMYFUNCTION("""COMPUTED_VALUE"""),"NTec")</f>
        <v>NTec</v>
      </c>
      <c r="D122" s="292" t="str">
        <f>IFERROR((COUNTIFS(Base!$V:$V,A122,Base!$S:$S,"&gt;8") - COUNTIFS(Base!$V:$V,A122,Base!$S:$S,"&lt;7"))/COUNTIFS(Base!$V:$V,A122,Base!$S:$S,"&lt;&gt;"),"-")</f>
        <v>-</v>
      </c>
      <c r="E122" s="292" t="str">
        <f>IF(
  (
    COUNTIFS(Base!$W:$W, A122, Base!$S:$S, "&lt;&gt;") +
    COUNTIFS(Base!$X:$X, A122, Base!$S:$S, "&lt;&gt;") +
    COUNTIFS(Base!$Y:$Y, A122, Base!$S:$S, "&lt;&gt;") +
    COUNTIFS(Base!$Z:$Z, A122, Base!$S:$S, "&lt;&gt;")
  ) = 0,
  "-",
  (
    COUNTIFS(Base!$W:$W, A122, Base!$S:$S, "&gt;8") - COUNTIFS(Base!$W:$W, A122, Base!$S:$S, "&lt;7") +
    COUNTIFS(Base!$X:$X, A122, Base!$S:$S, "&gt;8") - COUNTIFS(Base!$X:$X, A122, Base!$S:$S, "&lt;7") +
    COUNTIFS(Base!$Y:$Y, A122, Base!$S:$S, "&gt;8") - COUNTIFS(Base!$Y:$Y, A122, Base!$S:$S, "&lt;7") +
    COUNTIFS(Base!$Z:$Z, A122, Base!$S:$S, "&gt;8") - COUNTIFS(Base!$Z:$Z, A122, Base!$S:$S, "&lt;7")
  ) /
  (
    COUNTIFS(Base!$W:$W, A122, Base!$S:$S, "&lt;&gt;") +
    COUNTIFS(Base!$X:$X, A122, Base!$S:$S, "&lt;&gt;") +
    COUNTIFS(Base!$Y:$Y, A122, Base!$S:$S, "&lt;&gt;") +
    COUNTIFS(Base!$Z:$Z, A122, Base!$S:$S, "&lt;&gt;")
  )
)
</f>
        <v>-</v>
      </c>
      <c r="F122" s="290">
        <f>SUMIFS(Base!$N:$N,Base!$V:$V,A122,Base!$N:$N,"&lt;&gt;")-SUMIFS(Base!$K:$K,Base!$V:$V,A122,Base!$N:$N,"&lt;&gt;")-(SUMIFS(Base!$L:$L,Base!$V:$V,A122,Base!$N:$N,"&lt;&gt;")*7)</f>
        <v>0</v>
      </c>
      <c r="G122" s="290"/>
      <c r="H122" s="290">
        <f>SUMIFS(Base!$F:$F,Base!$V:$V,A122,Base!$N:$N,"&lt;&gt;")*7</f>
        <v>0</v>
      </c>
      <c r="I122" s="290"/>
      <c r="J122" s="292" t="str">
        <f t="shared" ref="J122:K122" si="123">IFERROR(F122/H122,"-")</f>
        <v>-</v>
      </c>
      <c r="K122" s="292" t="str">
        <f t="shared" si="123"/>
        <v>-</v>
      </c>
      <c r="L122" s="292" t="str">
        <f>IFERROR((COUNTIFS(Base!$V:$V,A122,Base!$U:$U,TRUE))/(COUNTIFS(Base!$V:$V,A122,Base!$O:$O,"Finalizado")+COUNTIFS(Base!$V:$V,A122,Base!$O:$O,"Concluído")),"-")</f>
        <v>-</v>
      </c>
      <c r="M122" s="292" t="str">
        <f>IF(
  (
    IFERROR(COUNTIF(Base!$W:$W, A122), 0) +
    IFERROR(COUNTIF(Base!$X:$X, A122), 0) +
    IFERROR(COUNTIF(Base!$Y:$Y, A122), 0) +
    IFERROR(COUNTIF(Base!$Z:$Z, A122), 0)
  ) = 0,
  "-",
  IF(
    (
      IFERROR(COUNTIFS(Base!$W:$W, A122, Base!$O:$O, "Finalizado"), 0) +
      IFERROR(COUNTIFS(Base!$W:$W, A122, Base!$O:$O, "Concluído"), 0) +
      IFERROR(COUNTIFS(Base!$X:$X, A122, Base!$O:$O, "Finalizado"), 0) +
      IFERROR(COUNTIFS(Base!$X:$X, A122, Base!$O:$O, "Concluído"), 0) +
      IFERROR(COUNTIFS(Base!$Y:$Y, A122, Base!$O:$O, "Finalizado"), 0) +
      IFERROR(COUNTIFS(Base!$Y:$Y, A122, Base!$O:$O, "Concluído"), 0) +
      IFERROR(COUNTIFS(Base!$Z:$Z, A122, Base!$O:$O, "Finalizado"), 0) +
      IFERROR(COUNTIFS(Base!$Z:$Z, A122, Base!$O:$O, "Concluído"), 0)
    ) = 0,
    "-",
    (
      IFERROR(COUNTIFS(Base!$W:$W, A122, Base!$U:$U, TRUE), 0) +
      IFERROR(COUNTIFS(Base!$X:$X, A122, Base!$U:$U, TRUE), 0) +
      IFERROR(COUNTIFS(Base!$Y:$Y, A122, Base!$U:$U, TRUE), 0) +
      IFERROR(COUNTIFS(Base!$Z:$Z, A122, Base!$U:$U, TRUE), 0)
    ) /
    (
      IFERROR(COUNTIFS(Base!$W:$W, A122, Base!$O:$O, "Finalizado"), 0) +
      IFERROR(COUNTIFS(Base!$W:$W, A122, Base!$O:$O, "Concluído"), 0) +
      IFERROR(COUNTIFS(Base!$X:$X, A122, Base!$O:$O, "Finalizado"), 0) +
      IFERROR(COUNTIFS(Base!$X:$X, A122, Base!$O:$O, "Concluído"), 0) +
      IFERROR(COUNTIFS(Base!$Y:$Y, A122, Base!$O:$O, "Finalizado"), 0) +
      IFERROR(COUNTIFS(Base!$Y:$Y, A122, Base!$O:$O, "Concluído"), 0) +
      IFERROR(COUNTIFS(Base!$Z:$Z, A122, Base!$O:$O, "Finalizado"), 0) +
      IFERROR(COUNTIFS(Base!$Z:$Z, A122, Base!$O:$O, "Concluído"), 0)
    )
  )
)
</f>
        <v>-</v>
      </c>
      <c r="N122" s="120">
        <f>COUNTIF(Base!V:V,$A122)</f>
        <v>0</v>
      </c>
      <c r="O122" s="120">
        <f>COUNTIF(Base!W:W,$A122)</f>
        <v>1</v>
      </c>
      <c r="P122" s="120">
        <f>COUNTIF(Base!X:X,$A122)</f>
        <v>0</v>
      </c>
      <c r="Q122" s="120">
        <f>COUNTIF(Base!Y:Y,$A122)</f>
        <v>0</v>
      </c>
      <c r="R122" s="120">
        <f>COUNTIF(Base!Z:Z,$A122)</f>
        <v>2</v>
      </c>
      <c r="S122" s="120">
        <f t="shared" si="3"/>
        <v>3</v>
      </c>
      <c r="T122" s="120">
        <f t="shared" si="4"/>
        <v>3</v>
      </c>
      <c r="V122" s="293">
        <f>IF(
  (
    COUNTIF('Acompanhamento quinzenal'!$N:$N, A122) +
    COUNTIF('Acompanhamento quinzenal'!$T:$T, A122) +
    COUNTIF('Acompanhamento quinzenal'!$Z:$Z, A122) +
    COUNTIF('Acompanhamento quinzenal'!$AF:$AF, A122)
  ) = 0,
  "-",
  (
    IFERROR(SUMIFS('Acompanhamento quinzenal'!$S:$S, 'Acompanhamento quinzenal'!$N:$N, A122), 0) +
    IFERROR(SUMIFS('Acompanhamento quinzenal'!$Y:$Y, 'Acompanhamento quinzenal'!$T:$T, A122), 0) +
    IFERROR(SUMIFS('Acompanhamento quinzenal'!$AE:$AE, 'Acompanhamento quinzenal'!$Z:$Z, A122), 0) +
    IFERROR(SUMIFS('Acompanhamento quinzenal'!$AK:$AK, 'Acompanhamento quinzenal'!$AF:$AF, A122), 0)
  ) /
  (
    COUNTIF('Acompanhamento quinzenal'!$N:$N, A122) +
    COUNTIF('Acompanhamento quinzenal'!$T:$T, A122) +
    COUNTIF('Acompanhamento quinzenal'!$Z:$Z, A122) +
    COUNTIF('Acompanhamento quinzenal'!$AF:$AF, A122)
  )
)
</f>
        <v>4.888888889</v>
      </c>
      <c r="W122" s="293">
        <f>IF(
  (
    COUNTIF('Acompanhamento quinzenal'!$N:$N, A122) +
    COUNTIF('Acompanhamento quinzenal'!$T:$T, A122) +
    COUNTIF('Acompanhamento quinzenal'!$Z:$Z, A122) +
    COUNTIF('Acompanhamento quinzenal'!$AF:$AF, A122)
  ) = 0,
  "-",
  (
    IFERROR(SUMIFS('Acompanhamento quinzenal'!$O:$O, 'Acompanhamento quinzenal'!$N:$N, A122), 0) +
    IFERROR(SUMIFS('Acompanhamento quinzenal'!$U:$U, 'Acompanhamento quinzenal'!$T:$T, A122), 0) +
    IFERROR(SUMIFS('Acompanhamento quinzenal'!$AA:$AA, 'Acompanhamento quinzenal'!$Z:$Z, A122), 0) +
    IFERROR(SUMIFS('Acompanhamento quinzenal'!$AG:$AG, 'Acompanhamento quinzenal'!$AF:$AF, A122), 0)
  ) /
  (
    COUNTIF('Acompanhamento quinzenal'!$N:$N, A122) +
    COUNTIF('Acompanhamento quinzenal'!$T:$T, A122) +
    COUNTIF('Acompanhamento quinzenal'!$Z:$Z, A122) +
    COUNTIF('Acompanhamento quinzenal'!$AF:$AF, A122)
  )
)
</f>
        <v>5</v>
      </c>
      <c r="X122" s="294">
        <f>IF(
  (
    COUNTIF('Acompanhamento quinzenal'!$N:$N, A122) +
    COUNTIF('Acompanhamento quinzenal'!$T:$T, A122) +
    COUNTIF('Acompanhamento quinzenal'!$Z:$Z, A122) +
    COUNTIF('Acompanhamento quinzenal'!$AF:$AF, A122)
  ) = 0,
  "-",
  (
    IFERROR(SUMIFS('Acompanhamento quinzenal'!$P:$P, 'Acompanhamento quinzenal'!$N:$N, A122), 0) +
    IFERROR(SUMIFS('Acompanhamento quinzenal'!$V:$V, 'Acompanhamento quinzenal'!$T:$T, A122), 0) +
    IFERROR(SUMIFS('Acompanhamento quinzenal'!$AB:$AB, 'Acompanhamento quinzenal'!$Z:$Z, A122), 0) +
    IFERROR(SUMIFS('Acompanhamento quinzenal'!$AH:$AH, 'Acompanhamento quinzenal'!$AF:$AF, A122), 0)
  ) /
  (
    COUNTIF('Acompanhamento quinzenal'!$N:$N, A122) +
    COUNTIF('Acompanhamento quinzenal'!$T:$T, A122) +
    COUNTIF('Acompanhamento quinzenal'!$Z:$Z, A122) +
    COUNTIF('Acompanhamento quinzenal'!$AF:$AF, A122)
  )
)
</f>
        <v>4.666666667</v>
      </c>
      <c r="Y122" s="293">
        <f>IF(
  (
    COUNTIF('Acompanhamento quinzenal'!$N:$N, A122) +
    COUNTIF('Acompanhamento quinzenal'!$T:$T, A122) +
    COUNTIF('Acompanhamento quinzenal'!$Z:$Z, A122) +
    COUNTIF('Acompanhamento quinzenal'!$AF:$AF, A122)
  ) = 0,
  "-",
  (
    IFERROR(SUMIFS('Acompanhamento quinzenal'!$Q:$Q, 'Acompanhamento quinzenal'!$N:$N, A122), 0) +
    IFERROR(SUMIFS('Acompanhamento quinzenal'!$W:$W, 'Acompanhamento quinzenal'!$T:$T, A122), 0) +
    IFERROR(SUMIFS('Acompanhamento quinzenal'!$AC:$AC, 'Acompanhamento quinzenal'!$Z:$Z, A122), 0) +
    IFERROR(SUMIFS('Acompanhamento quinzenal'!$AI:$AI, 'Acompanhamento quinzenal'!$AF:$AF, A122), 0)
  ) /
  (
    COUNTIF('Acompanhamento quinzenal'!$N:$N, A122) +
    COUNTIF('Acompanhamento quinzenal'!$T:$T, A122) +
    COUNTIF('Acompanhamento quinzenal'!$Z:$Z, A122) +
    COUNTIF('Acompanhamento quinzenal'!$AF:$AF, A122)
  )
)
</f>
        <v>5</v>
      </c>
    </row>
    <row r="123" hidden="1">
      <c r="A123" s="291" t="str">
        <f>IFERROR(__xludf.DUMMYFUNCTION("""COMPUTED_VALUE"""),"luiz.willets")</f>
        <v>luiz.willets</v>
      </c>
      <c r="B123" s="120" t="str">
        <f>IFERROR(__xludf.DUMMYFUNCTION("""COMPUTED_VALUE"""),"Trainee")</f>
        <v>Trainee</v>
      </c>
      <c r="C123" s="120" t="str">
        <f>IFERROR(__xludf.DUMMYFUNCTION("""COMPUTED_VALUE"""),"NCon")</f>
        <v>NCon</v>
      </c>
      <c r="D123" s="292" t="str">
        <f>IFERROR((COUNTIFS(Base!$V:$V,A123,Base!$S:$S,"&gt;8") - COUNTIFS(Base!$V:$V,A123,Base!$S:$S,"&lt;7"))/COUNTIFS(Base!$V:$V,A123,Base!$S:$S,"&lt;&gt;"),"-")</f>
        <v>-</v>
      </c>
      <c r="E123" s="292" t="str">
        <f>IF(
  (
    COUNTIFS(Base!$W:$W, A123, Base!$S:$S, "&lt;&gt;") +
    COUNTIFS(Base!$X:$X, A123, Base!$S:$S, "&lt;&gt;") +
    COUNTIFS(Base!$Y:$Y, A123, Base!$S:$S, "&lt;&gt;") +
    COUNTIFS(Base!$Z:$Z, A123, Base!$S:$S, "&lt;&gt;")
  ) = 0,
  "-",
  (
    COUNTIFS(Base!$W:$W, A123, Base!$S:$S, "&gt;8") - COUNTIFS(Base!$W:$W, A123, Base!$S:$S, "&lt;7") +
    COUNTIFS(Base!$X:$X, A123, Base!$S:$S, "&gt;8") - COUNTIFS(Base!$X:$X, A123, Base!$S:$S, "&lt;7") +
    COUNTIFS(Base!$Y:$Y, A123, Base!$S:$S, "&gt;8") - COUNTIFS(Base!$Y:$Y, A123, Base!$S:$S, "&lt;7") +
    COUNTIFS(Base!$Z:$Z, A123, Base!$S:$S, "&gt;8") - COUNTIFS(Base!$Z:$Z, A123, Base!$S:$S, "&lt;7")
  ) /
  (
    COUNTIFS(Base!$W:$W, A123, Base!$S:$S, "&lt;&gt;") +
    COUNTIFS(Base!$X:$X, A123, Base!$S:$S, "&lt;&gt;") +
    COUNTIFS(Base!$Y:$Y, A123, Base!$S:$S, "&lt;&gt;") +
    COUNTIFS(Base!$Z:$Z, A123, Base!$S:$S, "&lt;&gt;")
  )
)
</f>
        <v>-</v>
      </c>
      <c r="F123" s="290">
        <f>SUMIFS(Base!$N:$N,Base!$V:$V,A123,Base!$N:$N,"&lt;&gt;")-SUMIFS(Base!$K:$K,Base!$V:$V,A123,Base!$N:$N,"&lt;&gt;")-(SUMIFS(Base!$L:$L,Base!$V:$V,A123,Base!$N:$N,"&lt;&gt;")*7)</f>
        <v>0</v>
      </c>
      <c r="G123" s="290"/>
      <c r="H123" s="290">
        <f>SUMIFS(Base!$F:$F,Base!$V:$V,A123,Base!$N:$N,"&lt;&gt;")*7</f>
        <v>0</v>
      </c>
      <c r="I123" s="290"/>
      <c r="J123" s="292" t="str">
        <f t="shared" ref="J123:K123" si="124">IFERROR(F123/H123,"-")</f>
        <v>-</v>
      </c>
      <c r="K123" s="292" t="str">
        <f t="shared" si="124"/>
        <v>-</v>
      </c>
      <c r="L123" s="292" t="str">
        <f>IFERROR((COUNTIFS(Base!$V:$V,A123,Base!$U:$U,TRUE))/(COUNTIFS(Base!$V:$V,A123,Base!$O:$O,"Finalizado")+COUNTIFS(Base!$V:$V,A123,Base!$O:$O,"Concluído")),"-")</f>
        <v>-</v>
      </c>
      <c r="M123" s="292" t="str">
        <f>IF(
  (
    IFERROR(COUNTIF(Base!$W:$W, A123), 0) +
    IFERROR(COUNTIF(Base!$X:$X, A123), 0) +
    IFERROR(COUNTIF(Base!$Y:$Y, A123), 0) +
    IFERROR(COUNTIF(Base!$Z:$Z, A123), 0)
  ) = 0,
  "-",
  IF(
    (
      IFERROR(COUNTIFS(Base!$W:$W, A123, Base!$O:$O, "Finalizado"), 0) +
      IFERROR(COUNTIFS(Base!$W:$W, A123, Base!$O:$O, "Concluído"), 0) +
      IFERROR(COUNTIFS(Base!$X:$X, A123, Base!$O:$O, "Finalizado"), 0) +
      IFERROR(COUNTIFS(Base!$X:$X, A123, Base!$O:$O, "Concluído"), 0) +
      IFERROR(COUNTIFS(Base!$Y:$Y, A123, Base!$O:$O, "Finalizado"), 0) +
      IFERROR(COUNTIFS(Base!$Y:$Y, A123, Base!$O:$O, "Concluído"), 0) +
      IFERROR(COUNTIFS(Base!$Z:$Z, A123, Base!$O:$O, "Finalizado"), 0) +
      IFERROR(COUNTIFS(Base!$Z:$Z, A123, Base!$O:$O, "Concluído"), 0)
    ) = 0,
    "-",
    (
      IFERROR(COUNTIFS(Base!$W:$W, A123, Base!$U:$U, TRUE), 0) +
      IFERROR(COUNTIFS(Base!$X:$X, A123, Base!$U:$U, TRUE), 0) +
      IFERROR(COUNTIFS(Base!$Y:$Y, A123, Base!$U:$U, TRUE), 0) +
      IFERROR(COUNTIFS(Base!$Z:$Z, A123, Base!$U:$U, TRUE), 0)
    ) /
    (
      IFERROR(COUNTIFS(Base!$W:$W, A123, Base!$O:$O, "Finalizado"), 0) +
      IFERROR(COUNTIFS(Base!$W:$W, A123, Base!$O:$O, "Concluído"), 0) +
      IFERROR(COUNTIFS(Base!$X:$X, A123, Base!$O:$O, "Finalizado"), 0) +
      IFERROR(COUNTIFS(Base!$X:$X, A123, Base!$O:$O, "Concluído"), 0) +
      IFERROR(COUNTIFS(Base!$Y:$Y, A123, Base!$O:$O, "Finalizado"), 0) +
      IFERROR(COUNTIFS(Base!$Y:$Y, A123, Base!$O:$O, "Concluído"), 0) +
      IFERROR(COUNTIFS(Base!$Z:$Z, A123, Base!$O:$O, "Finalizado"), 0) +
      IFERROR(COUNTIFS(Base!$Z:$Z, A123, Base!$O:$O, "Concluído"), 0)
    )
  )
)
</f>
        <v>-</v>
      </c>
      <c r="N123" s="120">
        <f>COUNTIF(Base!V:V,$A123)</f>
        <v>0</v>
      </c>
      <c r="O123" s="120">
        <f>COUNTIF(Base!W:W,$A123)</f>
        <v>0</v>
      </c>
      <c r="P123" s="120">
        <f>COUNTIF(Base!X:X,$A123)</f>
        <v>0</v>
      </c>
      <c r="Q123" s="120">
        <f>COUNTIF(Base!Y:Y,$A123)</f>
        <v>0</v>
      </c>
      <c r="R123" s="120">
        <f>COUNTIF(Base!Z:Z,$A123)</f>
        <v>0</v>
      </c>
      <c r="S123" s="120">
        <f t="shared" si="3"/>
        <v>0</v>
      </c>
      <c r="T123" s="120">
        <f t="shared" si="4"/>
        <v>0</v>
      </c>
      <c r="V123" s="293" t="str">
        <f>IF(
  (
    COUNTIF('Acompanhamento quinzenal'!$N:$N, A123) +
    COUNTIF('Acompanhamento quinzenal'!$T:$T, A123) +
    COUNTIF('Acompanhamento quinzenal'!$Z:$Z, A123) +
    COUNTIF('Acompanhamento quinzenal'!$AF:$AF, A123)
  ) = 0,
  "-",
  (
    IFERROR(SUMIFS('Acompanhamento quinzenal'!$S:$S, 'Acompanhamento quinzenal'!$N:$N, A123), 0) +
    IFERROR(SUMIFS('Acompanhamento quinzenal'!$Y:$Y, 'Acompanhamento quinzenal'!$T:$T, A123), 0) +
    IFERROR(SUMIFS('Acompanhamento quinzenal'!$AE:$AE, 'Acompanhamento quinzenal'!$Z:$Z, A123), 0) +
    IFERROR(SUMIFS('Acompanhamento quinzenal'!$AK:$AK, 'Acompanhamento quinzenal'!$AF:$AF, A123), 0)
  ) /
  (
    COUNTIF('Acompanhamento quinzenal'!$N:$N, A123) +
    COUNTIF('Acompanhamento quinzenal'!$T:$T, A123) +
    COUNTIF('Acompanhamento quinzenal'!$Z:$Z, A123) +
    COUNTIF('Acompanhamento quinzenal'!$AF:$AF, A123)
  )
)
</f>
        <v>-</v>
      </c>
      <c r="W123" s="293" t="str">
        <f>IF(
  (
    COUNTIF('Acompanhamento quinzenal'!$N:$N, A123) +
    COUNTIF('Acompanhamento quinzenal'!$T:$T, A123) +
    COUNTIF('Acompanhamento quinzenal'!$Z:$Z, A123) +
    COUNTIF('Acompanhamento quinzenal'!$AF:$AF, A123)
  ) = 0,
  "-",
  (
    IFERROR(SUMIFS('Acompanhamento quinzenal'!$O:$O, 'Acompanhamento quinzenal'!$N:$N, A123), 0) +
    IFERROR(SUMIFS('Acompanhamento quinzenal'!$U:$U, 'Acompanhamento quinzenal'!$T:$T, A123), 0) +
    IFERROR(SUMIFS('Acompanhamento quinzenal'!$AA:$AA, 'Acompanhamento quinzenal'!$Z:$Z, A123), 0) +
    IFERROR(SUMIFS('Acompanhamento quinzenal'!$AG:$AG, 'Acompanhamento quinzenal'!$AF:$AF, A123), 0)
  ) /
  (
    COUNTIF('Acompanhamento quinzenal'!$N:$N, A123) +
    COUNTIF('Acompanhamento quinzenal'!$T:$T, A123) +
    COUNTIF('Acompanhamento quinzenal'!$Z:$Z, A123) +
    COUNTIF('Acompanhamento quinzenal'!$AF:$AF, A123)
  )
)
</f>
        <v>-</v>
      </c>
      <c r="X123" s="294" t="str">
        <f>IF(
  (
    COUNTIF('Acompanhamento quinzenal'!$N:$N, A123) +
    COUNTIF('Acompanhamento quinzenal'!$T:$T, A123) +
    COUNTIF('Acompanhamento quinzenal'!$Z:$Z, A123) +
    COUNTIF('Acompanhamento quinzenal'!$AF:$AF, A123)
  ) = 0,
  "-",
  (
    IFERROR(SUMIFS('Acompanhamento quinzenal'!$P:$P, 'Acompanhamento quinzenal'!$N:$N, A123), 0) +
    IFERROR(SUMIFS('Acompanhamento quinzenal'!$V:$V, 'Acompanhamento quinzenal'!$T:$T, A123), 0) +
    IFERROR(SUMIFS('Acompanhamento quinzenal'!$AB:$AB, 'Acompanhamento quinzenal'!$Z:$Z, A123), 0) +
    IFERROR(SUMIFS('Acompanhamento quinzenal'!$AH:$AH, 'Acompanhamento quinzenal'!$AF:$AF, A123), 0)
  ) /
  (
    COUNTIF('Acompanhamento quinzenal'!$N:$N, A123) +
    COUNTIF('Acompanhamento quinzenal'!$T:$T, A123) +
    COUNTIF('Acompanhamento quinzenal'!$Z:$Z, A123) +
    COUNTIF('Acompanhamento quinzenal'!$AF:$AF, A123)
  )
)
</f>
        <v>-</v>
      </c>
      <c r="Y123" s="293" t="str">
        <f>IF(
  (
    COUNTIF('Acompanhamento quinzenal'!$N:$N, A123) +
    COUNTIF('Acompanhamento quinzenal'!$T:$T, A123) +
    COUNTIF('Acompanhamento quinzenal'!$Z:$Z, A123) +
    COUNTIF('Acompanhamento quinzenal'!$AF:$AF, A123)
  ) = 0,
  "-",
  (
    IFERROR(SUMIFS('Acompanhamento quinzenal'!$Q:$Q, 'Acompanhamento quinzenal'!$N:$N, A123), 0) +
    IFERROR(SUMIFS('Acompanhamento quinzenal'!$W:$W, 'Acompanhamento quinzenal'!$T:$T, A123), 0) +
    IFERROR(SUMIFS('Acompanhamento quinzenal'!$AC:$AC, 'Acompanhamento quinzenal'!$Z:$Z, A123), 0) +
    IFERROR(SUMIFS('Acompanhamento quinzenal'!$AI:$AI, 'Acompanhamento quinzenal'!$AF:$AF, A123), 0)
  ) /
  (
    COUNTIF('Acompanhamento quinzenal'!$N:$N, A123) +
    COUNTIF('Acompanhamento quinzenal'!$T:$T, A123) +
    COUNTIF('Acompanhamento quinzenal'!$Z:$Z, A123) +
    COUNTIF('Acompanhamento quinzenal'!$AF:$AF, A123)
  )
)
</f>
        <v>-</v>
      </c>
    </row>
    <row r="124" hidden="1">
      <c r="A124" s="291" t="str">
        <f>IFERROR(__xludf.DUMMYFUNCTION("""COMPUTED_VALUE"""),"luiz.silva")</f>
        <v>luiz.silva</v>
      </c>
      <c r="B124" s="120" t="str">
        <f>IFERROR(__xludf.DUMMYFUNCTION("""COMPUTED_VALUE"""),"Trainee")</f>
        <v>Trainee</v>
      </c>
      <c r="C124" s="120" t="str">
        <f>IFERROR(__xludf.DUMMYFUNCTION("""COMPUTED_VALUE"""),"NTec")</f>
        <v>NTec</v>
      </c>
      <c r="D124" s="292" t="str">
        <f>IFERROR((COUNTIFS(Base!$V:$V,A124,Base!$S:$S,"&gt;8") - COUNTIFS(Base!$V:$V,A124,Base!$S:$S,"&lt;7"))/COUNTIFS(Base!$V:$V,A124,Base!$S:$S,"&lt;&gt;"),"-")</f>
        <v>-</v>
      </c>
      <c r="E124" s="292" t="str">
        <f>IF(
  (
    COUNTIFS(Base!$W:$W, A124, Base!$S:$S, "&lt;&gt;") +
    COUNTIFS(Base!$X:$X, A124, Base!$S:$S, "&lt;&gt;") +
    COUNTIFS(Base!$Y:$Y, A124, Base!$S:$S, "&lt;&gt;") +
    COUNTIFS(Base!$Z:$Z, A124, Base!$S:$S, "&lt;&gt;")
  ) = 0,
  "-",
  (
    COUNTIFS(Base!$W:$W, A124, Base!$S:$S, "&gt;8") - COUNTIFS(Base!$W:$W, A124, Base!$S:$S, "&lt;7") +
    COUNTIFS(Base!$X:$X, A124, Base!$S:$S, "&gt;8") - COUNTIFS(Base!$X:$X, A124, Base!$S:$S, "&lt;7") +
    COUNTIFS(Base!$Y:$Y, A124, Base!$S:$S, "&gt;8") - COUNTIFS(Base!$Y:$Y, A124, Base!$S:$S, "&lt;7") +
    COUNTIFS(Base!$Z:$Z, A124, Base!$S:$S, "&gt;8") - COUNTIFS(Base!$Z:$Z, A124, Base!$S:$S, "&lt;7")
  ) /
  (
    COUNTIFS(Base!$W:$W, A124, Base!$S:$S, "&lt;&gt;") +
    COUNTIFS(Base!$X:$X, A124, Base!$S:$S, "&lt;&gt;") +
    COUNTIFS(Base!$Y:$Y, A124, Base!$S:$S, "&lt;&gt;") +
    COUNTIFS(Base!$Z:$Z, A124, Base!$S:$S, "&lt;&gt;")
  )
)
</f>
        <v>-</v>
      </c>
      <c r="F124" s="290">
        <f>SUMIFS(Base!$N:$N,Base!$V:$V,A124,Base!$N:$N,"&lt;&gt;")-SUMIFS(Base!$K:$K,Base!$V:$V,A124,Base!$N:$N,"&lt;&gt;")-(SUMIFS(Base!$L:$L,Base!$V:$V,A124,Base!$N:$N,"&lt;&gt;")*7)</f>
        <v>0</v>
      </c>
      <c r="G124" s="290"/>
      <c r="H124" s="290">
        <f>SUMIFS(Base!$F:$F,Base!$V:$V,A124,Base!$N:$N,"&lt;&gt;")*7</f>
        <v>0</v>
      </c>
      <c r="I124" s="290"/>
      <c r="J124" s="292" t="str">
        <f t="shared" ref="J124:K124" si="125">IFERROR(F124/H124,"-")</f>
        <v>-</v>
      </c>
      <c r="K124" s="292" t="str">
        <f t="shared" si="125"/>
        <v>-</v>
      </c>
      <c r="L124" s="292" t="str">
        <f>IFERROR((COUNTIFS(Base!$V:$V,A124,Base!$U:$U,TRUE))/(COUNTIFS(Base!$V:$V,A124,Base!$O:$O,"Finalizado")+COUNTIFS(Base!$V:$V,A124,Base!$O:$O,"Concluído")),"-")</f>
        <v>-</v>
      </c>
      <c r="M124" s="292" t="str">
        <f>IF(
  (
    IFERROR(COUNTIF(Base!$W:$W, A124), 0) +
    IFERROR(COUNTIF(Base!$X:$X, A124), 0) +
    IFERROR(COUNTIF(Base!$Y:$Y, A124), 0) +
    IFERROR(COUNTIF(Base!$Z:$Z, A124), 0)
  ) = 0,
  "-",
  IF(
    (
      IFERROR(COUNTIFS(Base!$W:$W, A124, Base!$O:$O, "Finalizado"), 0) +
      IFERROR(COUNTIFS(Base!$W:$W, A124, Base!$O:$O, "Concluído"), 0) +
      IFERROR(COUNTIFS(Base!$X:$X, A124, Base!$O:$O, "Finalizado"), 0) +
      IFERROR(COUNTIFS(Base!$X:$X, A124, Base!$O:$O, "Concluído"), 0) +
      IFERROR(COUNTIFS(Base!$Y:$Y, A124, Base!$O:$O, "Finalizado"), 0) +
      IFERROR(COUNTIFS(Base!$Y:$Y, A124, Base!$O:$O, "Concluído"), 0) +
      IFERROR(COUNTIFS(Base!$Z:$Z, A124, Base!$O:$O, "Finalizado"), 0) +
      IFERROR(COUNTIFS(Base!$Z:$Z, A124, Base!$O:$O, "Concluído"), 0)
    ) = 0,
    "-",
    (
      IFERROR(COUNTIFS(Base!$W:$W, A124, Base!$U:$U, TRUE), 0) +
      IFERROR(COUNTIFS(Base!$X:$X, A124, Base!$U:$U, TRUE), 0) +
      IFERROR(COUNTIFS(Base!$Y:$Y, A124, Base!$U:$U, TRUE), 0) +
      IFERROR(COUNTIFS(Base!$Z:$Z, A124, Base!$U:$U, TRUE), 0)
    ) /
    (
      IFERROR(COUNTIFS(Base!$W:$W, A124, Base!$O:$O, "Finalizado"), 0) +
      IFERROR(COUNTIFS(Base!$W:$W, A124, Base!$O:$O, "Concluído"), 0) +
      IFERROR(COUNTIFS(Base!$X:$X, A124, Base!$O:$O, "Finalizado"), 0) +
      IFERROR(COUNTIFS(Base!$X:$X, A124, Base!$O:$O, "Concluído"), 0) +
      IFERROR(COUNTIFS(Base!$Y:$Y, A124, Base!$O:$O, "Finalizado"), 0) +
      IFERROR(COUNTIFS(Base!$Y:$Y, A124, Base!$O:$O, "Concluído"), 0) +
      IFERROR(COUNTIFS(Base!$Z:$Z, A124, Base!$O:$O, "Finalizado"), 0) +
      IFERROR(COUNTIFS(Base!$Z:$Z, A124, Base!$O:$O, "Concluído"), 0)
    )
  )
)
</f>
        <v>-</v>
      </c>
      <c r="N124" s="120">
        <f>COUNTIF(Base!V:V,$A124)</f>
        <v>0</v>
      </c>
      <c r="O124" s="120">
        <f>COUNTIF(Base!W:W,$A124)</f>
        <v>0</v>
      </c>
      <c r="P124" s="120">
        <f>COUNTIF(Base!X:X,$A124)</f>
        <v>0</v>
      </c>
      <c r="Q124" s="120">
        <f>COUNTIF(Base!Y:Y,$A124)</f>
        <v>0</v>
      </c>
      <c r="R124" s="120">
        <f>COUNTIF(Base!Z:Z,$A124)</f>
        <v>0</v>
      </c>
      <c r="S124" s="120">
        <f t="shared" si="3"/>
        <v>0</v>
      </c>
      <c r="T124" s="120">
        <f t="shared" si="4"/>
        <v>0</v>
      </c>
      <c r="V124" s="293" t="str">
        <f>IF(
  (
    COUNTIF('Acompanhamento quinzenal'!$N:$N, A124) +
    COUNTIF('Acompanhamento quinzenal'!$T:$T, A124) +
    COUNTIF('Acompanhamento quinzenal'!$Z:$Z, A124) +
    COUNTIF('Acompanhamento quinzenal'!$AF:$AF, A124)
  ) = 0,
  "-",
  (
    IFERROR(SUMIFS('Acompanhamento quinzenal'!$S:$S, 'Acompanhamento quinzenal'!$N:$N, A124), 0) +
    IFERROR(SUMIFS('Acompanhamento quinzenal'!$Y:$Y, 'Acompanhamento quinzenal'!$T:$T, A124), 0) +
    IFERROR(SUMIFS('Acompanhamento quinzenal'!$AE:$AE, 'Acompanhamento quinzenal'!$Z:$Z, A124), 0) +
    IFERROR(SUMIFS('Acompanhamento quinzenal'!$AK:$AK, 'Acompanhamento quinzenal'!$AF:$AF, A124), 0)
  ) /
  (
    COUNTIF('Acompanhamento quinzenal'!$N:$N, A124) +
    COUNTIF('Acompanhamento quinzenal'!$T:$T, A124) +
    COUNTIF('Acompanhamento quinzenal'!$Z:$Z, A124) +
    COUNTIF('Acompanhamento quinzenal'!$AF:$AF, A124)
  )
)
</f>
        <v>-</v>
      </c>
      <c r="W124" s="293" t="str">
        <f>IF(
  (
    COUNTIF('Acompanhamento quinzenal'!$N:$N, A124) +
    COUNTIF('Acompanhamento quinzenal'!$T:$T, A124) +
    COUNTIF('Acompanhamento quinzenal'!$Z:$Z, A124) +
    COUNTIF('Acompanhamento quinzenal'!$AF:$AF, A124)
  ) = 0,
  "-",
  (
    IFERROR(SUMIFS('Acompanhamento quinzenal'!$O:$O, 'Acompanhamento quinzenal'!$N:$N, A124), 0) +
    IFERROR(SUMIFS('Acompanhamento quinzenal'!$U:$U, 'Acompanhamento quinzenal'!$T:$T, A124), 0) +
    IFERROR(SUMIFS('Acompanhamento quinzenal'!$AA:$AA, 'Acompanhamento quinzenal'!$Z:$Z, A124), 0) +
    IFERROR(SUMIFS('Acompanhamento quinzenal'!$AG:$AG, 'Acompanhamento quinzenal'!$AF:$AF, A124), 0)
  ) /
  (
    COUNTIF('Acompanhamento quinzenal'!$N:$N, A124) +
    COUNTIF('Acompanhamento quinzenal'!$T:$T, A124) +
    COUNTIF('Acompanhamento quinzenal'!$Z:$Z, A124) +
    COUNTIF('Acompanhamento quinzenal'!$AF:$AF, A124)
  )
)
</f>
        <v>-</v>
      </c>
      <c r="X124" s="294" t="str">
        <f>IF(
  (
    COUNTIF('Acompanhamento quinzenal'!$N:$N, A124) +
    COUNTIF('Acompanhamento quinzenal'!$T:$T, A124) +
    COUNTIF('Acompanhamento quinzenal'!$Z:$Z, A124) +
    COUNTIF('Acompanhamento quinzenal'!$AF:$AF, A124)
  ) = 0,
  "-",
  (
    IFERROR(SUMIFS('Acompanhamento quinzenal'!$P:$P, 'Acompanhamento quinzenal'!$N:$N, A124), 0) +
    IFERROR(SUMIFS('Acompanhamento quinzenal'!$V:$V, 'Acompanhamento quinzenal'!$T:$T, A124), 0) +
    IFERROR(SUMIFS('Acompanhamento quinzenal'!$AB:$AB, 'Acompanhamento quinzenal'!$Z:$Z, A124), 0) +
    IFERROR(SUMIFS('Acompanhamento quinzenal'!$AH:$AH, 'Acompanhamento quinzenal'!$AF:$AF, A124), 0)
  ) /
  (
    COUNTIF('Acompanhamento quinzenal'!$N:$N, A124) +
    COUNTIF('Acompanhamento quinzenal'!$T:$T, A124) +
    COUNTIF('Acompanhamento quinzenal'!$Z:$Z, A124) +
    COUNTIF('Acompanhamento quinzenal'!$AF:$AF, A124)
  )
)
</f>
        <v>-</v>
      </c>
      <c r="Y124" s="293" t="str">
        <f>IF(
  (
    COUNTIF('Acompanhamento quinzenal'!$N:$N, A124) +
    COUNTIF('Acompanhamento quinzenal'!$T:$T, A124) +
    COUNTIF('Acompanhamento quinzenal'!$Z:$Z, A124) +
    COUNTIF('Acompanhamento quinzenal'!$AF:$AF, A124)
  ) = 0,
  "-",
  (
    IFERROR(SUMIFS('Acompanhamento quinzenal'!$Q:$Q, 'Acompanhamento quinzenal'!$N:$N, A124), 0) +
    IFERROR(SUMIFS('Acompanhamento quinzenal'!$W:$W, 'Acompanhamento quinzenal'!$T:$T, A124), 0) +
    IFERROR(SUMIFS('Acompanhamento quinzenal'!$AC:$AC, 'Acompanhamento quinzenal'!$Z:$Z, A124), 0) +
    IFERROR(SUMIFS('Acompanhamento quinzenal'!$AI:$AI, 'Acompanhamento quinzenal'!$AF:$AF, A124), 0)
  ) /
  (
    COUNTIF('Acompanhamento quinzenal'!$N:$N, A124) +
    COUNTIF('Acompanhamento quinzenal'!$T:$T, A124) +
    COUNTIF('Acompanhamento quinzenal'!$Z:$Z, A124) +
    COUNTIF('Acompanhamento quinzenal'!$AF:$AF, A124)
  )
)
</f>
        <v>-</v>
      </c>
    </row>
    <row r="125" hidden="1">
      <c r="A125" s="291" t="str">
        <f>IFERROR(__xludf.DUMMYFUNCTION("""COMPUTED_VALUE"""),"marcelo.olivetti")</f>
        <v>marcelo.olivetti</v>
      </c>
      <c r="B125" s="120" t="str">
        <f>IFERROR(__xludf.DUMMYFUNCTION("""COMPUTED_VALUE"""),"Trainee")</f>
        <v>Trainee</v>
      </c>
      <c r="C125" s="120" t="str">
        <f>IFERROR(__xludf.DUMMYFUNCTION("""COMPUTED_VALUE"""),"NI")</f>
        <v>NI</v>
      </c>
      <c r="D125" s="292" t="str">
        <f>IFERROR((COUNTIFS(Base!$V:$V,A125,Base!$S:$S,"&gt;8") - COUNTIFS(Base!$V:$V,A125,Base!$S:$S,"&lt;7"))/COUNTIFS(Base!$V:$V,A125,Base!$S:$S,"&lt;&gt;"),"-")</f>
        <v>-</v>
      </c>
      <c r="E125" s="292" t="str">
        <f>IF(
  (
    COUNTIFS(Base!$W:$W, A125, Base!$S:$S, "&lt;&gt;") +
    COUNTIFS(Base!$X:$X, A125, Base!$S:$S, "&lt;&gt;") +
    COUNTIFS(Base!$Y:$Y, A125, Base!$S:$S, "&lt;&gt;") +
    COUNTIFS(Base!$Z:$Z, A125, Base!$S:$S, "&lt;&gt;")
  ) = 0,
  "-",
  (
    COUNTIFS(Base!$W:$W, A125, Base!$S:$S, "&gt;8") - COUNTIFS(Base!$W:$W, A125, Base!$S:$S, "&lt;7") +
    COUNTIFS(Base!$X:$X, A125, Base!$S:$S, "&gt;8") - COUNTIFS(Base!$X:$X, A125, Base!$S:$S, "&lt;7") +
    COUNTIFS(Base!$Y:$Y, A125, Base!$S:$S, "&gt;8") - COUNTIFS(Base!$Y:$Y, A125, Base!$S:$S, "&lt;7") +
    COUNTIFS(Base!$Z:$Z, A125, Base!$S:$S, "&gt;8") - COUNTIFS(Base!$Z:$Z, A125, Base!$S:$S, "&lt;7")
  ) /
  (
    COUNTIFS(Base!$W:$W, A125, Base!$S:$S, "&lt;&gt;") +
    COUNTIFS(Base!$X:$X, A125, Base!$S:$S, "&lt;&gt;") +
    COUNTIFS(Base!$Y:$Y, A125, Base!$S:$S, "&lt;&gt;") +
    COUNTIFS(Base!$Z:$Z, A125, Base!$S:$S, "&lt;&gt;")
  )
)
</f>
        <v>-</v>
      </c>
      <c r="F125" s="290">
        <f>SUMIFS(Base!$N:$N,Base!$V:$V,A125,Base!$N:$N,"&lt;&gt;")-SUMIFS(Base!$K:$K,Base!$V:$V,A125,Base!$N:$N,"&lt;&gt;")-(SUMIFS(Base!$L:$L,Base!$V:$V,A125,Base!$N:$N,"&lt;&gt;")*7)</f>
        <v>0</v>
      </c>
      <c r="G125" s="290"/>
      <c r="H125" s="290">
        <f>SUMIFS(Base!$F:$F,Base!$V:$V,A125,Base!$N:$N,"&lt;&gt;")*7</f>
        <v>0</v>
      </c>
      <c r="I125" s="290"/>
      <c r="J125" s="292" t="str">
        <f t="shared" ref="J125:K125" si="126">IFERROR(F125/H125,"-")</f>
        <v>-</v>
      </c>
      <c r="K125" s="292" t="str">
        <f t="shared" si="126"/>
        <v>-</v>
      </c>
      <c r="L125" s="292" t="str">
        <f>IFERROR((COUNTIFS(Base!$V:$V,A125,Base!$U:$U,TRUE))/(COUNTIFS(Base!$V:$V,A125,Base!$O:$O,"Finalizado")+COUNTIFS(Base!$V:$V,A125,Base!$O:$O,"Concluído")),"-")</f>
        <v>-</v>
      </c>
      <c r="M125" s="292" t="str">
        <f>IF(
  (
    IFERROR(COUNTIF(Base!$W:$W, A125), 0) +
    IFERROR(COUNTIF(Base!$X:$X, A125), 0) +
    IFERROR(COUNTIF(Base!$Y:$Y, A125), 0) +
    IFERROR(COUNTIF(Base!$Z:$Z, A125), 0)
  ) = 0,
  "-",
  IF(
    (
      IFERROR(COUNTIFS(Base!$W:$W, A125, Base!$O:$O, "Finalizado"), 0) +
      IFERROR(COUNTIFS(Base!$W:$W, A125, Base!$O:$O, "Concluído"), 0) +
      IFERROR(COUNTIFS(Base!$X:$X, A125, Base!$O:$O, "Finalizado"), 0) +
      IFERROR(COUNTIFS(Base!$X:$X, A125, Base!$O:$O, "Concluído"), 0) +
      IFERROR(COUNTIFS(Base!$Y:$Y, A125, Base!$O:$O, "Finalizado"), 0) +
      IFERROR(COUNTIFS(Base!$Y:$Y, A125, Base!$O:$O, "Concluído"), 0) +
      IFERROR(COUNTIFS(Base!$Z:$Z, A125, Base!$O:$O, "Finalizado"), 0) +
      IFERROR(COUNTIFS(Base!$Z:$Z, A125, Base!$O:$O, "Concluído"), 0)
    ) = 0,
    "-",
    (
      IFERROR(COUNTIFS(Base!$W:$W, A125, Base!$U:$U, TRUE), 0) +
      IFERROR(COUNTIFS(Base!$X:$X, A125, Base!$U:$U, TRUE), 0) +
      IFERROR(COUNTIFS(Base!$Y:$Y, A125, Base!$U:$U, TRUE), 0) +
      IFERROR(COUNTIFS(Base!$Z:$Z, A125, Base!$U:$U, TRUE), 0)
    ) /
    (
      IFERROR(COUNTIFS(Base!$W:$W, A125, Base!$O:$O, "Finalizado"), 0) +
      IFERROR(COUNTIFS(Base!$W:$W, A125, Base!$O:$O, "Concluído"), 0) +
      IFERROR(COUNTIFS(Base!$X:$X, A125, Base!$O:$O, "Finalizado"), 0) +
      IFERROR(COUNTIFS(Base!$X:$X, A125, Base!$O:$O, "Concluído"), 0) +
      IFERROR(COUNTIFS(Base!$Y:$Y, A125, Base!$O:$O, "Finalizado"), 0) +
      IFERROR(COUNTIFS(Base!$Y:$Y, A125, Base!$O:$O, "Concluído"), 0) +
      IFERROR(COUNTIFS(Base!$Z:$Z, A125, Base!$O:$O, "Finalizado"), 0) +
      IFERROR(COUNTIFS(Base!$Z:$Z, A125, Base!$O:$O, "Concluído"), 0)
    )
  )
)
</f>
        <v>-</v>
      </c>
      <c r="N125" s="120">
        <f>COUNTIF(Base!V:V,$A125)</f>
        <v>0</v>
      </c>
      <c r="O125" s="120">
        <f>COUNTIF(Base!W:W,$A125)</f>
        <v>0</v>
      </c>
      <c r="P125" s="120">
        <f>COUNTIF(Base!X:X,$A125)</f>
        <v>0</v>
      </c>
      <c r="Q125" s="120">
        <f>COUNTIF(Base!Y:Y,$A125)</f>
        <v>0</v>
      </c>
      <c r="R125" s="120">
        <f>COUNTIF(Base!Z:Z,$A125)</f>
        <v>0</v>
      </c>
      <c r="S125" s="120">
        <f t="shared" si="3"/>
        <v>0</v>
      </c>
      <c r="T125" s="120">
        <f t="shared" si="4"/>
        <v>0</v>
      </c>
      <c r="V125" s="293" t="str">
        <f>IF(
  (
    COUNTIF('Acompanhamento quinzenal'!$N:$N, A125) +
    COUNTIF('Acompanhamento quinzenal'!$T:$T, A125) +
    COUNTIF('Acompanhamento quinzenal'!$Z:$Z, A125) +
    COUNTIF('Acompanhamento quinzenal'!$AF:$AF, A125)
  ) = 0,
  "-",
  (
    IFERROR(SUMIFS('Acompanhamento quinzenal'!$S:$S, 'Acompanhamento quinzenal'!$N:$N, A125), 0) +
    IFERROR(SUMIFS('Acompanhamento quinzenal'!$Y:$Y, 'Acompanhamento quinzenal'!$T:$T, A125), 0) +
    IFERROR(SUMIFS('Acompanhamento quinzenal'!$AE:$AE, 'Acompanhamento quinzenal'!$Z:$Z, A125), 0) +
    IFERROR(SUMIFS('Acompanhamento quinzenal'!$AK:$AK, 'Acompanhamento quinzenal'!$AF:$AF, A125), 0)
  ) /
  (
    COUNTIF('Acompanhamento quinzenal'!$N:$N, A125) +
    COUNTIF('Acompanhamento quinzenal'!$T:$T, A125) +
    COUNTIF('Acompanhamento quinzenal'!$Z:$Z, A125) +
    COUNTIF('Acompanhamento quinzenal'!$AF:$AF, A125)
  )
)
</f>
        <v>-</v>
      </c>
      <c r="W125" s="293" t="str">
        <f>IF(
  (
    COUNTIF('Acompanhamento quinzenal'!$N:$N, A125) +
    COUNTIF('Acompanhamento quinzenal'!$T:$T, A125) +
    COUNTIF('Acompanhamento quinzenal'!$Z:$Z, A125) +
    COUNTIF('Acompanhamento quinzenal'!$AF:$AF, A125)
  ) = 0,
  "-",
  (
    IFERROR(SUMIFS('Acompanhamento quinzenal'!$O:$O, 'Acompanhamento quinzenal'!$N:$N, A125), 0) +
    IFERROR(SUMIFS('Acompanhamento quinzenal'!$U:$U, 'Acompanhamento quinzenal'!$T:$T, A125), 0) +
    IFERROR(SUMIFS('Acompanhamento quinzenal'!$AA:$AA, 'Acompanhamento quinzenal'!$Z:$Z, A125), 0) +
    IFERROR(SUMIFS('Acompanhamento quinzenal'!$AG:$AG, 'Acompanhamento quinzenal'!$AF:$AF, A125), 0)
  ) /
  (
    COUNTIF('Acompanhamento quinzenal'!$N:$N, A125) +
    COUNTIF('Acompanhamento quinzenal'!$T:$T, A125) +
    COUNTIF('Acompanhamento quinzenal'!$Z:$Z, A125) +
    COUNTIF('Acompanhamento quinzenal'!$AF:$AF, A125)
  )
)
</f>
        <v>-</v>
      </c>
      <c r="X125" s="294" t="str">
        <f>IF(
  (
    COUNTIF('Acompanhamento quinzenal'!$N:$N, A125) +
    COUNTIF('Acompanhamento quinzenal'!$T:$T, A125) +
    COUNTIF('Acompanhamento quinzenal'!$Z:$Z, A125) +
    COUNTIF('Acompanhamento quinzenal'!$AF:$AF, A125)
  ) = 0,
  "-",
  (
    IFERROR(SUMIFS('Acompanhamento quinzenal'!$P:$P, 'Acompanhamento quinzenal'!$N:$N, A125), 0) +
    IFERROR(SUMIFS('Acompanhamento quinzenal'!$V:$V, 'Acompanhamento quinzenal'!$T:$T, A125), 0) +
    IFERROR(SUMIFS('Acompanhamento quinzenal'!$AB:$AB, 'Acompanhamento quinzenal'!$Z:$Z, A125), 0) +
    IFERROR(SUMIFS('Acompanhamento quinzenal'!$AH:$AH, 'Acompanhamento quinzenal'!$AF:$AF, A125), 0)
  ) /
  (
    COUNTIF('Acompanhamento quinzenal'!$N:$N, A125) +
    COUNTIF('Acompanhamento quinzenal'!$T:$T, A125) +
    COUNTIF('Acompanhamento quinzenal'!$Z:$Z, A125) +
    COUNTIF('Acompanhamento quinzenal'!$AF:$AF, A125)
  )
)
</f>
        <v>-</v>
      </c>
      <c r="Y125" s="293" t="str">
        <f>IF(
  (
    COUNTIF('Acompanhamento quinzenal'!$N:$N, A125) +
    COUNTIF('Acompanhamento quinzenal'!$T:$T, A125) +
    COUNTIF('Acompanhamento quinzenal'!$Z:$Z, A125) +
    COUNTIF('Acompanhamento quinzenal'!$AF:$AF, A125)
  ) = 0,
  "-",
  (
    IFERROR(SUMIFS('Acompanhamento quinzenal'!$Q:$Q, 'Acompanhamento quinzenal'!$N:$N, A125), 0) +
    IFERROR(SUMIFS('Acompanhamento quinzenal'!$W:$W, 'Acompanhamento quinzenal'!$T:$T, A125), 0) +
    IFERROR(SUMIFS('Acompanhamento quinzenal'!$AC:$AC, 'Acompanhamento quinzenal'!$Z:$Z, A125), 0) +
    IFERROR(SUMIFS('Acompanhamento quinzenal'!$AI:$AI, 'Acompanhamento quinzenal'!$AF:$AF, A125), 0)
  ) /
  (
    COUNTIF('Acompanhamento quinzenal'!$N:$N, A125) +
    COUNTIF('Acompanhamento quinzenal'!$T:$T, A125) +
    COUNTIF('Acompanhamento quinzenal'!$Z:$Z, A125) +
    COUNTIF('Acompanhamento quinzenal'!$AF:$AF, A125)
  )
)
</f>
        <v>-</v>
      </c>
    </row>
    <row r="126">
      <c r="A126" s="291" t="str">
        <f>IFERROR(__xludf.DUMMYFUNCTION("""COMPUTED_VALUE"""),"marcelo.takayama")</f>
        <v>marcelo.takayama</v>
      </c>
      <c r="B126" s="120" t="str">
        <f>IFERROR(__xludf.DUMMYFUNCTION("""COMPUTED_VALUE"""),"Coordenador")</f>
        <v>Coordenador</v>
      </c>
      <c r="C126" s="120" t="str">
        <f>IFERROR(__xludf.DUMMYFUNCTION("""COMPUTED_VALUE"""),"NDados")</f>
        <v>NDados</v>
      </c>
      <c r="D126" s="292">
        <f>IFERROR((COUNTIFS(Base!$V:$V,A126,Base!$S:$S,"&gt;8") - COUNTIFS(Base!$V:$V,A126,Base!$S:$S,"&lt;7"))/COUNTIFS(Base!$V:$V,A126,Base!$S:$S,"&lt;&gt;"),"-")</f>
        <v>1</v>
      </c>
      <c r="E126" s="292">
        <f>IF(
  (
    COUNTIFS(Base!$W:$W, A126, Base!$S:$S, "&lt;&gt;") +
    COUNTIFS(Base!$X:$X, A126, Base!$S:$S, "&lt;&gt;") +
    COUNTIFS(Base!$Y:$Y, A126, Base!$S:$S, "&lt;&gt;") +
    COUNTIFS(Base!$Z:$Z, A126, Base!$S:$S, "&lt;&gt;")
  ) = 0,
  "-",
  (
    COUNTIFS(Base!$W:$W, A126, Base!$S:$S, "&gt;8") - COUNTIFS(Base!$W:$W, A126, Base!$S:$S, "&lt;7") +
    COUNTIFS(Base!$X:$X, A126, Base!$S:$S, "&gt;8") - COUNTIFS(Base!$X:$X, A126, Base!$S:$S, "&lt;7") +
    COUNTIFS(Base!$Y:$Y, A126, Base!$S:$S, "&gt;8") - COUNTIFS(Base!$Y:$Y, A126, Base!$S:$S, "&lt;7") +
    COUNTIFS(Base!$Z:$Z, A126, Base!$S:$S, "&gt;8") - COUNTIFS(Base!$Z:$Z, A126, Base!$S:$S, "&lt;7")
  ) /
  (
    COUNTIFS(Base!$W:$W, A126, Base!$S:$S, "&lt;&gt;") +
    COUNTIFS(Base!$X:$X, A126, Base!$S:$S, "&lt;&gt;") +
    COUNTIFS(Base!$Y:$Y, A126, Base!$S:$S, "&lt;&gt;") +
    COUNTIFS(Base!$Z:$Z, A126, Base!$S:$S, "&lt;&gt;")
  )
)
</f>
        <v>1</v>
      </c>
      <c r="F126" s="290">
        <f>SUMIFS(Base!$N:$N,Base!$V:$V,A126,Base!$N:$N,"&lt;&gt;")-SUMIFS(Base!$K:$K,Base!$V:$V,A126,Base!$N:$N,"&lt;&gt;")-(SUMIFS(Base!$L:$L,Base!$V:$V,A126,Base!$N:$N,"&lt;&gt;")*7)</f>
        <v>296</v>
      </c>
      <c r="G126" s="290"/>
      <c r="H126" s="290">
        <f>SUMIFS(Base!$F:$F,Base!$V:$V,A126,Base!$N:$N,"&lt;&gt;")*7</f>
        <v>154</v>
      </c>
      <c r="I126" s="290"/>
      <c r="J126" s="292">
        <f t="shared" ref="J126:K126" si="127">IFERROR(F126/H126,"-")</f>
        <v>1.922077922</v>
      </c>
      <c r="K126" s="292" t="str">
        <f t="shared" si="127"/>
        <v>-</v>
      </c>
      <c r="L126" s="292">
        <f>IFERROR((COUNTIFS(Base!$V:$V,A126,Base!$U:$U,TRUE))/(COUNTIFS(Base!$V:$V,A126,Base!$O:$O,"Finalizado")+COUNTIFS(Base!$V:$V,A126,Base!$O:$O,"Concluído")),"-")</f>
        <v>0</v>
      </c>
      <c r="M126" s="292">
        <f>IF(
  (
    IFERROR(COUNTIF(Base!$W:$W, A126), 0) +
    IFERROR(COUNTIF(Base!$X:$X, A126), 0) +
    IFERROR(COUNTIF(Base!$Y:$Y, A126), 0) +
    IFERROR(COUNTIF(Base!$Z:$Z, A126), 0)
  ) = 0,
  "-",
  IF(
    (
      IFERROR(COUNTIFS(Base!$W:$W, A126, Base!$O:$O, "Finalizado"), 0) +
      IFERROR(COUNTIFS(Base!$W:$W, A126, Base!$O:$O, "Concluído"), 0) +
      IFERROR(COUNTIFS(Base!$X:$X, A126, Base!$O:$O, "Finalizado"), 0) +
      IFERROR(COUNTIFS(Base!$X:$X, A126, Base!$O:$O, "Concluído"), 0) +
      IFERROR(COUNTIFS(Base!$Y:$Y, A126, Base!$O:$O, "Finalizado"), 0) +
      IFERROR(COUNTIFS(Base!$Y:$Y, A126, Base!$O:$O, "Concluído"), 0) +
      IFERROR(COUNTIFS(Base!$Z:$Z, A126, Base!$O:$O, "Finalizado"), 0) +
      IFERROR(COUNTIFS(Base!$Z:$Z, A126, Base!$O:$O, "Concluído"), 0)
    ) = 0,
    "-",
    (
      IFERROR(COUNTIFS(Base!$W:$W, A126, Base!$U:$U, TRUE), 0) +
      IFERROR(COUNTIFS(Base!$X:$X, A126, Base!$U:$U, TRUE), 0) +
      IFERROR(COUNTIFS(Base!$Y:$Y, A126, Base!$U:$U, TRUE), 0) +
      IFERROR(COUNTIFS(Base!$Z:$Z, A126, Base!$U:$U, TRUE), 0)
    ) /
    (
      IFERROR(COUNTIFS(Base!$W:$W, A126, Base!$O:$O, "Finalizado"), 0) +
      IFERROR(COUNTIFS(Base!$W:$W, A126, Base!$O:$O, "Concluído"), 0) +
      IFERROR(COUNTIFS(Base!$X:$X, A126, Base!$O:$O, "Finalizado"), 0) +
      IFERROR(COUNTIFS(Base!$X:$X, A126, Base!$O:$O, "Concluído"), 0) +
      IFERROR(COUNTIFS(Base!$Y:$Y, A126, Base!$O:$O, "Finalizado"), 0) +
      IFERROR(COUNTIFS(Base!$Y:$Y, A126, Base!$O:$O, "Concluído"), 0) +
      IFERROR(COUNTIFS(Base!$Z:$Z, A126, Base!$O:$O, "Finalizado"), 0) +
      IFERROR(COUNTIFS(Base!$Z:$Z, A126, Base!$O:$O, "Concluído"), 0)
    )
  )
)
</f>
        <v>0</v>
      </c>
      <c r="N126" s="120">
        <f>COUNTIF(Base!V:V,$A126)</f>
        <v>12</v>
      </c>
      <c r="O126" s="120">
        <f>COUNTIF(Base!W:W,$A126)</f>
        <v>1</v>
      </c>
      <c r="P126" s="120">
        <f>COUNTIF(Base!X:X,$A126)</f>
        <v>1</v>
      </c>
      <c r="Q126" s="120">
        <f>COUNTIF(Base!Y:Y,$A126)</f>
        <v>0</v>
      </c>
      <c r="R126" s="120">
        <f>COUNTIF(Base!Z:Z,$A126)</f>
        <v>0</v>
      </c>
      <c r="S126" s="120">
        <f t="shared" si="3"/>
        <v>14</v>
      </c>
      <c r="T126" s="120">
        <f t="shared" si="4"/>
        <v>2</v>
      </c>
      <c r="V126" s="293" t="str">
        <f>IF(
  (
    COUNTIF('Acompanhamento quinzenal'!$N:$N, A126) +
    COUNTIF('Acompanhamento quinzenal'!$T:$T, A126) +
    COUNTIF('Acompanhamento quinzenal'!$Z:$Z, A126) +
    COUNTIF('Acompanhamento quinzenal'!$AF:$AF, A126)
  ) = 0,
  "-",
  (
    IFERROR(SUMIFS('Acompanhamento quinzenal'!$S:$S, 'Acompanhamento quinzenal'!$N:$N, A126), 0) +
    IFERROR(SUMIFS('Acompanhamento quinzenal'!$Y:$Y, 'Acompanhamento quinzenal'!$T:$T, A126), 0) +
    IFERROR(SUMIFS('Acompanhamento quinzenal'!$AE:$AE, 'Acompanhamento quinzenal'!$Z:$Z, A126), 0) +
    IFERROR(SUMIFS('Acompanhamento quinzenal'!$AK:$AK, 'Acompanhamento quinzenal'!$AF:$AF, A126), 0)
  ) /
  (
    COUNTIF('Acompanhamento quinzenal'!$N:$N, A126) +
    COUNTIF('Acompanhamento quinzenal'!$T:$T, A126) +
    COUNTIF('Acompanhamento quinzenal'!$Z:$Z, A126) +
    COUNTIF('Acompanhamento quinzenal'!$AF:$AF, A126)
  )
)
</f>
        <v>-</v>
      </c>
      <c r="W126" s="293" t="str">
        <f>IF(
  (
    COUNTIF('Acompanhamento quinzenal'!$N:$N, A126) +
    COUNTIF('Acompanhamento quinzenal'!$T:$T, A126) +
    COUNTIF('Acompanhamento quinzenal'!$Z:$Z, A126) +
    COUNTIF('Acompanhamento quinzenal'!$AF:$AF, A126)
  ) = 0,
  "-",
  (
    IFERROR(SUMIFS('Acompanhamento quinzenal'!$O:$O, 'Acompanhamento quinzenal'!$N:$N, A126), 0) +
    IFERROR(SUMIFS('Acompanhamento quinzenal'!$U:$U, 'Acompanhamento quinzenal'!$T:$T, A126), 0) +
    IFERROR(SUMIFS('Acompanhamento quinzenal'!$AA:$AA, 'Acompanhamento quinzenal'!$Z:$Z, A126), 0) +
    IFERROR(SUMIFS('Acompanhamento quinzenal'!$AG:$AG, 'Acompanhamento quinzenal'!$AF:$AF, A126), 0)
  ) /
  (
    COUNTIF('Acompanhamento quinzenal'!$N:$N, A126) +
    COUNTIF('Acompanhamento quinzenal'!$T:$T, A126) +
    COUNTIF('Acompanhamento quinzenal'!$Z:$Z, A126) +
    COUNTIF('Acompanhamento quinzenal'!$AF:$AF, A126)
  )
)
</f>
        <v>-</v>
      </c>
      <c r="X126" s="294" t="str">
        <f>IF(
  (
    COUNTIF('Acompanhamento quinzenal'!$N:$N, A126) +
    COUNTIF('Acompanhamento quinzenal'!$T:$T, A126) +
    COUNTIF('Acompanhamento quinzenal'!$Z:$Z, A126) +
    COUNTIF('Acompanhamento quinzenal'!$AF:$AF, A126)
  ) = 0,
  "-",
  (
    IFERROR(SUMIFS('Acompanhamento quinzenal'!$P:$P, 'Acompanhamento quinzenal'!$N:$N, A126), 0) +
    IFERROR(SUMIFS('Acompanhamento quinzenal'!$V:$V, 'Acompanhamento quinzenal'!$T:$T, A126), 0) +
    IFERROR(SUMIFS('Acompanhamento quinzenal'!$AB:$AB, 'Acompanhamento quinzenal'!$Z:$Z, A126), 0) +
    IFERROR(SUMIFS('Acompanhamento quinzenal'!$AH:$AH, 'Acompanhamento quinzenal'!$AF:$AF, A126), 0)
  ) /
  (
    COUNTIF('Acompanhamento quinzenal'!$N:$N, A126) +
    COUNTIF('Acompanhamento quinzenal'!$T:$T, A126) +
    COUNTIF('Acompanhamento quinzenal'!$Z:$Z, A126) +
    COUNTIF('Acompanhamento quinzenal'!$AF:$AF, A126)
  )
)
</f>
        <v>-</v>
      </c>
      <c r="Y126" s="293" t="str">
        <f>IF(
  (
    COUNTIF('Acompanhamento quinzenal'!$N:$N, A126) +
    COUNTIF('Acompanhamento quinzenal'!$T:$T, A126) +
    COUNTIF('Acompanhamento quinzenal'!$Z:$Z, A126) +
    COUNTIF('Acompanhamento quinzenal'!$AF:$AF, A126)
  ) = 0,
  "-",
  (
    IFERROR(SUMIFS('Acompanhamento quinzenal'!$Q:$Q, 'Acompanhamento quinzenal'!$N:$N, A126), 0) +
    IFERROR(SUMIFS('Acompanhamento quinzenal'!$W:$W, 'Acompanhamento quinzenal'!$T:$T, A126), 0) +
    IFERROR(SUMIFS('Acompanhamento quinzenal'!$AC:$AC, 'Acompanhamento quinzenal'!$Z:$Z, A126), 0) +
    IFERROR(SUMIFS('Acompanhamento quinzenal'!$AI:$AI, 'Acompanhamento quinzenal'!$AF:$AF, A126), 0)
  ) /
  (
    COUNTIF('Acompanhamento quinzenal'!$N:$N, A126) +
    COUNTIF('Acompanhamento quinzenal'!$T:$T, A126) +
    COUNTIF('Acompanhamento quinzenal'!$Z:$Z, A126) +
    COUNTIF('Acompanhamento quinzenal'!$AF:$AF, A126)
  )
)
</f>
        <v>-</v>
      </c>
    </row>
    <row r="127">
      <c r="A127" s="291" t="str">
        <f>IFERROR(__xludf.DUMMYFUNCTION("""COMPUTED_VALUE"""),"maria.caira")</f>
        <v>maria.caira</v>
      </c>
      <c r="B127" s="120" t="str">
        <f>IFERROR(__xludf.DUMMYFUNCTION("""COMPUTED_VALUE"""),"Consultor")</f>
        <v>Consultor</v>
      </c>
      <c r="C127" s="120" t="str">
        <f>IFERROR(__xludf.DUMMYFUNCTION("""COMPUTED_VALUE"""),"NDados")</f>
        <v>NDados</v>
      </c>
      <c r="D127" s="292" t="str">
        <f>IFERROR((COUNTIFS(Base!$V:$V,A127,Base!$S:$S,"&gt;8") - COUNTIFS(Base!$V:$V,A127,Base!$S:$S,"&lt;7"))/COUNTIFS(Base!$V:$V,A127,Base!$S:$S,"&lt;&gt;"),"-")</f>
        <v>-</v>
      </c>
      <c r="E127" s="292">
        <f>IF(
  (
    COUNTIFS(Base!$W:$W, A127, Base!$S:$S, "&lt;&gt;") +
    COUNTIFS(Base!$X:$X, A127, Base!$S:$S, "&lt;&gt;") +
    COUNTIFS(Base!$Y:$Y, A127, Base!$S:$S, "&lt;&gt;") +
    COUNTIFS(Base!$Z:$Z, A127, Base!$S:$S, "&lt;&gt;")
  ) = 0,
  "-",
  (
    COUNTIFS(Base!$W:$W, A127, Base!$S:$S, "&gt;8") - COUNTIFS(Base!$W:$W, A127, Base!$S:$S, "&lt;7") +
    COUNTIFS(Base!$X:$X, A127, Base!$S:$S, "&gt;8") - COUNTIFS(Base!$X:$X, A127, Base!$S:$S, "&lt;7") +
    COUNTIFS(Base!$Y:$Y, A127, Base!$S:$S, "&gt;8") - COUNTIFS(Base!$Y:$Y, A127, Base!$S:$S, "&lt;7") +
    COUNTIFS(Base!$Z:$Z, A127, Base!$S:$S, "&gt;8") - COUNTIFS(Base!$Z:$Z, A127, Base!$S:$S, "&lt;7")
  ) /
  (
    COUNTIFS(Base!$W:$W, A127, Base!$S:$S, "&lt;&gt;") +
    COUNTIFS(Base!$X:$X, A127, Base!$S:$S, "&lt;&gt;") +
    COUNTIFS(Base!$Y:$Y, A127, Base!$S:$S, "&lt;&gt;") +
    COUNTIFS(Base!$Z:$Z, A127, Base!$S:$S, "&lt;&gt;")
  )
)
</f>
        <v>1</v>
      </c>
      <c r="F127" s="290">
        <f>SUMIFS(Base!$N:$N,Base!$V:$V,A127,Base!$N:$N,"&lt;&gt;")-SUMIFS(Base!$K:$K,Base!$V:$V,A127,Base!$N:$N,"&lt;&gt;")-(SUMIFS(Base!$L:$L,Base!$V:$V,A127,Base!$N:$N,"&lt;&gt;")*7)</f>
        <v>0</v>
      </c>
      <c r="G127" s="290"/>
      <c r="H127" s="290">
        <f>SUMIFS(Base!$F:$F,Base!$V:$V,A127,Base!$N:$N,"&lt;&gt;")*7</f>
        <v>0</v>
      </c>
      <c r="I127" s="290"/>
      <c r="J127" s="292" t="str">
        <f t="shared" ref="J127:K127" si="128">IFERROR(F127/H127,"-")</f>
        <v>-</v>
      </c>
      <c r="K127" s="292" t="str">
        <f t="shared" si="128"/>
        <v>-</v>
      </c>
      <c r="L127" s="292" t="str">
        <f>IFERROR((COUNTIFS(Base!$V:$V,A127,Base!$U:$U,TRUE))/(COUNTIFS(Base!$V:$V,A127,Base!$O:$O,"Finalizado")+COUNTIFS(Base!$V:$V,A127,Base!$O:$O,"Concluído")),"-")</f>
        <v>-</v>
      </c>
      <c r="M127" s="292">
        <f>IF(
  (
    IFERROR(COUNTIF(Base!$W:$W, A127), 0) +
    IFERROR(COUNTIF(Base!$X:$X, A127), 0) +
    IFERROR(COUNTIF(Base!$Y:$Y, A127), 0) +
    IFERROR(COUNTIF(Base!$Z:$Z, A127), 0)
  ) = 0,
  "-",
  IF(
    (
      IFERROR(COUNTIFS(Base!$W:$W, A127, Base!$O:$O, "Finalizado"), 0) +
      IFERROR(COUNTIFS(Base!$W:$W, A127, Base!$O:$O, "Concluído"), 0) +
      IFERROR(COUNTIFS(Base!$X:$X, A127, Base!$O:$O, "Finalizado"), 0) +
      IFERROR(COUNTIFS(Base!$X:$X, A127, Base!$O:$O, "Concluído"), 0) +
      IFERROR(COUNTIFS(Base!$Y:$Y, A127, Base!$O:$O, "Finalizado"), 0) +
      IFERROR(COUNTIFS(Base!$Y:$Y, A127, Base!$O:$O, "Concluído"), 0) +
      IFERROR(COUNTIFS(Base!$Z:$Z, A127, Base!$O:$O, "Finalizado"), 0) +
      IFERROR(COUNTIFS(Base!$Z:$Z, A127, Base!$O:$O, "Concluído"), 0)
    ) = 0,
    "-",
    (
      IFERROR(COUNTIFS(Base!$W:$W, A127, Base!$U:$U, TRUE), 0) +
      IFERROR(COUNTIFS(Base!$X:$X, A127, Base!$U:$U, TRUE), 0) +
      IFERROR(COUNTIFS(Base!$Y:$Y, A127, Base!$U:$U, TRUE), 0) +
      IFERROR(COUNTIFS(Base!$Z:$Z, A127, Base!$U:$U, TRUE), 0)
    ) /
    (
      IFERROR(COUNTIFS(Base!$W:$W, A127, Base!$O:$O, "Finalizado"), 0) +
      IFERROR(COUNTIFS(Base!$W:$W, A127, Base!$O:$O, "Concluído"), 0) +
      IFERROR(COUNTIFS(Base!$X:$X, A127, Base!$O:$O, "Finalizado"), 0) +
      IFERROR(COUNTIFS(Base!$X:$X, A127, Base!$O:$O, "Concluído"), 0) +
      IFERROR(COUNTIFS(Base!$Y:$Y, A127, Base!$O:$O, "Finalizado"), 0) +
      IFERROR(COUNTIFS(Base!$Y:$Y, A127, Base!$O:$O, "Concluído"), 0) +
      IFERROR(COUNTIFS(Base!$Z:$Z, A127, Base!$O:$O, "Finalizado"), 0) +
      IFERROR(COUNTIFS(Base!$Z:$Z, A127, Base!$O:$O, "Concluído"), 0)
    )
  )
)
</f>
        <v>0</v>
      </c>
      <c r="N127" s="120">
        <f>COUNTIF(Base!V:V,$A127)</f>
        <v>0</v>
      </c>
      <c r="O127" s="120">
        <f>COUNTIF(Base!W:W,$A127)</f>
        <v>1</v>
      </c>
      <c r="P127" s="120">
        <f>COUNTIF(Base!X:X,$A127)</f>
        <v>1</v>
      </c>
      <c r="Q127" s="120">
        <f>COUNTIF(Base!Y:Y,$A127)</f>
        <v>0</v>
      </c>
      <c r="R127" s="120">
        <f>COUNTIF(Base!Z:Z,$A127)</f>
        <v>0</v>
      </c>
      <c r="S127" s="120">
        <f t="shared" si="3"/>
        <v>2</v>
      </c>
      <c r="T127" s="120">
        <f t="shared" si="4"/>
        <v>2</v>
      </c>
      <c r="V127" s="293" t="str">
        <f>IF(
  (
    COUNTIF('Acompanhamento quinzenal'!$N:$N, A127) +
    COUNTIF('Acompanhamento quinzenal'!$T:$T, A127) +
    COUNTIF('Acompanhamento quinzenal'!$Z:$Z, A127) +
    COUNTIF('Acompanhamento quinzenal'!$AF:$AF, A127)
  ) = 0,
  "-",
  (
    IFERROR(SUMIFS('Acompanhamento quinzenal'!$S:$S, 'Acompanhamento quinzenal'!$N:$N, A127), 0) +
    IFERROR(SUMIFS('Acompanhamento quinzenal'!$Y:$Y, 'Acompanhamento quinzenal'!$T:$T, A127), 0) +
    IFERROR(SUMIFS('Acompanhamento quinzenal'!$AE:$AE, 'Acompanhamento quinzenal'!$Z:$Z, A127), 0) +
    IFERROR(SUMIFS('Acompanhamento quinzenal'!$AK:$AK, 'Acompanhamento quinzenal'!$AF:$AF, A127), 0)
  ) /
  (
    COUNTIF('Acompanhamento quinzenal'!$N:$N, A127) +
    COUNTIF('Acompanhamento quinzenal'!$T:$T, A127) +
    COUNTIF('Acompanhamento quinzenal'!$Z:$Z, A127) +
    COUNTIF('Acompanhamento quinzenal'!$AF:$AF, A127)
  )
)
</f>
        <v>-</v>
      </c>
      <c r="W127" s="293" t="str">
        <f>IF(
  (
    COUNTIF('Acompanhamento quinzenal'!$N:$N, A127) +
    COUNTIF('Acompanhamento quinzenal'!$T:$T, A127) +
    COUNTIF('Acompanhamento quinzenal'!$Z:$Z, A127) +
    COUNTIF('Acompanhamento quinzenal'!$AF:$AF, A127)
  ) = 0,
  "-",
  (
    IFERROR(SUMIFS('Acompanhamento quinzenal'!$O:$O, 'Acompanhamento quinzenal'!$N:$N, A127), 0) +
    IFERROR(SUMIFS('Acompanhamento quinzenal'!$U:$U, 'Acompanhamento quinzenal'!$T:$T, A127), 0) +
    IFERROR(SUMIFS('Acompanhamento quinzenal'!$AA:$AA, 'Acompanhamento quinzenal'!$Z:$Z, A127), 0) +
    IFERROR(SUMIFS('Acompanhamento quinzenal'!$AG:$AG, 'Acompanhamento quinzenal'!$AF:$AF, A127), 0)
  ) /
  (
    COUNTIF('Acompanhamento quinzenal'!$N:$N, A127) +
    COUNTIF('Acompanhamento quinzenal'!$T:$T, A127) +
    COUNTIF('Acompanhamento quinzenal'!$Z:$Z, A127) +
    COUNTIF('Acompanhamento quinzenal'!$AF:$AF, A127)
  )
)
</f>
        <v>-</v>
      </c>
      <c r="X127" s="294" t="str">
        <f>IF(
  (
    COUNTIF('Acompanhamento quinzenal'!$N:$N, A127) +
    COUNTIF('Acompanhamento quinzenal'!$T:$T, A127) +
    COUNTIF('Acompanhamento quinzenal'!$Z:$Z, A127) +
    COUNTIF('Acompanhamento quinzenal'!$AF:$AF, A127)
  ) = 0,
  "-",
  (
    IFERROR(SUMIFS('Acompanhamento quinzenal'!$P:$P, 'Acompanhamento quinzenal'!$N:$N, A127), 0) +
    IFERROR(SUMIFS('Acompanhamento quinzenal'!$V:$V, 'Acompanhamento quinzenal'!$T:$T, A127), 0) +
    IFERROR(SUMIFS('Acompanhamento quinzenal'!$AB:$AB, 'Acompanhamento quinzenal'!$Z:$Z, A127), 0) +
    IFERROR(SUMIFS('Acompanhamento quinzenal'!$AH:$AH, 'Acompanhamento quinzenal'!$AF:$AF, A127), 0)
  ) /
  (
    COUNTIF('Acompanhamento quinzenal'!$N:$N, A127) +
    COUNTIF('Acompanhamento quinzenal'!$T:$T, A127) +
    COUNTIF('Acompanhamento quinzenal'!$Z:$Z, A127) +
    COUNTIF('Acompanhamento quinzenal'!$AF:$AF, A127)
  )
)
</f>
        <v>-</v>
      </c>
      <c r="Y127" s="293" t="str">
        <f>IF(
  (
    COUNTIF('Acompanhamento quinzenal'!$N:$N, A127) +
    COUNTIF('Acompanhamento quinzenal'!$T:$T, A127) +
    COUNTIF('Acompanhamento quinzenal'!$Z:$Z, A127) +
    COUNTIF('Acompanhamento quinzenal'!$AF:$AF, A127)
  ) = 0,
  "-",
  (
    IFERROR(SUMIFS('Acompanhamento quinzenal'!$Q:$Q, 'Acompanhamento quinzenal'!$N:$N, A127), 0) +
    IFERROR(SUMIFS('Acompanhamento quinzenal'!$W:$W, 'Acompanhamento quinzenal'!$T:$T, A127), 0) +
    IFERROR(SUMIFS('Acompanhamento quinzenal'!$AC:$AC, 'Acompanhamento quinzenal'!$Z:$Z, A127), 0) +
    IFERROR(SUMIFS('Acompanhamento quinzenal'!$AI:$AI, 'Acompanhamento quinzenal'!$AF:$AF, A127), 0)
  ) /
  (
    COUNTIF('Acompanhamento quinzenal'!$N:$N, A127) +
    COUNTIF('Acompanhamento quinzenal'!$T:$T, A127) +
    COUNTIF('Acompanhamento quinzenal'!$Z:$Z, A127) +
    COUNTIF('Acompanhamento quinzenal'!$AF:$AF, A127)
  )
)
</f>
        <v>-</v>
      </c>
    </row>
    <row r="128" hidden="1">
      <c r="A128" s="291" t="str">
        <f>IFERROR(__xludf.DUMMYFUNCTION("""COMPUTED_VALUE"""),"mariana.watanabe")</f>
        <v>mariana.watanabe</v>
      </c>
      <c r="B128" s="120" t="str">
        <f>IFERROR(__xludf.DUMMYFUNCTION("""COMPUTED_VALUE"""),"Consultor")</f>
        <v>Consultor</v>
      </c>
      <c r="C128" s="120" t="str">
        <f>IFERROR(__xludf.DUMMYFUNCTION("""COMPUTED_VALUE"""),"NTec")</f>
        <v>NTec</v>
      </c>
      <c r="D128" s="292" t="str">
        <f>IFERROR((COUNTIFS(Base!$V:$V,A128,Base!$S:$S,"&gt;8") - COUNTIFS(Base!$V:$V,A128,Base!$S:$S,"&lt;7"))/COUNTIFS(Base!$V:$V,A128,Base!$S:$S,"&lt;&gt;"),"-")</f>
        <v>-</v>
      </c>
      <c r="E128" s="292">
        <f>IF(
  (
    COUNTIFS(Base!$W:$W, A128, Base!$S:$S, "&lt;&gt;") +
    COUNTIFS(Base!$X:$X, A128, Base!$S:$S, "&lt;&gt;") +
    COUNTIFS(Base!$Y:$Y, A128, Base!$S:$S, "&lt;&gt;") +
    COUNTIFS(Base!$Z:$Z, A128, Base!$S:$S, "&lt;&gt;")
  ) = 0,
  "-",
  (
    COUNTIFS(Base!$W:$W, A128, Base!$S:$S, "&gt;8") - COUNTIFS(Base!$W:$W, A128, Base!$S:$S, "&lt;7") +
    COUNTIFS(Base!$X:$X, A128, Base!$S:$S, "&gt;8") - COUNTIFS(Base!$X:$X, A128, Base!$S:$S, "&lt;7") +
    COUNTIFS(Base!$Y:$Y, A128, Base!$S:$S, "&gt;8") - COUNTIFS(Base!$Y:$Y, A128, Base!$S:$S, "&lt;7") +
    COUNTIFS(Base!$Z:$Z, A128, Base!$S:$S, "&gt;8") - COUNTIFS(Base!$Z:$Z, A128, Base!$S:$S, "&lt;7")
  ) /
  (
    COUNTIFS(Base!$W:$W, A128, Base!$S:$S, "&lt;&gt;") +
    COUNTIFS(Base!$X:$X, A128, Base!$S:$S, "&lt;&gt;") +
    COUNTIFS(Base!$Y:$Y, A128, Base!$S:$S, "&lt;&gt;") +
    COUNTIFS(Base!$Z:$Z, A128, Base!$S:$S, "&lt;&gt;")
  )
)
</f>
        <v>0</v>
      </c>
      <c r="F128" s="290">
        <f>SUMIFS(Base!$N:$N,Base!$V:$V,A128,Base!$N:$N,"&lt;&gt;")-SUMIFS(Base!$K:$K,Base!$V:$V,A128,Base!$N:$N,"&lt;&gt;")-(SUMIFS(Base!$L:$L,Base!$V:$V,A128,Base!$N:$N,"&lt;&gt;")*7)</f>
        <v>0</v>
      </c>
      <c r="G128" s="290"/>
      <c r="H128" s="290">
        <f>SUMIFS(Base!$F:$F,Base!$V:$V,A128,Base!$N:$N,"&lt;&gt;")*7</f>
        <v>0</v>
      </c>
      <c r="I128" s="290"/>
      <c r="J128" s="292" t="str">
        <f t="shared" ref="J128:K128" si="129">IFERROR(F128/H128,"-")</f>
        <v>-</v>
      </c>
      <c r="K128" s="292" t="str">
        <f t="shared" si="129"/>
        <v>-</v>
      </c>
      <c r="L128" s="292" t="str">
        <f>IFERROR((COUNTIFS(Base!$V:$V,A128,Base!$U:$U,TRUE))/(COUNTIFS(Base!$V:$V,A128,Base!$O:$O,"Finalizado")+COUNTIFS(Base!$V:$V,A128,Base!$O:$O,"Concluído")),"-")</f>
        <v>-</v>
      </c>
      <c r="M128" s="292">
        <f>IF(
  (
    IFERROR(COUNTIF(Base!$W:$W, A128), 0) +
    IFERROR(COUNTIF(Base!$X:$X, A128), 0) +
    IFERROR(COUNTIF(Base!$Y:$Y, A128), 0) +
    IFERROR(COUNTIF(Base!$Z:$Z, A128), 0)
  ) = 0,
  "-",
  IF(
    (
      IFERROR(COUNTIFS(Base!$W:$W, A128, Base!$O:$O, "Finalizado"), 0) +
      IFERROR(COUNTIFS(Base!$W:$W, A128, Base!$O:$O, "Concluído"), 0) +
      IFERROR(COUNTIFS(Base!$X:$X, A128, Base!$O:$O, "Finalizado"), 0) +
      IFERROR(COUNTIFS(Base!$X:$X, A128, Base!$O:$O, "Concluído"), 0) +
      IFERROR(COUNTIFS(Base!$Y:$Y, A128, Base!$O:$O, "Finalizado"), 0) +
      IFERROR(COUNTIFS(Base!$Y:$Y, A128, Base!$O:$O, "Concluído"), 0) +
      IFERROR(COUNTIFS(Base!$Z:$Z, A128, Base!$O:$O, "Finalizado"), 0) +
      IFERROR(COUNTIFS(Base!$Z:$Z, A128, Base!$O:$O, "Concluído"), 0)
    ) = 0,
    "-",
    (
      IFERROR(COUNTIFS(Base!$W:$W, A128, Base!$U:$U, TRUE), 0) +
      IFERROR(COUNTIFS(Base!$X:$X, A128, Base!$U:$U, TRUE), 0) +
      IFERROR(COUNTIFS(Base!$Y:$Y, A128, Base!$U:$U, TRUE), 0) +
      IFERROR(COUNTIFS(Base!$Z:$Z, A128, Base!$U:$U, TRUE), 0)
    ) /
    (
      IFERROR(COUNTIFS(Base!$W:$W, A128, Base!$O:$O, "Finalizado"), 0) +
      IFERROR(COUNTIFS(Base!$W:$W, A128, Base!$O:$O, "Concluído"), 0) +
      IFERROR(COUNTIFS(Base!$X:$X, A128, Base!$O:$O, "Finalizado"), 0) +
      IFERROR(COUNTIFS(Base!$X:$X, A128, Base!$O:$O, "Concluído"), 0) +
      IFERROR(COUNTIFS(Base!$Y:$Y, A128, Base!$O:$O, "Finalizado"), 0) +
      IFERROR(COUNTIFS(Base!$Y:$Y, A128, Base!$O:$O, "Concluído"), 0) +
      IFERROR(COUNTIFS(Base!$Z:$Z, A128, Base!$O:$O, "Finalizado"), 0) +
      IFERROR(COUNTIFS(Base!$Z:$Z, A128, Base!$O:$O, "Concluído"), 0)
    )
  )
)
</f>
        <v>0</v>
      </c>
      <c r="N128" s="120">
        <f>COUNTIF(Base!V:V,$A128)</f>
        <v>4</v>
      </c>
      <c r="O128" s="120">
        <f>COUNTIF(Base!W:W,$A128)</f>
        <v>0</v>
      </c>
      <c r="P128" s="120">
        <f>COUNTIF(Base!X:X,$A128)</f>
        <v>0</v>
      </c>
      <c r="Q128" s="120">
        <f>COUNTIF(Base!Y:Y,$A128)</f>
        <v>1</v>
      </c>
      <c r="R128" s="120">
        <f>COUNTIF(Base!Z:Z,$A128)</f>
        <v>0</v>
      </c>
      <c r="S128" s="120">
        <f t="shared" si="3"/>
        <v>5</v>
      </c>
      <c r="T128" s="120">
        <f t="shared" si="4"/>
        <v>1</v>
      </c>
      <c r="V128" s="293" t="str">
        <f>IF(
  (
    COUNTIF('Acompanhamento quinzenal'!$N:$N, A128) +
    COUNTIF('Acompanhamento quinzenal'!$T:$T, A128) +
    COUNTIF('Acompanhamento quinzenal'!$Z:$Z, A128) +
    COUNTIF('Acompanhamento quinzenal'!$AF:$AF, A128)
  ) = 0,
  "-",
  (
    IFERROR(SUMIFS('Acompanhamento quinzenal'!$S:$S, 'Acompanhamento quinzenal'!$N:$N, A128), 0) +
    IFERROR(SUMIFS('Acompanhamento quinzenal'!$Y:$Y, 'Acompanhamento quinzenal'!$T:$T, A128), 0) +
    IFERROR(SUMIFS('Acompanhamento quinzenal'!$AE:$AE, 'Acompanhamento quinzenal'!$Z:$Z, A128), 0) +
    IFERROR(SUMIFS('Acompanhamento quinzenal'!$AK:$AK, 'Acompanhamento quinzenal'!$AF:$AF, A128), 0)
  ) /
  (
    COUNTIF('Acompanhamento quinzenal'!$N:$N, A128) +
    COUNTIF('Acompanhamento quinzenal'!$T:$T, A128) +
    COUNTIF('Acompanhamento quinzenal'!$Z:$Z, A128) +
    COUNTIF('Acompanhamento quinzenal'!$AF:$AF, A128)
  )
)
</f>
        <v>-</v>
      </c>
      <c r="W128" s="293" t="str">
        <f>IF(
  (
    COUNTIF('Acompanhamento quinzenal'!$N:$N, A128) +
    COUNTIF('Acompanhamento quinzenal'!$T:$T, A128) +
    COUNTIF('Acompanhamento quinzenal'!$Z:$Z, A128) +
    COUNTIF('Acompanhamento quinzenal'!$AF:$AF, A128)
  ) = 0,
  "-",
  (
    IFERROR(SUMIFS('Acompanhamento quinzenal'!$O:$O, 'Acompanhamento quinzenal'!$N:$N, A128), 0) +
    IFERROR(SUMIFS('Acompanhamento quinzenal'!$U:$U, 'Acompanhamento quinzenal'!$T:$T, A128), 0) +
    IFERROR(SUMIFS('Acompanhamento quinzenal'!$AA:$AA, 'Acompanhamento quinzenal'!$Z:$Z, A128), 0) +
    IFERROR(SUMIFS('Acompanhamento quinzenal'!$AG:$AG, 'Acompanhamento quinzenal'!$AF:$AF, A128), 0)
  ) /
  (
    COUNTIF('Acompanhamento quinzenal'!$N:$N, A128) +
    COUNTIF('Acompanhamento quinzenal'!$T:$T, A128) +
    COUNTIF('Acompanhamento quinzenal'!$Z:$Z, A128) +
    COUNTIF('Acompanhamento quinzenal'!$AF:$AF, A128)
  )
)
</f>
        <v>-</v>
      </c>
      <c r="X128" s="294" t="str">
        <f>IF(
  (
    COUNTIF('Acompanhamento quinzenal'!$N:$N, A128) +
    COUNTIF('Acompanhamento quinzenal'!$T:$T, A128) +
    COUNTIF('Acompanhamento quinzenal'!$Z:$Z, A128) +
    COUNTIF('Acompanhamento quinzenal'!$AF:$AF, A128)
  ) = 0,
  "-",
  (
    IFERROR(SUMIFS('Acompanhamento quinzenal'!$P:$P, 'Acompanhamento quinzenal'!$N:$N, A128), 0) +
    IFERROR(SUMIFS('Acompanhamento quinzenal'!$V:$V, 'Acompanhamento quinzenal'!$T:$T, A128), 0) +
    IFERROR(SUMIFS('Acompanhamento quinzenal'!$AB:$AB, 'Acompanhamento quinzenal'!$Z:$Z, A128), 0) +
    IFERROR(SUMIFS('Acompanhamento quinzenal'!$AH:$AH, 'Acompanhamento quinzenal'!$AF:$AF, A128), 0)
  ) /
  (
    COUNTIF('Acompanhamento quinzenal'!$N:$N, A128) +
    COUNTIF('Acompanhamento quinzenal'!$T:$T, A128) +
    COUNTIF('Acompanhamento quinzenal'!$Z:$Z, A128) +
    COUNTIF('Acompanhamento quinzenal'!$AF:$AF, A128)
  )
)
</f>
        <v>-</v>
      </c>
      <c r="Y128" s="293" t="str">
        <f>IF(
  (
    COUNTIF('Acompanhamento quinzenal'!$N:$N, A128) +
    COUNTIF('Acompanhamento quinzenal'!$T:$T, A128) +
    COUNTIF('Acompanhamento quinzenal'!$Z:$Z, A128) +
    COUNTIF('Acompanhamento quinzenal'!$AF:$AF, A128)
  ) = 0,
  "-",
  (
    IFERROR(SUMIFS('Acompanhamento quinzenal'!$Q:$Q, 'Acompanhamento quinzenal'!$N:$N, A128), 0) +
    IFERROR(SUMIFS('Acompanhamento quinzenal'!$W:$W, 'Acompanhamento quinzenal'!$T:$T, A128), 0) +
    IFERROR(SUMIFS('Acompanhamento quinzenal'!$AC:$AC, 'Acompanhamento quinzenal'!$Z:$Z, A128), 0) +
    IFERROR(SUMIFS('Acompanhamento quinzenal'!$AI:$AI, 'Acompanhamento quinzenal'!$AF:$AF, A128), 0)
  ) /
  (
    COUNTIF('Acompanhamento quinzenal'!$N:$N, A128) +
    COUNTIF('Acompanhamento quinzenal'!$T:$T, A128) +
    COUNTIF('Acompanhamento quinzenal'!$Z:$Z, A128) +
    COUNTIF('Acompanhamento quinzenal'!$AF:$AF, A128)
  )
)
</f>
        <v>-</v>
      </c>
    </row>
    <row r="129" hidden="1">
      <c r="A129" s="291" t="str">
        <f>IFERROR(__xludf.DUMMYFUNCTION("""COMPUTED_VALUE"""),"mariana.tsuzuki")</f>
        <v>mariana.tsuzuki</v>
      </c>
      <c r="B129" s="120" t="str">
        <f>IFERROR(__xludf.DUMMYFUNCTION("""COMPUTED_VALUE"""),"Trainee")</f>
        <v>Trainee</v>
      </c>
      <c r="C129" s="120" t="str">
        <f>IFERROR(__xludf.DUMMYFUNCTION("""COMPUTED_VALUE"""),"NCiv")</f>
        <v>NCiv</v>
      </c>
      <c r="D129" s="292" t="str">
        <f>IFERROR((COUNTIFS(Base!$V:$V,A129,Base!$S:$S,"&gt;8") - COUNTIFS(Base!$V:$V,A129,Base!$S:$S,"&lt;7"))/COUNTIFS(Base!$V:$V,A129,Base!$S:$S,"&lt;&gt;"),"-")</f>
        <v>-</v>
      </c>
      <c r="E129" s="292" t="str">
        <f>IF(
  (
    COUNTIFS(Base!$W:$W, A129, Base!$S:$S, "&lt;&gt;") +
    COUNTIFS(Base!$X:$X, A129, Base!$S:$S, "&lt;&gt;") +
    COUNTIFS(Base!$Y:$Y, A129, Base!$S:$S, "&lt;&gt;") +
    COUNTIFS(Base!$Z:$Z, A129, Base!$S:$S, "&lt;&gt;")
  ) = 0,
  "-",
  (
    COUNTIFS(Base!$W:$W, A129, Base!$S:$S, "&gt;8") - COUNTIFS(Base!$W:$W, A129, Base!$S:$S, "&lt;7") +
    COUNTIFS(Base!$X:$X, A129, Base!$S:$S, "&gt;8") - COUNTIFS(Base!$X:$X, A129, Base!$S:$S, "&lt;7") +
    COUNTIFS(Base!$Y:$Y, A129, Base!$S:$S, "&gt;8") - COUNTIFS(Base!$Y:$Y, A129, Base!$S:$S, "&lt;7") +
    COUNTIFS(Base!$Z:$Z, A129, Base!$S:$S, "&gt;8") - COUNTIFS(Base!$Z:$Z, A129, Base!$S:$S, "&lt;7")
  ) /
  (
    COUNTIFS(Base!$W:$W, A129, Base!$S:$S, "&lt;&gt;") +
    COUNTIFS(Base!$X:$X, A129, Base!$S:$S, "&lt;&gt;") +
    COUNTIFS(Base!$Y:$Y, A129, Base!$S:$S, "&lt;&gt;") +
    COUNTIFS(Base!$Z:$Z, A129, Base!$S:$S, "&lt;&gt;")
  )
)
</f>
        <v>-</v>
      </c>
      <c r="F129" s="290">
        <f>SUMIFS(Base!$N:$N,Base!$V:$V,A129,Base!$N:$N,"&lt;&gt;")-SUMIFS(Base!$K:$K,Base!$V:$V,A129,Base!$N:$N,"&lt;&gt;")-(SUMIFS(Base!$L:$L,Base!$V:$V,A129,Base!$N:$N,"&lt;&gt;")*7)</f>
        <v>0</v>
      </c>
      <c r="G129" s="290"/>
      <c r="H129" s="290">
        <f>SUMIFS(Base!$F:$F,Base!$V:$V,A129,Base!$N:$N,"&lt;&gt;")*7</f>
        <v>0</v>
      </c>
      <c r="I129" s="290"/>
      <c r="J129" s="292" t="str">
        <f t="shared" ref="J129:K129" si="130">IFERROR(F129/H129,"-")</f>
        <v>-</v>
      </c>
      <c r="K129" s="292" t="str">
        <f t="shared" si="130"/>
        <v>-</v>
      </c>
      <c r="L129" s="292" t="str">
        <f>IFERROR((COUNTIFS(Base!$V:$V,A129,Base!$U:$U,TRUE))/(COUNTIFS(Base!$V:$V,A129,Base!$O:$O,"Finalizado")+COUNTIFS(Base!$V:$V,A129,Base!$O:$O,"Concluído")),"-")</f>
        <v>-</v>
      </c>
      <c r="M129" s="292" t="str">
        <f>IF(
  (
    IFERROR(COUNTIF(Base!$W:$W, A129), 0) +
    IFERROR(COUNTIF(Base!$X:$X, A129), 0) +
    IFERROR(COUNTIF(Base!$Y:$Y, A129), 0) +
    IFERROR(COUNTIF(Base!$Z:$Z, A129), 0)
  ) = 0,
  "-",
  IF(
    (
      IFERROR(COUNTIFS(Base!$W:$W, A129, Base!$O:$O, "Finalizado"), 0) +
      IFERROR(COUNTIFS(Base!$W:$W, A129, Base!$O:$O, "Concluído"), 0) +
      IFERROR(COUNTIFS(Base!$X:$X, A129, Base!$O:$O, "Finalizado"), 0) +
      IFERROR(COUNTIFS(Base!$X:$X, A129, Base!$O:$O, "Concluído"), 0) +
      IFERROR(COUNTIFS(Base!$Y:$Y, A129, Base!$O:$O, "Finalizado"), 0) +
      IFERROR(COUNTIFS(Base!$Y:$Y, A129, Base!$O:$O, "Concluído"), 0) +
      IFERROR(COUNTIFS(Base!$Z:$Z, A129, Base!$O:$O, "Finalizado"), 0) +
      IFERROR(COUNTIFS(Base!$Z:$Z, A129, Base!$O:$O, "Concluído"), 0)
    ) = 0,
    "-",
    (
      IFERROR(COUNTIFS(Base!$W:$W, A129, Base!$U:$U, TRUE), 0) +
      IFERROR(COUNTIFS(Base!$X:$X, A129, Base!$U:$U, TRUE), 0) +
      IFERROR(COUNTIFS(Base!$Y:$Y, A129, Base!$U:$U, TRUE), 0) +
      IFERROR(COUNTIFS(Base!$Z:$Z, A129, Base!$U:$U, TRUE), 0)
    ) /
    (
      IFERROR(COUNTIFS(Base!$W:$W, A129, Base!$O:$O, "Finalizado"), 0) +
      IFERROR(COUNTIFS(Base!$W:$W, A129, Base!$O:$O, "Concluído"), 0) +
      IFERROR(COUNTIFS(Base!$X:$X, A129, Base!$O:$O, "Finalizado"), 0) +
      IFERROR(COUNTIFS(Base!$X:$X, A129, Base!$O:$O, "Concluído"), 0) +
      IFERROR(COUNTIFS(Base!$Y:$Y, A129, Base!$O:$O, "Finalizado"), 0) +
      IFERROR(COUNTIFS(Base!$Y:$Y, A129, Base!$O:$O, "Concluído"), 0) +
      IFERROR(COUNTIFS(Base!$Z:$Z, A129, Base!$O:$O, "Finalizado"), 0) +
      IFERROR(COUNTIFS(Base!$Z:$Z, A129, Base!$O:$O, "Concluído"), 0)
    )
  )
)
</f>
        <v>-</v>
      </c>
      <c r="N129" s="120">
        <f>COUNTIF(Base!V:V,$A129)</f>
        <v>0</v>
      </c>
      <c r="O129" s="120">
        <f>COUNTIF(Base!W:W,$A129)</f>
        <v>0</v>
      </c>
      <c r="P129" s="120">
        <f>COUNTIF(Base!X:X,$A129)</f>
        <v>0</v>
      </c>
      <c r="Q129" s="120">
        <f>COUNTIF(Base!Y:Y,$A129)</f>
        <v>0</v>
      </c>
      <c r="R129" s="120">
        <f>COUNTIF(Base!Z:Z,$A129)</f>
        <v>0</v>
      </c>
      <c r="S129" s="120">
        <f t="shared" si="3"/>
        <v>0</v>
      </c>
      <c r="T129" s="120">
        <f t="shared" si="4"/>
        <v>0</v>
      </c>
      <c r="V129" s="293" t="str">
        <f>IF(
  (
    COUNTIF('Acompanhamento quinzenal'!$N:$N, A129) +
    COUNTIF('Acompanhamento quinzenal'!$T:$T, A129) +
    COUNTIF('Acompanhamento quinzenal'!$Z:$Z, A129) +
    COUNTIF('Acompanhamento quinzenal'!$AF:$AF, A129)
  ) = 0,
  "-",
  (
    IFERROR(SUMIFS('Acompanhamento quinzenal'!$S:$S, 'Acompanhamento quinzenal'!$N:$N, A129), 0) +
    IFERROR(SUMIFS('Acompanhamento quinzenal'!$Y:$Y, 'Acompanhamento quinzenal'!$T:$T, A129), 0) +
    IFERROR(SUMIFS('Acompanhamento quinzenal'!$AE:$AE, 'Acompanhamento quinzenal'!$Z:$Z, A129), 0) +
    IFERROR(SUMIFS('Acompanhamento quinzenal'!$AK:$AK, 'Acompanhamento quinzenal'!$AF:$AF, A129), 0)
  ) /
  (
    COUNTIF('Acompanhamento quinzenal'!$N:$N, A129) +
    COUNTIF('Acompanhamento quinzenal'!$T:$T, A129) +
    COUNTIF('Acompanhamento quinzenal'!$Z:$Z, A129) +
    COUNTIF('Acompanhamento quinzenal'!$AF:$AF, A129)
  )
)
</f>
        <v>-</v>
      </c>
      <c r="W129" s="293" t="str">
        <f>IF(
  (
    COUNTIF('Acompanhamento quinzenal'!$N:$N, A129) +
    COUNTIF('Acompanhamento quinzenal'!$T:$T, A129) +
    COUNTIF('Acompanhamento quinzenal'!$Z:$Z, A129) +
    COUNTIF('Acompanhamento quinzenal'!$AF:$AF, A129)
  ) = 0,
  "-",
  (
    IFERROR(SUMIFS('Acompanhamento quinzenal'!$O:$O, 'Acompanhamento quinzenal'!$N:$N, A129), 0) +
    IFERROR(SUMIFS('Acompanhamento quinzenal'!$U:$U, 'Acompanhamento quinzenal'!$T:$T, A129), 0) +
    IFERROR(SUMIFS('Acompanhamento quinzenal'!$AA:$AA, 'Acompanhamento quinzenal'!$Z:$Z, A129), 0) +
    IFERROR(SUMIFS('Acompanhamento quinzenal'!$AG:$AG, 'Acompanhamento quinzenal'!$AF:$AF, A129), 0)
  ) /
  (
    COUNTIF('Acompanhamento quinzenal'!$N:$N, A129) +
    COUNTIF('Acompanhamento quinzenal'!$T:$T, A129) +
    COUNTIF('Acompanhamento quinzenal'!$Z:$Z, A129) +
    COUNTIF('Acompanhamento quinzenal'!$AF:$AF, A129)
  )
)
</f>
        <v>-</v>
      </c>
      <c r="X129" s="294" t="str">
        <f>IF(
  (
    COUNTIF('Acompanhamento quinzenal'!$N:$N, A129) +
    COUNTIF('Acompanhamento quinzenal'!$T:$T, A129) +
    COUNTIF('Acompanhamento quinzenal'!$Z:$Z, A129) +
    COUNTIF('Acompanhamento quinzenal'!$AF:$AF, A129)
  ) = 0,
  "-",
  (
    IFERROR(SUMIFS('Acompanhamento quinzenal'!$P:$P, 'Acompanhamento quinzenal'!$N:$N, A129), 0) +
    IFERROR(SUMIFS('Acompanhamento quinzenal'!$V:$V, 'Acompanhamento quinzenal'!$T:$T, A129), 0) +
    IFERROR(SUMIFS('Acompanhamento quinzenal'!$AB:$AB, 'Acompanhamento quinzenal'!$Z:$Z, A129), 0) +
    IFERROR(SUMIFS('Acompanhamento quinzenal'!$AH:$AH, 'Acompanhamento quinzenal'!$AF:$AF, A129), 0)
  ) /
  (
    COUNTIF('Acompanhamento quinzenal'!$N:$N, A129) +
    COUNTIF('Acompanhamento quinzenal'!$T:$T, A129) +
    COUNTIF('Acompanhamento quinzenal'!$Z:$Z, A129) +
    COUNTIF('Acompanhamento quinzenal'!$AF:$AF, A129)
  )
)
</f>
        <v>-</v>
      </c>
      <c r="Y129" s="293" t="str">
        <f>IF(
  (
    COUNTIF('Acompanhamento quinzenal'!$N:$N, A129) +
    COUNTIF('Acompanhamento quinzenal'!$T:$T, A129) +
    COUNTIF('Acompanhamento quinzenal'!$Z:$Z, A129) +
    COUNTIF('Acompanhamento quinzenal'!$AF:$AF, A129)
  ) = 0,
  "-",
  (
    IFERROR(SUMIFS('Acompanhamento quinzenal'!$Q:$Q, 'Acompanhamento quinzenal'!$N:$N, A129), 0) +
    IFERROR(SUMIFS('Acompanhamento quinzenal'!$W:$W, 'Acompanhamento quinzenal'!$T:$T, A129), 0) +
    IFERROR(SUMIFS('Acompanhamento quinzenal'!$AC:$AC, 'Acompanhamento quinzenal'!$Z:$Z, A129), 0) +
    IFERROR(SUMIFS('Acompanhamento quinzenal'!$AI:$AI, 'Acompanhamento quinzenal'!$AF:$AF, A129), 0)
  ) /
  (
    COUNTIF('Acompanhamento quinzenal'!$N:$N, A129) +
    COUNTIF('Acompanhamento quinzenal'!$T:$T, A129) +
    COUNTIF('Acompanhamento quinzenal'!$Z:$Z, A129) +
    COUNTIF('Acompanhamento quinzenal'!$AF:$AF, A129)
  )
)
</f>
        <v>-</v>
      </c>
    </row>
    <row r="130" hidden="1">
      <c r="A130" s="291" t="str">
        <f>IFERROR(__xludf.DUMMYFUNCTION("""COMPUTED_VALUE"""),"mateus.dessimoni")</f>
        <v>mateus.dessimoni</v>
      </c>
      <c r="B130" s="120" t="str">
        <f>IFERROR(__xludf.DUMMYFUNCTION("""COMPUTED_VALUE"""),"Consultor")</f>
        <v>Consultor</v>
      </c>
      <c r="C130" s="120" t="str">
        <f>IFERROR(__xludf.DUMMYFUNCTION("""COMPUTED_VALUE"""),"NCon")</f>
        <v>NCon</v>
      </c>
      <c r="D130" s="292" t="str">
        <f>IFERROR((COUNTIFS(Base!$V:$V,A130,Base!$S:$S,"&gt;8") - COUNTIFS(Base!$V:$V,A130,Base!$S:$S,"&lt;7"))/COUNTIFS(Base!$V:$V,A130,Base!$S:$S,"&lt;&gt;"),"-")</f>
        <v>-</v>
      </c>
      <c r="E130" s="292">
        <f>IF(
  (
    COUNTIFS(Base!$W:$W, A130, Base!$S:$S, "&lt;&gt;") +
    COUNTIFS(Base!$X:$X, A130, Base!$S:$S, "&lt;&gt;") +
    COUNTIFS(Base!$Y:$Y, A130, Base!$S:$S, "&lt;&gt;") +
    COUNTIFS(Base!$Z:$Z, A130, Base!$S:$S, "&lt;&gt;")
  ) = 0,
  "-",
  (
    COUNTIFS(Base!$W:$W, A130, Base!$S:$S, "&gt;8") - COUNTIFS(Base!$W:$W, A130, Base!$S:$S, "&lt;7") +
    COUNTIFS(Base!$X:$X, A130, Base!$S:$S, "&gt;8") - COUNTIFS(Base!$X:$X, A130, Base!$S:$S, "&lt;7") +
    COUNTIFS(Base!$Y:$Y, A130, Base!$S:$S, "&gt;8") - COUNTIFS(Base!$Y:$Y, A130, Base!$S:$S, "&lt;7") +
    COUNTIFS(Base!$Z:$Z, A130, Base!$S:$S, "&gt;8") - COUNTIFS(Base!$Z:$Z, A130, Base!$S:$S, "&lt;7")
  ) /
  (
    COUNTIFS(Base!$W:$W, A130, Base!$S:$S, "&lt;&gt;") +
    COUNTIFS(Base!$X:$X, A130, Base!$S:$S, "&lt;&gt;") +
    COUNTIFS(Base!$Y:$Y, A130, Base!$S:$S, "&lt;&gt;") +
    COUNTIFS(Base!$Z:$Z, A130, Base!$S:$S, "&lt;&gt;")
  )
)
</f>
        <v>0.6666666667</v>
      </c>
      <c r="F130" s="290">
        <f>SUMIFS(Base!$N:$N,Base!$V:$V,A130,Base!$N:$N,"&lt;&gt;")-SUMIFS(Base!$K:$K,Base!$V:$V,A130,Base!$N:$N,"&lt;&gt;")-(SUMIFS(Base!$L:$L,Base!$V:$V,A130,Base!$N:$N,"&lt;&gt;")*7)</f>
        <v>0</v>
      </c>
      <c r="G130" s="290"/>
      <c r="H130" s="290">
        <f>SUMIFS(Base!$F:$F,Base!$V:$V,A130,Base!$N:$N,"&lt;&gt;")*7</f>
        <v>0</v>
      </c>
      <c r="I130" s="290"/>
      <c r="J130" s="292" t="str">
        <f t="shared" ref="J130:K130" si="131">IFERROR(F130/H130,"-")</f>
        <v>-</v>
      </c>
      <c r="K130" s="292" t="str">
        <f t="shared" si="131"/>
        <v>-</v>
      </c>
      <c r="L130" s="292" t="str">
        <f>IFERROR((COUNTIFS(Base!$V:$V,A130,Base!$U:$U,TRUE))/(COUNTIFS(Base!$V:$V,A130,Base!$O:$O,"Finalizado")+COUNTIFS(Base!$V:$V,A130,Base!$O:$O,"Concluído")),"-")</f>
        <v>-</v>
      </c>
      <c r="M130" s="292">
        <f>IF(
  (
    IFERROR(COUNTIF(Base!$W:$W, A130), 0) +
    IFERROR(COUNTIF(Base!$X:$X, A130), 0) +
    IFERROR(COUNTIF(Base!$Y:$Y, A130), 0) +
    IFERROR(COUNTIF(Base!$Z:$Z, A130), 0)
  ) = 0,
  "-",
  IF(
    (
      IFERROR(COUNTIFS(Base!$W:$W, A130, Base!$O:$O, "Finalizado"), 0) +
      IFERROR(COUNTIFS(Base!$W:$W, A130, Base!$O:$O, "Concluído"), 0) +
      IFERROR(COUNTIFS(Base!$X:$X, A130, Base!$O:$O, "Finalizado"), 0) +
      IFERROR(COUNTIFS(Base!$X:$X, A130, Base!$O:$O, "Concluído"), 0) +
      IFERROR(COUNTIFS(Base!$Y:$Y, A130, Base!$O:$O, "Finalizado"), 0) +
      IFERROR(COUNTIFS(Base!$Y:$Y, A130, Base!$O:$O, "Concluído"), 0) +
      IFERROR(COUNTIFS(Base!$Z:$Z, A130, Base!$O:$O, "Finalizado"), 0) +
      IFERROR(COUNTIFS(Base!$Z:$Z, A130, Base!$O:$O, "Concluído"), 0)
    ) = 0,
    "-",
    (
      IFERROR(COUNTIFS(Base!$W:$W, A130, Base!$U:$U, TRUE), 0) +
      IFERROR(COUNTIFS(Base!$X:$X, A130, Base!$U:$U, TRUE), 0) +
      IFERROR(COUNTIFS(Base!$Y:$Y, A130, Base!$U:$U, TRUE), 0) +
      IFERROR(COUNTIFS(Base!$Z:$Z, A130, Base!$U:$U, TRUE), 0)
    ) /
    (
      IFERROR(COUNTIFS(Base!$W:$W, A130, Base!$O:$O, "Finalizado"), 0) +
      IFERROR(COUNTIFS(Base!$W:$W, A130, Base!$O:$O, "Concluído"), 0) +
      IFERROR(COUNTIFS(Base!$X:$X, A130, Base!$O:$O, "Finalizado"), 0) +
      IFERROR(COUNTIFS(Base!$X:$X, A130, Base!$O:$O, "Concluído"), 0) +
      IFERROR(COUNTIFS(Base!$Y:$Y, A130, Base!$O:$O, "Finalizado"), 0) +
      IFERROR(COUNTIFS(Base!$Y:$Y, A130, Base!$O:$O, "Concluído"), 0) +
      IFERROR(COUNTIFS(Base!$Z:$Z, A130, Base!$O:$O, "Finalizado"), 0) +
      IFERROR(COUNTIFS(Base!$Z:$Z, A130, Base!$O:$O, "Concluído"), 0)
    )
  )
)
</f>
        <v>0.25</v>
      </c>
      <c r="N130" s="120">
        <f>COUNTIF(Base!V:V,$A130)</f>
        <v>0</v>
      </c>
      <c r="O130" s="120">
        <f>COUNTIF(Base!W:W,$A130)</f>
        <v>5</v>
      </c>
      <c r="P130" s="120">
        <f>COUNTIF(Base!X:X,$A130)</f>
        <v>2</v>
      </c>
      <c r="Q130" s="120">
        <f>COUNTIF(Base!Y:Y,$A130)</f>
        <v>0</v>
      </c>
      <c r="R130" s="120">
        <f>COUNTIF(Base!Z:Z,$A130)</f>
        <v>0</v>
      </c>
      <c r="S130" s="120">
        <f t="shared" si="3"/>
        <v>7</v>
      </c>
      <c r="T130" s="120">
        <f t="shared" si="4"/>
        <v>7</v>
      </c>
      <c r="V130" s="293">
        <f>IF(
  (
    COUNTIF('Acompanhamento quinzenal'!$N:$N, A130) +
    COUNTIF('Acompanhamento quinzenal'!$T:$T, A130) +
    COUNTIF('Acompanhamento quinzenal'!$Z:$Z, A130) +
    COUNTIF('Acompanhamento quinzenal'!$AF:$AF, A130)
  ) = 0,
  "-",
  (
    IFERROR(SUMIFS('Acompanhamento quinzenal'!$S:$S, 'Acompanhamento quinzenal'!$N:$N, A130), 0) +
    IFERROR(SUMIFS('Acompanhamento quinzenal'!$Y:$Y, 'Acompanhamento quinzenal'!$T:$T, A130), 0) +
    IFERROR(SUMIFS('Acompanhamento quinzenal'!$AE:$AE, 'Acompanhamento quinzenal'!$Z:$Z, A130), 0) +
    IFERROR(SUMIFS('Acompanhamento quinzenal'!$AK:$AK, 'Acompanhamento quinzenal'!$AF:$AF, A130), 0)
  ) /
  (
    COUNTIF('Acompanhamento quinzenal'!$N:$N, A130) +
    COUNTIF('Acompanhamento quinzenal'!$T:$T, A130) +
    COUNTIF('Acompanhamento quinzenal'!$Z:$Z, A130) +
    COUNTIF('Acompanhamento quinzenal'!$AF:$AF, A130)
  )
)
</f>
        <v>2.933333333</v>
      </c>
      <c r="W130" s="293">
        <f>IF(
  (
    COUNTIF('Acompanhamento quinzenal'!$N:$N, A130) +
    COUNTIF('Acompanhamento quinzenal'!$T:$T, A130) +
    COUNTIF('Acompanhamento quinzenal'!$Z:$Z, A130) +
    COUNTIF('Acompanhamento quinzenal'!$AF:$AF, A130)
  ) = 0,
  "-",
  (
    IFERROR(SUMIFS('Acompanhamento quinzenal'!$O:$O, 'Acompanhamento quinzenal'!$N:$N, A130), 0) +
    IFERROR(SUMIFS('Acompanhamento quinzenal'!$U:$U, 'Acompanhamento quinzenal'!$T:$T, A130), 0) +
    IFERROR(SUMIFS('Acompanhamento quinzenal'!$AA:$AA, 'Acompanhamento quinzenal'!$Z:$Z, A130), 0) +
    IFERROR(SUMIFS('Acompanhamento quinzenal'!$AG:$AG, 'Acompanhamento quinzenal'!$AF:$AF, A130), 0)
  ) /
  (
    COUNTIF('Acompanhamento quinzenal'!$N:$N, A130) +
    COUNTIF('Acompanhamento quinzenal'!$T:$T, A130) +
    COUNTIF('Acompanhamento quinzenal'!$Z:$Z, A130) +
    COUNTIF('Acompanhamento quinzenal'!$AF:$AF, A130)
  )
)
</f>
        <v>2.8</v>
      </c>
      <c r="X130" s="294">
        <f>IF(
  (
    COUNTIF('Acompanhamento quinzenal'!$N:$N, A130) +
    COUNTIF('Acompanhamento quinzenal'!$T:$T, A130) +
    COUNTIF('Acompanhamento quinzenal'!$Z:$Z, A130) +
    COUNTIF('Acompanhamento quinzenal'!$AF:$AF, A130)
  ) = 0,
  "-",
  (
    IFERROR(SUMIFS('Acompanhamento quinzenal'!$P:$P, 'Acompanhamento quinzenal'!$N:$N, A130), 0) +
    IFERROR(SUMIFS('Acompanhamento quinzenal'!$V:$V, 'Acompanhamento quinzenal'!$T:$T, A130), 0) +
    IFERROR(SUMIFS('Acompanhamento quinzenal'!$AB:$AB, 'Acompanhamento quinzenal'!$Z:$Z, A130), 0) +
    IFERROR(SUMIFS('Acompanhamento quinzenal'!$AH:$AH, 'Acompanhamento quinzenal'!$AF:$AF, A130), 0)
  ) /
  (
    COUNTIF('Acompanhamento quinzenal'!$N:$N, A130) +
    COUNTIF('Acompanhamento quinzenal'!$T:$T, A130) +
    COUNTIF('Acompanhamento quinzenal'!$Z:$Z, A130) +
    COUNTIF('Acompanhamento quinzenal'!$AF:$AF, A130)
  )
)
</f>
        <v>3.2</v>
      </c>
      <c r="Y130" s="293">
        <f>IF(
  (
    COUNTIF('Acompanhamento quinzenal'!$N:$N, A130) +
    COUNTIF('Acompanhamento quinzenal'!$T:$T, A130) +
    COUNTIF('Acompanhamento quinzenal'!$Z:$Z, A130) +
    COUNTIF('Acompanhamento quinzenal'!$AF:$AF, A130)
  ) = 0,
  "-",
  (
    IFERROR(SUMIFS('Acompanhamento quinzenal'!$Q:$Q, 'Acompanhamento quinzenal'!$N:$N, A130), 0) +
    IFERROR(SUMIFS('Acompanhamento quinzenal'!$W:$W, 'Acompanhamento quinzenal'!$T:$T, A130), 0) +
    IFERROR(SUMIFS('Acompanhamento quinzenal'!$AC:$AC, 'Acompanhamento quinzenal'!$Z:$Z, A130), 0) +
    IFERROR(SUMIFS('Acompanhamento quinzenal'!$AI:$AI, 'Acompanhamento quinzenal'!$AF:$AF, A130), 0)
  ) /
  (
    COUNTIF('Acompanhamento quinzenal'!$N:$N, A130) +
    COUNTIF('Acompanhamento quinzenal'!$T:$T, A130) +
    COUNTIF('Acompanhamento quinzenal'!$Z:$Z, A130) +
    COUNTIF('Acompanhamento quinzenal'!$AF:$AF, A130)
  )
)
</f>
        <v>2.8</v>
      </c>
    </row>
    <row r="131" hidden="1">
      <c r="A131" s="291" t="str">
        <f>IFERROR(__xludf.DUMMYFUNCTION("""COMPUTED_VALUE"""),"mateus.ramiro")</f>
        <v>mateus.ramiro</v>
      </c>
      <c r="B131" s="120" t="str">
        <f>IFERROR(__xludf.DUMMYFUNCTION("""COMPUTED_VALUE"""),"Trainee")</f>
        <v>Trainee</v>
      </c>
      <c r="C131" s="120" t="str">
        <f>IFERROR(__xludf.DUMMYFUNCTION("""COMPUTED_VALUE"""),"NCon")</f>
        <v>NCon</v>
      </c>
      <c r="D131" s="292" t="str">
        <f>IFERROR((COUNTIFS(Base!$V:$V,A131,Base!$S:$S,"&gt;8") - COUNTIFS(Base!$V:$V,A131,Base!$S:$S,"&lt;7"))/COUNTIFS(Base!$V:$V,A131,Base!$S:$S,"&lt;&gt;"),"-")</f>
        <v>-</v>
      </c>
      <c r="E131" s="292" t="str">
        <f>IF(
  (
    COUNTIFS(Base!$W:$W, A131, Base!$S:$S, "&lt;&gt;") +
    COUNTIFS(Base!$X:$X, A131, Base!$S:$S, "&lt;&gt;") +
    COUNTIFS(Base!$Y:$Y, A131, Base!$S:$S, "&lt;&gt;") +
    COUNTIFS(Base!$Z:$Z, A131, Base!$S:$S, "&lt;&gt;")
  ) = 0,
  "-",
  (
    COUNTIFS(Base!$W:$W, A131, Base!$S:$S, "&gt;8") - COUNTIFS(Base!$W:$W, A131, Base!$S:$S, "&lt;7") +
    COUNTIFS(Base!$X:$X, A131, Base!$S:$S, "&gt;8") - COUNTIFS(Base!$X:$X, A131, Base!$S:$S, "&lt;7") +
    COUNTIFS(Base!$Y:$Y, A131, Base!$S:$S, "&gt;8") - COUNTIFS(Base!$Y:$Y, A131, Base!$S:$S, "&lt;7") +
    COUNTIFS(Base!$Z:$Z, A131, Base!$S:$S, "&gt;8") - COUNTIFS(Base!$Z:$Z, A131, Base!$S:$S, "&lt;7")
  ) /
  (
    COUNTIFS(Base!$W:$W, A131, Base!$S:$S, "&lt;&gt;") +
    COUNTIFS(Base!$X:$X, A131, Base!$S:$S, "&lt;&gt;") +
    COUNTIFS(Base!$Y:$Y, A131, Base!$S:$S, "&lt;&gt;") +
    COUNTIFS(Base!$Z:$Z, A131, Base!$S:$S, "&lt;&gt;")
  )
)
</f>
        <v>-</v>
      </c>
      <c r="F131" s="290">
        <f>SUMIFS(Base!$N:$N,Base!$V:$V,A131,Base!$N:$N,"&lt;&gt;")-SUMIFS(Base!$K:$K,Base!$V:$V,A131,Base!$N:$N,"&lt;&gt;")-(SUMIFS(Base!$L:$L,Base!$V:$V,A131,Base!$N:$N,"&lt;&gt;")*7)</f>
        <v>0</v>
      </c>
      <c r="G131" s="290"/>
      <c r="H131" s="290">
        <f>SUMIFS(Base!$F:$F,Base!$V:$V,A131,Base!$N:$N,"&lt;&gt;")*7</f>
        <v>0</v>
      </c>
      <c r="I131" s="290"/>
      <c r="J131" s="292" t="str">
        <f t="shared" ref="J131:K131" si="132">IFERROR(F131/H131,"-")</f>
        <v>-</v>
      </c>
      <c r="K131" s="292" t="str">
        <f t="shared" si="132"/>
        <v>-</v>
      </c>
      <c r="L131" s="292" t="str">
        <f>IFERROR((COUNTIFS(Base!$V:$V,A131,Base!$U:$U,TRUE))/(COUNTIFS(Base!$V:$V,A131,Base!$O:$O,"Finalizado")+COUNTIFS(Base!$V:$V,A131,Base!$O:$O,"Concluído")),"-")</f>
        <v>-</v>
      </c>
      <c r="M131" s="292" t="str">
        <f>IF(
  (
    IFERROR(COUNTIF(Base!$W:$W, A131), 0) +
    IFERROR(COUNTIF(Base!$X:$X, A131), 0) +
    IFERROR(COUNTIF(Base!$Y:$Y, A131), 0) +
    IFERROR(COUNTIF(Base!$Z:$Z, A131), 0)
  ) = 0,
  "-",
  IF(
    (
      IFERROR(COUNTIFS(Base!$W:$W, A131, Base!$O:$O, "Finalizado"), 0) +
      IFERROR(COUNTIFS(Base!$W:$W, A131, Base!$O:$O, "Concluído"), 0) +
      IFERROR(COUNTIFS(Base!$X:$X, A131, Base!$O:$O, "Finalizado"), 0) +
      IFERROR(COUNTIFS(Base!$X:$X, A131, Base!$O:$O, "Concluído"), 0) +
      IFERROR(COUNTIFS(Base!$Y:$Y, A131, Base!$O:$O, "Finalizado"), 0) +
      IFERROR(COUNTIFS(Base!$Y:$Y, A131, Base!$O:$O, "Concluído"), 0) +
      IFERROR(COUNTIFS(Base!$Z:$Z, A131, Base!$O:$O, "Finalizado"), 0) +
      IFERROR(COUNTIFS(Base!$Z:$Z, A131, Base!$O:$O, "Concluído"), 0)
    ) = 0,
    "-",
    (
      IFERROR(COUNTIFS(Base!$W:$W, A131, Base!$U:$U, TRUE), 0) +
      IFERROR(COUNTIFS(Base!$X:$X, A131, Base!$U:$U, TRUE), 0) +
      IFERROR(COUNTIFS(Base!$Y:$Y, A131, Base!$U:$U, TRUE), 0) +
      IFERROR(COUNTIFS(Base!$Z:$Z, A131, Base!$U:$U, TRUE), 0)
    ) /
    (
      IFERROR(COUNTIFS(Base!$W:$W, A131, Base!$O:$O, "Finalizado"), 0) +
      IFERROR(COUNTIFS(Base!$W:$W, A131, Base!$O:$O, "Concluído"), 0) +
      IFERROR(COUNTIFS(Base!$X:$X, A131, Base!$O:$O, "Finalizado"), 0) +
      IFERROR(COUNTIFS(Base!$X:$X, A131, Base!$O:$O, "Concluído"), 0) +
      IFERROR(COUNTIFS(Base!$Y:$Y, A131, Base!$O:$O, "Finalizado"), 0) +
      IFERROR(COUNTIFS(Base!$Y:$Y, A131, Base!$O:$O, "Concluído"), 0) +
      IFERROR(COUNTIFS(Base!$Z:$Z, A131, Base!$O:$O, "Finalizado"), 0) +
      IFERROR(COUNTIFS(Base!$Z:$Z, A131, Base!$O:$O, "Concluído"), 0)
    )
  )
)
</f>
        <v>-</v>
      </c>
      <c r="N131" s="120">
        <f>COUNTIF(Base!V:V,$A131)</f>
        <v>0</v>
      </c>
      <c r="O131" s="120">
        <f>COUNTIF(Base!W:W,$A131)</f>
        <v>0</v>
      </c>
      <c r="P131" s="120">
        <f>COUNTIF(Base!X:X,$A131)</f>
        <v>0</v>
      </c>
      <c r="Q131" s="120">
        <f>COUNTIF(Base!Y:Y,$A131)</f>
        <v>0</v>
      </c>
      <c r="R131" s="120">
        <f>COUNTIF(Base!Z:Z,$A131)</f>
        <v>0</v>
      </c>
      <c r="S131" s="120">
        <f t="shared" si="3"/>
        <v>0</v>
      </c>
      <c r="T131" s="120">
        <f t="shared" si="4"/>
        <v>0</v>
      </c>
      <c r="V131" s="293" t="str">
        <f>IF(
  (
    COUNTIF('Acompanhamento quinzenal'!$N:$N, A131) +
    COUNTIF('Acompanhamento quinzenal'!$T:$T, A131) +
    COUNTIF('Acompanhamento quinzenal'!$Z:$Z, A131) +
    COUNTIF('Acompanhamento quinzenal'!$AF:$AF, A131)
  ) = 0,
  "-",
  (
    IFERROR(SUMIFS('Acompanhamento quinzenal'!$S:$S, 'Acompanhamento quinzenal'!$N:$N, A131), 0) +
    IFERROR(SUMIFS('Acompanhamento quinzenal'!$Y:$Y, 'Acompanhamento quinzenal'!$T:$T, A131), 0) +
    IFERROR(SUMIFS('Acompanhamento quinzenal'!$AE:$AE, 'Acompanhamento quinzenal'!$Z:$Z, A131), 0) +
    IFERROR(SUMIFS('Acompanhamento quinzenal'!$AK:$AK, 'Acompanhamento quinzenal'!$AF:$AF, A131), 0)
  ) /
  (
    COUNTIF('Acompanhamento quinzenal'!$N:$N, A131) +
    COUNTIF('Acompanhamento quinzenal'!$T:$T, A131) +
    COUNTIF('Acompanhamento quinzenal'!$Z:$Z, A131) +
    COUNTIF('Acompanhamento quinzenal'!$AF:$AF, A131)
  )
)
</f>
        <v>-</v>
      </c>
      <c r="W131" s="293" t="str">
        <f>IF(
  (
    COUNTIF('Acompanhamento quinzenal'!$N:$N, A131) +
    COUNTIF('Acompanhamento quinzenal'!$T:$T, A131) +
    COUNTIF('Acompanhamento quinzenal'!$Z:$Z, A131) +
    COUNTIF('Acompanhamento quinzenal'!$AF:$AF, A131)
  ) = 0,
  "-",
  (
    IFERROR(SUMIFS('Acompanhamento quinzenal'!$O:$O, 'Acompanhamento quinzenal'!$N:$N, A131), 0) +
    IFERROR(SUMIFS('Acompanhamento quinzenal'!$U:$U, 'Acompanhamento quinzenal'!$T:$T, A131), 0) +
    IFERROR(SUMIFS('Acompanhamento quinzenal'!$AA:$AA, 'Acompanhamento quinzenal'!$Z:$Z, A131), 0) +
    IFERROR(SUMIFS('Acompanhamento quinzenal'!$AG:$AG, 'Acompanhamento quinzenal'!$AF:$AF, A131), 0)
  ) /
  (
    COUNTIF('Acompanhamento quinzenal'!$N:$N, A131) +
    COUNTIF('Acompanhamento quinzenal'!$T:$T, A131) +
    COUNTIF('Acompanhamento quinzenal'!$Z:$Z, A131) +
    COUNTIF('Acompanhamento quinzenal'!$AF:$AF, A131)
  )
)
</f>
        <v>-</v>
      </c>
      <c r="X131" s="294" t="str">
        <f>IF(
  (
    COUNTIF('Acompanhamento quinzenal'!$N:$N, A131) +
    COUNTIF('Acompanhamento quinzenal'!$T:$T, A131) +
    COUNTIF('Acompanhamento quinzenal'!$Z:$Z, A131) +
    COUNTIF('Acompanhamento quinzenal'!$AF:$AF, A131)
  ) = 0,
  "-",
  (
    IFERROR(SUMIFS('Acompanhamento quinzenal'!$P:$P, 'Acompanhamento quinzenal'!$N:$N, A131), 0) +
    IFERROR(SUMIFS('Acompanhamento quinzenal'!$V:$V, 'Acompanhamento quinzenal'!$T:$T, A131), 0) +
    IFERROR(SUMIFS('Acompanhamento quinzenal'!$AB:$AB, 'Acompanhamento quinzenal'!$Z:$Z, A131), 0) +
    IFERROR(SUMIFS('Acompanhamento quinzenal'!$AH:$AH, 'Acompanhamento quinzenal'!$AF:$AF, A131), 0)
  ) /
  (
    COUNTIF('Acompanhamento quinzenal'!$N:$N, A131) +
    COUNTIF('Acompanhamento quinzenal'!$T:$T, A131) +
    COUNTIF('Acompanhamento quinzenal'!$Z:$Z, A131) +
    COUNTIF('Acompanhamento quinzenal'!$AF:$AF, A131)
  )
)
</f>
        <v>-</v>
      </c>
      <c r="Y131" s="293" t="str">
        <f>IF(
  (
    COUNTIF('Acompanhamento quinzenal'!$N:$N, A131) +
    COUNTIF('Acompanhamento quinzenal'!$T:$T, A131) +
    COUNTIF('Acompanhamento quinzenal'!$Z:$Z, A131) +
    COUNTIF('Acompanhamento quinzenal'!$AF:$AF, A131)
  ) = 0,
  "-",
  (
    IFERROR(SUMIFS('Acompanhamento quinzenal'!$Q:$Q, 'Acompanhamento quinzenal'!$N:$N, A131), 0) +
    IFERROR(SUMIFS('Acompanhamento quinzenal'!$W:$W, 'Acompanhamento quinzenal'!$T:$T, A131), 0) +
    IFERROR(SUMIFS('Acompanhamento quinzenal'!$AC:$AC, 'Acompanhamento quinzenal'!$Z:$Z, A131), 0) +
    IFERROR(SUMIFS('Acompanhamento quinzenal'!$AI:$AI, 'Acompanhamento quinzenal'!$AF:$AF, A131), 0)
  ) /
  (
    COUNTIF('Acompanhamento quinzenal'!$N:$N, A131) +
    COUNTIF('Acompanhamento quinzenal'!$T:$T, A131) +
    COUNTIF('Acompanhamento quinzenal'!$Z:$Z, A131) +
    COUNTIF('Acompanhamento quinzenal'!$AF:$AF, A131)
  )
)
</f>
        <v>-</v>
      </c>
    </row>
    <row r="132">
      <c r="A132" s="291" t="str">
        <f>IFERROR(__xludf.DUMMYFUNCTION("""COMPUTED_VALUE"""),"mateus.gurza")</f>
        <v>mateus.gurza</v>
      </c>
      <c r="B132" s="120" t="str">
        <f>IFERROR(__xludf.DUMMYFUNCTION("""COMPUTED_VALUE"""),"Gerente")</f>
        <v>Gerente</v>
      </c>
      <c r="C132" s="120" t="str">
        <f>IFERROR(__xludf.DUMMYFUNCTION("""COMPUTED_VALUE"""),"NDados")</f>
        <v>NDados</v>
      </c>
      <c r="D132" s="292">
        <f>IFERROR((COUNTIFS(Base!$V:$V,A132,Base!$S:$S,"&gt;8") - COUNTIFS(Base!$V:$V,A132,Base!$S:$S,"&lt;7"))/COUNTIFS(Base!$V:$V,A132,Base!$S:$S,"&lt;&gt;"),"-")</f>
        <v>0.6666666667</v>
      </c>
      <c r="E132" s="292" t="str">
        <f>IF(
  (
    COUNTIFS(Base!$W:$W, A132, Base!$S:$S, "&lt;&gt;") +
    COUNTIFS(Base!$X:$X, A132, Base!$S:$S, "&lt;&gt;") +
    COUNTIFS(Base!$Y:$Y, A132, Base!$S:$S, "&lt;&gt;") +
    COUNTIFS(Base!$Z:$Z, A132, Base!$S:$S, "&lt;&gt;")
  ) = 0,
  "-",
  (
    COUNTIFS(Base!$W:$W, A132, Base!$S:$S, "&gt;8") - COUNTIFS(Base!$W:$W, A132, Base!$S:$S, "&lt;7") +
    COUNTIFS(Base!$X:$X, A132, Base!$S:$S, "&gt;8") - COUNTIFS(Base!$X:$X, A132, Base!$S:$S, "&lt;7") +
    COUNTIFS(Base!$Y:$Y, A132, Base!$S:$S, "&gt;8") - COUNTIFS(Base!$Y:$Y, A132, Base!$S:$S, "&lt;7") +
    COUNTIFS(Base!$Z:$Z, A132, Base!$S:$S, "&gt;8") - COUNTIFS(Base!$Z:$Z, A132, Base!$S:$S, "&lt;7")
  ) /
  (
    COUNTIFS(Base!$W:$W, A132, Base!$S:$S, "&lt;&gt;") +
    COUNTIFS(Base!$X:$X, A132, Base!$S:$S, "&lt;&gt;") +
    COUNTIFS(Base!$Y:$Y, A132, Base!$S:$S, "&lt;&gt;") +
    COUNTIFS(Base!$Z:$Z, A132, Base!$S:$S, "&lt;&gt;")
  )
)
</f>
        <v>-</v>
      </c>
      <c r="F132" s="290">
        <f>SUMIFS(Base!$N:$N,Base!$V:$V,A132,Base!$N:$N,"&lt;&gt;")-SUMIFS(Base!$K:$K,Base!$V:$V,A132,Base!$N:$N,"&lt;&gt;")-(SUMIFS(Base!$L:$L,Base!$V:$V,A132,Base!$N:$N,"&lt;&gt;")*7)</f>
        <v>280</v>
      </c>
      <c r="G132" s="290"/>
      <c r="H132" s="290">
        <f>SUMIFS(Base!$F:$F,Base!$V:$V,A132,Base!$N:$N,"&lt;&gt;")*7</f>
        <v>154</v>
      </c>
      <c r="I132" s="290"/>
      <c r="J132" s="292">
        <f t="shared" ref="J132:K132" si="133">IFERROR(F132/H132,"-")</f>
        <v>1.818181818</v>
      </c>
      <c r="K132" s="292" t="str">
        <f t="shared" si="133"/>
        <v>-</v>
      </c>
      <c r="L132" s="292">
        <f>IFERROR((COUNTIFS(Base!$V:$V,A132,Base!$U:$U,TRUE))/(COUNTIFS(Base!$V:$V,A132,Base!$O:$O,"Finalizado")+COUNTIFS(Base!$V:$V,A132,Base!$O:$O,"Concluído")),"-")</f>
        <v>0</v>
      </c>
      <c r="M132" s="292" t="str">
        <f>IF(
  (
    IFERROR(COUNTIF(Base!$W:$W, A132), 0) +
    IFERROR(COUNTIF(Base!$X:$X, A132), 0) +
    IFERROR(COUNTIF(Base!$Y:$Y, A132), 0) +
    IFERROR(COUNTIF(Base!$Z:$Z, A132), 0)
  ) = 0,
  "-",
  IF(
    (
      IFERROR(COUNTIFS(Base!$W:$W, A132, Base!$O:$O, "Finalizado"), 0) +
      IFERROR(COUNTIFS(Base!$W:$W, A132, Base!$O:$O, "Concluído"), 0) +
      IFERROR(COUNTIFS(Base!$X:$X, A132, Base!$O:$O, "Finalizado"), 0) +
      IFERROR(COUNTIFS(Base!$X:$X, A132, Base!$O:$O, "Concluído"), 0) +
      IFERROR(COUNTIFS(Base!$Y:$Y, A132, Base!$O:$O, "Finalizado"), 0) +
      IFERROR(COUNTIFS(Base!$Y:$Y, A132, Base!$O:$O, "Concluído"), 0) +
      IFERROR(COUNTIFS(Base!$Z:$Z, A132, Base!$O:$O, "Finalizado"), 0) +
      IFERROR(COUNTIFS(Base!$Z:$Z, A132, Base!$O:$O, "Concluído"), 0)
    ) = 0,
    "-",
    (
      IFERROR(COUNTIFS(Base!$W:$W, A132, Base!$U:$U, TRUE), 0) +
      IFERROR(COUNTIFS(Base!$X:$X, A132, Base!$U:$U, TRUE), 0) +
      IFERROR(COUNTIFS(Base!$Y:$Y, A132, Base!$U:$U, TRUE), 0) +
      IFERROR(COUNTIFS(Base!$Z:$Z, A132, Base!$U:$U, TRUE), 0)
    ) /
    (
      IFERROR(COUNTIFS(Base!$W:$W, A132, Base!$O:$O, "Finalizado"), 0) +
      IFERROR(COUNTIFS(Base!$W:$W, A132, Base!$O:$O, "Concluído"), 0) +
      IFERROR(COUNTIFS(Base!$X:$X, A132, Base!$O:$O, "Finalizado"), 0) +
      IFERROR(COUNTIFS(Base!$X:$X, A132, Base!$O:$O, "Concluído"), 0) +
      IFERROR(COUNTIFS(Base!$Y:$Y, A132, Base!$O:$O, "Finalizado"), 0) +
      IFERROR(COUNTIFS(Base!$Y:$Y, A132, Base!$O:$O, "Concluído"), 0) +
      IFERROR(COUNTIFS(Base!$Z:$Z, A132, Base!$O:$O, "Finalizado"), 0) +
      IFERROR(COUNTIFS(Base!$Z:$Z, A132, Base!$O:$O, "Concluído"), 0)
    )
  )
)
</f>
        <v>-</v>
      </c>
      <c r="N132" s="120">
        <f>COUNTIF(Base!V:V,$A132)</f>
        <v>6</v>
      </c>
      <c r="O132" s="120">
        <f>COUNTIF(Base!W:W,$A132)</f>
        <v>1</v>
      </c>
      <c r="P132" s="120">
        <f>COUNTIF(Base!X:X,$A132)</f>
        <v>0</v>
      </c>
      <c r="Q132" s="120">
        <f>COUNTIF(Base!Y:Y,$A132)</f>
        <v>0</v>
      </c>
      <c r="R132" s="120">
        <f>COUNTIF(Base!Z:Z,$A132)</f>
        <v>0</v>
      </c>
      <c r="S132" s="120">
        <f t="shared" si="3"/>
        <v>7</v>
      </c>
      <c r="T132" s="120">
        <f t="shared" si="4"/>
        <v>1</v>
      </c>
      <c r="V132" s="293" t="str">
        <f>IF(
  (
    COUNTIF('Acompanhamento quinzenal'!$N:$N, A132) +
    COUNTIF('Acompanhamento quinzenal'!$T:$T, A132) +
    COUNTIF('Acompanhamento quinzenal'!$Z:$Z, A132) +
    COUNTIF('Acompanhamento quinzenal'!$AF:$AF, A132)
  ) = 0,
  "-",
  (
    IFERROR(SUMIFS('Acompanhamento quinzenal'!$S:$S, 'Acompanhamento quinzenal'!$N:$N, A132), 0) +
    IFERROR(SUMIFS('Acompanhamento quinzenal'!$Y:$Y, 'Acompanhamento quinzenal'!$T:$T, A132), 0) +
    IFERROR(SUMIFS('Acompanhamento quinzenal'!$AE:$AE, 'Acompanhamento quinzenal'!$Z:$Z, A132), 0) +
    IFERROR(SUMIFS('Acompanhamento quinzenal'!$AK:$AK, 'Acompanhamento quinzenal'!$AF:$AF, A132), 0)
  ) /
  (
    COUNTIF('Acompanhamento quinzenal'!$N:$N, A132) +
    COUNTIF('Acompanhamento quinzenal'!$T:$T, A132) +
    COUNTIF('Acompanhamento quinzenal'!$Z:$Z, A132) +
    COUNTIF('Acompanhamento quinzenal'!$AF:$AF, A132)
  )
)
</f>
        <v>-</v>
      </c>
      <c r="W132" s="293" t="str">
        <f>IF(
  (
    COUNTIF('Acompanhamento quinzenal'!$N:$N, A132) +
    COUNTIF('Acompanhamento quinzenal'!$T:$T, A132) +
    COUNTIF('Acompanhamento quinzenal'!$Z:$Z, A132) +
    COUNTIF('Acompanhamento quinzenal'!$AF:$AF, A132)
  ) = 0,
  "-",
  (
    IFERROR(SUMIFS('Acompanhamento quinzenal'!$O:$O, 'Acompanhamento quinzenal'!$N:$N, A132), 0) +
    IFERROR(SUMIFS('Acompanhamento quinzenal'!$U:$U, 'Acompanhamento quinzenal'!$T:$T, A132), 0) +
    IFERROR(SUMIFS('Acompanhamento quinzenal'!$AA:$AA, 'Acompanhamento quinzenal'!$Z:$Z, A132), 0) +
    IFERROR(SUMIFS('Acompanhamento quinzenal'!$AG:$AG, 'Acompanhamento quinzenal'!$AF:$AF, A132), 0)
  ) /
  (
    COUNTIF('Acompanhamento quinzenal'!$N:$N, A132) +
    COUNTIF('Acompanhamento quinzenal'!$T:$T, A132) +
    COUNTIF('Acompanhamento quinzenal'!$Z:$Z, A132) +
    COUNTIF('Acompanhamento quinzenal'!$AF:$AF, A132)
  )
)
</f>
        <v>-</v>
      </c>
      <c r="X132" s="294" t="str">
        <f>IF(
  (
    COUNTIF('Acompanhamento quinzenal'!$N:$N, A132) +
    COUNTIF('Acompanhamento quinzenal'!$T:$T, A132) +
    COUNTIF('Acompanhamento quinzenal'!$Z:$Z, A132) +
    COUNTIF('Acompanhamento quinzenal'!$AF:$AF, A132)
  ) = 0,
  "-",
  (
    IFERROR(SUMIFS('Acompanhamento quinzenal'!$P:$P, 'Acompanhamento quinzenal'!$N:$N, A132), 0) +
    IFERROR(SUMIFS('Acompanhamento quinzenal'!$V:$V, 'Acompanhamento quinzenal'!$T:$T, A132), 0) +
    IFERROR(SUMIFS('Acompanhamento quinzenal'!$AB:$AB, 'Acompanhamento quinzenal'!$Z:$Z, A132), 0) +
    IFERROR(SUMIFS('Acompanhamento quinzenal'!$AH:$AH, 'Acompanhamento quinzenal'!$AF:$AF, A132), 0)
  ) /
  (
    COUNTIF('Acompanhamento quinzenal'!$N:$N, A132) +
    COUNTIF('Acompanhamento quinzenal'!$T:$T, A132) +
    COUNTIF('Acompanhamento quinzenal'!$Z:$Z, A132) +
    COUNTIF('Acompanhamento quinzenal'!$AF:$AF, A132)
  )
)
</f>
        <v>-</v>
      </c>
      <c r="Y132" s="293" t="str">
        <f>IF(
  (
    COUNTIF('Acompanhamento quinzenal'!$N:$N, A132) +
    COUNTIF('Acompanhamento quinzenal'!$T:$T, A132) +
    COUNTIF('Acompanhamento quinzenal'!$Z:$Z, A132) +
    COUNTIF('Acompanhamento quinzenal'!$AF:$AF, A132)
  ) = 0,
  "-",
  (
    IFERROR(SUMIFS('Acompanhamento quinzenal'!$Q:$Q, 'Acompanhamento quinzenal'!$N:$N, A132), 0) +
    IFERROR(SUMIFS('Acompanhamento quinzenal'!$W:$W, 'Acompanhamento quinzenal'!$T:$T, A132), 0) +
    IFERROR(SUMIFS('Acompanhamento quinzenal'!$AC:$AC, 'Acompanhamento quinzenal'!$Z:$Z, A132), 0) +
    IFERROR(SUMIFS('Acompanhamento quinzenal'!$AI:$AI, 'Acompanhamento quinzenal'!$AF:$AF, A132), 0)
  ) /
  (
    COUNTIF('Acompanhamento quinzenal'!$N:$N, A132) +
    COUNTIF('Acompanhamento quinzenal'!$T:$T, A132) +
    COUNTIF('Acompanhamento quinzenal'!$Z:$Z, A132) +
    COUNTIF('Acompanhamento quinzenal'!$AF:$AF, A132)
  )
)
</f>
        <v>-</v>
      </c>
    </row>
    <row r="133">
      <c r="A133" s="291" t="str">
        <f>IFERROR(__xludf.DUMMYFUNCTION("""COMPUTED_VALUE"""),"mateus.ono")</f>
        <v>mateus.ono</v>
      </c>
      <c r="B133" s="120" t="str">
        <f>IFERROR(__xludf.DUMMYFUNCTION("""COMPUTED_VALUE"""),"Trainee")</f>
        <v>Trainee</v>
      </c>
      <c r="C133" s="120" t="str">
        <f>IFERROR(__xludf.DUMMYFUNCTION("""COMPUTED_VALUE"""),"NDados")</f>
        <v>NDados</v>
      </c>
      <c r="D133" s="292" t="str">
        <f>IFERROR((COUNTIFS(Base!$V:$V,A133,Base!$S:$S,"&gt;8") - COUNTIFS(Base!$V:$V,A133,Base!$S:$S,"&lt;7"))/COUNTIFS(Base!$V:$V,A133,Base!$S:$S,"&lt;&gt;"),"-")</f>
        <v>-</v>
      </c>
      <c r="E133" s="292" t="str">
        <f>IF(
  (
    COUNTIFS(Base!$W:$W, A133, Base!$S:$S, "&lt;&gt;") +
    COUNTIFS(Base!$X:$X, A133, Base!$S:$S, "&lt;&gt;") +
    COUNTIFS(Base!$Y:$Y, A133, Base!$S:$S, "&lt;&gt;") +
    COUNTIFS(Base!$Z:$Z, A133, Base!$S:$S, "&lt;&gt;")
  ) = 0,
  "-",
  (
    COUNTIFS(Base!$W:$W, A133, Base!$S:$S, "&gt;8") - COUNTIFS(Base!$W:$W, A133, Base!$S:$S, "&lt;7") +
    COUNTIFS(Base!$X:$X, A133, Base!$S:$S, "&gt;8") - COUNTIFS(Base!$X:$X, A133, Base!$S:$S, "&lt;7") +
    COUNTIFS(Base!$Y:$Y, A133, Base!$S:$S, "&gt;8") - COUNTIFS(Base!$Y:$Y, A133, Base!$S:$S, "&lt;7") +
    COUNTIFS(Base!$Z:$Z, A133, Base!$S:$S, "&gt;8") - COUNTIFS(Base!$Z:$Z, A133, Base!$S:$S, "&lt;7")
  ) /
  (
    COUNTIFS(Base!$W:$W, A133, Base!$S:$S, "&lt;&gt;") +
    COUNTIFS(Base!$X:$X, A133, Base!$S:$S, "&lt;&gt;") +
    COUNTIFS(Base!$Y:$Y, A133, Base!$S:$S, "&lt;&gt;") +
    COUNTIFS(Base!$Z:$Z, A133, Base!$S:$S, "&lt;&gt;")
  )
)
</f>
        <v>-</v>
      </c>
      <c r="F133" s="290">
        <f>SUMIFS(Base!$N:$N,Base!$V:$V,A133,Base!$N:$N,"&lt;&gt;")-SUMIFS(Base!$K:$K,Base!$V:$V,A133,Base!$N:$N,"&lt;&gt;")-(SUMIFS(Base!$L:$L,Base!$V:$V,A133,Base!$N:$N,"&lt;&gt;")*7)</f>
        <v>0</v>
      </c>
      <c r="G133" s="290"/>
      <c r="H133" s="290">
        <f>SUMIFS(Base!$F:$F,Base!$V:$V,A133,Base!$N:$N,"&lt;&gt;")*7</f>
        <v>0</v>
      </c>
      <c r="I133" s="290"/>
      <c r="J133" s="292" t="str">
        <f t="shared" ref="J133:K133" si="134">IFERROR(F133/H133,"-")</f>
        <v>-</v>
      </c>
      <c r="K133" s="292" t="str">
        <f t="shared" si="134"/>
        <v>-</v>
      </c>
      <c r="L133" s="292" t="str">
        <f>IFERROR((COUNTIFS(Base!$V:$V,A133,Base!$U:$U,TRUE))/(COUNTIFS(Base!$V:$V,A133,Base!$O:$O,"Finalizado")+COUNTIFS(Base!$V:$V,A133,Base!$O:$O,"Concluído")),"-")</f>
        <v>-</v>
      </c>
      <c r="M133" s="292" t="str">
        <f>IF(
  (
    IFERROR(COUNTIF(Base!$W:$W, A133), 0) +
    IFERROR(COUNTIF(Base!$X:$X, A133), 0) +
    IFERROR(COUNTIF(Base!$Y:$Y, A133), 0) +
    IFERROR(COUNTIF(Base!$Z:$Z, A133), 0)
  ) = 0,
  "-",
  IF(
    (
      IFERROR(COUNTIFS(Base!$W:$W, A133, Base!$O:$O, "Finalizado"), 0) +
      IFERROR(COUNTIFS(Base!$W:$W, A133, Base!$O:$O, "Concluído"), 0) +
      IFERROR(COUNTIFS(Base!$X:$X, A133, Base!$O:$O, "Finalizado"), 0) +
      IFERROR(COUNTIFS(Base!$X:$X, A133, Base!$O:$O, "Concluído"), 0) +
      IFERROR(COUNTIFS(Base!$Y:$Y, A133, Base!$O:$O, "Finalizado"), 0) +
      IFERROR(COUNTIFS(Base!$Y:$Y, A133, Base!$O:$O, "Concluído"), 0) +
      IFERROR(COUNTIFS(Base!$Z:$Z, A133, Base!$O:$O, "Finalizado"), 0) +
      IFERROR(COUNTIFS(Base!$Z:$Z, A133, Base!$O:$O, "Concluído"), 0)
    ) = 0,
    "-",
    (
      IFERROR(COUNTIFS(Base!$W:$W, A133, Base!$U:$U, TRUE), 0) +
      IFERROR(COUNTIFS(Base!$X:$X, A133, Base!$U:$U, TRUE), 0) +
      IFERROR(COUNTIFS(Base!$Y:$Y, A133, Base!$U:$U, TRUE), 0) +
      IFERROR(COUNTIFS(Base!$Z:$Z, A133, Base!$U:$U, TRUE), 0)
    ) /
    (
      IFERROR(COUNTIFS(Base!$W:$W, A133, Base!$O:$O, "Finalizado"), 0) +
      IFERROR(COUNTIFS(Base!$W:$W, A133, Base!$O:$O, "Concluído"), 0) +
      IFERROR(COUNTIFS(Base!$X:$X, A133, Base!$O:$O, "Finalizado"), 0) +
      IFERROR(COUNTIFS(Base!$X:$X, A133, Base!$O:$O, "Concluído"), 0) +
      IFERROR(COUNTIFS(Base!$Y:$Y, A133, Base!$O:$O, "Finalizado"), 0) +
      IFERROR(COUNTIFS(Base!$Y:$Y, A133, Base!$O:$O, "Concluído"), 0) +
      IFERROR(COUNTIFS(Base!$Z:$Z, A133, Base!$O:$O, "Finalizado"), 0) +
      IFERROR(COUNTIFS(Base!$Z:$Z, A133, Base!$O:$O, "Concluído"), 0)
    )
  )
)
</f>
        <v>-</v>
      </c>
      <c r="N133" s="120">
        <f>COUNTIF(Base!V:V,$A133)</f>
        <v>0</v>
      </c>
      <c r="O133" s="120">
        <f>COUNTIF(Base!W:W,$A133)</f>
        <v>2</v>
      </c>
      <c r="P133" s="120">
        <f>COUNTIF(Base!X:X,$A133)</f>
        <v>0</v>
      </c>
      <c r="Q133" s="120">
        <f>COUNTIF(Base!Y:Y,$A133)</f>
        <v>0</v>
      </c>
      <c r="R133" s="120">
        <f>COUNTIF(Base!Z:Z,$A133)</f>
        <v>0</v>
      </c>
      <c r="S133" s="120">
        <f t="shared" si="3"/>
        <v>2</v>
      </c>
      <c r="T133" s="120">
        <f t="shared" si="4"/>
        <v>2</v>
      </c>
      <c r="V133" s="293" t="str">
        <f>IF(
  (
    COUNTIF('Acompanhamento quinzenal'!$N:$N, A133) +
    COUNTIF('Acompanhamento quinzenal'!$T:$T, A133) +
    COUNTIF('Acompanhamento quinzenal'!$Z:$Z, A133) +
    COUNTIF('Acompanhamento quinzenal'!$AF:$AF, A133)
  ) = 0,
  "-",
  (
    IFERROR(SUMIFS('Acompanhamento quinzenal'!$S:$S, 'Acompanhamento quinzenal'!$N:$N, A133), 0) +
    IFERROR(SUMIFS('Acompanhamento quinzenal'!$Y:$Y, 'Acompanhamento quinzenal'!$T:$T, A133), 0) +
    IFERROR(SUMIFS('Acompanhamento quinzenal'!$AE:$AE, 'Acompanhamento quinzenal'!$Z:$Z, A133), 0) +
    IFERROR(SUMIFS('Acompanhamento quinzenal'!$AK:$AK, 'Acompanhamento quinzenal'!$AF:$AF, A133), 0)
  ) /
  (
    COUNTIF('Acompanhamento quinzenal'!$N:$N, A133) +
    COUNTIF('Acompanhamento quinzenal'!$T:$T, A133) +
    COUNTIF('Acompanhamento quinzenal'!$Z:$Z, A133) +
    COUNTIF('Acompanhamento quinzenal'!$AF:$AF, A133)
  )
)
</f>
        <v>-</v>
      </c>
      <c r="W133" s="293" t="str">
        <f>IF(
  (
    COUNTIF('Acompanhamento quinzenal'!$N:$N, A133) +
    COUNTIF('Acompanhamento quinzenal'!$T:$T, A133) +
    COUNTIF('Acompanhamento quinzenal'!$Z:$Z, A133) +
    COUNTIF('Acompanhamento quinzenal'!$AF:$AF, A133)
  ) = 0,
  "-",
  (
    IFERROR(SUMIFS('Acompanhamento quinzenal'!$O:$O, 'Acompanhamento quinzenal'!$N:$N, A133), 0) +
    IFERROR(SUMIFS('Acompanhamento quinzenal'!$U:$U, 'Acompanhamento quinzenal'!$T:$T, A133), 0) +
    IFERROR(SUMIFS('Acompanhamento quinzenal'!$AA:$AA, 'Acompanhamento quinzenal'!$Z:$Z, A133), 0) +
    IFERROR(SUMIFS('Acompanhamento quinzenal'!$AG:$AG, 'Acompanhamento quinzenal'!$AF:$AF, A133), 0)
  ) /
  (
    COUNTIF('Acompanhamento quinzenal'!$N:$N, A133) +
    COUNTIF('Acompanhamento quinzenal'!$T:$T, A133) +
    COUNTIF('Acompanhamento quinzenal'!$Z:$Z, A133) +
    COUNTIF('Acompanhamento quinzenal'!$AF:$AF, A133)
  )
)
</f>
        <v>-</v>
      </c>
      <c r="X133" s="294" t="str">
        <f>IF(
  (
    COUNTIF('Acompanhamento quinzenal'!$N:$N, A133) +
    COUNTIF('Acompanhamento quinzenal'!$T:$T, A133) +
    COUNTIF('Acompanhamento quinzenal'!$Z:$Z, A133) +
    COUNTIF('Acompanhamento quinzenal'!$AF:$AF, A133)
  ) = 0,
  "-",
  (
    IFERROR(SUMIFS('Acompanhamento quinzenal'!$P:$P, 'Acompanhamento quinzenal'!$N:$N, A133), 0) +
    IFERROR(SUMIFS('Acompanhamento quinzenal'!$V:$V, 'Acompanhamento quinzenal'!$T:$T, A133), 0) +
    IFERROR(SUMIFS('Acompanhamento quinzenal'!$AB:$AB, 'Acompanhamento quinzenal'!$Z:$Z, A133), 0) +
    IFERROR(SUMIFS('Acompanhamento quinzenal'!$AH:$AH, 'Acompanhamento quinzenal'!$AF:$AF, A133), 0)
  ) /
  (
    COUNTIF('Acompanhamento quinzenal'!$N:$N, A133) +
    COUNTIF('Acompanhamento quinzenal'!$T:$T, A133) +
    COUNTIF('Acompanhamento quinzenal'!$Z:$Z, A133) +
    COUNTIF('Acompanhamento quinzenal'!$AF:$AF, A133)
  )
)
</f>
        <v>-</v>
      </c>
      <c r="Y133" s="293" t="str">
        <f>IF(
  (
    COUNTIF('Acompanhamento quinzenal'!$N:$N, A133) +
    COUNTIF('Acompanhamento quinzenal'!$T:$T, A133) +
    COUNTIF('Acompanhamento quinzenal'!$Z:$Z, A133) +
    COUNTIF('Acompanhamento quinzenal'!$AF:$AF, A133)
  ) = 0,
  "-",
  (
    IFERROR(SUMIFS('Acompanhamento quinzenal'!$Q:$Q, 'Acompanhamento quinzenal'!$N:$N, A133), 0) +
    IFERROR(SUMIFS('Acompanhamento quinzenal'!$W:$W, 'Acompanhamento quinzenal'!$T:$T, A133), 0) +
    IFERROR(SUMIFS('Acompanhamento quinzenal'!$AC:$AC, 'Acompanhamento quinzenal'!$Z:$Z, A133), 0) +
    IFERROR(SUMIFS('Acompanhamento quinzenal'!$AI:$AI, 'Acompanhamento quinzenal'!$AF:$AF, A133), 0)
  ) /
  (
    COUNTIF('Acompanhamento quinzenal'!$N:$N, A133) +
    COUNTIF('Acompanhamento quinzenal'!$T:$T, A133) +
    COUNTIF('Acompanhamento quinzenal'!$Z:$Z, A133) +
    COUNTIF('Acompanhamento quinzenal'!$AF:$AF, A133)
  )
)
</f>
        <v>-</v>
      </c>
    </row>
    <row r="134" hidden="1">
      <c r="A134" s="291" t="str">
        <f>IFERROR(__xludf.DUMMYFUNCTION("""COMPUTED_VALUE"""),"mateus.araújo")</f>
        <v>mateus.araújo</v>
      </c>
      <c r="B134" s="120" t="str">
        <f>IFERROR(__xludf.DUMMYFUNCTION("""COMPUTED_VALUE"""),"Trainee")</f>
        <v>Trainee</v>
      </c>
      <c r="C134" s="120" t="str">
        <f>IFERROR(__xludf.DUMMYFUNCTION("""COMPUTED_VALUE"""),"NTec")</f>
        <v>NTec</v>
      </c>
      <c r="D134" s="292" t="str">
        <f>IFERROR((COUNTIFS(Base!$V:$V,A134,Base!$S:$S,"&gt;8") - COUNTIFS(Base!$V:$V,A134,Base!$S:$S,"&lt;7"))/COUNTIFS(Base!$V:$V,A134,Base!$S:$S,"&lt;&gt;"),"-")</f>
        <v>-</v>
      </c>
      <c r="E134" s="292" t="str">
        <f>IF(
  (
    COUNTIFS(Base!$W:$W, A134, Base!$S:$S, "&lt;&gt;") +
    COUNTIFS(Base!$X:$X, A134, Base!$S:$S, "&lt;&gt;") +
    COUNTIFS(Base!$Y:$Y, A134, Base!$S:$S, "&lt;&gt;") +
    COUNTIFS(Base!$Z:$Z, A134, Base!$S:$S, "&lt;&gt;")
  ) = 0,
  "-",
  (
    COUNTIFS(Base!$W:$W, A134, Base!$S:$S, "&gt;8") - COUNTIFS(Base!$W:$W, A134, Base!$S:$S, "&lt;7") +
    COUNTIFS(Base!$X:$X, A134, Base!$S:$S, "&gt;8") - COUNTIFS(Base!$X:$X, A134, Base!$S:$S, "&lt;7") +
    COUNTIFS(Base!$Y:$Y, A134, Base!$S:$S, "&gt;8") - COUNTIFS(Base!$Y:$Y, A134, Base!$S:$S, "&lt;7") +
    COUNTIFS(Base!$Z:$Z, A134, Base!$S:$S, "&gt;8") - COUNTIFS(Base!$Z:$Z, A134, Base!$S:$S, "&lt;7")
  ) /
  (
    COUNTIFS(Base!$W:$W, A134, Base!$S:$S, "&lt;&gt;") +
    COUNTIFS(Base!$X:$X, A134, Base!$S:$S, "&lt;&gt;") +
    COUNTIFS(Base!$Y:$Y, A134, Base!$S:$S, "&lt;&gt;") +
    COUNTIFS(Base!$Z:$Z, A134, Base!$S:$S, "&lt;&gt;")
  )
)
</f>
        <v>-</v>
      </c>
      <c r="F134" s="290">
        <f>SUMIFS(Base!$N:$N,Base!$V:$V,A134,Base!$N:$N,"&lt;&gt;")-SUMIFS(Base!$K:$K,Base!$V:$V,A134,Base!$N:$N,"&lt;&gt;")-(SUMIFS(Base!$L:$L,Base!$V:$V,A134,Base!$N:$N,"&lt;&gt;")*7)</f>
        <v>0</v>
      </c>
      <c r="G134" s="290"/>
      <c r="H134" s="290">
        <f>SUMIFS(Base!$F:$F,Base!$V:$V,A134,Base!$N:$N,"&lt;&gt;")*7</f>
        <v>0</v>
      </c>
      <c r="I134" s="290"/>
      <c r="J134" s="292" t="str">
        <f t="shared" ref="J134:K134" si="135">IFERROR(F134/H134,"-")</f>
        <v>-</v>
      </c>
      <c r="K134" s="292" t="str">
        <f t="shared" si="135"/>
        <v>-</v>
      </c>
      <c r="L134" s="292" t="str">
        <f>IFERROR((COUNTIFS(Base!$V:$V,A134,Base!$U:$U,TRUE))/(COUNTIFS(Base!$V:$V,A134,Base!$O:$O,"Finalizado")+COUNTIFS(Base!$V:$V,A134,Base!$O:$O,"Concluído")),"-")</f>
        <v>-</v>
      </c>
      <c r="M134" s="292" t="str">
        <f>IF(
  (
    IFERROR(COUNTIF(Base!$W:$W, A134), 0) +
    IFERROR(COUNTIF(Base!$X:$X, A134), 0) +
    IFERROR(COUNTIF(Base!$Y:$Y, A134), 0) +
    IFERROR(COUNTIF(Base!$Z:$Z, A134), 0)
  ) = 0,
  "-",
  IF(
    (
      IFERROR(COUNTIFS(Base!$W:$W, A134, Base!$O:$O, "Finalizado"), 0) +
      IFERROR(COUNTIFS(Base!$W:$W, A134, Base!$O:$O, "Concluído"), 0) +
      IFERROR(COUNTIFS(Base!$X:$X, A134, Base!$O:$O, "Finalizado"), 0) +
      IFERROR(COUNTIFS(Base!$X:$X, A134, Base!$O:$O, "Concluído"), 0) +
      IFERROR(COUNTIFS(Base!$Y:$Y, A134, Base!$O:$O, "Finalizado"), 0) +
      IFERROR(COUNTIFS(Base!$Y:$Y, A134, Base!$O:$O, "Concluído"), 0) +
      IFERROR(COUNTIFS(Base!$Z:$Z, A134, Base!$O:$O, "Finalizado"), 0) +
      IFERROR(COUNTIFS(Base!$Z:$Z, A134, Base!$O:$O, "Concluído"), 0)
    ) = 0,
    "-",
    (
      IFERROR(COUNTIFS(Base!$W:$W, A134, Base!$U:$U, TRUE), 0) +
      IFERROR(COUNTIFS(Base!$X:$X, A134, Base!$U:$U, TRUE), 0) +
      IFERROR(COUNTIFS(Base!$Y:$Y, A134, Base!$U:$U, TRUE), 0) +
      IFERROR(COUNTIFS(Base!$Z:$Z, A134, Base!$U:$U, TRUE), 0)
    ) /
    (
      IFERROR(COUNTIFS(Base!$W:$W, A134, Base!$O:$O, "Finalizado"), 0) +
      IFERROR(COUNTIFS(Base!$W:$W, A134, Base!$O:$O, "Concluído"), 0) +
      IFERROR(COUNTIFS(Base!$X:$X, A134, Base!$O:$O, "Finalizado"), 0) +
      IFERROR(COUNTIFS(Base!$X:$X, A134, Base!$O:$O, "Concluído"), 0) +
      IFERROR(COUNTIFS(Base!$Y:$Y, A134, Base!$O:$O, "Finalizado"), 0) +
      IFERROR(COUNTIFS(Base!$Y:$Y, A134, Base!$O:$O, "Concluído"), 0) +
      IFERROR(COUNTIFS(Base!$Z:$Z, A134, Base!$O:$O, "Finalizado"), 0) +
      IFERROR(COUNTIFS(Base!$Z:$Z, A134, Base!$O:$O, "Concluído"), 0)
    )
  )
)
</f>
        <v>-</v>
      </c>
      <c r="N134" s="120">
        <f>COUNTIF(Base!V:V,$A134)</f>
        <v>0</v>
      </c>
      <c r="O134" s="120">
        <f>COUNTIF(Base!W:W,$A134)</f>
        <v>0</v>
      </c>
      <c r="P134" s="120">
        <f>COUNTIF(Base!X:X,$A134)</f>
        <v>0</v>
      </c>
      <c r="Q134" s="120">
        <f>COUNTIF(Base!Y:Y,$A134)</f>
        <v>0</v>
      </c>
      <c r="R134" s="120">
        <f>COUNTIF(Base!Z:Z,$A134)</f>
        <v>0</v>
      </c>
      <c r="S134" s="120">
        <f t="shared" si="3"/>
        <v>0</v>
      </c>
      <c r="T134" s="120">
        <f t="shared" si="4"/>
        <v>0</v>
      </c>
      <c r="V134" s="293" t="str">
        <f>IF(
  (
    COUNTIF('Acompanhamento quinzenal'!$N:$N, A134) +
    COUNTIF('Acompanhamento quinzenal'!$T:$T, A134) +
    COUNTIF('Acompanhamento quinzenal'!$Z:$Z, A134) +
    COUNTIF('Acompanhamento quinzenal'!$AF:$AF, A134)
  ) = 0,
  "-",
  (
    IFERROR(SUMIFS('Acompanhamento quinzenal'!$S:$S, 'Acompanhamento quinzenal'!$N:$N, A134), 0) +
    IFERROR(SUMIFS('Acompanhamento quinzenal'!$Y:$Y, 'Acompanhamento quinzenal'!$T:$T, A134), 0) +
    IFERROR(SUMIFS('Acompanhamento quinzenal'!$AE:$AE, 'Acompanhamento quinzenal'!$Z:$Z, A134), 0) +
    IFERROR(SUMIFS('Acompanhamento quinzenal'!$AK:$AK, 'Acompanhamento quinzenal'!$AF:$AF, A134), 0)
  ) /
  (
    COUNTIF('Acompanhamento quinzenal'!$N:$N, A134) +
    COUNTIF('Acompanhamento quinzenal'!$T:$T, A134) +
    COUNTIF('Acompanhamento quinzenal'!$Z:$Z, A134) +
    COUNTIF('Acompanhamento quinzenal'!$AF:$AF, A134)
  )
)
</f>
        <v>-</v>
      </c>
      <c r="W134" s="293" t="str">
        <f>IF(
  (
    COUNTIF('Acompanhamento quinzenal'!$N:$N, A134) +
    COUNTIF('Acompanhamento quinzenal'!$T:$T, A134) +
    COUNTIF('Acompanhamento quinzenal'!$Z:$Z, A134) +
    COUNTIF('Acompanhamento quinzenal'!$AF:$AF, A134)
  ) = 0,
  "-",
  (
    IFERROR(SUMIFS('Acompanhamento quinzenal'!$O:$O, 'Acompanhamento quinzenal'!$N:$N, A134), 0) +
    IFERROR(SUMIFS('Acompanhamento quinzenal'!$U:$U, 'Acompanhamento quinzenal'!$T:$T, A134), 0) +
    IFERROR(SUMIFS('Acompanhamento quinzenal'!$AA:$AA, 'Acompanhamento quinzenal'!$Z:$Z, A134), 0) +
    IFERROR(SUMIFS('Acompanhamento quinzenal'!$AG:$AG, 'Acompanhamento quinzenal'!$AF:$AF, A134), 0)
  ) /
  (
    COUNTIF('Acompanhamento quinzenal'!$N:$N, A134) +
    COUNTIF('Acompanhamento quinzenal'!$T:$T, A134) +
    COUNTIF('Acompanhamento quinzenal'!$Z:$Z, A134) +
    COUNTIF('Acompanhamento quinzenal'!$AF:$AF, A134)
  )
)
</f>
        <v>-</v>
      </c>
      <c r="X134" s="294" t="str">
        <f>IF(
  (
    COUNTIF('Acompanhamento quinzenal'!$N:$N, A134) +
    COUNTIF('Acompanhamento quinzenal'!$T:$T, A134) +
    COUNTIF('Acompanhamento quinzenal'!$Z:$Z, A134) +
    COUNTIF('Acompanhamento quinzenal'!$AF:$AF, A134)
  ) = 0,
  "-",
  (
    IFERROR(SUMIFS('Acompanhamento quinzenal'!$P:$P, 'Acompanhamento quinzenal'!$N:$N, A134), 0) +
    IFERROR(SUMIFS('Acompanhamento quinzenal'!$V:$V, 'Acompanhamento quinzenal'!$T:$T, A134), 0) +
    IFERROR(SUMIFS('Acompanhamento quinzenal'!$AB:$AB, 'Acompanhamento quinzenal'!$Z:$Z, A134), 0) +
    IFERROR(SUMIFS('Acompanhamento quinzenal'!$AH:$AH, 'Acompanhamento quinzenal'!$AF:$AF, A134), 0)
  ) /
  (
    COUNTIF('Acompanhamento quinzenal'!$N:$N, A134) +
    COUNTIF('Acompanhamento quinzenal'!$T:$T, A134) +
    COUNTIF('Acompanhamento quinzenal'!$Z:$Z, A134) +
    COUNTIF('Acompanhamento quinzenal'!$AF:$AF, A134)
  )
)
</f>
        <v>-</v>
      </c>
      <c r="Y134" s="293" t="str">
        <f>IF(
  (
    COUNTIF('Acompanhamento quinzenal'!$N:$N, A134) +
    COUNTIF('Acompanhamento quinzenal'!$T:$T, A134) +
    COUNTIF('Acompanhamento quinzenal'!$Z:$Z, A134) +
    COUNTIF('Acompanhamento quinzenal'!$AF:$AF, A134)
  ) = 0,
  "-",
  (
    IFERROR(SUMIFS('Acompanhamento quinzenal'!$Q:$Q, 'Acompanhamento quinzenal'!$N:$N, A134), 0) +
    IFERROR(SUMIFS('Acompanhamento quinzenal'!$W:$W, 'Acompanhamento quinzenal'!$T:$T, A134), 0) +
    IFERROR(SUMIFS('Acompanhamento quinzenal'!$AC:$AC, 'Acompanhamento quinzenal'!$Z:$Z, A134), 0) +
    IFERROR(SUMIFS('Acompanhamento quinzenal'!$AI:$AI, 'Acompanhamento quinzenal'!$AF:$AF, A134), 0)
  ) /
  (
    COUNTIF('Acompanhamento quinzenal'!$N:$N, A134) +
    COUNTIF('Acompanhamento quinzenal'!$T:$T, A134) +
    COUNTIF('Acompanhamento quinzenal'!$Z:$Z, A134) +
    COUNTIF('Acompanhamento quinzenal'!$AF:$AF, A134)
  )
)
</f>
        <v>-</v>
      </c>
    </row>
    <row r="135">
      <c r="A135" s="291" t="str">
        <f>IFERROR(__xludf.DUMMYFUNCTION("""COMPUTED_VALUE"""),"matheus.rodrigues")</f>
        <v>matheus.rodrigues</v>
      </c>
      <c r="B135" s="120" t="str">
        <f>IFERROR(__xludf.DUMMYFUNCTION("""COMPUTED_VALUE"""),"Consultor")</f>
        <v>Consultor</v>
      </c>
      <c r="C135" s="120" t="str">
        <f>IFERROR(__xludf.DUMMYFUNCTION("""COMPUTED_VALUE"""),"NDados")</f>
        <v>NDados</v>
      </c>
      <c r="D135" s="292" t="str">
        <f>IFERROR((COUNTIFS(Base!$V:$V,A135,Base!$S:$S,"&gt;8") - COUNTIFS(Base!$V:$V,A135,Base!$S:$S,"&lt;7"))/COUNTIFS(Base!$V:$V,A135,Base!$S:$S,"&lt;&gt;"),"-")</f>
        <v>-</v>
      </c>
      <c r="E135" s="292">
        <f>IF(
  (
    COUNTIFS(Base!$W:$W, A135, Base!$S:$S, "&lt;&gt;") +
    COUNTIFS(Base!$X:$X, A135, Base!$S:$S, "&lt;&gt;") +
    COUNTIFS(Base!$Y:$Y, A135, Base!$S:$S, "&lt;&gt;") +
    COUNTIFS(Base!$Z:$Z, A135, Base!$S:$S, "&lt;&gt;")
  ) = 0,
  "-",
  (
    COUNTIFS(Base!$W:$W, A135, Base!$S:$S, "&gt;8") - COUNTIFS(Base!$W:$W, A135, Base!$S:$S, "&lt;7") +
    COUNTIFS(Base!$X:$X, A135, Base!$S:$S, "&gt;8") - COUNTIFS(Base!$X:$X, A135, Base!$S:$S, "&lt;7") +
    COUNTIFS(Base!$Y:$Y, A135, Base!$S:$S, "&gt;8") - COUNTIFS(Base!$Y:$Y, A135, Base!$S:$S, "&lt;7") +
    COUNTIFS(Base!$Z:$Z, A135, Base!$S:$S, "&gt;8") - COUNTIFS(Base!$Z:$Z, A135, Base!$S:$S, "&lt;7")
  ) /
  (
    COUNTIFS(Base!$W:$W, A135, Base!$S:$S, "&lt;&gt;") +
    COUNTIFS(Base!$X:$X, A135, Base!$S:$S, "&lt;&gt;") +
    COUNTIFS(Base!$Y:$Y, A135, Base!$S:$S, "&lt;&gt;") +
    COUNTIFS(Base!$Z:$Z, A135, Base!$S:$S, "&lt;&gt;")
  )
)
</f>
        <v>0.6666666667</v>
      </c>
      <c r="F135" s="290">
        <f>SUMIFS(Base!$N:$N,Base!$V:$V,A135,Base!$N:$N,"&lt;&gt;")-SUMIFS(Base!$K:$K,Base!$V:$V,A135,Base!$N:$N,"&lt;&gt;")-(SUMIFS(Base!$L:$L,Base!$V:$V,A135,Base!$N:$N,"&lt;&gt;")*7)</f>
        <v>0</v>
      </c>
      <c r="G135" s="290"/>
      <c r="H135" s="290">
        <f>SUMIFS(Base!$F:$F,Base!$V:$V,A135,Base!$N:$N,"&lt;&gt;")*7</f>
        <v>0</v>
      </c>
      <c r="I135" s="290"/>
      <c r="J135" s="292" t="str">
        <f t="shared" ref="J135:K135" si="136">IFERROR(F135/H135,"-")</f>
        <v>-</v>
      </c>
      <c r="K135" s="292" t="str">
        <f t="shared" si="136"/>
        <v>-</v>
      </c>
      <c r="L135" s="292" t="str">
        <f>IFERROR((COUNTIFS(Base!$V:$V,A135,Base!$U:$U,TRUE))/(COUNTIFS(Base!$V:$V,A135,Base!$O:$O,"Finalizado")+COUNTIFS(Base!$V:$V,A135,Base!$O:$O,"Concluído")),"-")</f>
        <v>-</v>
      </c>
      <c r="M135" s="292">
        <f>IF(
  (
    IFERROR(COUNTIF(Base!$W:$W, A135), 0) +
    IFERROR(COUNTIF(Base!$X:$X, A135), 0) +
    IFERROR(COUNTIF(Base!$Y:$Y, A135), 0) +
    IFERROR(COUNTIF(Base!$Z:$Z, A135), 0)
  ) = 0,
  "-",
  IF(
    (
      IFERROR(COUNTIFS(Base!$W:$W, A135, Base!$O:$O, "Finalizado"), 0) +
      IFERROR(COUNTIFS(Base!$W:$W, A135, Base!$O:$O, "Concluído"), 0) +
      IFERROR(COUNTIFS(Base!$X:$X, A135, Base!$O:$O, "Finalizado"), 0) +
      IFERROR(COUNTIFS(Base!$X:$X, A135, Base!$O:$O, "Concluído"), 0) +
      IFERROR(COUNTIFS(Base!$Y:$Y, A135, Base!$O:$O, "Finalizado"), 0) +
      IFERROR(COUNTIFS(Base!$Y:$Y, A135, Base!$O:$O, "Concluído"), 0) +
      IFERROR(COUNTIFS(Base!$Z:$Z, A135, Base!$O:$O, "Finalizado"), 0) +
      IFERROR(COUNTIFS(Base!$Z:$Z, A135, Base!$O:$O, "Concluído"), 0)
    ) = 0,
    "-",
    (
      IFERROR(COUNTIFS(Base!$W:$W, A135, Base!$U:$U, TRUE), 0) +
      IFERROR(COUNTIFS(Base!$X:$X, A135, Base!$U:$U, TRUE), 0) +
      IFERROR(COUNTIFS(Base!$Y:$Y, A135, Base!$U:$U, TRUE), 0) +
      IFERROR(COUNTIFS(Base!$Z:$Z, A135, Base!$U:$U, TRUE), 0)
    ) /
    (
      IFERROR(COUNTIFS(Base!$W:$W, A135, Base!$O:$O, "Finalizado"), 0) +
      IFERROR(COUNTIFS(Base!$W:$W, A135, Base!$O:$O, "Concluído"), 0) +
      IFERROR(COUNTIFS(Base!$X:$X, A135, Base!$O:$O, "Finalizado"), 0) +
      IFERROR(COUNTIFS(Base!$X:$X, A135, Base!$O:$O, "Concluído"), 0) +
      IFERROR(COUNTIFS(Base!$Y:$Y, A135, Base!$O:$O, "Finalizado"), 0) +
      IFERROR(COUNTIFS(Base!$Y:$Y, A135, Base!$O:$O, "Concluído"), 0) +
      IFERROR(COUNTIFS(Base!$Z:$Z, A135, Base!$O:$O, "Finalizado"), 0) +
      IFERROR(COUNTIFS(Base!$Z:$Z, A135, Base!$O:$O, "Concluído"), 0)
    )
  )
)
</f>
        <v>0.6666666667</v>
      </c>
      <c r="N135" s="120">
        <f>COUNTIF(Base!V:V,$A135)</f>
        <v>0</v>
      </c>
      <c r="O135" s="120">
        <f>COUNTIF(Base!W:W,$A135)</f>
        <v>1</v>
      </c>
      <c r="P135" s="120">
        <f>COUNTIF(Base!X:X,$A135)</f>
        <v>3</v>
      </c>
      <c r="Q135" s="120">
        <f>COUNTIF(Base!Y:Y,$A135)</f>
        <v>0</v>
      </c>
      <c r="R135" s="120">
        <f>COUNTIF(Base!Z:Z,$A135)</f>
        <v>0</v>
      </c>
      <c r="S135" s="120">
        <f t="shared" si="3"/>
        <v>4</v>
      </c>
      <c r="T135" s="120">
        <f t="shared" si="4"/>
        <v>4</v>
      </c>
      <c r="V135" s="293">
        <f>IF(
  (
    COUNTIF('Acompanhamento quinzenal'!$N:$N, A135) +
    COUNTIF('Acompanhamento quinzenal'!$T:$T, A135) +
    COUNTIF('Acompanhamento quinzenal'!$Z:$Z, A135) +
    COUNTIF('Acompanhamento quinzenal'!$AF:$AF, A135)
  ) = 0,
  "-",
  (
    IFERROR(SUMIFS('Acompanhamento quinzenal'!$S:$S, 'Acompanhamento quinzenal'!$N:$N, A135), 0) +
    IFERROR(SUMIFS('Acompanhamento quinzenal'!$Y:$Y, 'Acompanhamento quinzenal'!$T:$T, A135), 0) +
    IFERROR(SUMIFS('Acompanhamento quinzenal'!$AE:$AE, 'Acompanhamento quinzenal'!$Z:$Z, A135), 0) +
    IFERROR(SUMIFS('Acompanhamento quinzenal'!$AK:$AK, 'Acompanhamento quinzenal'!$AF:$AF, A135), 0)
  ) /
  (
    COUNTIF('Acompanhamento quinzenal'!$N:$N, A135) +
    COUNTIF('Acompanhamento quinzenal'!$T:$T, A135) +
    COUNTIF('Acompanhamento quinzenal'!$Z:$Z, A135) +
    COUNTIF('Acompanhamento quinzenal'!$AF:$AF, A135)
  )
)
</f>
        <v>1.888888889</v>
      </c>
      <c r="W135" s="293">
        <f>IF(
  (
    COUNTIF('Acompanhamento quinzenal'!$N:$N, A135) +
    COUNTIF('Acompanhamento quinzenal'!$T:$T, A135) +
    COUNTIF('Acompanhamento quinzenal'!$Z:$Z, A135) +
    COUNTIF('Acompanhamento quinzenal'!$AF:$AF, A135)
  ) = 0,
  "-",
  (
    IFERROR(SUMIFS('Acompanhamento quinzenal'!$O:$O, 'Acompanhamento quinzenal'!$N:$N, A135), 0) +
    IFERROR(SUMIFS('Acompanhamento quinzenal'!$U:$U, 'Acompanhamento quinzenal'!$T:$T, A135), 0) +
    IFERROR(SUMIFS('Acompanhamento quinzenal'!$AA:$AA, 'Acompanhamento quinzenal'!$Z:$Z, A135), 0) +
    IFERROR(SUMIFS('Acompanhamento quinzenal'!$AG:$AG, 'Acompanhamento quinzenal'!$AF:$AF, A135), 0)
  ) /
  (
    COUNTIF('Acompanhamento quinzenal'!$N:$N, A135) +
    COUNTIF('Acompanhamento quinzenal'!$T:$T, A135) +
    COUNTIF('Acompanhamento quinzenal'!$Z:$Z, A135) +
    COUNTIF('Acompanhamento quinzenal'!$AF:$AF, A135)
  )
)
</f>
        <v>3</v>
      </c>
      <c r="X135" s="294">
        <f>IF(
  (
    COUNTIF('Acompanhamento quinzenal'!$N:$N, A135) +
    COUNTIF('Acompanhamento quinzenal'!$T:$T, A135) +
    COUNTIF('Acompanhamento quinzenal'!$Z:$Z, A135) +
    COUNTIF('Acompanhamento quinzenal'!$AF:$AF, A135)
  ) = 0,
  "-",
  (
    IFERROR(SUMIFS('Acompanhamento quinzenal'!$P:$P, 'Acompanhamento quinzenal'!$N:$N, A135), 0) +
    IFERROR(SUMIFS('Acompanhamento quinzenal'!$V:$V, 'Acompanhamento quinzenal'!$T:$T, A135), 0) +
    IFERROR(SUMIFS('Acompanhamento quinzenal'!$AB:$AB, 'Acompanhamento quinzenal'!$Z:$Z, A135), 0) +
    IFERROR(SUMIFS('Acompanhamento quinzenal'!$AH:$AH, 'Acompanhamento quinzenal'!$AF:$AF, A135), 0)
  ) /
  (
    COUNTIF('Acompanhamento quinzenal'!$N:$N, A135) +
    COUNTIF('Acompanhamento quinzenal'!$T:$T, A135) +
    COUNTIF('Acompanhamento quinzenal'!$Z:$Z, A135) +
    COUNTIF('Acompanhamento quinzenal'!$AF:$AF, A135)
  )
)
</f>
        <v>3</v>
      </c>
      <c r="Y135" s="293">
        <f>IF(
  (
    COUNTIF('Acompanhamento quinzenal'!$N:$N, A135) +
    COUNTIF('Acompanhamento quinzenal'!$T:$T, A135) +
    COUNTIF('Acompanhamento quinzenal'!$Z:$Z, A135) +
    COUNTIF('Acompanhamento quinzenal'!$AF:$AF, A135)
  ) = 0,
  "-",
  (
    IFERROR(SUMIFS('Acompanhamento quinzenal'!$Q:$Q, 'Acompanhamento quinzenal'!$N:$N, A135), 0) +
    IFERROR(SUMIFS('Acompanhamento quinzenal'!$W:$W, 'Acompanhamento quinzenal'!$T:$T, A135), 0) +
    IFERROR(SUMIFS('Acompanhamento quinzenal'!$AC:$AC, 'Acompanhamento quinzenal'!$Z:$Z, A135), 0) +
    IFERROR(SUMIFS('Acompanhamento quinzenal'!$AI:$AI, 'Acompanhamento quinzenal'!$AF:$AF, A135), 0)
  ) /
  (
    COUNTIF('Acompanhamento quinzenal'!$N:$N, A135) +
    COUNTIF('Acompanhamento quinzenal'!$T:$T, A135) +
    COUNTIF('Acompanhamento quinzenal'!$Z:$Z, A135) +
    COUNTIF('Acompanhamento quinzenal'!$AF:$AF, A135)
  )
)
</f>
        <v>2.666666667</v>
      </c>
    </row>
    <row r="136" hidden="1">
      <c r="A136" s="291" t="str">
        <f>IFERROR(__xludf.DUMMYFUNCTION("""COMPUTED_VALUE"""),"matheus.santos")</f>
        <v>matheus.santos</v>
      </c>
      <c r="B136" s="120" t="str">
        <f>IFERROR(__xludf.DUMMYFUNCTION("""COMPUTED_VALUE"""),"Consultor")</f>
        <v>Consultor</v>
      </c>
      <c r="C136" s="120" t="str">
        <f>IFERROR(__xludf.DUMMYFUNCTION("""COMPUTED_VALUE"""),"NTec")</f>
        <v>NTec</v>
      </c>
      <c r="D136" s="292" t="str">
        <f>IFERROR((COUNTIFS(Base!$V:$V,A136,Base!$S:$S,"&gt;8") - COUNTIFS(Base!$V:$V,A136,Base!$S:$S,"&lt;7"))/COUNTIFS(Base!$V:$V,A136,Base!$S:$S,"&lt;&gt;"),"-")</f>
        <v>-</v>
      </c>
      <c r="E136" s="292" t="str">
        <f>IF(
  (
    COUNTIFS(Base!$W:$W, A136, Base!$S:$S, "&lt;&gt;") +
    COUNTIFS(Base!$X:$X, A136, Base!$S:$S, "&lt;&gt;") +
    COUNTIFS(Base!$Y:$Y, A136, Base!$S:$S, "&lt;&gt;") +
    COUNTIFS(Base!$Z:$Z, A136, Base!$S:$S, "&lt;&gt;")
  ) = 0,
  "-",
  (
    COUNTIFS(Base!$W:$W, A136, Base!$S:$S, "&gt;8") - COUNTIFS(Base!$W:$W, A136, Base!$S:$S, "&lt;7") +
    COUNTIFS(Base!$X:$X, A136, Base!$S:$S, "&gt;8") - COUNTIFS(Base!$X:$X, A136, Base!$S:$S, "&lt;7") +
    COUNTIFS(Base!$Y:$Y, A136, Base!$S:$S, "&gt;8") - COUNTIFS(Base!$Y:$Y, A136, Base!$S:$S, "&lt;7") +
    COUNTIFS(Base!$Z:$Z, A136, Base!$S:$S, "&gt;8") - COUNTIFS(Base!$Z:$Z, A136, Base!$S:$S, "&lt;7")
  ) /
  (
    COUNTIFS(Base!$W:$W, A136, Base!$S:$S, "&lt;&gt;") +
    COUNTIFS(Base!$X:$X, A136, Base!$S:$S, "&lt;&gt;") +
    COUNTIFS(Base!$Y:$Y, A136, Base!$S:$S, "&lt;&gt;") +
    COUNTIFS(Base!$Z:$Z, A136, Base!$S:$S, "&lt;&gt;")
  )
)
</f>
        <v>-</v>
      </c>
      <c r="F136" s="290">
        <f>SUMIFS(Base!$N:$N,Base!$V:$V,A136,Base!$N:$N,"&lt;&gt;")-SUMIFS(Base!$K:$K,Base!$V:$V,A136,Base!$N:$N,"&lt;&gt;")-(SUMIFS(Base!$L:$L,Base!$V:$V,A136,Base!$N:$N,"&lt;&gt;")*7)</f>
        <v>0</v>
      </c>
      <c r="G136" s="290"/>
      <c r="H136" s="290">
        <f>SUMIFS(Base!$F:$F,Base!$V:$V,A136,Base!$N:$N,"&lt;&gt;")*7</f>
        <v>0</v>
      </c>
      <c r="I136" s="290"/>
      <c r="J136" s="292" t="str">
        <f t="shared" ref="J136:K136" si="137">IFERROR(F136/H136,"-")</f>
        <v>-</v>
      </c>
      <c r="K136" s="292" t="str">
        <f t="shared" si="137"/>
        <v>-</v>
      </c>
      <c r="L136" s="292" t="str">
        <f>IFERROR((COUNTIFS(Base!$V:$V,A136,Base!$U:$U,TRUE))/(COUNTIFS(Base!$V:$V,A136,Base!$O:$O,"Finalizado")+COUNTIFS(Base!$V:$V,A136,Base!$O:$O,"Concluído")),"-")</f>
        <v>-</v>
      </c>
      <c r="M136" s="292">
        <f>IF(
  (
    IFERROR(COUNTIF(Base!$W:$W, A136), 0) +
    IFERROR(COUNTIF(Base!$X:$X, A136), 0) +
    IFERROR(COUNTIF(Base!$Y:$Y, A136), 0) +
    IFERROR(COUNTIF(Base!$Z:$Z, A136), 0)
  ) = 0,
  "-",
  IF(
    (
      IFERROR(COUNTIFS(Base!$W:$W, A136, Base!$O:$O, "Finalizado"), 0) +
      IFERROR(COUNTIFS(Base!$W:$W, A136, Base!$O:$O, "Concluído"), 0) +
      IFERROR(COUNTIFS(Base!$X:$X, A136, Base!$O:$O, "Finalizado"), 0) +
      IFERROR(COUNTIFS(Base!$X:$X, A136, Base!$O:$O, "Concluído"), 0) +
      IFERROR(COUNTIFS(Base!$Y:$Y, A136, Base!$O:$O, "Finalizado"), 0) +
      IFERROR(COUNTIFS(Base!$Y:$Y, A136, Base!$O:$O, "Concluído"), 0) +
      IFERROR(COUNTIFS(Base!$Z:$Z, A136, Base!$O:$O, "Finalizado"), 0) +
      IFERROR(COUNTIFS(Base!$Z:$Z, A136, Base!$O:$O, "Concluído"), 0)
    ) = 0,
    "-",
    (
      IFERROR(COUNTIFS(Base!$W:$W, A136, Base!$U:$U, TRUE), 0) +
      IFERROR(COUNTIFS(Base!$X:$X, A136, Base!$U:$U, TRUE), 0) +
      IFERROR(COUNTIFS(Base!$Y:$Y, A136, Base!$U:$U, TRUE), 0) +
      IFERROR(COUNTIFS(Base!$Z:$Z, A136, Base!$U:$U, TRUE), 0)
    ) /
    (
      IFERROR(COUNTIFS(Base!$W:$W, A136, Base!$O:$O, "Finalizado"), 0) +
      IFERROR(COUNTIFS(Base!$W:$W, A136, Base!$O:$O, "Concluído"), 0) +
      IFERROR(COUNTIFS(Base!$X:$X, A136, Base!$O:$O, "Finalizado"), 0) +
      IFERROR(COUNTIFS(Base!$X:$X, A136, Base!$O:$O, "Concluído"), 0) +
      IFERROR(COUNTIFS(Base!$Y:$Y, A136, Base!$O:$O, "Finalizado"), 0) +
      IFERROR(COUNTIFS(Base!$Y:$Y, A136, Base!$O:$O, "Concluído"), 0) +
      IFERROR(COUNTIFS(Base!$Z:$Z, A136, Base!$O:$O, "Finalizado"), 0) +
      IFERROR(COUNTIFS(Base!$Z:$Z, A136, Base!$O:$O, "Concluído"), 0)
    )
  )
)
</f>
        <v>0</v>
      </c>
      <c r="N136" s="120">
        <f>COUNTIF(Base!V:V,$A136)</f>
        <v>3</v>
      </c>
      <c r="O136" s="120">
        <f>COUNTIF(Base!W:W,$A136)</f>
        <v>0</v>
      </c>
      <c r="P136" s="120">
        <f>COUNTIF(Base!X:X,$A136)</f>
        <v>0</v>
      </c>
      <c r="Q136" s="120">
        <f>COUNTIF(Base!Y:Y,$A136)</f>
        <v>1</v>
      </c>
      <c r="R136" s="120">
        <f>COUNTIF(Base!Z:Z,$A136)</f>
        <v>0</v>
      </c>
      <c r="S136" s="120">
        <f t="shared" si="3"/>
        <v>4</v>
      </c>
      <c r="T136" s="120">
        <f t="shared" si="4"/>
        <v>1</v>
      </c>
      <c r="V136" s="293">
        <f>IF(
  (
    COUNTIF('Acompanhamento quinzenal'!$N:$N, A136) +
    COUNTIF('Acompanhamento quinzenal'!$T:$T, A136) +
    COUNTIF('Acompanhamento quinzenal'!$Z:$Z, A136) +
    COUNTIF('Acompanhamento quinzenal'!$AF:$AF, A136)
  ) = 0,
  "-",
  (
    IFERROR(SUMIFS('Acompanhamento quinzenal'!$S:$S, 'Acompanhamento quinzenal'!$N:$N, A136), 0) +
    IFERROR(SUMIFS('Acompanhamento quinzenal'!$Y:$Y, 'Acompanhamento quinzenal'!$T:$T, A136), 0) +
    IFERROR(SUMIFS('Acompanhamento quinzenal'!$AE:$AE, 'Acompanhamento quinzenal'!$Z:$Z, A136), 0) +
    IFERROR(SUMIFS('Acompanhamento quinzenal'!$AK:$AK, 'Acompanhamento quinzenal'!$AF:$AF, A136), 0)
  ) /
  (
    COUNTIF('Acompanhamento quinzenal'!$N:$N, A136) +
    COUNTIF('Acompanhamento quinzenal'!$T:$T, A136) +
    COUNTIF('Acompanhamento quinzenal'!$Z:$Z, A136) +
    COUNTIF('Acompanhamento quinzenal'!$AF:$AF, A136)
  )
)
</f>
        <v>4.333333333</v>
      </c>
      <c r="W136" s="293">
        <f>IF(
  (
    COUNTIF('Acompanhamento quinzenal'!$N:$N, A136) +
    COUNTIF('Acompanhamento quinzenal'!$T:$T, A136) +
    COUNTIF('Acompanhamento quinzenal'!$Z:$Z, A136) +
    COUNTIF('Acompanhamento quinzenal'!$AF:$AF, A136)
  ) = 0,
  "-",
  (
    IFERROR(SUMIFS('Acompanhamento quinzenal'!$O:$O, 'Acompanhamento quinzenal'!$N:$N, A136), 0) +
    IFERROR(SUMIFS('Acompanhamento quinzenal'!$U:$U, 'Acompanhamento quinzenal'!$T:$T, A136), 0) +
    IFERROR(SUMIFS('Acompanhamento quinzenal'!$AA:$AA, 'Acompanhamento quinzenal'!$Z:$Z, A136), 0) +
    IFERROR(SUMIFS('Acompanhamento quinzenal'!$AG:$AG, 'Acompanhamento quinzenal'!$AF:$AF, A136), 0)
  ) /
  (
    COUNTIF('Acompanhamento quinzenal'!$N:$N, A136) +
    COUNTIF('Acompanhamento quinzenal'!$T:$T, A136) +
    COUNTIF('Acompanhamento quinzenal'!$Z:$Z, A136) +
    COUNTIF('Acompanhamento quinzenal'!$AF:$AF, A136)
  )
)
</f>
        <v>5</v>
      </c>
      <c r="X136" s="294">
        <f>IF(
  (
    COUNTIF('Acompanhamento quinzenal'!$N:$N, A136) +
    COUNTIF('Acompanhamento quinzenal'!$T:$T, A136) +
    COUNTIF('Acompanhamento quinzenal'!$Z:$Z, A136) +
    COUNTIF('Acompanhamento quinzenal'!$AF:$AF, A136)
  ) = 0,
  "-",
  (
    IFERROR(SUMIFS('Acompanhamento quinzenal'!$P:$P, 'Acompanhamento quinzenal'!$N:$N, A136), 0) +
    IFERROR(SUMIFS('Acompanhamento quinzenal'!$V:$V, 'Acompanhamento quinzenal'!$T:$T, A136), 0) +
    IFERROR(SUMIFS('Acompanhamento quinzenal'!$AB:$AB, 'Acompanhamento quinzenal'!$Z:$Z, A136), 0) +
    IFERROR(SUMIFS('Acompanhamento quinzenal'!$AH:$AH, 'Acompanhamento quinzenal'!$AF:$AF, A136), 0)
  ) /
  (
    COUNTIF('Acompanhamento quinzenal'!$N:$N, A136) +
    COUNTIF('Acompanhamento quinzenal'!$T:$T, A136) +
    COUNTIF('Acompanhamento quinzenal'!$Z:$Z, A136) +
    COUNTIF('Acompanhamento quinzenal'!$AF:$AF, A136)
  )
)
</f>
        <v>4</v>
      </c>
      <c r="Y136" s="293">
        <f>IF(
  (
    COUNTIF('Acompanhamento quinzenal'!$N:$N, A136) +
    COUNTIF('Acompanhamento quinzenal'!$T:$T, A136) +
    COUNTIF('Acompanhamento quinzenal'!$Z:$Z, A136) +
    COUNTIF('Acompanhamento quinzenal'!$AF:$AF, A136)
  ) = 0,
  "-",
  (
    IFERROR(SUMIFS('Acompanhamento quinzenal'!$Q:$Q, 'Acompanhamento quinzenal'!$N:$N, A136), 0) +
    IFERROR(SUMIFS('Acompanhamento quinzenal'!$W:$W, 'Acompanhamento quinzenal'!$T:$T, A136), 0) +
    IFERROR(SUMIFS('Acompanhamento quinzenal'!$AC:$AC, 'Acompanhamento quinzenal'!$Z:$Z, A136), 0) +
    IFERROR(SUMIFS('Acompanhamento quinzenal'!$AI:$AI, 'Acompanhamento quinzenal'!$AF:$AF, A136), 0)
  ) /
  (
    COUNTIF('Acompanhamento quinzenal'!$N:$N, A136) +
    COUNTIF('Acompanhamento quinzenal'!$T:$T, A136) +
    COUNTIF('Acompanhamento quinzenal'!$Z:$Z, A136) +
    COUNTIF('Acompanhamento quinzenal'!$AF:$AF, A136)
  )
)
</f>
        <v>4</v>
      </c>
    </row>
    <row r="137" hidden="1">
      <c r="A137" s="291" t="str">
        <f>IFERROR(__xludf.DUMMYFUNCTION("""COMPUTED_VALUE"""),"matheus.nascimento")</f>
        <v>matheus.nascimento</v>
      </c>
      <c r="B137" s="120" t="str">
        <f>IFERROR(__xludf.DUMMYFUNCTION("""COMPUTED_VALUE"""),"Consultor")</f>
        <v>Consultor</v>
      </c>
      <c r="C137" s="120" t="str">
        <f>IFERROR(__xludf.DUMMYFUNCTION("""COMPUTED_VALUE"""),"NTec")</f>
        <v>NTec</v>
      </c>
      <c r="D137" s="292" t="str">
        <f>IFERROR((COUNTIFS(Base!$V:$V,A137,Base!$S:$S,"&gt;8") - COUNTIFS(Base!$V:$V,A137,Base!$S:$S,"&lt;7"))/COUNTIFS(Base!$V:$V,A137,Base!$S:$S,"&lt;&gt;"),"-")</f>
        <v>-</v>
      </c>
      <c r="E137" s="292" t="str">
        <f>IF(
  (
    COUNTIFS(Base!$W:$W, A137, Base!$S:$S, "&lt;&gt;") +
    COUNTIFS(Base!$X:$X, A137, Base!$S:$S, "&lt;&gt;") +
    COUNTIFS(Base!$Y:$Y, A137, Base!$S:$S, "&lt;&gt;") +
    COUNTIFS(Base!$Z:$Z, A137, Base!$S:$S, "&lt;&gt;")
  ) = 0,
  "-",
  (
    COUNTIFS(Base!$W:$W, A137, Base!$S:$S, "&gt;8") - COUNTIFS(Base!$W:$W, A137, Base!$S:$S, "&lt;7") +
    COUNTIFS(Base!$X:$X, A137, Base!$S:$S, "&gt;8") - COUNTIFS(Base!$X:$X, A137, Base!$S:$S, "&lt;7") +
    COUNTIFS(Base!$Y:$Y, A137, Base!$S:$S, "&gt;8") - COUNTIFS(Base!$Y:$Y, A137, Base!$S:$S, "&lt;7") +
    COUNTIFS(Base!$Z:$Z, A137, Base!$S:$S, "&gt;8") - COUNTIFS(Base!$Z:$Z, A137, Base!$S:$S, "&lt;7")
  ) /
  (
    COUNTIFS(Base!$W:$W, A137, Base!$S:$S, "&lt;&gt;") +
    COUNTIFS(Base!$X:$X, A137, Base!$S:$S, "&lt;&gt;") +
    COUNTIFS(Base!$Y:$Y, A137, Base!$S:$S, "&lt;&gt;") +
    COUNTIFS(Base!$Z:$Z, A137, Base!$S:$S, "&lt;&gt;")
  )
)
</f>
        <v>-</v>
      </c>
      <c r="F137" s="290">
        <f>SUMIFS(Base!$N:$N,Base!$V:$V,A137,Base!$N:$N,"&lt;&gt;")-SUMIFS(Base!$K:$K,Base!$V:$V,A137,Base!$N:$N,"&lt;&gt;")-(SUMIFS(Base!$L:$L,Base!$V:$V,A137,Base!$N:$N,"&lt;&gt;")*7)</f>
        <v>0</v>
      </c>
      <c r="G137" s="290"/>
      <c r="H137" s="290">
        <f>SUMIFS(Base!$F:$F,Base!$V:$V,A137,Base!$N:$N,"&lt;&gt;")*7</f>
        <v>0</v>
      </c>
      <c r="I137" s="290"/>
      <c r="J137" s="292" t="str">
        <f t="shared" ref="J137:K137" si="138">IFERROR(F137/H137,"-")</f>
        <v>-</v>
      </c>
      <c r="K137" s="292" t="str">
        <f t="shared" si="138"/>
        <v>-</v>
      </c>
      <c r="L137" s="292" t="str">
        <f>IFERROR((COUNTIFS(Base!$V:$V,A137,Base!$U:$U,TRUE))/(COUNTIFS(Base!$V:$V,A137,Base!$O:$O,"Finalizado")+COUNTIFS(Base!$V:$V,A137,Base!$O:$O,"Concluído")),"-")</f>
        <v>-</v>
      </c>
      <c r="M137" s="292" t="str">
        <f>IF(
  (
    IFERROR(COUNTIF(Base!$W:$W, A137), 0) +
    IFERROR(COUNTIF(Base!$X:$X, A137), 0) +
    IFERROR(COUNTIF(Base!$Y:$Y, A137), 0) +
    IFERROR(COUNTIF(Base!$Z:$Z, A137), 0)
  ) = 0,
  "-",
  IF(
    (
      IFERROR(COUNTIFS(Base!$W:$W, A137, Base!$O:$O, "Finalizado"), 0) +
      IFERROR(COUNTIFS(Base!$W:$W, A137, Base!$O:$O, "Concluído"), 0) +
      IFERROR(COUNTIFS(Base!$X:$X, A137, Base!$O:$O, "Finalizado"), 0) +
      IFERROR(COUNTIFS(Base!$X:$X, A137, Base!$O:$O, "Concluído"), 0) +
      IFERROR(COUNTIFS(Base!$Y:$Y, A137, Base!$O:$O, "Finalizado"), 0) +
      IFERROR(COUNTIFS(Base!$Y:$Y, A137, Base!$O:$O, "Concluído"), 0) +
      IFERROR(COUNTIFS(Base!$Z:$Z, A137, Base!$O:$O, "Finalizado"), 0) +
      IFERROR(COUNTIFS(Base!$Z:$Z, A137, Base!$O:$O, "Concluído"), 0)
    ) = 0,
    "-",
    (
      IFERROR(COUNTIFS(Base!$W:$W, A137, Base!$U:$U, TRUE), 0) +
      IFERROR(COUNTIFS(Base!$X:$X, A137, Base!$U:$U, TRUE), 0) +
      IFERROR(COUNTIFS(Base!$Y:$Y, A137, Base!$U:$U, TRUE), 0) +
      IFERROR(COUNTIFS(Base!$Z:$Z, A137, Base!$U:$U, TRUE), 0)
    ) /
    (
      IFERROR(COUNTIFS(Base!$W:$W, A137, Base!$O:$O, "Finalizado"), 0) +
      IFERROR(COUNTIFS(Base!$W:$W, A137, Base!$O:$O, "Concluído"), 0) +
      IFERROR(COUNTIFS(Base!$X:$X, A137, Base!$O:$O, "Finalizado"), 0) +
      IFERROR(COUNTIFS(Base!$X:$X, A137, Base!$O:$O, "Concluído"), 0) +
      IFERROR(COUNTIFS(Base!$Y:$Y, A137, Base!$O:$O, "Finalizado"), 0) +
      IFERROR(COUNTIFS(Base!$Y:$Y, A137, Base!$O:$O, "Concluído"), 0) +
      IFERROR(COUNTIFS(Base!$Z:$Z, A137, Base!$O:$O, "Finalizado"), 0) +
      IFERROR(COUNTIFS(Base!$Z:$Z, A137, Base!$O:$O, "Concluído"), 0)
    )
  )
)
</f>
        <v>-</v>
      </c>
      <c r="N137" s="120">
        <f>COUNTIF(Base!V:V,$A137)</f>
        <v>0</v>
      </c>
      <c r="O137" s="120">
        <f>COUNTIF(Base!W:W,$A137)</f>
        <v>0</v>
      </c>
      <c r="P137" s="120">
        <f>COUNTIF(Base!X:X,$A137)</f>
        <v>0</v>
      </c>
      <c r="Q137" s="120">
        <f>COUNTIF(Base!Y:Y,$A137)</f>
        <v>2</v>
      </c>
      <c r="R137" s="120">
        <f>COUNTIF(Base!Z:Z,$A137)</f>
        <v>0</v>
      </c>
      <c r="S137" s="120">
        <f t="shared" si="3"/>
        <v>2</v>
      </c>
      <c r="T137" s="120">
        <f t="shared" si="4"/>
        <v>2</v>
      </c>
      <c r="V137" s="293">
        <f>IF(
  (
    COUNTIF('Acompanhamento quinzenal'!$N:$N, A137) +
    COUNTIF('Acompanhamento quinzenal'!$T:$T, A137) +
    COUNTIF('Acompanhamento quinzenal'!$Z:$Z, A137) +
    COUNTIF('Acompanhamento quinzenal'!$AF:$AF, A137)
  ) = 0,
  "-",
  (
    IFERROR(SUMIFS('Acompanhamento quinzenal'!$S:$S, 'Acompanhamento quinzenal'!$N:$N, A137), 0) +
    IFERROR(SUMIFS('Acompanhamento quinzenal'!$Y:$Y, 'Acompanhamento quinzenal'!$T:$T, A137), 0) +
    IFERROR(SUMIFS('Acompanhamento quinzenal'!$AE:$AE, 'Acompanhamento quinzenal'!$Z:$Z, A137), 0) +
    IFERROR(SUMIFS('Acompanhamento quinzenal'!$AK:$AK, 'Acompanhamento quinzenal'!$AF:$AF, A137), 0)
  ) /
  (
    COUNTIF('Acompanhamento quinzenal'!$N:$N, A137) +
    COUNTIF('Acompanhamento quinzenal'!$T:$T, A137) +
    COUNTIF('Acompanhamento quinzenal'!$Z:$Z, A137) +
    COUNTIF('Acompanhamento quinzenal'!$AF:$AF, A137)
  )
)
</f>
        <v>2.083333333</v>
      </c>
      <c r="W137" s="293">
        <f>IF(
  (
    COUNTIF('Acompanhamento quinzenal'!$N:$N, A137) +
    COUNTIF('Acompanhamento quinzenal'!$T:$T, A137) +
    COUNTIF('Acompanhamento quinzenal'!$Z:$Z, A137) +
    COUNTIF('Acompanhamento quinzenal'!$AF:$AF, A137)
  ) = 0,
  "-",
  (
    IFERROR(SUMIFS('Acompanhamento quinzenal'!$O:$O, 'Acompanhamento quinzenal'!$N:$N, A137), 0) +
    IFERROR(SUMIFS('Acompanhamento quinzenal'!$U:$U, 'Acompanhamento quinzenal'!$T:$T, A137), 0) +
    IFERROR(SUMIFS('Acompanhamento quinzenal'!$AA:$AA, 'Acompanhamento quinzenal'!$Z:$Z, A137), 0) +
    IFERROR(SUMIFS('Acompanhamento quinzenal'!$AG:$AG, 'Acompanhamento quinzenal'!$AF:$AF, A137), 0)
  ) /
  (
    COUNTIF('Acompanhamento quinzenal'!$N:$N, A137) +
    COUNTIF('Acompanhamento quinzenal'!$T:$T, A137) +
    COUNTIF('Acompanhamento quinzenal'!$Z:$Z, A137) +
    COUNTIF('Acompanhamento quinzenal'!$AF:$AF, A137)
  )
)
</f>
        <v>2</v>
      </c>
      <c r="X137" s="294">
        <f>IF(
  (
    COUNTIF('Acompanhamento quinzenal'!$N:$N, A137) +
    COUNTIF('Acompanhamento quinzenal'!$T:$T, A137) +
    COUNTIF('Acompanhamento quinzenal'!$Z:$Z, A137) +
    COUNTIF('Acompanhamento quinzenal'!$AF:$AF, A137)
  ) = 0,
  "-",
  (
    IFERROR(SUMIFS('Acompanhamento quinzenal'!$P:$P, 'Acompanhamento quinzenal'!$N:$N, A137), 0) +
    IFERROR(SUMIFS('Acompanhamento quinzenal'!$V:$V, 'Acompanhamento quinzenal'!$T:$T, A137), 0) +
    IFERROR(SUMIFS('Acompanhamento quinzenal'!$AB:$AB, 'Acompanhamento quinzenal'!$Z:$Z, A137), 0) +
    IFERROR(SUMIFS('Acompanhamento quinzenal'!$AH:$AH, 'Acompanhamento quinzenal'!$AF:$AF, A137), 0)
  ) /
  (
    COUNTIF('Acompanhamento quinzenal'!$N:$N, A137) +
    COUNTIF('Acompanhamento quinzenal'!$T:$T, A137) +
    COUNTIF('Acompanhamento quinzenal'!$Z:$Z, A137) +
    COUNTIF('Acompanhamento quinzenal'!$AF:$AF, A137)
  )
)
</f>
        <v>2.25</v>
      </c>
      <c r="Y137" s="293">
        <f>IF(
  (
    COUNTIF('Acompanhamento quinzenal'!$N:$N, A137) +
    COUNTIF('Acompanhamento quinzenal'!$T:$T, A137) +
    COUNTIF('Acompanhamento quinzenal'!$Z:$Z, A137) +
    COUNTIF('Acompanhamento quinzenal'!$AF:$AF, A137)
  ) = 0,
  "-",
  (
    IFERROR(SUMIFS('Acompanhamento quinzenal'!$Q:$Q, 'Acompanhamento quinzenal'!$N:$N, A137), 0) +
    IFERROR(SUMIFS('Acompanhamento quinzenal'!$W:$W, 'Acompanhamento quinzenal'!$T:$T, A137), 0) +
    IFERROR(SUMIFS('Acompanhamento quinzenal'!$AC:$AC, 'Acompanhamento quinzenal'!$Z:$Z, A137), 0) +
    IFERROR(SUMIFS('Acompanhamento quinzenal'!$AI:$AI, 'Acompanhamento quinzenal'!$AF:$AF, A137), 0)
  ) /
  (
    COUNTIF('Acompanhamento quinzenal'!$N:$N, A137) +
    COUNTIF('Acompanhamento quinzenal'!$T:$T, A137) +
    COUNTIF('Acompanhamento quinzenal'!$Z:$Z, A137) +
    COUNTIF('Acompanhamento quinzenal'!$AF:$AF, A137)
  )
)
</f>
        <v>2</v>
      </c>
    </row>
    <row r="138" hidden="1">
      <c r="A138" s="291" t="str">
        <f>IFERROR(__xludf.DUMMYFUNCTION("""COMPUTED_VALUE"""),"matheus.romano")</f>
        <v>matheus.romano</v>
      </c>
      <c r="B138" s="120" t="str">
        <f>IFERROR(__xludf.DUMMYFUNCTION("""COMPUTED_VALUE"""),"Trainee")</f>
        <v>Trainee</v>
      </c>
      <c r="C138" s="120" t="str">
        <f>IFERROR(__xludf.DUMMYFUNCTION("""COMPUTED_VALUE"""),"NTec")</f>
        <v>NTec</v>
      </c>
      <c r="D138" s="292" t="str">
        <f>IFERROR((COUNTIFS(Base!$V:$V,A138,Base!$S:$S,"&gt;8") - COUNTIFS(Base!$V:$V,A138,Base!$S:$S,"&lt;7"))/COUNTIFS(Base!$V:$V,A138,Base!$S:$S,"&lt;&gt;"),"-")</f>
        <v>-</v>
      </c>
      <c r="E138" s="292" t="str">
        <f>IF(
  (
    COUNTIFS(Base!$W:$W, A138, Base!$S:$S, "&lt;&gt;") +
    COUNTIFS(Base!$X:$X, A138, Base!$S:$S, "&lt;&gt;") +
    COUNTIFS(Base!$Y:$Y, A138, Base!$S:$S, "&lt;&gt;") +
    COUNTIFS(Base!$Z:$Z, A138, Base!$S:$S, "&lt;&gt;")
  ) = 0,
  "-",
  (
    COUNTIFS(Base!$W:$W, A138, Base!$S:$S, "&gt;8") - COUNTIFS(Base!$W:$W, A138, Base!$S:$S, "&lt;7") +
    COUNTIFS(Base!$X:$X, A138, Base!$S:$S, "&gt;8") - COUNTIFS(Base!$X:$X, A138, Base!$S:$S, "&lt;7") +
    COUNTIFS(Base!$Y:$Y, A138, Base!$S:$S, "&gt;8") - COUNTIFS(Base!$Y:$Y, A138, Base!$S:$S, "&lt;7") +
    COUNTIFS(Base!$Z:$Z, A138, Base!$S:$S, "&gt;8") - COUNTIFS(Base!$Z:$Z, A138, Base!$S:$S, "&lt;7")
  ) /
  (
    COUNTIFS(Base!$W:$W, A138, Base!$S:$S, "&lt;&gt;") +
    COUNTIFS(Base!$X:$X, A138, Base!$S:$S, "&lt;&gt;") +
    COUNTIFS(Base!$Y:$Y, A138, Base!$S:$S, "&lt;&gt;") +
    COUNTIFS(Base!$Z:$Z, A138, Base!$S:$S, "&lt;&gt;")
  )
)
</f>
        <v>-</v>
      </c>
      <c r="F138" s="290">
        <f>SUMIFS(Base!$N:$N,Base!$V:$V,A138,Base!$N:$N,"&lt;&gt;")-SUMIFS(Base!$K:$K,Base!$V:$V,A138,Base!$N:$N,"&lt;&gt;")-(SUMIFS(Base!$L:$L,Base!$V:$V,A138,Base!$N:$N,"&lt;&gt;")*7)</f>
        <v>0</v>
      </c>
      <c r="G138" s="290"/>
      <c r="H138" s="290">
        <f>SUMIFS(Base!$F:$F,Base!$V:$V,A138,Base!$N:$N,"&lt;&gt;")*7</f>
        <v>0</v>
      </c>
      <c r="I138" s="290"/>
      <c r="J138" s="292" t="str">
        <f t="shared" ref="J138:K138" si="139">IFERROR(F138/H138,"-")</f>
        <v>-</v>
      </c>
      <c r="K138" s="292" t="str">
        <f t="shared" si="139"/>
        <v>-</v>
      </c>
      <c r="L138" s="292" t="str">
        <f>IFERROR((COUNTIFS(Base!$V:$V,A138,Base!$U:$U,TRUE))/(COUNTIFS(Base!$V:$V,A138,Base!$O:$O,"Finalizado")+COUNTIFS(Base!$V:$V,A138,Base!$O:$O,"Concluído")),"-")</f>
        <v>-</v>
      </c>
      <c r="M138" s="292" t="str">
        <f>IF(
  (
    IFERROR(COUNTIF(Base!$W:$W, A138), 0) +
    IFERROR(COUNTIF(Base!$X:$X, A138), 0) +
    IFERROR(COUNTIF(Base!$Y:$Y, A138), 0) +
    IFERROR(COUNTIF(Base!$Z:$Z, A138), 0)
  ) = 0,
  "-",
  IF(
    (
      IFERROR(COUNTIFS(Base!$W:$W, A138, Base!$O:$O, "Finalizado"), 0) +
      IFERROR(COUNTIFS(Base!$W:$W, A138, Base!$O:$O, "Concluído"), 0) +
      IFERROR(COUNTIFS(Base!$X:$X, A138, Base!$O:$O, "Finalizado"), 0) +
      IFERROR(COUNTIFS(Base!$X:$X, A138, Base!$O:$O, "Concluído"), 0) +
      IFERROR(COUNTIFS(Base!$Y:$Y, A138, Base!$O:$O, "Finalizado"), 0) +
      IFERROR(COUNTIFS(Base!$Y:$Y, A138, Base!$O:$O, "Concluído"), 0) +
      IFERROR(COUNTIFS(Base!$Z:$Z, A138, Base!$O:$O, "Finalizado"), 0) +
      IFERROR(COUNTIFS(Base!$Z:$Z, A138, Base!$O:$O, "Concluído"), 0)
    ) = 0,
    "-",
    (
      IFERROR(COUNTIFS(Base!$W:$W, A138, Base!$U:$U, TRUE), 0) +
      IFERROR(COUNTIFS(Base!$X:$X, A138, Base!$U:$U, TRUE), 0) +
      IFERROR(COUNTIFS(Base!$Y:$Y, A138, Base!$U:$U, TRUE), 0) +
      IFERROR(COUNTIFS(Base!$Z:$Z, A138, Base!$U:$U, TRUE), 0)
    ) /
    (
      IFERROR(COUNTIFS(Base!$W:$W, A138, Base!$O:$O, "Finalizado"), 0) +
      IFERROR(COUNTIFS(Base!$W:$W, A138, Base!$O:$O, "Concluído"), 0) +
      IFERROR(COUNTIFS(Base!$X:$X, A138, Base!$O:$O, "Finalizado"), 0) +
      IFERROR(COUNTIFS(Base!$X:$X, A138, Base!$O:$O, "Concluído"), 0) +
      IFERROR(COUNTIFS(Base!$Y:$Y, A138, Base!$O:$O, "Finalizado"), 0) +
      IFERROR(COUNTIFS(Base!$Y:$Y, A138, Base!$O:$O, "Concluído"), 0) +
      IFERROR(COUNTIFS(Base!$Z:$Z, A138, Base!$O:$O, "Finalizado"), 0) +
      IFERROR(COUNTIFS(Base!$Z:$Z, A138, Base!$O:$O, "Concluído"), 0)
    )
  )
)
</f>
        <v>-</v>
      </c>
      <c r="N138" s="120">
        <f>COUNTIF(Base!V:V,$A138)</f>
        <v>0</v>
      </c>
      <c r="O138" s="120">
        <f>COUNTIF(Base!W:W,$A138)</f>
        <v>0</v>
      </c>
      <c r="P138" s="120">
        <f>COUNTIF(Base!X:X,$A138)</f>
        <v>1</v>
      </c>
      <c r="Q138" s="120">
        <f>COUNTIF(Base!Y:Y,$A138)</f>
        <v>0</v>
      </c>
      <c r="R138" s="120">
        <f>COUNTIF(Base!Z:Z,$A138)</f>
        <v>1</v>
      </c>
      <c r="S138" s="120">
        <f t="shared" si="3"/>
        <v>2</v>
      </c>
      <c r="T138" s="120">
        <f t="shared" si="4"/>
        <v>2</v>
      </c>
      <c r="V138" s="293" t="str">
        <f>IF(
  (
    COUNTIF('Acompanhamento quinzenal'!$N:$N, A138) +
    COUNTIF('Acompanhamento quinzenal'!$T:$T, A138) +
    COUNTIF('Acompanhamento quinzenal'!$Z:$Z, A138) +
    COUNTIF('Acompanhamento quinzenal'!$AF:$AF, A138)
  ) = 0,
  "-",
  (
    IFERROR(SUMIFS('Acompanhamento quinzenal'!$S:$S, 'Acompanhamento quinzenal'!$N:$N, A138), 0) +
    IFERROR(SUMIFS('Acompanhamento quinzenal'!$Y:$Y, 'Acompanhamento quinzenal'!$T:$T, A138), 0) +
    IFERROR(SUMIFS('Acompanhamento quinzenal'!$AE:$AE, 'Acompanhamento quinzenal'!$Z:$Z, A138), 0) +
    IFERROR(SUMIFS('Acompanhamento quinzenal'!$AK:$AK, 'Acompanhamento quinzenal'!$AF:$AF, A138), 0)
  ) /
  (
    COUNTIF('Acompanhamento quinzenal'!$N:$N, A138) +
    COUNTIF('Acompanhamento quinzenal'!$T:$T, A138) +
    COUNTIF('Acompanhamento quinzenal'!$Z:$Z, A138) +
    COUNTIF('Acompanhamento quinzenal'!$AF:$AF, A138)
  )
)
</f>
        <v>-</v>
      </c>
      <c r="W138" s="293" t="str">
        <f>IF(
  (
    COUNTIF('Acompanhamento quinzenal'!$N:$N, A138) +
    COUNTIF('Acompanhamento quinzenal'!$T:$T, A138) +
    COUNTIF('Acompanhamento quinzenal'!$Z:$Z, A138) +
    COUNTIF('Acompanhamento quinzenal'!$AF:$AF, A138)
  ) = 0,
  "-",
  (
    IFERROR(SUMIFS('Acompanhamento quinzenal'!$O:$O, 'Acompanhamento quinzenal'!$N:$N, A138), 0) +
    IFERROR(SUMIFS('Acompanhamento quinzenal'!$U:$U, 'Acompanhamento quinzenal'!$T:$T, A138), 0) +
    IFERROR(SUMIFS('Acompanhamento quinzenal'!$AA:$AA, 'Acompanhamento quinzenal'!$Z:$Z, A138), 0) +
    IFERROR(SUMIFS('Acompanhamento quinzenal'!$AG:$AG, 'Acompanhamento quinzenal'!$AF:$AF, A138), 0)
  ) /
  (
    COUNTIF('Acompanhamento quinzenal'!$N:$N, A138) +
    COUNTIF('Acompanhamento quinzenal'!$T:$T, A138) +
    COUNTIF('Acompanhamento quinzenal'!$Z:$Z, A138) +
    COUNTIF('Acompanhamento quinzenal'!$AF:$AF, A138)
  )
)
</f>
        <v>-</v>
      </c>
      <c r="X138" s="294" t="str">
        <f>IF(
  (
    COUNTIF('Acompanhamento quinzenal'!$N:$N, A138) +
    COUNTIF('Acompanhamento quinzenal'!$T:$T, A138) +
    COUNTIF('Acompanhamento quinzenal'!$Z:$Z, A138) +
    COUNTIF('Acompanhamento quinzenal'!$AF:$AF, A138)
  ) = 0,
  "-",
  (
    IFERROR(SUMIFS('Acompanhamento quinzenal'!$P:$P, 'Acompanhamento quinzenal'!$N:$N, A138), 0) +
    IFERROR(SUMIFS('Acompanhamento quinzenal'!$V:$V, 'Acompanhamento quinzenal'!$T:$T, A138), 0) +
    IFERROR(SUMIFS('Acompanhamento quinzenal'!$AB:$AB, 'Acompanhamento quinzenal'!$Z:$Z, A138), 0) +
    IFERROR(SUMIFS('Acompanhamento quinzenal'!$AH:$AH, 'Acompanhamento quinzenal'!$AF:$AF, A138), 0)
  ) /
  (
    COUNTIF('Acompanhamento quinzenal'!$N:$N, A138) +
    COUNTIF('Acompanhamento quinzenal'!$T:$T, A138) +
    COUNTIF('Acompanhamento quinzenal'!$Z:$Z, A138) +
    COUNTIF('Acompanhamento quinzenal'!$AF:$AF, A138)
  )
)
</f>
        <v>-</v>
      </c>
      <c r="Y138" s="293" t="str">
        <f>IF(
  (
    COUNTIF('Acompanhamento quinzenal'!$N:$N, A138) +
    COUNTIF('Acompanhamento quinzenal'!$T:$T, A138) +
    COUNTIF('Acompanhamento quinzenal'!$Z:$Z, A138) +
    COUNTIF('Acompanhamento quinzenal'!$AF:$AF, A138)
  ) = 0,
  "-",
  (
    IFERROR(SUMIFS('Acompanhamento quinzenal'!$Q:$Q, 'Acompanhamento quinzenal'!$N:$N, A138), 0) +
    IFERROR(SUMIFS('Acompanhamento quinzenal'!$W:$W, 'Acompanhamento quinzenal'!$T:$T, A138), 0) +
    IFERROR(SUMIFS('Acompanhamento quinzenal'!$AC:$AC, 'Acompanhamento quinzenal'!$Z:$Z, A138), 0) +
    IFERROR(SUMIFS('Acompanhamento quinzenal'!$AI:$AI, 'Acompanhamento quinzenal'!$AF:$AF, A138), 0)
  ) /
  (
    COUNTIF('Acompanhamento quinzenal'!$N:$N, A138) +
    COUNTIF('Acompanhamento quinzenal'!$T:$T, A138) +
    COUNTIF('Acompanhamento quinzenal'!$Z:$Z, A138) +
    COUNTIF('Acompanhamento quinzenal'!$AF:$AF, A138)
  )
)
</f>
        <v>-</v>
      </c>
    </row>
    <row r="139" hidden="1">
      <c r="A139" s="291" t="str">
        <f>IFERROR(__xludf.DUMMYFUNCTION("""COMPUTED_VALUE"""),"matheus.anvar")</f>
        <v>matheus.anvar</v>
      </c>
      <c r="B139" s="120" t="str">
        <f>IFERROR(__xludf.DUMMYFUNCTION("""COMPUTED_VALUE"""),"Conselheiro")</f>
        <v>Conselheiro</v>
      </c>
      <c r="C139" s="120" t="str">
        <f>IFERROR(__xludf.DUMMYFUNCTION("""COMPUTED_VALUE"""),"Anucleado")</f>
        <v>Anucleado</v>
      </c>
      <c r="D139" s="292" t="str">
        <f>IFERROR((COUNTIFS(Base!$V:$V,A139,Base!$S:$S,"&gt;8") - COUNTIFS(Base!$V:$V,A139,Base!$S:$S,"&lt;7"))/COUNTIFS(Base!$V:$V,A139,Base!$S:$S,"&lt;&gt;"),"-")</f>
        <v>-</v>
      </c>
      <c r="E139" s="292" t="str">
        <f>IF(
  (
    COUNTIFS(Base!$W:$W, A139, Base!$S:$S, "&lt;&gt;") +
    COUNTIFS(Base!$X:$X, A139, Base!$S:$S, "&lt;&gt;") +
    COUNTIFS(Base!$Y:$Y, A139, Base!$S:$S, "&lt;&gt;") +
    COUNTIFS(Base!$Z:$Z, A139, Base!$S:$S, "&lt;&gt;")
  ) = 0,
  "-",
  (
    COUNTIFS(Base!$W:$W, A139, Base!$S:$S, "&gt;8") - COUNTIFS(Base!$W:$W, A139, Base!$S:$S, "&lt;7") +
    COUNTIFS(Base!$X:$X, A139, Base!$S:$S, "&gt;8") - COUNTIFS(Base!$X:$X, A139, Base!$S:$S, "&lt;7") +
    COUNTIFS(Base!$Y:$Y, A139, Base!$S:$S, "&gt;8") - COUNTIFS(Base!$Y:$Y, A139, Base!$S:$S, "&lt;7") +
    COUNTIFS(Base!$Z:$Z, A139, Base!$S:$S, "&gt;8") - COUNTIFS(Base!$Z:$Z, A139, Base!$S:$S, "&lt;7")
  ) /
  (
    COUNTIFS(Base!$W:$W, A139, Base!$S:$S, "&lt;&gt;") +
    COUNTIFS(Base!$X:$X, A139, Base!$S:$S, "&lt;&gt;") +
    COUNTIFS(Base!$Y:$Y, A139, Base!$S:$S, "&lt;&gt;") +
    COUNTIFS(Base!$Z:$Z, A139, Base!$S:$S, "&lt;&gt;")
  )
)
</f>
        <v>-</v>
      </c>
      <c r="F139" s="290">
        <f>SUMIFS(Base!$N:$N,Base!$V:$V,A139,Base!$N:$N,"&lt;&gt;")-SUMIFS(Base!$K:$K,Base!$V:$V,A139,Base!$N:$N,"&lt;&gt;")-(SUMIFS(Base!$L:$L,Base!$V:$V,A139,Base!$N:$N,"&lt;&gt;")*7)</f>
        <v>0</v>
      </c>
      <c r="G139" s="290"/>
      <c r="H139" s="290">
        <f>SUMIFS(Base!$F:$F,Base!$V:$V,A139,Base!$N:$N,"&lt;&gt;")*7</f>
        <v>0</v>
      </c>
      <c r="I139" s="290"/>
      <c r="J139" s="292" t="str">
        <f t="shared" ref="J139:K139" si="140">IFERROR(F139/H139,"-")</f>
        <v>-</v>
      </c>
      <c r="K139" s="292" t="str">
        <f t="shared" si="140"/>
        <v>-</v>
      </c>
      <c r="L139" s="292" t="str">
        <f>IFERROR((COUNTIFS(Base!$V:$V,A139,Base!$U:$U,TRUE))/(COUNTIFS(Base!$V:$V,A139,Base!$O:$O,"Finalizado")+COUNTIFS(Base!$V:$V,A139,Base!$O:$O,"Concluído")),"-")</f>
        <v>-</v>
      </c>
      <c r="M139" s="292" t="str">
        <f>IF(
  (
    IFERROR(COUNTIF(Base!$W:$W, A139), 0) +
    IFERROR(COUNTIF(Base!$X:$X, A139), 0) +
    IFERROR(COUNTIF(Base!$Y:$Y, A139), 0) +
    IFERROR(COUNTIF(Base!$Z:$Z, A139), 0)
  ) = 0,
  "-",
  IF(
    (
      IFERROR(COUNTIFS(Base!$W:$W, A139, Base!$O:$O, "Finalizado"), 0) +
      IFERROR(COUNTIFS(Base!$W:$W, A139, Base!$O:$O, "Concluído"), 0) +
      IFERROR(COUNTIFS(Base!$X:$X, A139, Base!$O:$O, "Finalizado"), 0) +
      IFERROR(COUNTIFS(Base!$X:$X, A139, Base!$O:$O, "Concluído"), 0) +
      IFERROR(COUNTIFS(Base!$Y:$Y, A139, Base!$O:$O, "Finalizado"), 0) +
      IFERROR(COUNTIFS(Base!$Y:$Y, A139, Base!$O:$O, "Concluído"), 0) +
      IFERROR(COUNTIFS(Base!$Z:$Z, A139, Base!$O:$O, "Finalizado"), 0) +
      IFERROR(COUNTIFS(Base!$Z:$Z, A139, Base!$O:$O, "Concluído"), 0)
    ) = 0,
    "-",
    (
      IFERROR(COUNTIFS(Base!$W:$W, A139, Base!$U:$U, TRUE), 0) +
      IFERROR(COUNTIFS(Base!$X:$X, A139, Base!$U:$U, TRUE), 0) +
      IFERROR(COUNTIFS(Base!$Y:$Y, A139, Base!$U:$U, TRUE), 0) +
      IFERROR(COUNTIFS(Base!$Z:$Z, A139, Base!$U:$U, TRUE), 0)
    ) /
    (
      IFERROR(COUNTIFS(Base!$W:$W, A139, Base!$O:$O, "Finalizado"), 0) +
      IFERROR(COUNTIFS(Base!$W:$W, A139, Base!$O:$O, "Concluído"), 0) +
      IFERROR(COUNTIFS(Base!$X:$X, A139, Base!$O:$O, "Finalizado"), 0) +
      IFERROR(COUNTIFS(Base!$X:$X, A139, Base!$O:$O, "Concluído"), 0) +
      IFERROR(COUNTIFS(Base!$Y:$Y, A139, Base!$O:$O, "Finalizado"), 0) +
      IFERROR(COUNTIFS(Base!$Y:$Y, A139, Base!$O:$O, "Concluído"), 0) +
      IFERROR(COUNTIFS(Base!$Z:$Z, A139, Base!$O:$O, "Finalizado"), 0) +
      IFERROR(COUNTIFS(Base!$Z:$Z, A139, Base!$O:$O, "Concluído"), 0)
    )
  )
)
</f>
        <v>-</v>
      </c>
      <c r="N139" s="120">
        <f>COUNTIF(Base!V:V,$A139)</f>
        <v>0</v>
      </c>
      <c r="O139" s="120">
        <f>COUNTIF(Base!W:W,$A139)</f>
        <v>0</v>
      </c>
      <c r="P139" s="120">
        <f>COUNTIF(Base!X:X,$A139)</f>
        <v>0</v>
      </c>
      <c r="Q139" s="120">
        <f>COUNTIF(Base!Y:Y,$A139)</f>
        <v>0</v>
      </c>
      <c r="R139" s="120">
        <f>COUNTIF(Base!Z:Z,$A139)</f>
        <v>0</v>
      </c>
      <c r="S139" s="120">
        <f t="shared" si="3"/>
        <v>0</v>
      </c>
      <c r="T139" s="120">
        <f t="shared" si="4"/>
        <v>0</v>
      </c>
      <c r="V139" s="293" t="str">
        <f>IF(
  (
    COUNTIF('Acompanhamento quinzenal'!$N:$N, A139) +
    COUNTIF('Acompanhamento quinzenal'!$T:$T, A139) +
    COUNTIF('Acompanhamento quinzenal'!$Z:$Z, A139) +
    COUNTIF('Acompanhamento quinzenal'!$AF:$AF, A139)
  ) = 0,
  "-",
  (
    IFERROR(SUMIFS('Acompanhamento quinzenal'!$S:$S, 'Acompanhamento quinzenal'!$N:$N, A139), 0) +
    IFERROR(SUMIFS('Acompanhamento quinzenal'!$Y:$Y, 'Acompanhamento quinzenal'!$T:$T, A139), 0) +
    IFERROR(SUMIFS('Acompanhamento quinzenal'!$AE:$AE, 'Acompanhamento quinzenal'!$Z:$Z, A139), 0) +
    IFERROR(SUMIFS('Acompanhamento quinzenal'!$AK:$AK, 'Acompanhamento quinzenal'!$AF:$AF, A139), 0)
  ) /
  (
    COUNTIF('Acompanhamento quinzenal'!$N:$N, A139) +
    COUNTIF('Acompanhamento quinzenal'!$T:$T, A139) +
    COUNTIF('Acompanhamento quinzenal'!$Z:$Z, A139) +
    COUNTIF('Acompanhamento quinzenal'!$AF:$AF, A139)
  )
)
</f>
        <v>-</v>
      </c>
      <c r="W139" s="293" t="str">
        <f>IF(
  (
    COUNTIF('Acompanhamento quinzenal'!$N:$N, A139) +
    COUNTIF('Acompanhamento quinzenal'!$T:$T, A139) +
    COUNTIF('Acompanhamento quinzenal'!$Z:$Z, A139) +
    COUNTIF('Acompanhamento quinzenal'!$AF:$AF, A139)
  ) = 0,
  "-",
  (
    IFERROR(SUMIFS('Acompanhamento quinzenal'!$O:$O, 'Acompanhamento quinzenal'!$N:$N, A139), 0) +
    IFERROR(SUMIFS('Acompanhamento quinzenal'!$U:$U, 'Acompanhamento quinzenal'!$T:$T, A139), 0) +
    IFERROR(SUMIFS('Acompanhamento quinzenal'!$AA:$AA, 'Acompanhamento quinzenal'!$Z:$Z, A139), 0) +
    IFERROR(SUMIFS('Acompanhamento quinzenal'!$AG:$AG, 'Acompanhamento quinzenal'!$AF:$AF, A139), 0)
  ) /
  (
    COUNTIF('Acompanhamento quinzenal'!$N:$N, A139) +
    COUNTIF('Acompanhamento quinzenal'!$T:$T, A139) +
    COUNTIF('Acompanhamento quinzenal'!$Z:$Z, A139) +
    COUNTIF('Acompanhamento quinzenal'!$AF:$AF, A139)
  )
)
</f>
        <v>-</v>
      </c>
      <c r="X139" s="294" t="str">
        <f>IF(
  (
    COUNTIF('Acompanhamento quinzenal'!$N:$N, A139) +
    COUNTIF('Acompanhamento quinzenal'!$T:$T, A139) +
    COUNTIF('Acompanhamento quinzenal'!$Z:$Z, A139) +
    COUNTIF('Acompanhamento quinzenal'!$AF:$AF, A139)
  ) = 0,
  "-",
  (
    IFERROR(SUMIFS('Acompanhamento quinzenal'!$P:$P, 'Acompanhamento quinzenal'!$N:$N, A139), 0) +
    IFERROR(SUMIFS('Acompanhamento quinzenal'!$V:$V, 'Acompanhamento quinzenal'!$T:$T, A139), 0) +
    IFERROR(SUMIFS('Acompanhamento quinzenal'!$AB:$AB, 'Acompanhamento quinzenal'!$Z:$Z, A139), 0) +
    IFERROR(SUMIFS('Acompanhamento quinzenal'!$AH:$AH, 'Acompanhamento quinzenal'!$AF:$AF, A139), 0)
  ) /
  (
    COUNTIF('Acompanhamento quinzenal'!$N:$N, A139) +
    COUNTIF('Acompanhamento quinzenal'!$T:$T, A139) +
    COUNTIF('Acompanhamento quinzenal'!$Z:$Z, A139) +
    COUNTIF('Acompanhamento quinzenal'!$AF:$AF, A139)
  )
)
</f>
        <v>-</v>
      </c>
      <c r="Y139" s="293" t="str">
        <f>IF(
  (
    COUNTIF('Acompanhamento quinzenal'!$N:$N, A139) +
    COUNTIF('Acompanhamento quinzenal'!$T:$T, A139) +
    COUNTIF('Acompanhamento quinzenal'!$Z:$Z, A139) +
    COUNTIF('Acompanhamento quinzenal'!$AF:$AF, A139)
  ) = 0,
  "-",
  (
    IFERROR(SUMIFS('Acompanhamento quinzenal'!$Q:$Q, 'Acompanhamento quinzenal'!$N:$N, A139), 0) +
    IFERROR(SUMIFS('Acompanhamento quinzenal'!$W:$W, 'Acompanhamento quinzenal'!$T:$T, A139), 0) +
    IFERROR(SUMIFS('Acompanhamento quinzenal'!$AC:$AC, 'Acompanhamento quinzenal'!$Z:$Z, A139), 0) +
    IFERROR(SUMIFS('Acompanhamento quinzenal'!$AI:$AI, 'Acompanhamento quinzenal'!$AF:$AF, A139), 0)
  ) /
  (
    COUNTIF('Acompanhamento quinzenal'!$N:$N, A139) +
    COUNTIF('Acompanhamento quinzenal'!$T:$T, A139) +
    COUNTIF('Acompanhamento quinzenal'!$Z:$Z, A139) +
    COUNTIF('Acompanhamento quinzenal'!$AF:$AF, A139)
  )
)
</f>
        <v>-</v>
      </c>
    </row>
    <row r="140" hidden="1">
      <c r="A140" s="291" t="str">
        <f>IFERROR(__xludf.DUMMYFUNCTION("""COMPUTED_VALUE"""),"maurilio.lago")</f>
        <v>maurilio.lago</v>
      </c>
      <c r="B140" s="120" t="str">
        <f>IFERROR(__xludf.DUMMYFUNCTION("""COMPUTED_VALUE"""),"Trainee")</f>
        <v>Trainee</v>
      </c>
      <c r="C140" s="120" t="str">
        <f>IFERROR(__xludf.DUMMYFUNCTION("""COMPUTED_VALUE"""),"NCiv")</f>
        <v>NCiv</v>
      </c>
      <c r="D140" s="292" t="str">
        <f>IFERROR((COUNTIFS(Base!$V:$V,A140,Base!$S:$S,"&gt;8") - COUNTIFS(Base!$V:$V,A140,Base!$S:$S,"&lt;7"))/COUNTIFS(Base!$V:$V,A140,Base!$S:$S,"&lt;&gt;"),"-")</f>
        <v>-</v>
      </c>
      <c r="E140" s="292" t="str">
        <f>IF(
  (
    COUNTIFS(Base!$W:$W, A140, Base!$S:$S, "&lt;&gt;") +
    COUNTIFS(Base!$X:$X, A140, Base!$S:$S, "&lt;&gt;") +
    COUNTIFS(Base!$Y:$Y, A140, Base!$S:$S, "&lt;&gt;") +
    COUNTIFS(Base!$Z:$Z, A140, Base!$S:$S, "&lt;&gt;")
  ) = 0,
  "-",
  (
    COUNTIFS(Base!$W:$W, A140, Base!$S:$S, "&gt;8") - COUNTIFS(Base!$W:$W, A140, Base!$S:$S, "&lt;7") +
    COUNTIFS(Base!$X:$X, A140, Base!$S:$S, "&gt;8") - COUNTIFS(Base!$X:$X, A140, Base!$S:$S, "&lt;7") +
    COUNTIFS(Base!$Y:$Y, A140, Base!$S:$S, "&gt;8") - COUNTIFS(Base!$Y:$Y, A140, Base!$S:$S, "&lt;7") +
    COUNTIFS(Base!$Z:$Z, A140, Base!$S:$S, "&gt;8") - COUNTIFS(Base!$Z:$Z, A140, Base!$S:$S, "&lt;7")
  ) /
  (
    COUNTIFS(Base!$W:$W, A140, Base!$S:$S, "&lt;&gt;") +
    COUNTIFS(Base!$X:$X, A140, Base!$S:$S, "&lt;&gt;") +
    COUNTIFS(Base!$Y:$Y, A140, Base!$S:$S, "&lt;&gt;") +
    COUNTIFS(Base!$Z:$Z, A140, Base!$S:$S, "&lt;&gt;")
  )
)
</f>
        <v>-</v>
      </c>
      <c r="F140" s="290">
        <f>SUMIFS(Base!$N:$N,Base!$V:$V,A140,Base!$N:$N,"&lt;&gt;")-SUMIFS(Base!$K:$K,Base!$V:$V,A140,Base!$N:$N,"&lt;&gt;")-(SUMIFS(Base!$L:$L,Base!$V:$V,A140,Base!$N:$N,"&lt;&gt;")*7)</f>
        <v>0</v>
      </c>
      <c r="G140" s="290"/>
      <c r="H140" s="290">
        <f>SUMIFS(Base!$F:$F,Base!$V:$V,A140,Base!$N:$N,"&lt;&gt;")*7</f>
        <v>0</v>
      </c>
      <c r="I140" s="290"/>
      <c r="J140" s="292" t="str">
        <f t="shared" ref="J140:K140" si="141">IFERROR(F140/H140,"-")</f>
        <v>-</v>
      </c>
      <c r="K140" s="292" t="str">
        <f t="shared" si="141"/>
        <v>-</v>
      </c>
      <c r="L140" s="292" t="str">
        <f>IFERROR((COUNTIFS(Base!$V:$V,A140,Base!$U:$U,TRUE))/(COUNTIFS(Base!$V:$V,A140,Base!$O:$O,"Finalizado")+COUNTIFS(Base!$V:$V,A140,Base!$O:$O,"Concluído")),"-")</f>
        <v>-</v>
      </c>
      <c r="M140" s="292" t="str">
        <f>IF(
  (
    IFERROR(COUNTIF(Base!$W:$W, A140), 0) +
    IFERROR(COUNTIF(Base!$X:$X, A140), 0) +
    IFERROR(COUNTIF(Base!$Y:$Y, A140), 0) +
    IFERROR(COUNTIF(Base!$Z:$Z, A140), 0)
  ) = 0,
  "-",
  IF(
    (
      IFERROR(COUNTIFS(Base!$W:$W, A140, Base!$O:$O, "Finalizado"), 0) +
      IFERROR(COUNTIFS(Base!$W:$W, A140, Base!$O:$O, "Concluído"), 0) +
      IFERROR(COUNTIFS(Base!$X:$X, A140, Base!$O:$O, "Finalizado"), 0) +
      IFERROR(COUNTIFS(Base!$X:$X, A140, Base!$O:$O, "Concluído"), 0) +
      IFERROR(COUNTIFS(Base!$Y:$Y, A140, Base!$O:$O, "Finalizado"), 0) +
      IFERROR(COUNTIFS(Base!$Y:$Y, A140, Base!$O:$O, "Concluído"), 0) +
      IFERROR(COUNTIFS(Base!$Z:$Z, A140, Base!$O:$O, "Finalizado"), 0) +
      IFERROR(COUNTIFS(Base!$Z:$Z, A140, Base!$O:$O, "Concluído"), 0)
    ) = 0,
    "-",
    (
      IFERROR(COUNTIFS(Base!$W:$W, A140, Base!$U:$U, TRUE), 0) +
      IFERROR(COUNTIFS(Base!$X:$X, A140, Base!$U:$U, TRUE), 0) +
      IFERROR(COUNTIFS(Base!$Y:$Y, A140, Base!$U:$U, TRUE), 0) +
      IFERROR(COUNTIFS(Base!$Z:$Z, A140, Base!$U:$U, TRUE), 0)
    ) /
    (
      IFERROR(COUNTIFS(Base!$W:$W, A140, Base!$O:$O, "Finalizado"), 0) +
      IFERROR(COUNTIFS(Base!$W:$W, A140, Base!$O:$O, "Concluído"), 0) +
      IFERROR(COUNTIFS(Base!$X:$X, A140, Base!$O:$O, "Finalizado"), 0) +
      IFERROR(COUNTIFS(Base!$X:$X, A140, Base!$O:$O, "Concluído"), 0) +
      IFERROR(COUNTIFS(Base!$Y:$Y, A140, Base!$O:$O, "Finalizado"), 0) +
      IFERROR(COUNTIFS(Base!$Y:$Y, A140, Base!$O:$O, "Concluído"), 0) +
      IFERROR(COUNTIFS(Base!$Z:$Z, A140, Base!$O:$O, "Finalizado"), 0) +
      IFERROR(COUNTIFS(Base!$Z:$Z, A140, Base!$O:$O, "Concluído"), 0)
    )
  )
)
</f>
        <v>-</v>
      </c>
      <c r="N140" s="120">
        <f>COUNTIF(Base!V:V,$A140)</f>
        <v>0</v>
      </c>
      <c r="O140" s="120">
        <f>COUNTIF(Base!W:W,$A140)</f>
        <v>0</v>
      </c>
      <c r="P140" s="120">
        <f>COUNTIF(Base!X:X,$A140)</f>
        <v>0</v>
      </c>
      <c r="Q140" s="120">
        <f>COUNTIF(Base!Y:Y,$A140)</f>
        <v>0</v>
      </c>
      <c r="R140" s="120">
        <f>COUNTIF(Base!Z:Z,$A140)</f>
        <v>0</v>
      </c>
      <c r="S140" s="120">
        <f t="shared" si="3"/>
        <v>0</v>
      </c>
      <c r="T140" s="120">
        <f t="shared" si="4"/>
        <v>0</v>
      </c>
      <c r="V140" s="293" t="str">
        <f>IF(
  (
    COUNTIF('Acompanhamento quinzenal'!$N:$N, A140) +
    COUNTIF('Acompanhamento quinzenal'!$T:$T, A140) +
    COUNTIF('Acompanhamento quinzenal'!$Z:$Z, A140) +
    COUNTIF('Acompanhamento quinzenal'!$AF:$AF, A140)
  ) = 0,
  "-",
  (
    IFERROR(SUMIFS('Acompanhamento quinzenal'!$S:$S, 'Acompanhamento quinzenal'!$N:$N, A140), 0) +
    IFERROR(SUMIFS('Acompanhamento quinzenal'!$Y:$Y, 'Acompanhamento quinzenal'!$T:$T, A140), 0) +
    IFERROR(SUMIFS('Acompanhamento quinzenal'!$AE:$AE, 'Acompanhamento quinzenal'!$Z:$Z, A140), 0) +
    IFERROR(SUMIFS('Acompanhamento quinzenal'!$AK:$AK, 'Acompanhamento quinzenal'!$AF:$AF, A140), 0)
  ) /
  (
    COUNTIF('Acompanhamento quinzenal'!$N:$N, A140) +
    COUNTIF('Acompanhamento quinzenal'!$T:$T, A140) +
    COUNTIF('Acompanhamento quinzenal'!$Z:$Z, A140) +
    COUNTIF('Acompanhamento quinzenal'!$AF:$AF, A140)
  )
)
</f>
        <v>-</v>
      </c>
      <c r="W140" s="293" t="str">
        <f>IF(
  (
    COUNTIF('Acompanhamento quinzenal'!$N:$N, A140) +
    COUNTIF('Acompanhamento quinzenal'!$T:$T, A140) +
    COUNTIF('Acompanhamento quinzenal'!$Z:$Z, A140) +
    COUNTIF('Acompanhamento quinzenal'!$AF:$AF, A140)
  ) = 0,
  "-",
  (
    IFERROR(SUMIFS('Acompanhamento quinzenal'!$O:$O, 'Acompanhamento quinzenal'!$N:$N, A140), 0) +
    IFERROR(SUMIFS('Acompanhamento quinzenal'!$U:$U, 'Acompanhamento quinzenal'!$T:$T, A140), 0) +
    IFERROR(SUMIFS('Acompanhamento quinzenal'!$AA:$AA, 'Acompanhamento quinzenal'!$Z:$Z, A140), 0) +
    IFERROR(SUMIFS('Acompanhamento quinzenal'!$AG:$AG, 'Acompanhamento quinzenal'!$AF:$AF, A140), 0)
  ) /
  (
    COUNTIF('Acompanhamento quinzenal'!$N:$N, A140) +
    COUNTIF('Acompanhamento quinzenal'!$T:$T, A140) +
    COUNTIF('Acompanhamento quinzenal'!$Z:$Z, A140) +
    COUNTIF('Acompanhamento quinzenal'!$AF:$AF, A140)
  )
)
</f>
        <v>-</v>
      </c>
      <c r="X140" s="294" t="str">
        <f>IF(
  (
    COUNTIF('Acompanhamento quinzenal'!$N:$N, A140) +
    COUNTIF('Acompanhamento quinzenal'!$T:$T, A140) +
    COUNTIF('Acompanhamento quinzenal'!$Z:$Z, A140) +
    COUNTIF('Acompanhamento quinzenal'!$AF:$AF, A140)
  ) = 0,
  "-",
  (
    IFERROR(SUMIFS('Acompanhamento quinzenal'!$P:$P, 'Acompanhamento quinzenal'!$N:$N, A140), 0) +
    IFERROR(SUMIFS('Acompanhamento quinzenal'!$V:$V, 'Acompanhamento quinzenal'!$T:$T, A140), 0) +
    IFERROR(SUMIFS('Acompanhamento quinzenal'!$AB:$AB, 'Acompanhamento quinzenal'!$Z:$Z, A140), 0) +
    IFERROR(SUMIFS('Acompanhamento quinzenal'!$AH:$AH, 'Acompanhamento quinzenal'!$AF:$AF, A140), 0)
  ) /
  (
    COUNTIF('Acompanhamento quinzenal'!$N:$N, A140) +
    COUNTIF('Acompanhamento quinzenal'!$T:$T, A140) +
    COUNTIF('Acompanhamento quinzenal'!$Z:$Z, A140) +
    COUNTIF('Acompanhamento quinzenal'!$AF:$AF, A140)
  )
)
</f>
        <v>-</v>
      </c>
      <c r="Y140" s="293" t="str">
        <f>IF(
  (
    COUNTIF('Acompanhamento quinzenal'!$N:$N, A140) +
    COUNTIF('Acompanhamento quinzenal'!$T:$T, A140) +
    COUNTIF('Acompanhamento quinzenal'!$Z:$Z, A140) +
    COUNTIF('Acompanhamento quinzenal'!$AF:$AF, A140)
  ) = 0,
  "-",
  (
    IFERROR(SUMIFS('Acompanhamento quinzenal'!$Q:$Q, 'Acompanhamento quinzenal'!$N:$N, A140), 0) +
    IFERROR(SUMIFS('Acompanhamento quinzenal'!$W:$W, 'Acompanhamento quinzenal'!$T:$T, A140), 0) +
    IFERROR(SUMIFS('Acompanhamento quinzenal'!$AC:$AC, 'Acompanhamento quinzenal'!$Z:$Z, A140), 0) +
    IFERROR(SUMIFS('Acompanhamento quinzenal'!$AI:$AI, 'Acompanhamento quinzenal'!$AF:$AF, A140), 0)
  ) /
  (
    COUNTIF('Acompanhamento quinzenal'!$N:$N, A140) +
    COUNTIF('Acompanhamento quinzenal'!$T:$T, A140) +
    COUNTIF('Acompanhamento quinzenal'!$Z:$Z, A140) +
    COUNTIF('Acompanhamento quinzenal'!$AF:$AF, A140)
  )
)
</f>
        <v>-</v>
      </c>
    </row>
    <row r="141" hidden="1">
      <c r="A141" s="291" t="str">
        <f>IFERROR(__xludf.DUMMYFUNCTION("""COMPUTED_VALUE"""),"miguel.victor")</f>
        <v>miguel.victor</v>
      </c>
      <c r="B141" s="120" t="str">
        <f>IFERROR(__xludf.DUMMYFUNCTION("""COMPUTED_VALUE"""),"Consultor")</f>
        <v>Consultor</v>
      </c>
      <c r="C141" s="120" t="str">
        <f>IFERROR(__xludf.DUMMYFUNCTION("""COMPUTED_VALUE"""),"NCiv")</f>
        <v>NCiv</v>
      </c>
      <c r="D141" s="292" t="str">
        <f>IFERROR((COUNTIFS(Base!$V:$V,A141,Base!$S:$S,"&gt;8") - COUNTIFS(Base!$V:$V,A141,Base!$S:$S,"&lt;7"))/COUNTIFS(Base!$V:$V,A141,Base!$S:$S,"&lt;&gt;"),"-")</f>
        <v>-</v>
      </c>
      <c r="E141" s="292">
        <f>IF(
  (
    COUNTIFS(Base!$W:$W, A141, Base!$S:$S, "&lt;&gt;") +
    COUNTIFS(Base!$X:$X, A141, Base!$S:$S, "&lt;&gt;") +
    COUNTIFS(Base!$Y:$Y, A141, Base!$S:$S, "&lt;&gt;") +
    COUNTIFS(Base!$Z:$Z, A141, Base!$S:$S, "&lt;&gt;")
  ) = 0,
  "-",
  (
    COUNTIFS(Base!$W:$W, A141, Base!$S:$S, "&gt;8") - COUNTIFS(Base!$W:$W, A141, Base!$S:$S, "&lt;7") +
    COUNTIFS(Base!$X:$X, A141, Base!$S:$S, "&gt;8") - COUNTIFS(Base!$X:$X, A141, Base!$S:$S, "&lt;7") +
    COUNTIFS(Base!$Y:$Y, A141, Base!$S:$S, "&gt;8") - COUNTIFS(Base!$Y:$Y, A141, Base!$S:$S, "&lt;7") +
    COUNTIFS(Base!$Z:$Z, A141, Base!$S:$S, "&gt;8") - COUNTIFS(Base!$Z:$Z, A141, Base!$S:$S, "&lt;7")
  ) /
  (
    COUNTIFS(Base!$W:$W, A141, Base!$S:$S, "&lt;&gt;") +
    COUNTIFS(Base!$X:$X, A141, Base!$S:$S, "&lt;&gt;") +
    COUNTIFS(Base!$Y:$Y, A141, Base!$S:$S, "&lt;&gt;") +
    COUNTIFS(Base!$Z:$Z, A141, Base!$S:$S, "&lt;&gt;")
  )
)
</f>
        <v>1</v>
      </c>
      <c r="F141" s="290">
        <f>SUMIFS(Base!$N:$N,Base!$V:$V,A141,Base!$N:$N,"&lt;&gt;")-SUMIFS(Base!$K:$K,Base!$V:$V,A141,Base!$N:$N,"&lt;&gt;")-(SUMIFS(Base!$L:$L,Base!$V:$V,A141,Base!$N:$N,"&lt;&gt;")*7)</f>
        <v>0</v>
      </c>
      <c r="G141" s="290"/>
      <c r="H141" s="290">
        <f>SUMIFS(Base!$F:$F,Base!$V:$V,A141,Base!$N:$N,"&lt;&gt;")*7</f>
        <v>0</v>
      </c>
      <c r="I141" s="290"/>
      <c r="J141" s="292" t="str">
        <f t="shared" ref="J141:K141" si="142">IFERROR(F141/H141,"-")</f>
        <v>-</v>
      </c>
      <c r="K141" s="292" t="str">
        <f t="shared" si="142"/>
        <v>-</v>
      </c>
      <c r="L141" s="292" t="str">
        <f>IFERROR((COUNTIFS(Base!$V:$V,A141,Base!$U:$U,TRUE))/(COUNTIFS(Base!$V:$V,A141,Base!$O:$O,"Finalizado")+COUNTIFS(Base!$V:$V,A141,Base!$O:$O,"Concluído")),"-")</f>
        <v>-</v>
      </c>
      <c r="M141" s="292">
        <f>IF(
  (
    IFERROR(COUNTIF(Base!$W:$W, A141), 0) +
    IFERROR(COUNTIF(Base!$X:$X, A141), 0) +
    IFERROR(COUNTIF(Base!$Y:$Y, A141), 0) +
    IFERROR(COUNTIF(Base!$Z:$Z, A141), 0)
  ) = 0,
  "-",
  IF(
    (
      IFERROR(COUNTIFS(Base!$W:$W, A141, Base!$O:$O, "Finalizado"), 0) +
      IFERROR(COUNTIFS(Base!$W:$W, A141, Base!$O:$O, "Concluído"), 0) +
      IFERROR(COUNTIFS(Base!$X:$X, A141, Base!$O:$O, "Finalizado"), 0) +
      IFERROR(COUNTIFS(Base!$X:$X, A141, Base!$O:$O, "Concluído"), 0) +
      IFERROR(COUNTIFS(Base!$Y:$Y, A141, Base!$O:$O, "Finalizado"), 0) +
      IFERROR(COUNTIFS(Base!$Y:$Y, A141, Base!$O:$O, "Concluído"), 0) +
      IFERROR(COUNTIFS(Base!$Z:$Z, A141, Base!$O:$O, "Finalizado"), 0) +
      IFERROR(COUNTIFS(Base!$Z:$Z, A141, Base!$O:$O, "Concluído"), 0)
    ) = 0,
    "-",
    (
      IFERROR(COUNTIFS(Base!$W:$W, A141, Base!$U:$U, TRUE), 0) +
      IFERROR(COUNTIFS(Base!$X:$X, A141, Base!$U:$U, TRUE), 0) +
      IFERROR(COUNTIFS(Base!$Y:$Y, A141, Base!$U:$U, TRUE), 0) +
      IFERROR(COUNTIFS(Base!$Z:$Z, A141, Base!$U:$U, TRUE), 0)
    ) /
    (
      IFERROR(COUNTIFS(Base!$W:$W, A141, Base!$O:$O, "Finalizado"), 0) +
      IFERROR(COUNTIFS(Base!$W:$W, A141, Base!$O:$O, "Concluído"), 0) +
      IFERROR(COUNTIFS(Base!$X:$X, A141, Base!$O:$O, "Finalizado"), 0) +
      IFERROR(COUNTIFS(Base!$X:$X, A141, Base!$O:$O, "Concluído"), 0) +
      IFERROR(COUNTIFS(Base!$Y:$Y, A141, Base!$O:$O, "Finalizado"), 0) +
      IFERROR(COUNTIFS(Base!$Y:$Y, A141, Base!$O:$O, "Concluído"), 0) +
      IFERROR(COUNTIFS(Base!$Z:$Z, A141, Base!$O:$O, "Finalizado"), 0) +
      IFERROR(COUNTIFS(Base!$Z:$Z, A141, Base!$O:$O, "Concluído"), 0)
    )
  )
)
</f>
        <v>1</v>
      </c>
      <c r="N141" s="120">
        <f>COUNTIF(Base!V:V,$A141)</f>
        <v>0</v>
      </c>
      <c r="O141" s="120">
        <f>COUNTIF(Base!W:W,$A141)</f>
        <v>0</v>
      </c>
      <c r="P141" s="120">
        <f>COUNTIF(Base!X:X,$A141)</f>
        <v>2</v>
      </c>
      <c r="Q141" s="120">
        <f>COUNTIF(Base!Y:Y,$A141)</f>
        <v>0</v>
      </c>
      <c r="R141" s="120">
        <f>COUNTIF(Base!Z:Z,$A141)</f>
        <v>0</v>
      </c>
      <c r="S141" s="120">
        <f t="shared" si="3"/>
        <v>2</v>
      </c>
      <c r="T141" s="120">
        <f t="shared" si="4"/>
        <v>2</v>
      </c>
      <c r="V141" s="293">
        <f>IF(
  (
    COUNTIF('Acompanhamento quinzenal'!$N:$N, A141) +
    COUNTIF('Acompanhamento quinzenal'!$T:$T, A141) +
    COUNTIF('Acompanhamento quinzenal'!$Z:$Z, A141) +
    COUNTIF('Acompanhamento quinzenal'!$AF:$AF, A141)
  ) = 0,
  "-",
  (
    IFERROR(SUMIFS('Acompanhamento quinzenal'!$S:$S, 'Acompanhamento quinzenal'!$N:$N, A141), 0) +
    IFERROR(SUMIFS('Acompanhamento quinzenal'!$Y:$Y, 'Acompanhamento quinzenal'!$T:$T, A141), 0) +
    IFERROR(SUMIFS('Acompanhamento quinzenal'!$AE:$AE, 'Acompanhamento quinzenal'!$Z:$Z, A141), 0) +
    IFERROR(SUMIFS('Acompanhamento quinzenal'!$AK:$AK, 'Acompanhamento quinzenal'!$AF:$AF, A141), 0)
  ) /
  (
    COUNTIF('Acompanhamento quinzenal'!$N:$N, A141) +
    COUNTIF('Acompanhamento quinzenal'!$T:$T, A141) +
    COUNTIF('Acompanhamento quinzenal'!$Z:$Z, A141) +
    COUNTIF('Acompanhamento quinzenal'!$AF:$AF, A141)
  )
)
</f>
        <v>1.333333333</v>
      </c>
      <c r="W141" s="293">
        <f>IF(
  (
    COUNTIF('Acompanhamento quinzenal'!$N:$N, A141) +
    COUNTIF('Acompanhamento quinzenal'!$T:$T, A141) +
    COUNTIF('Acompanhamento quinzenal'!$Z:$Z, A141) +
    COUNTIF('Acompanhamento quinzenal'!$AF:$AF, A141)
  ) = 0,
  "-",
  (
    IFERROR(SUMIFS('Acompanhamento quinzenal'!$O:$O, 'Acompanhamento quinzenal'!$N:$N, A141), 0) +
    IFERROR(SUMIFS('Acompanhamento quinzenal'!$U:$U, 'Acompanhamento quinzenal'!$T:$T, A141), 0) +
    IFERROR(SUMIFS('Acompanhamento quinzenal'!$AA:$AA, 'Acompanhamento quinzenal'!$Z:$Z, A141), 0) +
    IFERROR(SUMIFS('Acompanhamento quinzenal'!$AG:$AG, 'Acompanhamento quinzenal'!$AF:$AF, A141), 0)
  ) /
  (
    COUNTIF('Acompanhamento quinzenal'!$N:$N, A141) +
    COUNTIF('Acompanhamento quinzenal'!$T:$T, A141) +
    COUNTIF('Acompanhamento quinzenal'!$Z:$Z, A141) +
    COUNTIF('Acompanhamento quinzenal'!$AF:$AF, A141)
  )
)
</f>
        <v>1.333333333</v>
      </c>
      <c r="X141" s="294">
        <f>IF(
  (
    COUNTIF('Acompanhamento quinzenal'!$N:$N, A141) +
    COUNTIF('Acompanhamento quinzenal'!$T:$T, A141) +
    COUNTIF('Acompanhamento quinzenal'!$Z:$Z, A141) +
    COUNTIF('Acompanhamento quinzenal'!$AF:$AF, A141)
  ) = 0,
  "-",
  (
    IFERROR(SUMIFS('Acompanhamento quinzenal'!$P:$P, 'Acompanhamento quinzenal'!$N:$N, A141), 0) +
    IFERROR(SUMIFS('Acompanhamento quinzenal'!$V:$V, 'Acompanhamento quinzenal'!$T:$T, A141), 0) +
    IFERROR(SUMIFS('Acompanhamento quinzenal'!$AB:$AB, 'Acompanhamento quinzenal'!$Z:$Z, A141), 0) +
    IFERROR(SUMIFS('Acompanhamento quinzenal'!$AH:$AH, 'Acompanhamento quinzenal'!$AF:$AF, A141), 0)
  ) /
  (
    COUNTIF('Acompanhamento quinzenal'!$N:$N, A141) +
    COUNTIF('Acompanhamento quinzenal'!$T:$T, A141) +
    COUNTIF('Acompanhamento quinzenal'!$Z:$Z, A141) +
    COUNTIF('Acompanhamento quinzenal'!$AF:$AF, A141)
  )
)
</f>
        <v>2.333333333</v>
      </c>
      <c r="Y141" s="293">
        <f>IF(
  (
    COUNTIF('Acompanhamento quinzenal'!$N:$N, A141) +
    COUNTIF('Acompanhamento quinzenal'!$T:$T, A141) +
    COUNTIF('Acompanhamento quinzenal'!$Z:$Z, A141) +
    COUNTIF('Acompanhamento quinzenal'!$AF:$AF, A141)
  ) = 0,
  "-",
  (
    IFERROR(SUMIFS('Acompanhamento quinzenal'!$Q:$Q, 'Acompanhamento quinzenal'!$N:$N, A141), 0) +
    IFERROR(SUMIFS('Acompanhamento quinzenal'!$W:$W, 'Acompanhamento quinzenal'!$T:$T, A141), 0) +
    IFERROR(SUMIFS('Acompanhamento quinzenal'!$AC:$AC, 'Acompanhamento quinzenal'!$Z:$Z, A141), 0) +
    IFERROR(SUMIFS('Acompanhamento quinzenal'!$AI:$AI, 'Acompanhamento quinzenal'!$AF:$AF, A141), 0)
  ) /
  (
    COUNTIF('Acompanhamento quinzenal'!$N:$N, A141) +
    COUNTIF('Acompanhamento quinzenal'!$T:$T, A141) +
    COUNTIF('Acompanhamento quinzenal'!$Z:$Z, A141) +
    COUNTIF('Acompanhamento quinzenal'!$AF:$AF, A141)
  )
)
</f>
        <v>3</v>
      </c>
    </row>
    <row r="142" hidden="1">
      <c r="A142" s="291" t="str">
        <f>IFERROR(__xludf.DUMMYFUNCTION("""COMPUTED_VALUE"""),"milena.ramos")</f>
        <v>milena.ramos</v>
      </c>
      <c r="B142" s="120" t="str">
        <f>IFERROR(__xludf.DUMMYFUNCTION("""COMPUTED_VALUE"""),"Consultor")</f>
        <v>Consultor</v>
      </c>
      <c r="C142" s="120" t="str">
        <f>IFERROR(__xludf.DUMMYFUNCTION("""COMPUTED_VALUE"""),"NCiv")</f>
        <v>NCiv</v>
      </c>
      <c r="D142" s="292" t="str">
        <f>IFERROR((COUNTIFS(Base!$V:$V,A142,Base!$S:$S,"&gt;8") - COUNTIFS(Base!$V:$V,A142,Base!$S:$S,"&lt;7"))/COUNTIFS(Base!$V:$V,A142,Base!$S:$S,"&lt;&gt;"),"-")</f>
        <v>-</v>
      </c>
      <c r="E142" s="292" t="str">
        <f>IF(
  (
    COUNTIFS(Base!$W:$W, A142, Base!$S:$S, "&lt;&gt;") +
    COUNTIFS(Base!$X:$X, A142, Base!$S:$S, "&lt;&gt;") +
    COUNTIFS(Base!$Y:$Y, A142, Base!$S:$S, "&lt;&gt;") +
    COUNTIFS(Base!$Z:$Z, A142, Base!$S:$S, "&lt;&gt;")
  ) = 0,
  "-",
  (
    COUNTIFS(Base!$W:$W, A142, Base!$S:$S, "&gt;8") - COUNTIFS(Base!$W:$W, A142, Base!$S:$S, "&lt;7") +
    COUNTIFS(Base!$X:$X, A142, Base!$S:$S, "&gt;8") - COUNTIFS(Base!$X:$X, A142, Base!$S:$S, "&lt;7") +
    COUNTIFS(Base!$Y:$Y, A142, Base!$S:$S, "&gt;8") - COUNTIFS(Base!$Y:$Y, A142, Base!$S:$S, "&lt;7") +
    COUNTIFS(Base!$Z:$Z, A142, Base!$S:$S, "&gt;8") - COUNTIFS(Base!$Z:$Z, A142, Base!$S:$S, "&lt;7")
  ) /
  (
    COUNTIFS(Base!$W:$W, A142, Base!$S:$S, "&lt;&gt;") +
    COUNTIFS(Base!$X:$X, A142, Base!$S:$S, "&lt;&gt;") +
    COUNTIFS(Base!$Y:$Y, A142, Base!$S:$S, "&lt;&gt;") +
    COUNTIFS(Base!$Z:$Z, A142, Base!$S:$S, "&lt;&gt;")
  )
)
</f>
        <v>-</v>
      </c>
      <c r="F142" s="290">
        <f>SUMIFS(Base!$N:$N,Base!$V:$V,A142,Base!$N:$N,"&lt;&gt;")-SUMIFS(Base!$K:$K,Base!$V:$V,A142,Base!$N:$N,"&lt;&gt;")-(SUMIFS(Base!$L:$L,Base!$V:$V,A142,Base!$N:$N,"&lt;&gt;")*7)</f>
        <v>0</v>
      </c>
      <c r="G142" s="290"/>
      <c r="H142" s="290">
        <f>SUMIFS(Base!$F:$F,Base!$V:$V,A142,Base!$N:$N,"&lt;&gt;")*7</f>
        <v>0</v>
      </c>
      <c r="I142" s="290"/>
      <c r="J142" s="292" t="str">
        <f t="shared" ref="J142:K142" si="143">IFERROR(F142/H142,"-")</f>
        <v>-</v>
      </c>
      <c r="K142" s="292" t="str">
        <f t="shared" si="143"/>
        <v>-</v>
      </c>
      <c r="L142" s="292" t="str">
        <f>IFERROR((COUNTIFS(Base!$V:$V,A142,Base!$U:$U,TRUE))/(COUNTIFS(Base!$V:$V,A142,Base!$O:$O,"Finalizado")+COUNTIFS(Base!$V:$V,A142,Base!$O:$O,"Concluído")),"-")</f>
        <v>-</v>
      </c>
      <c r="M142" s="292">
        <f>IF(
  (
    IFERROR(COUNTIF(Base!$W:$W, A142), 0) +
    IFERROR(COUNTIF(Base!$X:$X, A142), 0) +
    IFERROR(COUNTIF(Base!$Y:$Y, A142), 0) +
    IFERROR(COUNTIF(Base!$Z:$Z, A142), 0)
  ) = 0,
  "-",
  IF(
    (
      IFERROR(COUNTIFS(Base!$W:$W, A142, Base!$O:$O, "Finalizado"), 0) +
      IFERROR(COUNTIFS(Base!$W:$W, A142, Base!$O:$O, "Concluído"), 0) +
      IFERROR(COUNTIFS(Base!$X:$X, A142, Base!$O:$O, "Finalizado"), 0) +
      IFERROR(COUNTIFS(Base!$X:$X, A142, Base!$O:$O, "Concluído"), 0) +
      IFERROR(COUNTIFS(Base!$Y:$Y, A142, Base!$O:$O, "Finalizado"), 0) +
      IFERROR(COUNTIFS(Base!$Y:$Y, A142, Base!$O:$O, "Concluído"), 0) +
      IFERROR(COUNTIFS(Base!$Z:$Z, A142, Base!$O:$O, "Finalizado"), 0) +
      IFERROR(COUNTIFS(Base!$Z:$Z, A142, Base!$O:$O, "Concluído"), 0)
    ) = 0,
    "-",
    (
      IFERROR(COUNTIFS(Base!$W:$W, A142, Base!$U:$U, TRUE), 0) +
      IFERROR(COUNTIFS(Base!$X:$X, A142, Base!$U:$U, TRUE), 0) +
      IFERROR(COUNTIFS(Base!$Y:$Y, A142, Base!$U:$U, TRUE), 0) +
      IFERROR(COUNTIFS(Base!$Z:$Z, A142, Base!$U:$U, TRUE), 0)
    ) /
    (
      IFERROR(COUNTIFS(Base!$W:$W, A142, Base!$O:$O, "Finalizado"), 0) +
      IFERROR(COUNTIFS(Base!$W:$W, A142, Base!$O:$O, "Concluído"), 0) +
      IFERROR(COUNTIFS(Base!$X:$X, A142, Base!$O:$O, "Finalizado"), 0) +
      IFERROR(COUNTIFS(Base!$X:$X, A142, Base!$O:$O, "Concluído"), 0) +
      IFERROR(COUNTIFS(Base!$Y:$Y, A142, Base!$O:$O, "Finalizado"), 0) +
      IFERROR(COUNTIFS(Base!$Y:$Y, A142, Base!$O:$O, "Concluído"), 0) +
      IFERROR(COUNTIFS(Base!$Z:$Z, A142, Base!$O:$O, "Finalizado"), 0) +
      IFERROR(COUNTIFS(Base!$Z:$Z, A142, Base!$O:$O, "Concluído"), 0)
    )
  )
)
</f>
        <v>0</v>
      </c>
      <c r="N142" s="120">
        <f>COUNTIF(Base!V:V,$A142)</f>
        <v>0</v>
      </c>
      <c r="O142" s="120">
        <f>COUNTIF(Base!W:W,$A142)</f>
        <v>1</v>
      </c>
      <c r="P142" s="120">
        <f>COUNTIF(Base!X:X,$A142)</f>
        <v>1</v>
      </c>
      <c r="Q142" s="120">
        <f>COUNTIF(Base!Y:Y,$A142)</f>
        <v>1</v>
      </c>
      <c r="R142" s="120">
        <f>COUNTIF(Base!Z:Z,$A142)</f>
        <v>0</v>
      </c>
      <c r="S142" s="120">
        <f t="shared" si="3"/>
        <v>3</v>
      </c>
      <c r="T142" s="120">
        <f t="shared" si="4"/>
        <v>3</v>
      </c>
      <c r="V142" s="293">
        <f>IF(
  (
    COUNTIF('Acompanhamento quinzenal'!$N:$N, A142) +
    COUNTIF('Acompanhamento quinzenal'!$T:$T, A142) +
    COUNTIF('Acompanhamento quinzenal'!$Z:$Z, A142) +
    COUNTIF('Acompanhamento quinzenal'!$AF:$AF, A142)
  ) = 0,
  "-",
  (
    IFERROR(SUMIFS('Acompanhamento quinzenal'!$S:$S, 'Acompanhamento quinzenal'!$N:$N, A142), 0) +
    IFERROR(SUMIFS('Acompanhamento quinzenal'!$Y:$Y, 'Acompanhamento quinzenal'!$T:$T, A142), 0) +
    IFERROR(SUMIFS('Acompanhamento quinzenal'!$AE:$AE, 'Acompanhamento quinzenal'!$Z:$Z, A142), 0) +
    IFERROR(SUMIFS('Acompanhamento quinzenal'!$AK:$AK, 'Acompanhamento quinzenal'!$AF:$AF, A142), 0)
  ) /
  (
    COUNTIF('Acompanhamento quinzenal'!$N:$N, A142) +
    COUNTIF('Acompanhamento quinzenal'!$T:$T, A142) +
    COUNTIF('Acompanhamento quinzenal'!$Z:$Z, A142) +
    COUNTIF('Acompanhamento quinzenal'!$AF:$AF, A142)
  )
)
</f>
        <v>1.866666667</v>
      </c>
      <c r="W142" s="293">
        <f>IF(
  (
    COUNTIF('Acompanhamento quinzenal'!$N:$N, A142) +
    COUNTIF('Acompanhamento quinzenal'!$T:$T, A142) +
    COUNTIF('Acompanhamento quinzenal'!$Z:$Z, A142) +
    COUNTIF('Acompanhamento quinzenal'!$AF:$AF, A142)
  ) = 0,
  "-",
  (
    IFERROR(SUMIFS('Acompanhamento quinzenal'!$O:$O, 'Acompanhamento quinzenal'!$N:$N, A142), 0) +
    IFERROR(SUMIFS('Acompanhamento quinzenal'!$U:$U, 'Acompanhamento quinzenal'!$T:$T, A142), 0) +
    IFERROR(SUMIFS('Acompanhamento quinzenal'!$AA:$AA, 'Acompanhamento quinzenal'!$Z:$Z, A142), 0) +
    IFERROR(SUMIFS('Acompanhamento quinzenal'!$AG:$AG, 'Acompanhamento quinzenal'!$AF:$AF, A142), 0)
  ) /
  (
    COUNTIF('Acompanhamento quinzenal'!$N:$N, A142) +
    COUNTIF('Acompanhamento quinzenal'!$T:$T, A142) +
    COUNTIF('Acompanhamento quinzenal'!$Z:$Z, A142) +
    COUNTIF('Acompanhamento quinzenal'!$AF:$AF, A142)
  )
)
</f>
        <v>3.2</v>
      </c>
      <c r="X142" s="294">
        <f>IF(
  (
    COUNTIF('Acompanhamento quinzenal'!$N:$N, A142) +
    COUNTIF('Acompanhamento quinzenal'!$T:$T, A142) +
    COUNTIF('Acompanhamento quinzenal'!$Z:$Z, A142) +
    COUNTIF('Acompanhamento quinzenal'!$AF:$AF, A142)
  ) = 0,
  "-",
  (
    IFERROR(SUMIFS('Acompanhamento quinzenal'!$P:$P, 'Acompanhamento quinzenal'!$N:$N, A142), 0) +
    IFERROR(SUMIFS('Acompanhamento quinzenal'!$V:$V, 'Acompanhamento quinzenal'!$T:$T, A142), 0) +
    IFERROR(SUMIFS('Acompanhamento quinzenal'!$AB:$AB, 'Acompanhamento quinzenal'!$Z:$Z, A142), 0) +
    IFERROR(SUMIFS('Acompanhamento quinzenal'!$AH:$AH, 'Acompanhamento quinzenal'!$AF:$AF, A142), 0)
  ) /
  (
    COUNTIF('Acompanhamento quinzenal'!$N:$N, A142) +
    COUNTIF('Acompanhamento quinzenal'!$T:$T, A142) +
    COUNTIF('Acompanhamento quinzenal'!$Z:$Z, A142) +
    COUNTIF('Acompanhamento quinzenal'!$AF:$AF, A142)
  )
)
</f>
        <v>3</v>
      </c>
      <c r="Y142" s="293">
        <f>IF(
  (
    COUNTIF('Acompanhamento quinzenal'!$N:$N, A142) +
    COUNTIF('Acompanhamento quinzenal'!$T:$T, A142) +
    COUNTIF('Acompanhamento quinzenal'!$Z:$Z, A142) +
    COUNTIF('Acompanhamento quinzenal'!$AF:$AF, A142)
  ) = 0,
  "-",
  (
    IFERROR(SUMIFS('Acompanhamento quinzenal'!$Q:$Q, 'Acompanhamento quinzenal'!$N:$N, A142), 0) +
    IFERROR(SUMIFS('Acompanhamento quinzenal'!$W:$W, 'Acompanhamento quinzenal'!$T:$T, A142), 0) +
    IFERROR(SUMIFS('Acompanhamento quinzenal'!$AC:$AC, 'Acompanhamento quinzenal'!$Z:$Z, A142), 0) +
    IFERROR(SUMIFS('Acompanhamento quinzenal'!$AI:$AI, 'Acompanhamento quinzenal'!$AF:$AF, A142), 0)
  ) /
  (
    COUNTIF('Acompanhamento quinzenal'!$N:$N, A142) +
    COUNTIF('Acompanhamento quinzenal'!$T:$T, A142) +
    COUNTIF('Acompanhamento quinzenal'!$Z:$Z, A142) +
    COUNTIF('Acompanhamento quinzenal'!$AF:$AF, A142)
  )
)
</f>
        <v>3</v>
      </c>
    </row>
    <row r="143" hidden="1">
      <c r="A143" s="291" t="str">
        <f>IFERROR(__xludf.DUMMYFUNCTION("""COMPUTED_VALUE"""),"moizes.avila")</f>
        <v>moizes.avila</v>
      </c>
      <c r="B143" s="120" t="str">
        <f>IFERROR(__xludf.DUMMYFUNCTION("""COMPUTED_VALUE"""),"Trainee")</f>
        <v>Trainee</v>
      </c>
      <c r="C143" s="120" t="str">
        <f>IFERROR(__xludf.DUMMYFUNCTION("""COMPUTED_VALUE"""),"NTec")</f>
        <v>NTec</v>
      </c>
      <c r="D143" s="292" t="str">
        <f>IFERROR((COUNTIFS(Base!$V:$V,A143,Base!$S:$S,"&gt;8") - COUNTIFS(Base!$V:$V,A143,Base!$S:$S,"&lt;7"))/COUNTIFS(Base!$V:$V,A143,Base!$S:$S,"&lt;&gt;"),"-")</f>
        <v>-</v>
      </c>
      <c r="E143" s="292" t="str">
        <f>IF(
  (
    COUNTIFS(Base!$W:$W, A143, Base!$S:$S, "&lt;&gt;") +
    COUNTIFS(Base!$X:$X, A143, Base!$S:$S, "&lt;&gt;") +
    COUNTIFS(Base!$Y:$Y, A143, Base!$S:$S, "&lt;&gt;") +
    COUNTIFS(Base!$Z:$Z, A143, Base!$S:$S, "&lt;&gt;")
  ) = 0,
  "-",
  (
    COUNTIFS(Base!$W:$W, A143, Base!$S:$S, "&gt;8") - COUNTIFS(Base!$W:$W, A143, Base!$S:$S, "&lt;7") +
    COUNTIFS(Base!$X:$X, A143, Base!$S:$S, "&gt;8") - COUNTIFS(Base!$X:$X, A143, Base!$S:$S, "&lt;7") +
    COUNTIFS(Base!$Y:$Y, A143, Base!$S:$S, "&gt;8") - COUNTIFS(Base!$Y:$Y, A143, Base!$S:$S, "&lt;7") +
    COUNTIFS(Base!$Z:$Z, A143, Base!$S:$S, "&gt;8") - COUNTIFS(Base!$Z:$Z, A143, Base!$S:$S, "&lt;7")
  ) /
  (
    COUNTIFS(Base!$W:$W, A143, Base!$S:$S, "&lt;&gt;") +
    COUNTIFS(Base!$X:$X, A143, Base!$S:$S, "&lt;&gt;") +
    COUNTIFS(Base!$Y:$Y, A143, Base!$S:$S, "&lt;&gt;") +
    COUNTIFS(Base!$Z:$Z, A143, Base!$S:$S, "&lt;&gt;")
  )
)
</f>
        <v>-</v>
      </c>
      <c r="F143" s="290">
        <f>SUMIFS(Base!$N:$N,Base!$V:$V,A143,Base!$N:$N,"&lt;&gt;")-SUMIFS(Base!$K:$K,Base!$V:$V,A143,Base!$N:$N,"&lt;&gt;")-(SUMIFS(Base!$L:$L,Base!$V:$V,A143,Base!$N:$N,"&lt;&gt;")*7)</f>
        <v>0</v>
      </c>
      <c r="G143" s="290"/>
      <c r="H143" s="290">
        <f>SUMIFS(Base!$F:$F,Base!$V:$V,A143,Base!$N:$N,"&lt;&gt;")*7</f>
        <v>0</v>
      </c>
      <c r="I143" s="290"/>
      <c r="J143" s="292" t="str">
        <f t="shared" ref="J143:K143" si="144">IFERROR(F143/H143,"-")</f>
        <v>-</v>
      </c>
      <c r="K143" s="292" t="str">
        <f t="shared" si="144"/>
        <v>-</v>
      </c>
      <c r="L143" s="292" t="str">
        <f>IFERROR((COUNTIFS(Base!$V:$V,A143,Base!$U:$U,TRUE))/(COUNTIFS(Base!$V:$V,A143,Base!$O:$O,"Finalizado")+COUNTIFS(Base!$V:$V,A143,Base!$O:$O,"Concluído")),"-")</f>
        <v>-</v>
      </c>
      <c r="M143" s="292" t="str">
        <f>IF(
  (
    IFERROR(COUNTIF(Base!$W:$W, A143), 0) +
    IFERROR(COUNTIF(Base!$X:$X, A143), 0) +
    IFERROR(COUNTIF(Base!$Y:$Y, A143), 0) +
    IFERROR(COUNTIF(Base!$Z:$Z, A143), 0)
  ) = 0,
  "-",
  IF(
    (
      IFERROR(COUNTIFS(Base!$W:$W, A143, Base!$O:$O, "Finalizado"), 0) +
      IFERROR(COUNTIFS(Base!$W:$W, A143, Base!$O:$O, "Concluído"), 0) +
      IFERROR(COUNTIFS(Base!$X:$X, A143, Base!$O:$O, "Finalizado"), 0) +
      IFERROR(COUNTIFS(Base!$X:$X, A143, Base!$O:$O, "Concluído"), 0) +
      IFERROR(COUNTIFS(Base!$Y:$Y, A143, Base!$O:$O, "Finalizado"), 0) +
      IFERROR(COUNTIFS(Base!$Y:$Y, A143, Base!$O:$O, "Concluído"), 0) +
      IFERROR(COUNTIFS(Base!$Z:$Z, A143, Base!$O:$O, "Finalizado"), 0) +
      IFERROR(COUNTIFS(Base!$Z:$Z, A143, Base!$O:$O, "Concluído"), 0)
    ) = 0,
    "-",
    (
      IFERROR(COUNTIFS(Base!$W:$W, A143, Base!$U:$U, TRUE), 0) +
      IFERROR(COUNTIFS(Base!$X:$X, A143, Base!$U:$U, TRUE), 0) +
      IFERROR(COUNTIFS(Base!$Y:$Y, A143, Base!$U:$U, TRUE), 0) +
      IFERROR(COUNTIFS(Base!$Z:$Z, A143, Base!$U:$U, TRUE), 0)
    ) /
    (
      IFERROR(COUNTIFS(Base!$W:$W, A143, Base!$O:$O, "Finalizado"), 0) +
      IFERROR(COUNTIFS(Base!$W:$W, A143, Base!$O:$O, "Concluído"), 0) +
      IFERROR(COUNTIFS(Base!$X:$X, A143, Base!$O:$O, "Finalizado"), 0) +
      IFERROR(COUNTIFS(Base!$X:$X, A143, Base!$O:$O, "Concluído"), 0) +
      IFERROR(COUNTIFS(Base!$Y:$Y, A143, Base!$O:$O, "Finalizado"), 0) +
      IFERROR(COUNTIFS(Base!$Y:$Y, A143, Base!$O:$O, "Concluído"), 0) +
      IFERROR(COUNTIFS(Base!$Z:$Z, A143, Base!$O:$O, "Finalizado"), 0) +
      IFERROR(COUNTIFS(Base!$Z:$Z, A143, Base!$O:$O, "Concluído"), 0)
    )
  )
)
</f>
        <v>-</v>
      </c>
      <c r="N143" s="120">
        <f>COUNTIF(Base!V:V,$A143)</f>
        <v>0</v>
      </c>
      <c r="O143" s="120">
        <f>COUNTIF(Base!W:W,$A143)</f>
        <v>0</v>
      </c>
      <c r="P143" s="120">
        <f>COUNTIF(Base!X:X,$A143)</f>
        <v>0</v>
      </c>
      <c r="Q143" s="120">
        <f>COUNTIF(Base!Y:Y,$A143)</f>
        <v>1</v>
      </c>
      <c r="R143" s="120">
        <f>COUNTIF(Base!Z:Z,$A143)</f>
        <v>0</v>
      </c>
      <c r="S143" s="120">
        <f t="shared" si="3"/>
        <v>1</v>
      </c>
      <c r="T143" s="120">
        <f t="shared" si="4"/>
        <v>1</v>
      </c>
      <c r="V143" s="293">
        <f>IF(
  (
    COUNTIF('Acompanhamento quinzenal'!$N:$N, A143) +
    COUNTIF('Acompanhamento quinzenal'!$T:$T, A143) +
    COUNTIF('Acompanhamento quinzenal'!$Z:$Z, A143) +
    COUNTIF('Acompanhamento quinzenal'!$AF:$AF, A143)
  ) = 0,
  "-",
  (
    IFERROR(SUMIFS('Acompanhamento quinzenal'!$S:$S, 'Acompanhamento quinzenal'!$N:$N, A143), 0) +
    IFERROR(SUMIFS('Acompanhamento quinzenal'!$Y:$Y, 'Acompanhamento quinzenal'!$T:$T, A143), 0) +
    IFERROR(SUMIFS('Acompanhamento quinzenal'!$AE:$AE, 'Acompanhamento quinzenal'!$Z:$Z, A143), 0) +
    IFERROR(SUMIFS('Acompanhamento quinzenal'!$AK:$AK, 'Acompanhamento quinzenal'!$AF:$AF, A143), 0)
  ) /
  (
    COUNTIF('Acompanhamento quinzenal'!$N:$N, A143) +
    COUNTIF('Acompanhamento quinzenal'!$T:$T, A143) +
    COUNTIF('Acompanhamento quinzenal'!$Z:$Z, A143) +
    COUNTIF('Acompanhamento quinzenal'!$AF:$AF, A143)
  )
)
</f>
        <v>3.333333333</v>
      </c>
      <c r="W143" s="293">
        <f>IF(
  (
    COUNTIF('Acompanhamento quinzenal'!$N:$N, A143) +
    COUNTIF('Acompanhamento quinzenal'!$T:$T, A143) +
    COUNTIF('Acompanhamento quinzenal'!$Z:$Z, A143) +
    COUNTIF('Acompanhamento quinzenal'!$AF:$AF, A143)
  ) = 0,
  "-",
  (
    IFERROR(SUMIFS('Acompanhamento quinzenal'!$O:$O, 'Acompanhamento quinzenal'!$N:$N, A143), 0) +
    IFERROR(SUMIFS('Acompanhamento quinzenal'!$U:$U, 'Acompanhamento quinzenal'!$T:$T, A143), 0) +
    IFERROR(SUMIFS('Acompanhamento quinzenal'!$AA:$AA, 'Acompanhamento quinzenal'!$Z:$Z, A143), 0) +
    IFERROR(SUMIFS('Acompanhamento quinzenal'!$AG:$AG, 'Acompanhamento quinzenal'!$AF:$AF, A143), 0)
  ) /
  (
    COUNTIF('Acompanhamento quinzenal'!$N:$N, A143) +
    COUNTIF('Acompanhamento quinzenal'!$T:$T, A143) +
    COUNTIF('Acompanhamento quinzenal'!$Z:$Z, A143) +
    COUNTIF('Acompanhamento quinzenal'!$AF:$AF, A143)
  )
)
</f>
        <v>3</v>
      </c>
      <c r="X143" s="294">
        <f>IF(
  (
    COUNTIF('Acompanhamento quinzenal'!$N:$N, A143) +
    COUNTIF('Acompanhamento quinzenal'!$T:$T, A143) +
    COUNTIF('Acompanhamento quinzenal'!$Z:$Z, A143) +
    COUNTIF('Acompanhamento quinzenal'!$AF:$AF, A143)
  ) = 0,
  "-",
  (
    IFERROR(SUMIFS('Acompanhamento quinzenal'!$P:$P, 'Acompanhamento quinzenal'!$N:$N, A143), 0) +
    IFERROR(SUMIFS('Acompanhamento quinzenal'!$V:$V, 'Acompanhamento quinzenal'!$T:$T, A143), 0) +
    IFERROR(SUMIFS('Acompanhamento quinzenal'!$AB:$AB, 'Acompanhamento quinzenal'!$Z:$Z, A143), 0) +
    IFERROR(SUMIFS('Acompanhamento quinzenal'!$AH:$AH, 'Acompanhamento quinzenal'!$AF:$AF, A143), 0)
  ) /
  (
    COUNTIF('Acompanhamento quinzenal'!$N:$N, A143) +
    COUNTIF('Acompanhamento quinzenal'!$T:$T, A143) +
    COUNTIF('Acompanhamento quinzenal'!$Z:$Z, A143) +
    COUNTIF('Acompanhamento quinzenal'!$AF:$AF, A143)
  )
)
</f>
        <v>4</v>
      </c>
      <c r="Y143" s="293">
        <f>IF(
  (
    COUNTIF('Acompanhamento quinzenal'!$N:$N, A143) +
    COUNTIF('Acompanhamento quinzenal'!$T:$T, A143) +
    COUNTIF('Acompanhamento quinzenal'!$Z:$Z, A143) +
    COUNTIF('Acompanhamento quinzenal'!$AF:$AF, A143)
  ) = 0,
  "-",
  (
    IFERROR(SUMIFS('Acompanhamento quinzenal'!$Q:$Q, 'Acompanhamento quinzenal'!$N:$N, A143), 0) +
    IFERROR(SUMIFS('Acompanhamento quinzenal'!$W:$W, 'Acompanhamento quinzenal'!$T:$T, A143), 0) +
    IFERROR(SUMIFS('Acompanhamento quinzenal'!$AC:$AC, 'Acompanhamento quinzenal'!$Z:$Z, A143), 0) +
    IFERROR(SUMIFS('Acompanhamento quinzenal'!$AI:$AI, 'Acompanhamento quinzenal'!$AF:$AF, A143), 0)
  ) /
  (
    COUNTIF('Acompanhamento quinzenal'!$N:$N, A143) +
    COUNTIF('Acompanhamento quinzenal'!$T:$T, A143) +
    COUNTIF('Acompanhamento quinzenal'!$Z:$Z, A143) +
    COUNTIF('Acompanhamento quinzenal'!$AF:$AF, A143)
  )
)
</f>
        <v>3</v>
      </c>
    </row>
    <row r="144">
      <c r="A144" s="291" t="str">
        <f>IFERROR(__xludf.DUMMYFUNCTION("""COMPUTED_VALUE"""),"natalia.martins")</f>
        <v>natalia.martins</v>
      </c>
      <c r="B144" s="120" t="str">
        <f>IFERROR(__xludf.DUMMYFUNCTION("""COMPUTED_VALUE"""),"Trainee")</f>
        <v>Trainee</v>
      </c>
      <c r="C144" s="120" t="str">
        <f>IFERROR(__xludf.DUMMYFUNCTION("""COMPUTED_VALUE"""),"NDados")</f>
        <v>NDados</v>
      </c>
      <c r="D144" s="292" t="str">
        <f>IFERROR((COUNTIFS(Base!$V:$V,A144,Base!$S:$S,"&gt;8") - COUNTIFS(Base!$V:$V,A144,Base!$S:$S,"&lt;7"))/COUNTIFS(Base!$V:$V,A144,Base!$S:$S,"&lt;&gt;"),"-")</f>
        <v>-</v>
      </c>
      <c r="E144" s="292" t="str">
        <f>IF(
  (
    COUNTIFS(Base!$W:$W, A144, Base!$S:$S, "&lt;&gt;") +
    COUNTIFS(Base!$X:$X, A144, Base!$S:$S, "&lt;&gt;") +
    COUNTIFS(Base!$Y:$Y, A144, Base!$S:$S, "&lt;&gt;") +
    COUNTIFS(Base!$Z:$Z, A144, Base!$S:$S, "&lt;&gt;")
  ) = 0,
  "-",
  (
    COUNTIFS(Base!$W:$W, A144, Base!$S:$S, "&gt;8") - COUNTIFS(Base!$W:$W, A144, Base!$S:$S, "&lt;7") +
    COUNTIFS(Base!$X:$X, A144, Base!$S:$S, "&gt;8") - COUNTIFS(Base!$X:$X, A144, Base!$S:$S, "&lt;7") +
    COUNTIFS(Base!$Y:$Y, A144, Base!$S:$S, "&gt;8") - COUNTIFS(Base!$Y:$Y, A144, Base!$S:$S, "&lt;7") +
    COUNTIFS(Base!$Z:$Z, A144, Base!$S:$S, "&gt;8") - COUNTIFS(Base!$Z:$Z, A144, Base!$S:$S, "&lt;7")
  ) /
  (
    COUNTIFS(Base!$W:$W, A144, Base!$S:$S, "&lt;&gt;") +
    COUNTIFS(Base!$X:$X, A144, Base!$S:$S, "&lt;&gt;") +
    COUNTIFS(Base!$Y:$Y, A144, Base!$S:$S, "&lt;&gt;") +
    COUNTIFS(Base!$Z:$Z, A144, Base!$S:$S, "&lt;&gt;")
  )
)
</f>
        <v>-</v>
      </c>
      <c r="F144" s="290">
        <f>SUMIFS(Base!$N:$N,Base!$V:$V,A144,Base!$N:$N,"&lt;&gt;")-SUMIFS(Base!$K:$K,Base!$V:$V,A144,Base!$N:$N,"&lt;&gt;")-(SUMIFS(Base!$L:$L,Base!$V:$V,A144,Base!$N:$N,"&lt;&gt;")*7)</f>
        <v>0</v>
      </c>
      <c r="G144" s="290"/>
      <c r="H144" s="290">
        <f>SUMIFS(Base!$F:$F,Base!$V:$V,A144,Base!$N:$N,"&lt;&gt;")*7</f>
        <v>0</v>
      </c>
      <c r="I144" s="290"/>
      <c r="J144" s="292" t="str">
        <f t="shared" ref="J144:K144" si="145">IFERROR(F144/H144,"-")</f>
        <v>-</v>
      </c>
      <c r="K144" s="292" t="str">
        <f t="shared" si="145"/>
        <v>-</v>
      </c>
      <c r="L144" s="292" t="str">
        <f>IFERROR((COUNTIFS(Base!$V:$V,A144,Base!$U:$U,TRUE))/(COUNTIFS(Base!$V:$V,A144,Base!$O:$O,"Finalizado")+COUNTIFS(Base!$V:$V,A144,Base!$O:$O,"Concluído")),"-")</f>
        <v>-</v>
      </c>
      <c r="M144" s="292" t="str">
        <f>IF(
  (
    IFERROR(COUNTIF(Base!$W:$W, A144), 0) +
    IFERROR(COUNTIF(Base!$X:$X, A144), 0) +
    IFERROR(COUNTIF(Base!$Y:$Y, A144), 0) +
    IFERROR(COUNTIF(Base!$Z:$Z, A144), 0)
  ) = 0,
  "-",
  IF(
    (
      IFERROR(COUNTIFS(Base!$W:$W, A144, Base!$O:$O, "Finalizado"), 0) +
      IFERROR(COUNTIFS(Base!$W:$W, A144, Base!$O:$O, "Concluído"), 0) +
      IFERROR(COUNTIFS(Base!$X:$X, A144, Base!$O:$O, "Finalizado"), 0) +
      IFERROR(COUNTIFS(Base!$X:$X, A144, Base!$O:$O, "Concluído"), 0) +
      IFERROR(COUNTIFS(Base!$Y:$Y, A144, Base!$O:$O, "Finalizado"), 0) +
      IFERROR(COUNTIFS(Base!$Y:$Y, A144, Base!$O:$O, "Concluído"), 0) +
      IFERROR(COUNTIFS(Base!$Z:$Z, A144, Base!$O:$O, "Finalizado"), 0) +
      IFERROR(COUNTIFS(Base!$Z:$Z, A144, Base!$O:$O, "Concluído"), 0)
    ) = 0,
    "-",
    (
      IFERROR(COUNTIFS(Base!$W:$W, A144, Base!$U:$U, TRUE), 0) +
      IFERROR(COUNTIFS(Base!$X:$X, A144, Base!$U:$U, TRUE), 0) +
      IFERROR(COUNTIFS(Base!$Y:$Y, A144, Base!$U:$U, TRUE), 0) +
      IFERROR(COUNTIFS(Base!$Z:$Z, A144, Base!$U:$U, TRUE), 0)
    ) /
    (
      IFERROR(COUNTIFS(Base!$W:$W, A144, Base!$O:$O, "Finalizado"), 0) +
      IFERROR(COUNTIFS(Base!$W:$W, A144, Base!$O:$O, "Concluído"), 0) +
      IFERROR(COUNTIFS(Base!$X:$X, A144, Base!$O:$O, "Finalizado"), 0) +
      IFERROR(COUNTIFS(Base!$X:$X, A144, Base!$O:$O, "Concluído"), 0) +
      IFERROR(COUNTIFS(Base!$Y:$Y, A144, Base!$O:$O, "Finalizado"), 0) +
      IFERROR(COUNTIFS(Base!$Y:$Y, A144, Base!$O:$O, "Concluído"), 0) +
      IFERROR(COUNTIFS(Base!$Z:$Z, A144, Base!$O:$O, "Finalizado"), 0) +
      IFERROR(COUNTIFS(Base!$Z:$Z, A144, Base!$O:$O, "Concluído"), 0)
    )
  )
)
</f>
        <v>-</v>
      </c>
      <c r="N144" s="120">
        <f>COUNTIF(Base!V:V,$A144)</f>
        <v>0</v>
      </c>
      <c r="O144" s="120">
        <f>COUNTIF(Base!W:W,$A144)</f>
        <v>1</v>
      </c>
      <c r="P144" s="120">
        <f>COUNTIF(Base!X:X,$A144)</f>
        <v>0</v>
      </c>
      <c r="Q144" s="120">
        <f>COUNTIF(Base!Y:Y,$A144)</f>
        <v>0</v>
      </c>
      <c r="R144" s="120">
        <f>COUNTIF(Base!Z:Z,$A144)</f>
        <v>0</v>
      </c>
      <c r="S144" s="120">
        <f t="shared" si="3"/>
        <v>1</v>
      </c>
      <c r="T144" s="120">
        <f t="shared" si="4"/>
        <v>1</v>
      </c>
      <c r="V144" s="293" t="str">
        <f>IF(
  (
    COUNTIF('Acompanhamento quinzenal'!$N:$N, A144) +
    COUNTIF('Acompanhamento quinzenal'!$T:$T, A144) +
    COUNTIF('Acompanhamento quinzenal'!$Z:$Z, A144) +
    COUNTIF('Acompanhamento quinzenal'!$AF:$AF, A144)
  ) = 0,
  "-",
  (
    IFERROR(SUMIFS('Acompanhamento quinzenal'!$S:$S, 'Acompanhamento quinzenal'!$N:$N, A144), 0) +
    IFERROR(SUMIFS('Acompanhamento quinzenal'!$Y:$Y, 'Acompanhamento quinzenal'!$T:$T, A144), 0) +
    IFERROR(SUMIFS('Acompanhamento quinzenal'!$AE:$AE, 'Acompanhamento quinzenal'!$Z:$Z, A144), 0) +
    IFERROR(SUMIFS('Acompanhamento quinzenal'!$AK:$AK, 'Acompanhamento quinzenal'!$AF:$AF, A144), 0)
  ) /
  (
    COUNTIF('Acompanhamento quinzenal'!$N:$N, A144) +
    COUNTIF('Acompanhamento quinzenal'!$T:$T, A144) +
    COUNTIF('Acompanhamento quinzenal'!$Z:$Z, A144) +
    COUNTIF('Acompanhamento quinzenal'!$AF:$AF, A144)
  )
)
</f>
        <v>-</v>
      </c>
      <c r="W144" s="293" t="str">
        <f>IF(
  (
    COUNTIF('Acompanhamento quinzenal'!$N:$N, A144) +
    COUNTIF('Acompanhamento quinzenal'!$T:$T, A144) +
    COUNTIF('Acompanhamento quinzenal'!$Z:$Z, A144) +
    COUNTIF('Acompanhamento quinzenal'!$AF:$AF, A144)
  ) = 0,
  "-",
  (
    IFERROR(SUMIFS('Acompanhamento quinzenal'!$O:$O, 'Acompanhamento quinzenal'!$N:$N, A144), 0) +
    IFERROR(SUMIFS('Acompanhamento quinzenal'!$U:$U, 'Acompanhamento quinzenal'!$T:$T, A144), 0) +
    IFERROR(SUMIFS('Acompanhamento quinzenal'!$AA:$AA, 'Acompanhamento quinzenal'!$Z:$Z, A144), 0) +
    IFERROR(SUMIFS('Acompanhamento quinzenal'!$AG:$AG, 'Acompanhamento quinzenal'!$AF:$AF, A144), 0)
  ) /
  (
    COUNTIF('Acompanhamento quinzenal'!$N:$N, A144) +
    COUNTIF('Acompanhamento quinzenal'!$T:$T, A144) +
    COUNTIF('Acompanhamento quinzenal'!$Z:$Z, A144) +
    COUNTIF('Acompanhamento quinzenal'!$AF:$AF, A144)
  )
)
</f>
        <v>-</v>
      </c>
      <c r="X144" s="294" t="str">
        <f>IF(
  (
    COUNTIF('Acompanhamento quinzenal'!$N:$N, A144) +
    COUNTIF('Acompanhamento quinzenal'!$T:$T, A144) +
    COUNTIF('Acompanhamento quinzenal'!$Z:$Z, A144) +
    COUNTIF('Acompanhamento quinzenal'!$AF:$AF, A144)
  ) = 0,
  "-",
  (
    IFERROR(SUMIFS('Acompanhamento quinzenal'!$P:$P, 'Acompanhamento quinzenal'!$N:$N, A144), 0) +
    IFERROR(SUMIFS('Acompanhamento quinzenal'!$V:$V, 'Acompanhamento quinzenal'!$T:$T, A144), 0) +
    IFERROR(SUMIFS('Acompanhamento quinzenal'!$AB:$AB, 'Acompanhamento quinzenal'!$Z:$Z, A144), 0) +
    IFERROR(SUMIFS('Acompanhamento quinzenal'!$AH:$AH, 'Acompanhamento quinzenal'!$AF:$AF, A144), 0)
  ) /
  (
    COUNTIF('Acompanhamento quinzenal'!$N:$N, A144) +
    COUNTIF('Acompanhamento quinzenal'!$T:$T, A144) +
    COUNTIF('Acompanhamento quinzenal'!$Z:$Z, A144) +
    COUNTIF('Acompanhamento quinzenal'!$AF:$AF, A144)
  )
)
</f>
        <v>-</v>
      </c>
      <c r="Y144" s="293" t="str">
        <f>IF(
  (
    COUNTIF('Acompanhamento quinzenal'!$N:$N, A144) +
    COUNTIF('Acompanhamento quinzenal'!$T:$T, A144) +
    COUNTIF('Acompanhamento quinzenal'!$Z:$Z, A144) +
    COUNTIF('Acompanhamento quinzenal'!$AF:$AF, A144)
  ) = 0,
  "-",
  (
    IFERROR(SUMIFS('Acompanhamento quinzenal'!$Q:$Q, 'Acompanhamento quinzenal'!$N:$N, A144), 0) +
    IFERROR(SUMIFS('Acompanhamento quinzenal'!$W:$W, 'Acompanhamento quinzenal'!$T:$T, A144), 0) +
    IFERROR(SUMIFS('Acompanhamento quinzenal'!$AC:$AC, 'Acompanhamento quinzenal'!$Z:$Z, A144), 0) +
    IFERROR(SUMIFS('Acompanhamento quinzenal'!$AI:$AI, 'Acompanhamento quinzenal'!$AF:$AF, A144), 0)
  ) /
  (
    COUNTIF('Acompanhamento quinzenal'!$N:$N, A144) +
    COUNTIF('Acompanhamento quinzenal'!$T:$T, A144) +
    COUNTIF('Acompanhamento quinzenal'!$Z:$Z, A144) +
    COUNTIF('Acompanhamento quinzenal'!$AF:$AF, A144)
  )
)
</f>
        <v>-</v>
      </c>
    </row>
    <row r="145">
      <c r="A145" s="291" t="str">
        <f>IFERROR(__xludf.DUMMYFUNCTION("""COMPUTED_VALUE"""),"natan.palacio")</f>
        <v>natan.palacio</v>
      </c>
      <c r="B145" s="120" t="str">
        <f>IFERROR(__xludf.DUMMYFUNCTION("""COMPUTED_VALUE"""),"Trainee")</f>
        <v>Trainee</v>
      </c>
      <c r="C145" s="120" t="str">
        <f>IFERROR(__xludf.DUMMYFUNCTION("""COMPUTED_VALUE"""),"NDados")</f>
        <v>NDados</v>
      </c>
      <c r="D145" s="292" t="str">
        <f>IFERROR((COUNTIFS(Base!$V:$V,A145,Base!$S:$S,"&gt;8") - COUNTIFS(Base!$V:$V,A145,Base!$S:$S,"&lt;7"))/COUNTIFS(Base!$V:$V,A145,Base!$S:$S,"&lt;&gt;"),"-")</f>
        <v>-</v>
      </c>
      <c r="E145" s="292">
        <f>IF(
  (
    COUNTIFS(Base!$W:$W, A145, Base!$S:$S, "&lt;&gt;") +
    COUNTIFS(Base!$X:$X, A145, Base!$S:$S, "&lt;&gt;") +
    COUNTIFS(Base!$Y:$Y, A145, Base!$S:$S, "&lt;&gt;") +
    COUNTIFS(Base!$Z:$Z, A145, Base!$S:$S, "&lt;&gt;")
  ) = 0,
  "-",
  (
    COUNTIFS(Base!$W:$W, A145, Base!$S:$S, "&gt;8") - COUNTIFS(Base!$W:$W, A145, Base!$S:$S, "&lt;7") +
    COUNTIFS(Base!$X:$X, A145, Base!$S:$S, "&gt;8") - COUNTIFS(Base!$X:$X, A145, Base!$S:$S, "&lt;7") +
    COUNTIFS(Base!$Y:$Y, A145, Base!$S:$S, "&gt;8") - COUNTIFS(Base!$Y:$Y, A145, Base!$S:$S, "&lt;7") +
    COUNTIFS(Base!$Z:$Z, A145, Base!$S:$S, "&gt;8") - COUNTIFS(Base!$Z:$Z, A145, Base!$S:$S, "&lt;7")
  ) /
  (
    COUNTIFS(Base!$W:$W, A145, Base!$S:$S, "&lt;&gt;") +
    COUNTIFS(Base!$X:$X, A145, Base!$S:$S, "&lt;&gt;") +
    COUNTIFS(Base!$Y:$Y, A145, Base!$S:$S, "&lt;&gt;") +
    COUNTIFS(Base!$Z:$Z, A145, Base!$S:$S, "&lt;&gt;")
  )
)
</f>
        <v>1</v>
      </c>
      <c r="F145" s="290">
        <f>SUMIFS(Base!$N:$N,Base!$V:$V,A145,Base!$N:$N,"&lt;&gt;")-SUMIFS(Base!$K:$K,Base!$V:$V,A145,Base!$N:$N,"&lt;&gt;")-(SUMIFS(Base!$L:$L,Base!$V:$V,A145,Base!$N:$N,"&lt;&gt;")*7)</f>
        <v>0</v>
      </c>
      <c r="G145" s="290"/>
      <c r="H145" s="290">
        <f>SUMIFS(Base!$F:$F,Base!$V:$V,A145,Base!$N:$N,"&lt;&gt;")*7</f>
        <v>0</v>
      </c>
      <c r="I145" s="290"/>
      <c r="J145" s="292" t="str">
        <f t="shared" ref="J145:K145" si="146">IFERROR(F145/H145,"-")</f>
        <v>-</v>
      </c>
      <c r="K145" s="292" t="str">
        <f t="shared" si="146"/>
        <v>-</v>
      </c>
      <c r="L145" s="292" t="str">
        <f>IFERROR((COUNTIFS(Base!$V:$V,A145,Base!$U:$U,TRUE))/(COUNTIFS(Base!$V:$V,A145,Base!$O:$O,"Finalizado")+COUNTIFS(Base!$V:$V,A145,Base!$O:$O,"Concluído")),"-")</f>
        <v>-</v>
      </c>
      <c r="M145" s="292">
        <f>IF(
  (
    IFERROR(COUNTIF(Base!$W:$W, A145), 0) +
    IFERROR(COUNTIF(Base!$X:$X, A145), 0) +
    IFERROR(COUNTIF(Base!$Y:$Y, A145), 0) +
    IFERROR(COUNTIF(Base!$Z:$Z, A145), 0)
  ) = 0,
  "-",
  IF(
    (
      IFERROR(COUNTIFS(Base!$W:$W, A145, Base!$O:$O, "Finalizado"), 0) +
      IFERROR(COUNTIFS(Base!$W:$W, A145, Base!$O:$O, "Concluído"), 0) +
      IFERROR(COUNTIFS(Base!$X:$X, A145, Base!$O:$O, "Finalizado"), 0) +
      IFERROR(COUNTIFS(Base!$X:$X, A145, Base!$O:$O, "Concluído"), 0) +
      IFERROR(COUNTIFS(Base!$Y:$Y, A145, Base!$O:$O, "Finalizado"), 0) +
      IFERROR(COUNTIFS(Base!$Y:$Y, A145, Base!$O:$O, "Concluído"), 0) +
      IFERROR(COUNTIFS(Base!$Z:$Z, A145, Base!$O:$O, "Finalizado"), 0) +
      IFERROR(COUNTIFS(Base!$Z:$Z, A145, Base!$O:$O, "Concluído"), 0)
    ) = 0,
    "-",
    (
      IFERROR(COUNTIFS(Base!$W:$W, A145, Base!$U:$U, TRUE), 0) +
      IFERROR(COUNTIFS(Base!$X:$X, A145, Base!$U:$U, TRUE), 0) +
      IFERROR(COUNTIFS(Base!$Y:$Y, A145, Base!$U:$U, TRUE), 0) +
      IFERROR(COUNTIFS(Base!$Z:$Z, A145, Base!$U:$U, TRUE), 0)
    ) /
    (
      IFERROR(COUNTIFS(Base!$W:$W, A145, Base!$O:$O, "Finalizado"), 0) +
      IFERROR(COUNTIFS(Base!$W:$W, A145, Base!$O:$O, "Concluído"), 0) +
      IFERROR(COUNTIFS(Base!$X:$X, A145, Base!$O:$O, "Finalizado"), 0) +
      IFERROR(COUNTIFS(Base!$X:$X, A145, Base!$O:$O, "Concluído"), 0) +
      IFERROR(COUNTIFS(Base!$Y:$Y, A145, Base!$O:$O, "Finalizado"), 0) +
      IFERROR(COUNTIFS(Base!$Y:$Y, A145, Base!$O:$O, "Concluído"), 0) +
      IFERROR(COUNTIFS(Base!$Z:$Z, A145, Base!$O:$O, "Finalizado"), 0) +
      IFERROR(COUNTIFS(Base!$Z:$Z, A145, Base!$O:$O, "Concluído"), 0)
    )
  )
)
</f>
        <v>0</v>
      </c>
      <c r="N145" s="120">
        <f>COUNTIF(Base!V:V,$A145)</f>
        <v>1</v>
      </c>
      <c r="O145" s="120">
        <f>COUNTIF(Base!W:W,$A145)</f>
        <v>3</v>
      </c>
      <c r="P145" s="120">
        <f>COUNTIF(Base!X:X,$A145)</f>
        <v>0</v>
      </c>
      <c r="Q145" s="120">
        <f>COUNTIF(Base!Y:Y,$A145)</f>
        <v>0</v>
      </c>
      <c r="R145" s="120">
        <f>COUNTIF(Base!Z:Z,$A145)</f>
        <v>0</v>
      </c>
      <c r="S145" s="120">
        <f t="shared" si="3"/>
        <v>4</v>
      </c>
      <c r="T145" s="120">
        <f t="shared" si="4"/>
        <v>3</v>
      </c>
      <c r="V145" s="293">
        <f>IF(
  (
    COUNTIF('Acompanhamento quinzenal'!$N:$N, A145) +
    COUNTIF('Acompanhamento quinzenal'!$T:$T, A145) +
    COUNTIF('Acompanhamento quinzenal'!$Z:$Z, A145) +
    COUNTIF('Acompanhamento quinzenal'!$AF:$AF, A145)
  ) = 0,
  "-",
  (
    IFERROR(SUMIFS('Acompanhamento quinzenal'!$S:$S, 'Acompanhamento quinzenal'!$N:$N, A145), 0) +
    IFERROR(SUMIFS('Acompanhamento quinzenal'!$Y:$Y, 'Acompanhamento quinzenal'!$T:$T, A145), 0) +
    IFERROR(SUMIFS('Acompanhamento quinzenal'!$AE:$AE, 'Acompanhamento quinzenal'!$Z:$Z, A145), 0) +
    IFERROR(SUMIFS('Acompanhamento quinzenal'!$AK:$AK, 'Acompanhamento quinzenal'!$AF:$AF, A145), 0)
  ) /
  (
    COUNTIF('Acompanhamento quinzenal'!$N:$N, A145) +
    COUNTIF('Acompanhamento quinzenal'!$T:$T, A145) +
    COUNTIF('Acompanhamento quinzenal'!$Z:$Z, A145) +
    COUNTIF('Acompanhamento quinzenal'!$AF:$AF, A145)
  )
)
</f>
        <v>3.333333333</v>
      </c>
      <c r="W145" s="293">
        <f>IF(
  (
    COUNTIF('Acompanhamento quinzenal'!$N:$N, A145) +
    COUNTIF('Acompanhamento quinzenal'!$T:$T, A145) +
    COUNTIF('Acompanhamento quinzenal'!$Z:$Z, A145) +
    COUNTIF('Acompanhamento quinzenal'!$AF:$AF, A145)
  ) = 0,
  "-",
  (
    IFERROR(SUMIFS('Acompanhamento quinzenal'!$O:$O, 'Acompanhamento quinzenal'!$N:$N, A145), 0) +
    IFERROR(SUMIFS('Acompanhamento quinzenal'!$U:$U, 'Acompanhamento quinzenal'!$T:$T, A145), 0) +
    IFERROR(SUMIFS('Acompanhamento quinzenal'!$AA:$AA, 'Acompanhamento quinzenal'!$Z:$Z, A145), 0) +
    IFERROR(SUMIFS('Acompanhamento quinzenal'!$AG:$AG, 'Acompanhamento quinzenal'!$AF:$AF, A145), 0)
  ) /
  (
    COUNTIF('Acompanhamento quinzenal'!$N:$N, A145) +
    COUNTIF('Acompanhamento quinzenal'!$T:$T, A145) +
    COUNTIF('Acompanhamento quinzenal'!$Z:$Z, A145) +
    COUNTIF('Acompanhamento quinzenal'!$AF:$AF, A145)
  )
)
</f>
        <v>3</v>
      </c>
      <c r="X145" s="294">
        <f>IF(
  (
    COUNTIF('Acompanhamento quinzenal'!$N:$N, A145) +
    COUNTIF('Acompanhamento quinzenal'!$T:$T, A145) +
    COUNTIF('Acompanhamento quinzenal'!$Z:$Z, A145) +
    COUNTIF('Acompanhamento quinzenal'!$AF:$AF, A145)
  ) = 0,
  "-",
  (
    IFERROR(SUMIFS('Acompanhamento quinzenal'!$P:$P, 'Acompanhamento quinzenal'!$N:$N, A145), 0) +
    IFERROR(SUMIFS('Acompanhamento quinzenal'!$V:$V, 'Acompanhamento quinzenal'!$T:$T, A145), 0) +
    IFERROR(SUMIFS('Acompanhamento quinzenal'!$AB:$AB, 'Acompanhamento quinzenal'!$Z:$Z, A145), 0) +
    IFERROR(SUMIFS('Acompanhamento quinzenal'!$AH:$AH, 'Acompanhamento quinzenal'!$AF:$AF, A145), 0)
  ) /
  (
    COUNTIF('Acompanhamento quinzenal'!$N:$N, A145) +
    COUNTIF('Acompanhamento quinzenal'!$T:$T, A145) +
    COUNTIF('Acompanhamento quinzenal'!$Z:$Z, A145) +
    COUNTIF('Acompanhamento quinzenal'!$AF:$AF, A145)
  )
)
</f>
        <v>3.5</v>
      </c>
      <c r="Y145" s="293">
        <f>IF(
  (
    COUNTIF('Acompanhamento quinzenal'!$N:$N, A145) +
    COUNTIF('Acompanhamento quinzenal'!$T:$T, A145) +
    COUNTIF('Acompanhamento quinzenal'!$Z:$Z, A145) +
    COUNTIF('Acompanhamento quinzenal'!$AF:$AF, A145)
  ) = 0,
  "-",
  (
    IFERROR(SUMIFS('Acompanhamento quinzenal'!$Q:$Q, 'Acompanhamento quinzenal'!$N:$N, A145), 0) +
    IFERROR(SUMIFS('Acompanhamento quinzenal'!$W:$W, 'Acompanhamento quinzenal'!$T:$T, A145), 0) +
    IFERROR(SUMIFS('Acompanhamento quinzenal'!$AC:$AC, 'Acompanhamento quinzenal'!$Z:$Z, A145), 0) +
    IFERROR(SUMIFS('Acompanhamento quinzenal'!$AI:$AI, 'Acompanhamento quinzenal'!$AF:$AF, A145), 0)
  ) /
  (
    COUNTIF('Acompanhamento quinzenal'!$N:$N, A145) +
    COUNTIF('Acompanhamento quinzenal'!$T:$T, A145) +
    COUNTIF('Acompanhamento quinzenal'!$Z:$Z, A145) +
    COUNTIF('Acompanhamento quinzenal'!$AF:$AF, A145)
  )
)
</f>
        <v>3.5</v>
      </c>
    </row>
    <row r="146" hidden="1">
      <c r="A146" s="291" t="str">
        <f>IFERROR(__xludf.DUMMYFUNCTION("""COMPUTED_VALUE"""),"nathalia.valle")</f>
        <v>nathalia.valle</v>
      </c>
      <c r="B146" s="120" t="str">
        <f>IFERROR(__xludf.DUMMYFUNCTION("""COMPUTED_VALUE"""),"Coordenador")</f>
        <v>Coordenador</v>
      </c>
      <c r="C146" s="120" t="str">
        <f>IFERROR(__xludf.DUMMYFUNCTION("""COMPUTED_VALUE"""),"NCiv")</f>
        <v>NCiv</v>
      </c>
      <c r="D146" s="292" t="str">
        <f>IFERROR((COUNTIFS(Base!$V:$V,A146,Base!$S:$S,"&gt;8") - COUNTIFS(Base!$V:$V,A146,Base!$S:$S,"&lt;7"))/COUNTIFS(Base!$V:$V,A146,Base!$S:$S,"&lt;&gt;"),"-")</f>
        <v>-</v>
      </c>
      <c r="E146" s="292">
        <f>IF(
  (
    COUNTIFS(Base!$W:$W, A146, Base!$S:$S, "&lt;&gt;") +
    COUNTIFS(Base!$X:$X, A146, Base!$S:$S, "&lt;&gt;") +
    COUNTIFS(Base!$Y:$Y, A146, Base!$S:$S, "&lt;&gt;") +
    COUNTIFS(Base!$Z:$Z, A146, Base!$S:$S, "&lt;&gt;")
  ) = 0,
  "-",
  (
    COUNTIFS(Base!$W:$W, A146, Base!$S:$S, "&gt;8") - COUNTIFS(Base!$W:$W, A146, Base!$S:$S, "&lt;7") +
    COUNTIFS(Base!$X:$X, A146, Base!$S:$S, "&gt;8") - COUNTIFS(Base!$X:$X, A146, Base!$S:$S, "&lt;7") +
    COUNTIFS(Base!$Y:$Y, A146, Base!$S:$S, "&gt;8") - COUNTIFS(Base!$Y:$Y, A146, Base!$S:$S, "&lt;7") +
    COUNTIFS(Base!$Z:$Z, A146, Base!$S:$S, "&gt;8") - COUNTIFS(Base!$Z:$Z, A146, Base!$S:$S, "&lt;7")
  ) /
  (
    COUNTIFS(Base!$W:$W, A146, Base!$S:$S, "&lt;&gt;") +
    COUNTIFS(Base!$X:$X, A146, Base!$S:$S, "&lt;&gt;") +
    COUNTIFS(Base!$Y:$Y, A146, Base!$S:$S, "&lt;&gt;") +
    COUNTIFS(Base!$Z:$Z, A146, Base!$S:$S, "&lt;&gt;")
  )
)
</f>
        <v>0</v>
      </c>
      <c r="F146" s="290">
        <f>SUMIFS(Base!$N:$N,Base!$V:$V,A146,Base!$N:$N,"&lt;&gt;")-SUMIFS(Base!$K:$K,Base!$V:$V,A146,Base!$N:$N,"&lt;&gt;")-(SUMIFS(Base!$L:$L,Base!$V:$V,A146,Base!$N:$N,"&lt;&gt;")*7)</f>
        <v>0</v>
      </c>
      <c r="G146" s="290"/>
      <c r="H146" s="290">
        <f>SUMIFS(Base!$F:$F,Base!$V:$V,A146,Base!$N:$N,"&lt;&gt;")*7</f>
        <v>0</v>
      </c>
      <c r="I146" s="290"/>
      <c r="J146" s="292" t="str">
        <f t="shared" ref="J146:K146" si="147">IFERROR(F146/H146,"-")</f>
        <v>-</v>
      </c>
      <c r="K146" s="292" t="str">
        <f t="shared" si="147"/>
        <v>-</v>
      </c>
      <c r="L146" s="292" t="str">
        <f>IFERROR((COUNTIFS(Base!$V:$V,A146,Base!$U:$U,TRUE))/(COUNTIFS(Base!$V:$V,A146,Base!$O:$O,"Finalizado")+COUNTIFS(Base!$V:$V,A146,Base!$O:$O,"Concluído")),"-")</f>
        <v>-</v>
      </c>
      <c r="M146" s="292">
        <f>IF(
  (
    IFERROR(COUNTIF(Base!$W:$W, A146), 0) +
    IFERROR(COUNTIF(Base!$X:$X, A146), 0) +
    IFERROR(COUNTIF(Base!$Y:$Y, A146), 0) +
    IFERROR(COUNTIF(Base!$Z:$Z, A146), 0)
  ) = 0,
  "-",
  IF(
    (
      IFERROR(COUNTIFS(Base!$W:$W, A146, Base!$O:$O, "Finalizado"), 0) +
      IFERROR(COUNTIFS(Base!$W:$W, A146, Base!$O:$O, "Concluído"), 0) +
      IFERROR(COUNTIFS(Base!$X:$X, A146, Base!$O:$O, "Finalizado"), 0) +
      IFERROR(COUNTIFS(Base!$X:$X, A146, Base!$O:$O, "Concluído"), 0) +
      IFERROR(COUNTIFS(Base!$Y:$Y, A146, Base!$O:$O, "Finalizado"), 0) +
      IFERROR(COUNTIFS(Base!$Y:$Y, A146, Base!$O:$O, "Concluído"), 0) +
      IFERROR(COUNTIFS(Base!$Z:$Z, A146, Base!$O:$O, "Finalizado"), 0) +
      IFERROR(COUNTIFS(Base!$Z:$Z, A146, Base!$O:$O, "Concluído"), 0)
    ) = 0,
    "-",
    (
      IFERROR(COUNTIFS(Base!$W:$W, A146, Base!$U:$U, TRUE), 0) +
      IFERROR(COUNTIFS(Base!$X:$X, A146, Base!$U:$U, TRUE), 0) +
      IFERROR(COUNTIFS(Base!$Y:$Y, A146, Base!$U:$U, TRUE), 0) +
      IFERROR(COUNTIFS(Base!$Z:$Z, A146, Base!$U:$U, TRUE), 0)
    ) /
    (
      IFERROR(COUNTIFS(Base!$W:$W, A146, Base!$O:$O, "Finalizado"), 0) +
      IFERROR(COUNTIFS(Base!$W:$W, A146, Base!$O:$O, "Concluído"), 0) +
      IFERROR(COUNTIFS(Base!$X:$X, A146, Base!$O:$O, "Finalizado"), 0) +
      IFERROR(COUNTIFS(Base!$X:$X, A146, Base!$O:$O, "Concluído"), 0) +
      IFERROR(COUNTIFS(Base!$Y:$Y, A146, Base!$O:$O, "Finalizado"), 0) +
      IFERROR(COUNTIFS(Base!$Y:$Y, A146, Base!$O:$O, "Concluído"), 0) +
      IFERROR(COUNTIFS(Base!$Z:$Z, A146, Base!$O:$O, "Finalizado"), 0) +
      IFERROR(COUNTIFS(Base!$Z:$Z, A146, Base!$O:$O, "Concluído"), 0)
    )
  )
)
</f>
        <v>0</v>
      </c>
      <c r="N146" s="120">
        <f>COUNTIF(Base!V:V,$A146)</f>
        <v>0</v>
      </c>
      <c r="O146" s="120">
        <f>COUNTIF(Base!W:W,$A146)</f>
        <v>0</v>
      </c>
      <c r="P146" s="120">
        <f>COUNTIF(Base!X:X,$A146)</f>
        <v>2</v>
      </c>
      <c r="Q146" s="120">
        <f>COUNTIF(Base!Y:Y,$A146)</f>
        <v>1</v>
      </c>
      <c r="R146" s="120">
        <f>COUNTIF(Base!Z:Z,$A146)</f>
        <v>0</v>
      </c>
      <c r="S146" s="120">
        <f t="shared" si="3"/>
        <v>3</v>
      </c>
      <c r="T146" s="120">
        <f t="shared" si="4"/>
        <v>3</v>
      </c>
      <c r="V146" s="293">
        <f>IF(
  (
    COUNTIF('Acompanhamento quinzenal'!$N:$N, A146) +
    COUNTIF('Acompanhamento quinzenal'!$T:$T, A146) +
    COUNTIF('Acompanhamento quinzenal'!$Z:$Z, A146) +
    COUNTIF('Acompanhamento quinzenal'!$AF:$AF, A146)
  ) = 0,
  "-",
  (
    IFERROR(SUMIFS('Acompanhamento quinzenal'!$S:$S, 'Acompanhamento quinzenal'!$N:$N, A146), 0) +
    IFERROR(SUMIFS('Acompanhamento quinzenal'!$Y:$Y, 'Acompanhamento quinzenal'!$T:$T, A146), 0) +
    IFERROR(SUMIFS('Acompanhamento quinzenal'!$AE:$AE, 'Acompanhamento quinzenal'!$Z:$Z, A146), 0) +
    IFERROR(SUMIFS('Acompanhamento quinzenal'!$AK:$AK, 'Acompanhamento quinzenal'!$AF:$AF, A146), 0)
  ) /
  (
    COUNTIF('Acompanhamento quinzenal'!$N:$N, A146) +
    COUNTIF('Acompanhamento quinzenal'!$T:$T, A146) +
    COUNTIF('Acompanhamento quinzenal'!$Z:$Z, A146) +
    COUNTIF('Acompanhamento quinzenal'!$AF:$AF, A146)
  )
)
</f>
        <v>3.5</v>
      </c>
      <c r="W146" s="293">
        <f>IF(
  (
    COUNTIF('Acompanhamento quinzenal'!$N:$N, A146) +
    COUNTIF('Acompanhamento quinzenal'!$T:$T, A146) +
    COUNTIF('Acompanhamento quinzenal'!$Z:$Z, A146) +
    COUNTIF('Acompanhamento quinzenal'!$AF:$AF, A146)
  ) = 0,
  "-",
  (
    IFERROR(SUMIFS('Acompanhamento quinzenal'!$O:$O, 'Acompanhamento quinzenal'!$N:$N, A146), 0) +
    IFERROR(SUMIFS('Acompanhamento quinzenal'!$U:$U, 'Acompanhamento quinzenal'!$T:$T, A146), 0) +
    IFERROR(SUMIFS('Acompanhamento quinzenal'!$AA:$AA, 'Acompanhamento quinzenal'!$Z:$Z, A146), 0) +
    IFERROR(SUMIFS('Acompanhamento quinzenal'!$AG:$AG, 'Acompanhamento quinzenal'!$AF:$AF, A146), 0)
  ) /
  (
    COUNTIF('Acompanhamento quinzenal'!$N:$N, A146) +
    COUNTIF('Acompanhamento quinzenal'!$T:$T, A146) +
    COUNTIF('Acompanhamento quinzenal'!$Z:$Z, A146) +
    COUNTIF('Acompanhamento quinzenal'!$AF:$AF, A146)
  )
)
</f>
        <v>3.5</v>
      </c>
      <c r="X146" s="294">
        <f>IF(
  (
    COUNTIF('Acompanhamento quinzenal'!$N:$N, A146) +
    COUNTIF('Acompanhamento quinzenal'!$T:$T, A146) +
    COUNTIF('Acompanhamento quinzenal'!$Z:$Z, A146) +
    COUNTIF('Acompanhamento quinzenal'!$AF:$AF, A146)
  ) = 0,
  "-",
  (
    IFERROR(SUMIFS('Acompanhamento quinzenal'!$P:$P, 'Acompanhamento quinzenal'!$N:$N, A146), 0) +
    IFERROR(SUMIFS('Acompanhamento quinzenal'!$V:$V, 'Acompanhamento quinzenal'!$T:$T, A146), 0) +
    IFERROR(SUMIFS('Acompanhamento quinzenal'!$AB:$AB, 'Acompanhamento quinzenal'!$Z:$Z, A146), 0) +
    IFERROR(SUMIFS('Acompanhamento quinzenal'!$AH:$AH, 'Acompanhamento quinzenal'!$AF:$AF, A146), 0)
  ) /
  (
    COUNTIF('Acompanhamento quinzenal'!$N:$N, A146) +
    COUNTIF('Acompanhamento quinzenal'!$T:$T, A146) +
    COUNTIF('Acompanhamento quinzenal'!$Z:$Z, A146) +
    COUNTIF('Acompanhamento quinzenal'!$AF:$AF, A146)
  )
)
</f>
        <v>3.5</v>
      </c>
      <c r="Y146" s="293">
        <f>IF(
  (
    COUNTIF('Acompanhamento quinzenal'!$N:$N, A146) +
    COUNTIF('Acompanhamento quinzenal'!$T:$T, A146) +
    COUNTIF('Acompanhamento quinzenal'!$Z:$Z, A146) +
    COUNTIF('Acompanhamento quinzenal'!$AF:$AF, A146)
  ) = 0,
  "-",
  (
    IFERROR(SUMIFS('Acompanhamento quinzenal'!$Q:$Q, 'Acompanhamento quinzenal'!$N:$N, A146), 0) +
    IFERROR(SUMIFS('Acompanhamento quinzenal'!$W:$W, 'Acompanhamento quinzenal'!$T:$T, A146), 0) +
    IFERROR(SUMIFS('Acompanhamento quinzenal'!$AC:$AC, 'Acompanhamento quinzenal'!$Z:$Z, A146), 0) +
    IFERROR(SUMIFS('Acompanhamento quinzenal'!$AI:$AI, 'Acompanhamento quinzenal'!$AF:$AF, A146), 0)
  ) /
  (
    COUNTIF('Acompanhamento quinzenal'!$N:$N, A146) +
    COUNTIF('Acompanhamento quinzenal'!$T:$T, A146) +
    COUNTIF('Acompanhamento quinzenal'!$Z:$Z, A146) +
    COUNTIF('Acompanhamento quinzenal'!$AF:$AF, A146)
  )
)
</f>
        <v>3.5</v>
      </c>
    </row>
    <row r="147" hidden="1">
      <c r="A147" s="291" t="str">
        <f>IFERROR(__xludf.DUMMYFUNCTION("""COMPUTED_VALUE"""),"nicole.tomita")</f>
        <v>nicole.tomita</v>
      </c>
      <c r="B147" s="120" t="str">
        <f>IFERROR(__xludf.DUMMYFUNCTION("""COMPUTED_VALUE"""),"Coordenador")</f>
        <v>Coordenador</v>
      </c>
      <c r="C147" s="120" t="str">
        <f>IFERROR(__xludf.DUMMYFUNCTION("""COMPUTED_VALUE"""),"NCiv")</f>
        <v>NCiv</v>
      </c>
      <c r="D147" s="292" t="str">
        <f>IFERROR((COUNTIFS(Base!$V:$V,A147,Base!$S:$S,"&gt;8") - COUNTIFS(Base!$V:$V,A147,Base!$S:$S,"&lt;7"))/COUNTIFS(Base!$V:$V,A147,Base!$S:$S,"&lt;&gt;"),"-")</f>
        <v>-</v>
      </c>
      <c r="E147" s="292" t="str">
        <f>IF(
  (
    COUNTIFS(Base!$W:$W, A147, Base!$S:$S, "&lt;&gt;") +
    COUNTIFS(Base!$X:$X, A147, Base!$S:$S, "&lt;&gt;") +
    COUNTIFS(Base!$Y:$Y, A147, Base!$S:$S, "&lt;&gt;") +
    COUNTIFS(Base!$Z:$Z, A147, Base!$S:$S, "&lt;&gt;")
  ) = 0,
  "-",
  (
    COUNTIFS(Base!$W:$W, A147, Base!$S:$S, "&gt;8") - COUNTIFS(Base!$W:$W, A147, Base!$S:$S, "&lt;7") +
    COUNTIFS(Base!$X:$X, A147, Base!$S:$S, "&gt;8") - COUNTIFS(Base!$X:$X, A147, Base!$S:$S, "&lt;7") +
    COUNTIFS(Base!$Y:$Y, A147, Base!$S:$S, "&gt;8") - COUNTIFS(Base!$Y:$Y, A147, Base!$S:$S, "&lt;7") +
    COUNTIFS(Base!$Z:$Z, A147, Base!$S:$S, "&gt;8") - COUNTIFS(Base!$Z:$Z, A147, Base!$S:$S, "&lt;7")
  ) /
  (
    COUNTIFS(Base!$W:$W, A147, Base!$S:$S, "&lt;&gt;") +
    COUNTIFS(Base!$X:$X, A147, Base!$S:$S, "&lt;&gt;") +
    COUNTIFS(Base!$Y:$Y, A147, Base!$S:$S, "&lt;&gt;") +
    COUNTIFS(Base!$Z:$Z, A147, Base!$S:$S, "&lt;&gt;")
  )
)
</f>
        <v>-</v>
      </c>
      <c r="F147" s="290">
        <f>SUMIFS(Base!$N:$N,Base!$V:$V,A147,Base!$N:$N,"&lt;&gt;")-SUMIFS(Base!$K:$K,Base!$V:$V,A147,Base!$N:$N,"&lt;&gt;")-(SUMIFS(Base!$L:$L,Base!$V:$V,A147,Base!$N:$N,"&lt;&gt;")*7)</f>
        <v>0</v>
      </c>
      <c r="G147" s="290"/>
      <c r="H147" s="290">
        <f>SUMIFS(Base!$F:$F,Base!$V:$V,A147,Base!$N:$N,"&lt;&gt;")*7</f>
        <v>0</v>
      </c>
      <c r="I147" s="290"/>
      <c r="J147" s="292" t="str">
        <f t="shared" ref="J147:K147" si="148">IFERROR(F147/H147,"-")</f>
        <v>-</v>
      </c>
      <c r="K147" s="292" t="str">
        <f t="shared" si="148"/>
        <v>-</v>
      </c>
      <c r="L147" s="292">
        <f>IFERROR((COUNTIFS(Base!$V:$V,A147,Base!$U:$U,TRUE))/(COUNTIFS(Base!$V:$V,A147,Base!$O:$O,"Finalizado")+COUNTIFS(Base!$V:$V,A147,Base!$O:$O,"Concluído")),"-")</f>
        <v>0</v>
      </c>
      <c r="M147" s="292" t="str">
        <f>IF(
  (
    IFERROR(COUNTIF(Base!$W:$W, A147), 0) +
    IFERROR(COUNTIF(Base!$X:$X, A147), 0) +
    IFERROR(COUNTIF(Base!$Y:$Y, A147), 0) +
    IFERROR(COUNTIF(Base!$Z:$Z, A147), 0)
  ) = 0,
  "-",
  IF(
    (
      IFERROR(COUNTIFS(Base!$W:$W, A147, Base!$O:$O, "Finalizado"), 0) +
      IFERROR(COUNTIFS(Base!$W:$W, A147, Base!$O:$O, "Concluído"), 0) +
      IFERROR(COUNTIFS(Base!$X:$X, A147, Base!$O:$O, "Finalizado"), 0) +
      IFERROR(COUNTIFS(Base!$X:$X, A147, Base!$O:$O, "Concluído"), 0) +
      IFERROR(COUNTIFS(Base!$Y:$Y, A147, Base!$O:$O, "Finalizado"), 0) +
      IFERROR(COUNTIFS(Base!$Y:$Y, A147, Base!$O:$O, "Concluído"), 0) +
      IFERROR(COUNTIFS(Base!$Z:$Z, A147, Base!$O:$O, "Finalizado"), 0) +
      IFERROR(COUNTIFS(Base!$Z:$Z, A147, Base!$O:$O, "Concluído"), 0)
    ) = 0,
    "-",
    (
      IFERROR(COUNTIFS(Base!$W:$W, A147, Base!$U:$U, TRUE), 0) +
      IFERROR(COUNTIFS(Base!$X:$X, A147, Base!$U:$U, TRUE), 0) +
      IFERROR(COUNTIFS(Base!$Y:$Y, A147, Base!$U:$U, TRUE), 0) +
      IFERROR(COUNTIFS(Base!$Z:$Z, A147, Base!$U:$U, TRUE), 0)
    ) /
    (
      IFERROR(COUNTIFS(Base!$W:$W, A147, Base!$O:$O, "Finalizado"), 0) +
      IFERROR(COUNTIFS(Base!$W:$W, A147, Base!$O:$O, "Concluído"), 0) +
      IFERROR(COUNTIFS(Base!$X:$X, A147, Base!$O:$O, "Finalizado"), 0) +
      IFERROR(COUNTIFS(Base!$X:$X, A147, Base!$O:$O, "Concluído"), 0) +
      IFERROR(COUNTIFS(Base!$Y:$Y, A147, Base!$O:$O, "Finalizado"), 0) +
      IFERROR(COUNTIFS(Base!$Y:$Y, A147, Base!$O:$O, "Concluído"), 0) +
      IFERROR(COUNTIFS(Base!$Z:$Z, A147, Base!$O:$O, "Finalizado"), 0) +
      IFERROR(COUNTIFS(Base!$Z:$Z, A147, Base!$O:$O, "Concluído"), 0)
    )
  )
)
</f>
        <v>-</v>
      </c>
      <c r="N147" s="120">
        <f>COUNTIF(Base!V:V,$A147)</f>
        <v>4</v>
      </c>
      <c r="O147" s="120">
        <f>COUNTIF(Base!W:W,$A147)</f>
        <v>0</v>
      </c>
      <c r="P147" s="120">
        <f>COUNTIF(Base!X:X,$A147)</f>
        <v>0</v>
      </c>
      <c r="Q147" s="120">
        <f>COUNTIF(Base!Y:Y,$A147)</f>
        <v>0</v>
      </c>
      <c r="R147" s="120">
        <f>COUNTIF(Base!Z:Z,$A147)</f>
        <v>0</v>
      </c>
      <c r="S147" s="120">
        <f t="shared" si="3"/>
        <v>4</v>
      </c>
      <c r="T147" s="120">
        <f t="shared" si="4"/>
        <v>0</v>
      </c>
      <c r="V147" s="293" t="str">
        <f>IF(
  (
    COUNTIF('Acompanhamento quinzenal'!$N:$N, A147) +
    COUNTIF('Acompanhamento quinzenal'!$T:$T, A147) +
    COUNTIF('Acompanhamento quinzenal'!$Z:$Z, A147) +
    COUNTIF('Acompanhamento quinzenal'!$AF:$AF, A147)
  ) = 0,
  "-",
  (
    IFERROR(SUMIFS('Acompanhamento quinzenal'!$S:$S, 'Acompanhamento quinzenal'!$N:$N, A147), 0) +
    IFERROR(SUMIFS('Acompanhamento quinzenal'!$Y:$Y, 'Acompanhamento quinzenal'!$T:$T, A147), 0) +
    IFERROR(SUMIFS('Acompanhamento quinzenal'!$AE:$AE, 'Acompanhamento quinzenal'!$Z:$Z, A147), 0) +
    IFERROR(SUMIFS('Acompanhamento quinzenal'!$AK:$AK, 'Acompanhamento quinzenal'!$AF:$AF, A147), 0)
  ) /
  (
    COUNTIF('Acompanhamento quinzenal'!$N:$N, A147) +
    COUNTIF('Acompanhamento quinzenal'!$T:$T, A147) +
    COUNTIF('Acompanhamento quinzenal'!$Z:$Z, A147) +
    COUNTIF('Acompanhamento quinzenal'!$AF:$AF, A147)
  )
)
</f>
        <v>-</v>
      </c>
      <c r="W147" s="293" t="str">
        <f>IF(
  (
    COUNTIF('Acompanhamento quinzenal'!$N:$N, A147) +
    COUNTIF('Acompanhamento quinzenal'!$T:$T, A147) +
    COUNTIF('Acompanhamento quinzenal'!$Z:$Z, A147) +
    COUNTIF('Acompanhamento quinzenal'!$AF:$AF, A147)
  ) = 0,
  "-",
  (
    IFERROR(SUMIFS('Acompanhamento quinzenal'!$O:$O, 'Acompanhamento quinzenal'!$N:$N, A147), 0) +
    IFERROR(SUMIFS('Acompanhamento quinzenal'!$U:$U, 'Acompanhamento quinzenal'!$T:$T, A147), 0) +
    IFERROR(SUMIFS('Acompanhamento quinzenal'!$AA:$AA, 'Acompanhamento quinzenal'!$Z:$Z, A147), 0) +
    IFERROR(SUMIFS('Acompanhamento quinzenal'!$AG:$AG, 'Acompanhamento quinzenal'!$AF:$AF, A147), 0)
  ) /
  (
    COUNTIF('Acompanhamento quinzenal'!$N:$N, A147) +
    COUNTIF('Acompanhamento quinzenal'!$T:$T, A147) +
    COUNTIF('Acompanhamento quinzenal'!$Z:$Z, A147) +
    COUNTIF('Acompanhamento quinzenal'!$AF:$AF, A147)
  )
)
</f>
        <v>-</v>
      </c>
      <c r="X147" s="294" t="str">
        <f>IF(
  (
    COUNTIF('Acompanhamento quinzenal'!$N:$N, A147) +
    COUNTIF('Acompanhamento quinzenal'!$T:$T, A147) +
    COUNTIF('Acompanhamento quinzenal'!$Z:$Z, A147) +
    COUNTIF('Acompanhamento quinzenal'!$AF:$AF, A147)
  ) = 0,
  "-",
  (
    IFERROR(SUMIFS('Acompanhamento quinzenal'!$P:$P, 'Acompanhamento quinzenal'!$N:$N, A147), 0) +
    IFERROR(SUMIFS('Acompanhamento quinzenal'!$V:$V, 'Acompanhamento quinzenal'!$T:$T, A147), 0) +
    IFERROR(SUMIFS('Acompanhamento quinzenal'!$AB:$AB, 'Acompanhamento quinzenal'!$Z:$Z, A147), 0) +
    IFERROR(SUMIFS('Acompanhamento quinzenal'!$AH:$AH, 'Acompanhamento quinzenal'!$AF:$AF, A147), 0)
  ) /
  (
    COUNTIF('Acompanhamento quinzenal'!$N:$N, A147) +
    COUNTIF('Acompanhamento quinzenal'!$T:$T, A147) +
    COUNTIF('Acompanhamento quinzenal'!$Z:$Z, A147) +
    COUNTIF('Acompanhamento quinzenal'!$AF:$AF, A147)
  )
)
</f>
        <v>-</v>
      </c>
      <c r="Y147" s="293" t="str">
        <f>IF(
  (
    COUNTIF('Acompanhamento quinzenal'!$N:$N, A147) +
    COUNTIF('Acompanhamento quinzenal'!$T:$T, A147) +
    COUNTIF('Acompanhamento quinzenal'!$Z:$Z, A147) +
    COUNTIF('Acompanhamento quinzenal'!$AF:$AF, A147)
  ) = 0,
  "-",
  (
    IFERROR(SUMIFS('Acompanhamento quinzenal'!$Q:$Q, 'Acompanhamento quinzenal'!$N:$N, A147), 0) +
    IFERROR(SUMIFS('Acompanhamento quinzenal'!$W:$W, 'Acompanhamento quinzenal'!$T:$T, A147), 0) +
    IFERROR(SUMIFS('Acompanhamento quinzenal'!$AC:$AC, 'Acompanhamento quinzenal'!$Z:$Z, A147), 0) +
    IFERROR(SUMIFS('Acompanhamento quinzenal'!$AI:$AI, 'Acompanhamento quinzenal'!$AF:$AF, A147), 0)
  ) /
  (
    COUNTIF('Acompanhamento quinzenal'!$N:$N, A147) +
    COUNTIF('Acompanhamento quinzenal'!$T:$T, A147) +
    COUNTIF('Acompanhamento quinzenal'!$Z:$Z, A147) +
    COUNTIF('Acompanhamento quinzenal'!$AF:$AF, A147)
  )
)
</f>
        <v>-</v>
      </c>
    </row>
    <row r="148" hidden="1">
      <c r="A148" s="291" t="str">
        <f>IFERROR(__xludf.DUMMYFUNCTION("""COMPUTED_VALUE"""),"nicolle.Vannuccini")</f>
        <v>nicolle.Vannuccini</v>
      </c>
      <c r="B148" s="120" t="str">
        <f>IFERROR(__xludf.DUMMYFUNCTION("""COMPUTED_VALUE"""),"Consultor")</f>
        <v>Consultor</v>
      </c>
      <c r="C148" s="120" t="str">
        <f>IFERROR(__xludf.DUMMYFUNCTION("""COMPUTED_VALUE"""),"NCiv")</f>
        <v>NCiv</v>
      </c>
      <c r="D148" s="292" t="str">
        <f>IFERROR((COUNTIFS(Base!$V:$V,A148,Base!$S:$S,"&gt;8") - COUNTIFS(Base!$V:$V,A148,Base!$S:$S,"&lt;7"))/COUNTIFS(Base!$V:$V,A148,Base!$S:$S,"&lt;&gt;"),"-")</f>
        <v>-</v>
      </c>
      <c r="E148" s="292">
        <f>IF(
  (
    COUNTIFS(Base!$W:$W, A148, Base!$S:$S, "&lt;&gt;") +
    COUNTIFS(Base!$X:$X, A148, Base!$S:$S, "&lt;&gt;") +
    COUNTIFS(Base!$Y:$Y, A148, Base!$S:$S, "&lt;&gt;") +
    COUNTIFS(Base!$Z:$Z, A148, Base!$S:$S, "&lt;&gt;")
  ) = 0,
  "-",
  (
    COUNTIFS(Base!$W:$W, A148, Base!$S:$S, "&gt;8") - COUNTIFS(Base!$W:$W, A148, Base!$S:$S, "&lt;7") +
    COUNTIFS(Base!$X:$X, A148, Base!$S:$S, "&gt;8") - COUNTIFS(Base!$X:$X, A148, Base!$S:$S, "&lt;7") +
    COUNTIFS(Base!$Y:$Y, A148, Base!$S:$S, "&gt;8") - COUNTIFS(Base!$Y:$Y, A148, Base!$S:$S, "&lt;7") +
    COUNTIFS(Base!$Z:$Z, A148, Base!$S:$S, "&gt;8") - COUNTIFS(Base!$Z:$Z, A148, Base!$S:$S, "&lt;7")
  ) /
  (
    COUNTIFS(Base!$W:$W, A148, Base!$S:$S, "&lt;&gt;") +
    COUNTIFS(Base!$X:$X, A148, Base!$S:$S, "&lt;&gt;") +
    COUNTIFS(Base!$Y:$Y, A148, Base!$S:$S, "&lt;&gt;") +
    COUNTIFS(Base!$Z:$Z, A148, Base!$S:$S, "&lt;&gt;")
  )
)
</f>
        <v>0</v>
      </c>
      <c r="F148" s="290">
        <f>SUMIFS(Base!$N:$N,Base!$V:$V,A148,Base!$N:$N,"&lt;&gt;")-SUMIFS(Base!$K:$K,Base!$V:$V,A148,Base!$N:$N,"&lt;&gt;")-(SUMIFS(Base!$L:$L,Base!$V:$V,A148,Base!$N:$N,"&lt;&gt;")*7)</f>
        <v>0</v>
      </c>
      <c r="G148" s="290"/>
      <c r="H148" s="290">
        <f>SUMIFS(Base!$F:$F,Base!$V:$V,A148,Base!$N:$N,"&lt;&gt;")*7</f>
        <v>0</v>
      </c>
      <c r="I148" s="290"/>
      <c r="J148" s="292" t="str">
        <f t="shared" ref="J148:K148" si="149">IFERROR(F148/H148,"-")</f>
        <v>-</v>
      </c>
      <c r="K148" s="292" t="str">
        <f t="shared" si="149"/>
        <v>-</v>
      </c>
      <c r="L148" s="292" t="str">
        <f>IFERROR((COUNTIFS(Base!$V:$V,A148,Base!$U:$U,TRUE))/(COUNTIFS(Base!$V:$V,A148,Base!$O:$O,"Finalizado")+COUNTIFS(Base!$V:$V,A148,Base!$O:$O,"Concluído")),"-")</f>
        <v>-</v>
      </c>
      <c r="M148" s="292">
        <f>IF(
  (
    IFERROR(COUNTIF(Base!$W:$W, A148), 0) +
    IFERROR(COUNTIF(Base!$X:$X, A148), 0) +
    IFERROR(COUNTIF(Base!$Y:$Y, A148), 0) +
    IFERROR(COUNTIF(Base!$Z:$Z, A148), 0)
  ) = 0,
  "-",
  IF(
    (
      IFERROR(COUNTIFS(Base!$W:$W, A148, Base!$O:$O, "Finalizado"), 0) +
      IFERROR(COUNTIFS(Base!$W:$W, A148, Base!$O:$O, "Concluído"), 0) +
      IFERROR(COUNTIFS(Base!$X:$X, A148, Base!$O:$O, "Finalizado"), 0) +
      IFERROR(COUNTIFS(Base!$X:$X, A148, Base!$O:$O, "Concluído"), 0) +
      IFERROR(COUNTIFS(Base!$Y:$Y, A148, Base!$O:$O, "Finalizado"), 0) +
      IFERROR(COUNTIFS(Base!$Y:$Y, A148, Base!$O:$O, "Concluído"), 0) +
      IFERROR(COUNTIFS(Base!$Z:$Z, A148, Base!$O:$O, "Finalizado"), 0) +
      IFERROR(COUNTIFS(Base!$Z:$Z, A148, Base!$O:$O, "Concluído"), 0)
    ) = 0,
    "-",
    (
      IFERROR(COUNTIFS(Base!$W:$W, A148, Base!$U:$U, TRUE), 0) +
      IFERROR(COUNTIFS(Base!$X:$X, A148, Base!$U:$U, TRUE), 0) +
      IFERROR(COUNTIFS(Base!$Y:$Y, A148, Base!$U:$U, TRUE), 0) +
      IFERROR(COUNTIFS(Base!$Z:$Z, A148, Base!$U:$U, TRUE), 0)
    ) /
    (
      IFERROR(COUNTIFS(Base!$W:$W, A148, Base!$O:$O, "Finalizado"), 0) +
      IFERROR(COUNTIFS(Base!$W:$W, A148, Base!$O:$O, "Concluído"), 0) +
      IFERROR(COUNTIFS(Base!$X:$X, A148, Base!$O:$O, "Finalizado"), 0) +
      IFERROR(COUNTIFS(Base!$X:$X, A148, Base!$O:$O, "Concluído"), 0) +
      IFERROR(COUNTIFS(Base!$Y:$Y, A148, Base!$O:$O, "Finalizado"), 0) +
      IFERROR(COUNTIFS(Base!$Y:$Y, A148, Base!$O:$O, "Concluído"), 0) +
      IFERROR(COUNTIFS(Base!$Z:$Z, A148, Base!$O:$O, "Finalizado"), 0) +
      IFERROR(COUNTIFS(Base!$Z:$Z, A148, Base!$O:$O, "Concluído"), 0)
    )
  )
)
</f>
        <v>0</v>
      </c>
      <c r="N148" s="120">
        <f>COUNTIF(Base!V:V,$A148)</f>
        <v>0</v>
      </c>
      <c r="O148" s="120">
        <f>COUNTIF(Base!W:W,$A148)</f>
        <v>3</v>
      </c>
      <c r="P148" s="120">
        <f>COUNTIF(Base!X:X,$A148)</f>
        <v>0</v>
      </c>
      <c r="Q148" s="120">
        <f>COUNTIF(Base!Y:Y,$A148)</f>
        <v>0</v>
      </c>
      <c r="R148" s="120">
        <f>COUNTIF(Base!Z:Z,$A148)</f>
        <v>0</v>
      </c>
      <c r="S148" s="120">
        <f t="shared" si="3"/>
        <v>3</v>
      </c>
      <c r="T148" s="120">
        <f t="shared" si="4"/>
        <v>3</v>
      </c>
      <c r="V148" s="293">
        <f>IF(
  (
    COUNTIF('Acompanhamento quinzenal'!$N:$N, A148) +
    COUNTIF('Acompanhamento quinzenal'!$T:$T, A148) +
    COUNTIF('Acompanhamento quinzenal'!$Z:$Z, A148) +
    COUNTIF('Acompanhamento quinzenal'!$AF:$AF, A148)
  ) = 0,
  "-",
  (
    IFERROR(SUMIFS('Acompanhamento quinzenal'!$S:$S, 'Acompanhamento quinzenal'!$N:$N, A148), 0) +
    IFERROR(SUMIFS('Acompanhamento quinzenal'!$Y:$Y, 'Acompanhamento quinzenal'!$T:$T, A148), 0) +
    IFERROR(SUMIFS('Acompanhamento quinzenal'!$AE:$AE, 'Acompanhamento quinzenal'!$Z:$Z, A148), 0) +
    IFERROR(SUMIFS('Acompanhamento quinzenal'!$AK:$AK, 'Acompanhamento quinzenal'!$AF:$AF, A148), 0)
  ) /
  (
    COUNTIF('Acompanhamento quinzenal'!$N:$N, A148) +
    COUNTIF('Acompanhamento quinzenal'!$T:$T, A148) +
    COUNTIF('Acompanhamento quinzenal'!$Z:$Z, A148) +
    COUNTIF('Acompanhamento quinzenal'!$AF:$AF, A148)
  )
)
</f>
        <v>2.416666667</v>
      </c>
      <c r="W148" s="293">
        <f>IF(
  (
    COUNTIF('Acompanhamento quinzenal'!$N:$N, A148) +
    COUNTIF('Acompanhamento quinzenal'!$T:$T, A148) +
    COUNTIF('Acompanhamento quinzenal'!$Z:$Z, A148) +
    COUNTIF('Acompanhamento quinzenal'!$AF:$AF, A148)
  ) = 0,
  "-",
  (
    IFERROR(SUMIFS('Acompanhamento quinzenal'!$O:$O, 'Acompanhamento quinzenal'!$N:$N, A148), 0) +
    IFERROR(SUMIFS('Acompanhamento quinzenal'!$U:$U, 'Acompanhamento quinzenal'!$T:$T, A148), 0) +
    IFERROR(SUMIFS('Acompanhamento quinzenal'!$AA:$AA, 'Acompanhamento quinzenal'!$Z:$Z, A148), 0) +
    IFERROR(SUMIFS('Acompanhamento quinzenal'!$AG:$AG, 'Acompanhamento quinzenal'!$AF:$AF, A148), 0)
  ) /
  (
    COUNTIF('Acompanhamento quinzenal'!$N:$N, A148) +
    COUNTIF('Acompanhamento quinzenal'!$T:$T, A148) +
    COUNTIF('Acompanhamento quinzenal'!$Z:$Z, A148) +
    COUNTIF('Acompanhamento quinzenal'!$AF:$AF, A148)
  )
)
</f>
        <v>3.5</v>
      </c>
      <c r="X148" s="294">
        <f>IF(
  (
    COUNTIF('Acompanhamento quinzenal'!$N:$N, A148) +
    COUNTIF('Acompanhamento quinzenal'!$T:$T, A148) +
    COUNTIF('Acompanhamento quinzenal'!$Z:$Z, A148) +
    COUNTIF('Acompanhamento quinzenal'!$AF:$AF, A148)
  ) = 0,
  "-",
  (
    IFERROR(SUMIFS('Acompanhamento quinzenal'!$P:$P, 'Acompanhamento quinzenal'!$N:$N, A148), 0) +
    IFERROR(SUMIFS('Acompanhamento quinzenal'!$V:$V, 'Acompanhamento quinzenal'!$T:$T, A148), 0) +
    IFERROR(SUMIFS('Acompanhamento quinzenal'!$AB:$AB, 'Acompanhamento quinzenal'!$Z:$Z, A148), 0) +
    IFERROR(SUMIFS('Acompanhamento quinzenal'!$AH:$AH, 'Acompanhamento quinzenal'!$AF:$AF, A148), 0)
  ) /
  (
    COUNTIF('Acompanhamento quinzenal'!$N:$N, A148) +
    COUNTIF('Acompanhamento quinzenal'!$T:$T, A148) +
    COUNTIF('Acompanhamento quinzenal'!$Z:$Z, A148) +
    COUNTIF('Acompanhamento quinzenal'!$AF:$AF, A148)
  )
)
</f>
        <v>3.25</v>
      </c>
      <c r="Y148" s="293">
        <f>IF(
  (
    COUNTIF('Acompanhamento quinzenal'!$N:$N, A148) +
    COUNTIF('Acompanhamento quinzenal'!$T:$T, A148) +
    COUNTIF('Acompanhamento quinzenal'!$Z:$Z, A148) +
    COUNTIF('Acompanhamento quinzenal'!$AF:$AF, A148)
  ) = 0,
  "-",
  (
    IFERROR(SUMIFS('Acompanhamento quinzenal'!$Q:$Q, 'Acompanhamento quinzenal'!$N:$N, A148), 0) +
    IFERROR(SUMIFS('Acompanhamento quinzenal'!$W:$W, 'Acompanhamento quinzenal'!$T:$T, A148), 0) +
    IFERROR(SUMIFS('Acompanhamento quinzenal'!$AC:$AC, 'Acompanhamento quinzenal'!$Z:$Z, A148), 0) +
    IFERROR(SUMIFS('Acompanhamento quinzenal'!$AI:$AI, 'Acompanhamento quinzenal'!$AF:$AF, A148), 0)
  ) /
  (
    COUNTIF('Acompanhamento quinzenal'!$N:$N, A148) +
    COUNTIF('Acompanhamento quinzenal'!$T:$T, A148) +
    COUNTIF('Acompanhamento quinzenal'!$Z:$Z, A148) +
    COUNTIF('Acompanhamento quinzenal'!$AF:$AF, A148)
  )
)
</f>
        <v>3</v>
      </c>
    </row>
    <row r="149" hidden="1">
      <c r="A149" s="291" t="str">
        <f>IFERROR(__xludf.DUMMYFUNCTION("""COMPUTED_VALUE"""),"otto.takamura")</f>
        <v>otto.takamura</v>
      </c>
      <c r="B149" s="120" t="str">
        <f>IFERROR(__xludf.DUMMYFUNCTION("""COMPUTED_VALUE"""),"Coordenador")</f>
        <v>Coordenador</v>
      </c>
      <c r="C149" s="120" t="str">
        <f>IFERROR(__xludf.DUMMYFUNCTION("""COMPUTED_VALUE"""),"NTec")</f>
        <v>NTec</v>
      </c>
      <c r="D149" s="292" t="str">
        <f>IFERROR((COUNTIFS(Base!$V:$V,A149,Base!$S:$S,"&gt;8") - COUNTIFS(Base!$V:$V,A149,Base!$S:$S,"&lt;7"))/COUNTIFS(Base!$V:$V,A149,Base!$S:$S,"&lt;&gt;"),"-")</f>
        <v>-</v>
      </c>
      <c r="E149" s="292" t="str">
        <f>IF(
  (
    COUNTIFS(Base!$W:$W, A149, Base!$S:$S, "&lt;&gt;") +
    COUNTIFS(Base!$X:$X, A149, Base!$S:$S, "&lt;&gt;") +
    COUNTIFS(Base!$Y:$Y, A149, Base!$S:$S, "&lt;&gt;") +
    COUNTIFS(Base!$Z:$Z, A149, Base!$S:$S, "&lt;&gt;")
  ) = 0,
  "-",
  (
    COUNTIFS(Base!$W:$W, A149, Base!$S:$S, "&gt;8") - COUNTIFS(Base!$W:$W, A149, Base!$S:$S, "&lt;7") +
    COUNTIFS(Base!$X:$X, A149, Base!$S:$S, "&gt;8") - COUNTIFS(Base!$X:$X, A149, Base!$S:$S, "&lt;7") +
    COUNTIFS(Base!$Y:$Y, A149, Base!$S:$S, "&gt;8") - COUNTIFS(Base!$Y:$Y, A149, Base!$S:$S, "&lt;7") +
    COUNTIFS(Base!$Z:$Z, A149, Base!$S:$S, "&gt;8") - COUNTIFS(Base!$Z:$Z, A149, Base!$S:$S, "&lt;7")
  ) /
  (
    COUNTIFS(Base!$W:$W, A149, Base!$S:$S, "&lt;&gt;") +
    COUNTIFS(Base!$X:$X, A149, Base!$S:$S, "&lt;&gt;") +
    COUNTIFS(Base!$Y:$Y, A149, Base!$S:$S, "&lt;&gt;") +
    COUNTIFS(Base!$Z:$Z, A149, Base!$S:$S, "&lt;&gt;")
  )
)
</f>
        <v>-</v>
      </c>
      <c r="F149" s="290">
        <f>SUMIFS(Base!$N:$N,Base!$V:$V,A149,Base!$N:$N,"&lt;&gt;")-SUMIFS(Base!$K:$K,Base!$V:$V,A149,Base!$N:$N,"&lt;&gt;")-(SUMIFS(Base!$L:$L,Base!$V:$V,A149,Base!$N:$N,"&lt;&gt;")*7)</f>
        <v>0</v>
      </c>
      <c r="G149" s="290"/>
      <c r="H149" s="290">
        <f>SUMIFS(Base!$F:$F,Base!$V:$V,A149,Base!$N:$N,"&lt;&gt;")*7</f>
        <v>0</v>
      </c>
      <c r="I149" s="290"/>
      <c r="J149" s="292" t="str">
        <f t="shared" ref="J149:K149" si="150">IFERROR(F149/H149,"-")</f>
        <v>-</v>
      </c>
      <c r="K149" s="292" t="str">
        <f t="shared" si="150"/>
        <v>-</v>
      </c>
      <c r="L149" s="292" t="str">
        <f>IFERROR((COUNTIFS(Base!$V:$V,A149,Base!$U:$U,TRUE))/(COUNTIFS(Base!$V:$V,A149,Base!$O:$O,"Finalizado")+COUNTIFS(Base!$V:$V,A149,Base!$O:$O,"Concluído")),"-")</f>
        <v>-</v>
      </c>
      <c r="M149" s="292" t="str">
        <f>IF(
  (
    IFERROR(COUNTIF(Base!$W:$W, A149), 0) +
    IFERROR(COUNTIF(Base!$X:$X, A149), 0) +
    IFERROR(COUNTIF(Base!$Y:$Y, A149), 0) +
    IFERROR(COUNTIF(Base!$Z:$Z, A149), 0)
  ) = 0,
  "-",
  IF(
    (
      IFERROR(COUNTIFS(Base!$W:$W, A149, Base!$O:$O, "Finalizado"), 0) +
      IFERROR(COUNTIFS(Base!$W:$W, A149, Base!$O:$O, "Concluído"), 0) +
      IFERROR(COUNTIFS(Base!$X:$X, A149, Base!$O:$O, "Finalizado"), 0) +
      IFERROR(COUNTIFS(Base!$X:$X, A149, Base!$O:$O, "Concluído"), 0) +
      IFERROR(COUNTIFS(Base!$Y:$Y, A149, Base!$O:$O, "Finalizado"), 0) +
      IFERROR(COUNTIFS(Base!$Y:$Y, A149, Base!$O:$O, "Concluído"), 0) +
      IFERROR(COUNTIFS(Base!$Z:$Z, A149, Base!$O:$O, "Finalizado"), 0) +
      IFERROR(COUNTIFS(Base!$Z:$Z, A149, Base!$O:$O, "Concluído"), 0)
    ) = 0,
    "-",
    (
      IFERROR(COUNTIFS(Base!$W:$W, A149, Base!$U:$U, TRUE), 0) +
      IFERROR(COUNTIFS(Base!$X:$X, A149, Base!$U:$U, TRUE), 0) +
      IFERROR(COUNTIFS(Base!$Y:$Y, A149, Base!$U:$U, TRUE), 0) +
      IFERROR(COUNTIFS(Base!$Z:$Z, A149, Base!$U:$U, TRUE), 0)
    ) /
    (
      IFERROR(COUNTIFS(Base!$W:$W, A149, Base!$O:$O, "Finalizado"), 0) +
      IFERROR(COUNTIFS(Base!$W:$W, A149, Base!$O:$O, "Concluído"), 0) +
      IFERROR(COUNTIFS(Base!$X:$X, A149, Base!$O:$O, "Finalizado"), 0) +
      IFERROR(COUNTIFS(Base!$X:$X, A149, Base!$O:$O, "Concluído"), 0) +
      IFERROR(COUNTIFS(Base!$Y:$Y, A149, Base!$O:$O, "Finalizado"), 0) +
      IFERROR(COUNTIFS(Base!$Y:$Y, A149, Base!$O:$O, "Concluído"), 0) +
      IFERROR(COUNTIFS(Base!$Z:$Z, A149, Base!$O:$O, "Finalizado"), 0) +
      IFERROR(COUNTIFS(Base!$Z:$Z, A149, Base!$O:$O, "Concluído"), 0)
    )
  )
)
</f>
        <v>-</v>
      </c>
      <c r="N149" s="120">
        <f>COUNTIF(Base!V:V,$A149)</f>
        <v>0</v>
      </c>
      <c r="O149" s="120">
        <f>COUNTIF(Base!W:W,$A149)</f>
        <v>0</v>
      </c>
      <c r="P149" s="120">
        <f>COUNTIF(Base!X:X,$A149)</f>
        <v>0</v>
      </c>
      <c r="Q149" s="120">
        <f>COUNTIF(Base!Y:Y,$A149)</f>
        <v>0</v>
      </c>
      <c r="R149" s="120">
        <f>COUNTIF(Base!Z:Z,$A149)</f>
        <v>0</v>
      </c>
      <c r="S149" s="120">
        <f t="shared" si="3"/>
        <v>0</v>
      </c>
      <c r="T149" s="120">
        <f t="shared" si="4"/>
        <v>0</v>
      </c>
      <c r="V149" s="293" t="str">
        <f>IF(
  (
    COUNTIF('Acompanhamento quinzenal'!$N:$N, A149) +
    COUNTIF('Acompanhamento quinzenal'!$T:$T, A149) +
    COUNTIF('Acompanhamento quinzenal'!$Z:$Z, A149) +
    COUNTIF('Acompanhamento quinzenal'!$AF:$AF, A149)
  ) = 0,
  "-",
  (
    IFERROR(SUMIFS('Acompanhamento quinzenal'!$S:$S, 'Acompanhamento quinzenal'!$N:$N, A149), 0) +
    IFERROR(SUMIFS('Acompanhamento quinzenal'!$Y:$Y, 'Acompanhamento quinzenal'!$T:$T, A149), 0) +
    IFERROR(SUMIFS('Acompanhamento quinzenal'!$AE:$AE, 'Acompanhamento quinzenal'!$Z:$Z, A149), 0) +
    IFERROR(SUMIFS('Acompanhamento quinzenal'!$AK:$AK, 'Acompanhamento quinzenal'!$AF:$AF, A149), 0)
  ) /
  (
    COUNTIF('Acompanhamento quinzenal'!$N:$N, A149) +
    COUNTIF('Acompanhamento quinzenal'!$T:$T, A149) +
    COUNTIF('Acompanhamento quinzenal'!$Z:$Z, A149) +
    COUNTIF('Acompanhamento quinzenal'!$AF:$AF, A149)
  )
)
</f>
        <v>-</v>
      </c>
      <c r="W149" s="293" t="str">
        <f>IF(
  (
    COUNTIF('Acompanhamento quinzenal'!$N:$N, A149) +
    COUNTIF('Acompanhamento quinzenal'!$T:$T, A149) +
    COUNTIF('Acompanhamento quinzenal'!$Z:$Z, A149) +
    COUNTIF('Acompanhamento quinzenal'!$AF:$AF, A149)
  ) = 0,
  "-",
  (
    IFERROR(SUMIFS('Acompanhamento quinzenal'!$O:$O, 'Acompanhamento quinzenal'!$N:$N, A149), 0) +
    IFERROR(SUMIFS('Acompanhamento quinzenal'!$U:$U, 'Acompanhamento quinzenal'!$T:$T, A149), 0) +
    IFERROR(SUMIFS('Acompanhamento quinzenal'!$AA:$AA, 'Acompanhamento quinzenal'!$Z:$Z, A149), 0) +
    IFERROR(SUMIFS('Acompanhamento quinzenal'!$AG:$AG, 'Acompanhamento quinzenal'!$AF:$AF, A149), 0)
  ) /
  (
    COUNTIF('Acompanhamento quinzenal'!$N:$N, A149) +
    COUNTIF('Acompanhamento quinzenal'!$T:$T, A149) +
    COUNTIF('Acompanhamento quinzenal'!$Z:$Z, A149) +
    COUNTIF('Acompanhamento quinzenal'!$AF:$AF, A149)
  )
)
</f>
        <v>-</v>
      </c>
      <c r="X149" s="294" t="str">
        <f>IF(
  (
    COUNTIF('Acompanhamento quinzenal'!$N:$N, A149) +
    COUNTIF('Acompanhamento quinzenal'!$T:$T, A149) +
    COUNTIF('Acompanhamento quinzenal'!$Z:$Z, A149) +
    COUNTIF('Acompanhamento quinzenal'!$AF:$AF, A149)
  ) = 0,
  "-",
  (
    IFERROR(SUMIFS('Acompanhamento quinzenal'!$P:$P, 'Acompanhamento quinzenal'!$N:$N, A149), 0) +
    IFERROR(SUMIFS('Acompanhamento quinzenal'!$V:$V, 'Acompanhamento quinzenal'!$T:$T, A149), 0) +
    IFERROR(SUMIFS('Acompanhamento quinzenal'!$AB:$AB, 'Acompanhamento quinzenal'!$Z:$Z, A149), 0) +
    IFERROR(SUMIFS('Acompanhamento quinzenal'!$AH:$AH, 'Acompanhamento quinzenal'!$AF:$AF, A149), 0)
  ) /
  (
    COUNTIF('Acompanhamento quinzenal'!$N:$N, A149) +
    COUNTIF('Acompanhamento quinzenal'!$T:$T, A149) +
    COUNTIF('Acompanhamento quinzenal'!$Z:$Z, A149) +
    COUNTIF('Acompanhamento quinzenal'!$AF:$AF, A149)
  )
)
</f>
        <v>-</v>
      </c>
      <c r="Y149" s="293" t="str">
        <f>IF(
  (
    COUNTIF('Acompanhamento quinzenal'!$N:$N, A149) +
    COUNTIF('Acompanhamento quinzenal'!$T:$T, A149) +
    COUNTIF('Acompanhamento quinzenal'!$Z:$Z, A149) +
    COUNTIF('Acompanhamento quinzenal'!$AF:$AF, A149)
  ) = 0,
  "-",
  (
    IFERROR(SUMIFS('Acompanhamento quinzenal'!$Q:$Q, 'Acompanhamento quinzenal'!$N:$N, A149), 0) +
    IFERROR(SUMIFS('Acompanhamento quinzenal'!$W:$W, 'Acompanhamento quinzenal'!$T:$T, A149), 0) +
    IFERROR(SUMIFS('Acompanhamento quinzenal'!$AC:$AC, 'Acompanhamento quinzenal'!$Z:$Z, A149), 0) +
    IFERROR(SUMIFS('Acompanhamento quinzenal'!$AI:$AI, 'Acompanhamento quinzenal'!$AF:$AF, A149), 0)
  ) /
  (
    COUNTIF('Acompanhamento quinzenal'!$N:$N, A149) +
    COUNTIF('Acompanhamento quinzenal'!$T:$T, A149) +
    COUNTIF('Acompanhamento quinzenal'!$Z:$Z, A149) +
    COUNTIF('Acompanhamento quinzenal'!$AF:$AF, A149)
  )
)
</f>
        <v>-</v>
      </c>
    </row>
    <row r="150" hidden="1">
      <c r="A150" s="291" t="str">
        <f>IFERROR(__xludf.DUMMYFUNCTION("""COMPUTED_VALUE"""),"paulo.oliveira")</f>
        <v>paulo.oliveira</v>
      </c>
      <c r="B150" s="120" t="str">
        <f>IFERROR(__xludf.DUMMYFUNCTION("""COMPUTED_VALUE"""),"Consultor")</f>
        <v>Consultor</v>
      </c>
      <c r="C150" s="120" t="str">
        <f>IFERROR(__xludf.DUMMYFUNCTION("""COMPUTED_VALUE"""),"NCon")</f>
        <v>NCon</v>
      </c>
      <c r="D150" s="292" t="str">
        <f>IFERROR((COUNTIFS(Base!$V:$V,A150,Base!$S:$S,"&gt;8") - COUNTIFS(Base!$V:$V,A150,Base!$S:$S,"&lt;7"))/COUNTIFS(Base!$V:$V,A150,Base!$S:$S,"&lt;&gt;"),"-")</f>
        <v>-</v>
      </c>
      <c r="E150" s="292">
        <f>IF(
  (
    COUNTIFS(Base!$W:$W, A150, Base!$S:$S, "&lt;&gt;") +
    COUNTIFS(Base!$X:$X, A150, Base!$S:$S, "&lt;&gt;") +
    COUNTIFS(Base!$Y:$Y, A150, Base!$S:$S, "&lt;&gt;") +
    COUNTIFS(Base!$Z:$Z, A150, Base!$S:$S, "&lt;&gt;")
  ) = 0,
  "-",
  (
    COUNTIFS(Base!$W:$W, A150, Base!$S:$S, "&gt;8") - COUNTIFS(Base!$W:$W, A150, Base!$S:$S, "&lt;7") +
    COUNTIFS(Base!$X:$X, A150, Base!$S:$S, "&gt;8") - COUNTIFS(Base!$X:$X, A150, Base!$S:$S, "&lt;7") +
    COUNTIFS(Base!$Y:$Y, A150, Base!$S:$S, "&gt;8") - COUNTIFS(Base!$Y:$Y, A150, Base!$S:$S, "&lt;7") +
    COUNTIFS(Base!$Z:$Z, A150, Base!$S:$S, "&gt;8") - COUNTIFS(Base!$Z:$Z, A150, Base!$S:$S, "&lt;7")
  ) /
  (
    COUNTIFS(Base!$W:$W, A150, Base!$S:$S, "&lt;&gt;") +
    COUNTIFS(Base!$X:$X, A150, Base!$S:$S, "&lt;&gt;") +
    COUNTIFS(Base!$Y:$Y, A150, Base!$S:$S, "&lt;&gt;") +
    COUNTIFS(Base!$Z:$Z, A150, Base!$S:$S, "&lt;&gt;")
  )
)
</f>
        <v>0.5</v>
      </c>
      <c r="F150" s="290">
        <f>SUMIFS(Base!$N:$N,Base!$V:$V,A150,Base!$N:$N,"&lt;&gt;")-SUMIFS(Base!$K:$K,Base!$V:$V,A150,Base!$N:$N,"&lt;&gt;")-(SUMIFS(Base!$L:$L,Base!$V:$V,A150,Base!$N:$N,"&lt;&gt;")*7)</f>
        <v>0</v>
      </c>
      <c r="G150" s="290"/>
      <c r="H150" s="290">
        <f>SUMIFS(Base!$F:$F,Base!$V:$V,A150,Base!$N:$N,"&lt;&gt;")*7</f>
        <v>0</v>
      </c>
      <c r="I150" s="290"/>
      <c r="J150" s="292" t="str">
        <f t="shared" ref="J150:K150" si="151">IFERROR(F150/H150,"-")</f>
        <v>-</v>
      </c>
      <c r="K150" s="292" t="str">
        <f t="shared" si="151"/>
        <v>-</v>
      </c>
      <c r="L150" s="292" t="str">
        <f>IFERROR((COUNTIFS(Base!$V:$V,A150,Base!$U:$U,TRUE))/(COUNTIFS(Base!$V:$V,A150,Base!$O:$O,"Finalizado")+COUNTIFS(Base!$V:$V,A150,Base!$O:$O,"Concluído")),"-")</f>
        <v>-</v>
      </c>
      <c r="M150" s="292">
        <f>IF(
  (
    IFERROR(COUNTIF(Base!$W:$W, A150), 0) +
    IFERROR(COUNTIF(Base!$X:$X, A150), 0) +
    IFERROR(COUNTIF(Base!$Y:$Y, A150), 0) +
    IFERROR(COUNTIF(Base!$Z:$Z, A150), 0)
  ) = 0,
  "-",
  IF(
    (
      IFERROR(COUNTIFS(Base!$W:$W, A150, Base!$O:$O, "Finalizado"), 0) +
      IFERROR(COUNTIFS(Base!$W:$W, A150, Base!$O:$O, "Concluído"), 0) +
      IFERROR(COUNTIFS(Base!$X:$X, A150, Base!$O:$O, "Finalizado"), 0) +
      IFERROR(COUNTIFS(Base!$X:$X, A150, Base!$O:$O, "Concluído"), 0) +
      IFERROR(COUNTIFS(Base!$Y:$Y, A150, Base!$O:$O, "Finalizado"), 0) +
      IFERROR(COUNTIFS(Base!$Y:$Y, A150, Base!$O:$O, "Concluído"), 0) +
      IFERROR(COUNTIFS(Base!$Z:$Z, A150, Base!$O:$O, "Finalizado"), 0) +
      IFERROR(COUNTIFS(Base!$Z:$Z, A150, Base!$O:$O, "Concluído"), 0)
    ) = 0,
    "-",
    (
      IFERROR(COUNTIFS(Base!$W:$W, A150, Base!$U:$U, TRUE), 0) +
      IFERROR(COUNTIFS(Base!$X:$X, A150, Base!$U:$U, TRUE), 0) +
      IFERROR(COUNTIFS(Base!$Y:$Y, A150, Base!$U:$U, TRUE), 0) +
      IFERROR(COUNTIFS(Base!$Z:$Z, A150, Base!$U:$U, TRUE), 0)
    ) /
    (
      IFERROR(COUNTIFS(Base!$W:$W, A150, Base!$O:$O, "Finalizado"), 0) +
      IFERROR(COUNTIFS(Base!$W:$W, A150, Base!$O:$O, "Concluído"), 0) +
      IFERROR(COUNTIFS(Base!$X:$X, A150, Base!$O:$O, "Finalizado"), 0) +
      IFERROR(COUNTIFS(Base!$X:$X, A150, Base!$O:$O, "Concluído"), 0) +
      IFERROR(COUNTIFS(Base!$Y:$Y, A150, Base!$O:$O, "Finalizado"), 0) +
      IFERROR(COUNTIFS(Base!$Y:$Y, A150, Base!$O:$O, "Concluído"), 0) +
      IFERROR(COUNTIFS(Base!$Z:$Z, A150, Base!$O:$O, "Finalizado"), 0) +
      IFERROR(COUNTIFS(Base!$Z:$Z, A150, Base!$O:$O, "Concluído"), 0)
    )
  )
)
</f>
        <v>0.3333333333</v>
      </c>
      <c r="N150" s="120">
        <f>COUNTIF(Base!V:V,$A150)</f>
        <v>0</v>
      </c>
      <c r="O150" s="120">
        <f>COUNTIF(Base!W:W,$A150)</f>
        <v>5</v>
      </c>
      <c r="P150" s="120">
        <f>COUNTIF(Base!X:X,$A150)</f>
        <v>1</v>
      </c>
      <c r="Q150" s="120">
        <f>COUNTIF(Base!Y:Y,$A150)</f>
        <v>0</v>
      </c>
      <c r="R150" s="120">
        <f>COUNTIF(Base!Z:Z,$A150)</f>
        <v>0</v>
      </c>
      <c r="S150" s="120">
        <f t="shared" si="3"/>
        <v>6</v>
      </c>
      <c r="T150" s="120">
        <f t="shared" si="4"/>
        <v>6</v>
      </c>
      <c r="V150" s="293">
        <f>IF(
  (
    COUNTIF('Acompanhamento quinzenal'!$N:$N, A150) +
    COUNTIF('Acompanhamento quinzenal'!$T:$T, A150) +
    COUNTIF('Acompanhamento quinzenal'!$Z:$Z, A150) +
    COUNTIF('Acompanhamento quinzenal'!$AF:$AF, A150)
  ) = 0,
  "-",
  (
    IFERROR(SUMIFS('Acompanhamento quinzenal'!$S:$S, 'Acompanhamento quinzenal'!$N:$N, A150), 0) +
    IFERROR(SUMIFS('Acompanhamento quinzenal'!$Y:$Y, 'Acompanhamento quinzenal'!$T:$T, A150), 0) +
    IFERROR(SUMIFS('Acompanhamento quinzenal'!$AE:$AE, 'Acompanhamento quinzenal'!$Z:$Z, A150), 0) +
    IFERROR(SUMIFS('Acompanhamento quinzenal'!$AK:$AK, 'Acompanhamento quinzenal'!$AF:$AF, A150), 0)
  ) /
  (
    COUNTIF('Acompanhamento quinzenal'!$N:$N, A150) +
    COUNTIF('Acompanhamento quinzenal'!$T:$T, A150) +
    COUNTIF('Acompanhamento quinzenal'!$Z:$Z, A150) +
    COUNTIF('Acompanhamento quinzenal'!$AF:$AF, A150)
  )
)
</f>
        <v>2.5</v>
      </c>
      <c r="W150" s="293">
        <f>IF(
  (
    COUNTIF('Acompanhamento quinzenal'!$N:$N, A150) +
    COUNTIF('Acompanhamento quinzenal'!$T:$T, A150) +
    COUNTIF('Acompanhamento quinzenal'!$Z:$Z, A150) +
    COUNTIF('Acompanhamento quinzenal'!$AF:$AF, A150)
  ) = 0,
  "-",
  (
    IFERROR(SUMIFS('Acompanhamento quinzenal'!$O:$O, 'Acompanhamento quinzenal'!$N:$N, A150), 0) +
    IFERROR(SUMIFS('Acompanhamento quinzenal'!$U:$U, 'Acompanhamento quinzenal'!$T:$T, A150), 0) +
    IFERROR(SUMIFS('Acompanhamento quinzenal'!$AA:$AA, 'Acompanhamento quinzenal'!$Z:$Z, A150), 0) +
    IFERROR(SUMIFS('Acompanhamento quinzenal'!$AG:$AG, 'Acompanhamento quinzenal'!$AF:$AF, A150), 0)
  ) /
  (
    COUNTIF('Acompanhamento quinzenal'!$N:$N, A150) +
    COUNTIF('Acompanhamento quinzenal'!$T:$T, A150) +
    COUNTIF('Acompanhamento quinzenal'!$Z:$Z, A150) +
    COUNTIF('Acompanhamento quinzenal'!$AF:$AF, A150)
  )
)
</f>
        <v>3.5</v>
      </c>
      <c r="X150" s="294">
        <f>IF(
  (
    COUNTIF('Acompanhamento quinzenal'!$N:$N, A150) +
    COUNTIF('Acompanhamento quinzenal'!$T:$T, A150) +
    COUNTIF('Acompanhamento quinzenal'!$Z:$Z, A150) +
    COUNTIF('Acompanhamento quinzenal'!$AF:$AF, A150)
  ) = 0,
  "-",
  (
    IFERROR(SUMIFS('Acompanhamento quinzenal'!$P:$P, 'Acompanhamento quinzenal'!$N:$N, A150), 0) +
    IFERROR(SUMIFS('Acompanhamento quinzenal'!$V:$V, 'Acompanhamento quinzenal'!$T:$T, A150), 0) +
    IFERROR(SUMIFS('Acompanhamento quinzenal'!$AB:$AB, 'Acompanhamento quinzenal'!$Z:$Z, A150), 0) +
    IFERROR(SUMIFS('Acompanhamento quinzenal'!$AH:$AH, 'Acompanhamento quinzenal'!$AF:$AF, A150), 0)
  ) /
  (
    COUNTIF('Acompanhamento quinzenal'!$N:$N, A150) +
    COUNTIF('Acompanhamento quinzenal'!$T:$T, A150) +
    COUNTIF('Acompanhamento quinzenal'!$Z:$Z, A150) +
    COUNTIF('Acompanhamento quinzenal'!$AF:$AF, A150)
  )
)
</f>
        <v>3.75</v>
      </c>
      <c r="Y150" s="293">
        <f>IF(
  (
    COUNTIF('Acompanhamento quinzenal'!$N:$N, A150) +
    COUNTIF('Acompanhamento quinzenal'!$T:$T, A150) +
    COUNTIF('Acompanhamento quinzenal'!$Z:$Z, A150) +
    COUNTIF('Acompanhamento quinzenal'!$AF:$AF, A150)
  ) = 0,
  "-",
  (
    IFERROR(SUMIFS('Acompanhamento quinzenal'!$Q:$Q, 'Acompanhamento quinzenal'!$N:$N, A150), 0) +
    IFERROR(SUMIFS('Acompanhamento quinzenal'!$W:$W, 'Acompanhamento quinzenal'!$T:$T, A150), 0) +
    IFERROR(SUMIFS('Acompanhamento quinzenal'!$AC:$AC, 'Acompanhamento quinzenal'!$Z:$Z, A150), 0) +
    IFERROR(SUMIFS('Acompanhamento quinzenal'!$AI:$AI, 'Acompanhamento quinzenal'!$AF:$AF, A150), 0)
  ) /
  (
    COUNTIF('Acompanhamento quinzenal'!$N:$N, A150) +
    COUNTIF('Acompanhamento quinzenal'!$T:$T, A150) +
    COUNTIF('Acompanhamento quinzenal'!$Z:$Z, A150) +
    COUNTIF('Acompanhamento quinzenal'!$AF:$AF, A150)
  )
)
</f>
        <v>3</v>
      </c>
    </row>
    <row r="151" hidden="1">
      <c r="A151" s="291" t="str">
        <f>IFERROR(__xludf.DUMMYFUNCTION("""COMPUTED_VALUE"""),"pedro.albuquerque")</f>
        <v>pedro.albuquerque</v>
      </c>
      <c r="B151" s="120" t="str">
        <f>IFERROR(__xludf.DUMMYFUNCTION("""COMPUTED_VALUE"""),"Trainee")</f>
        <v>Trainee</v>
      </c>
      <c r="C151" s="120" t="str">
        <f>IFERROR(__xludf.DUMMYFUNCTION("""COMPUTED_VALUE"""),"NCiv")</f>
        <v>NCiv</v>
      </c>
      <c r="D151" s="292" t="str">
        <f>IFERROR((COUNTIFS(Base!$V:$V,A151,Base!$S:$S,"&gt;8") - COUNTIFS(Base!$V:$V,A151,Base!$S:$S,"&lt;7"))/COUNTIFS(Base!$V:$V,A151,Base!$S:$S,"&lt;&gt;"),"-")</f>
        <v>-</v>
      </c>
      <c r="E151" s="292" t="str">
        <f>IF(
  (
    COUNTIFS(Base!$W:$W, A151, Base!$S:$S, "&lt;&gt;") +
    COUNTIFS(Base!$X:$X, A151, Base!$S:$S, "&lt;&gt;") +
    COUNTIFS(Base!$Y:$Y, A151, Base!$S:$S, "&lt;&gt;") +
    COUNTIFS(Base!$Z:$Z, A151, Base!$S:$S, "&lt;&gt;")
  ) = 0,
  "-",
  (
    COUNTIFS(Base!$W:$W, A151, Base!$S:$S, "&gt;8") - COUNTIFS(Base!$W:$W, A151, Base!$S:$S, "&lt;7") +
    COUNTIFS(Base!$X:$X, A151, Base!$S:$S, "&gt;8") - COUNTIFS(Base!$X:$X, A151, Base!$S:$S, "&lt;7") +
    COUNTIFS(Base!$Y:$Y, A151, Base!$S:$S, "&gt;8") - COUNTIFS(Base!$Y:$Y, A151, Base!$S:$S, "&lt;7") +
    COUNTIFS(Base!$Z:$Z, A151, Base!$S:$S, "&gt;8") - COUNTIFS(Base!$Z:$Z, A151, Base!$S:$S, "&lt;7")
  ) /
  (
    COUNTIFS(Base!$W:$W, A151, Base!$S:$S, "&lt;&gt;") +
    COUNTIFS(Base!$X:$X, A151, Base!$S:$S, "&lt;&gt;") +
    COUNTIFS(Base!$Y:$Y, A151, Base!$S:$S, "&lt;&gt;") +
    COUNTIFS(Base!$Z:$Z, A151, Base!$S:$S, "&lt;&gt;")
  )
)
</f>
        <v>-</v>
      </c>
      <c r="F151" s="290">
        <f>SUMIFS(Base!$N:$N,Base!$V:$V,A151,Base!$N:$N,"&lt;&gt;")-SUMIFS(Base!$K:$K,Base!$V:$V,A151,Base!$N:$N,"&lt;&gt;")-(SUMIFS(Base!$L:$L,Base!$V:$V,A151,Base!$N:$N,"&lt;&gt;")*7)</f>
        <v>0</v>
      </c>
      <c r="G151" s="290"/>
      <c r="H151" s="290">
        <f>SUMIFS(Base!$F:$F,Base!$V:$V,A151,Base!$N:$N,"&lt;&gt;")*7</f>
        <v>0</v>
      </c>
      <c r="I151" s="290"/>
      <c r="J151" s="292" t="str">
        <f t="shared" ref="J151:K151" si="152">IFERROR(F151/H151,"-")</f>
        <v>-</v>
      </c>
      <c r="K151" s="292" t="str">
        <f t="shared" si="152"/>
        <v>-</v>
      </c>
      <c r="L151" s="292" t="str">
        <f>IFERROR((COUNTIFS(Base!$V:$V,A151,Base!$U:$U,TRUE))/(COUNTIFS(Base!$V:$V,A151,Base!$O:$O,"Finalizado")+COUNTIFS(Base!$V:$V,A151,Base!$O:$O,"Concluído")),"-")</f>
        <v>-</v>
      </c>
      <c r="M151" s="292" t="str">
        <f>IF(
  (
    IFERROR(COUNTIF(Base!$W:$W, A151), 0) +
    IFERROR(COUNTIF(Base!$X:$X, A151), 0) +
    IFERROR(COUNTIF(Base!$Y:$Y, A151), 0) +
    IFERROR(COUNTIF(Base!$Z:$Z, A151), 0)
  ) = 0,
  "-",
  IF(
    (
      IFERROR(COUNTIFS(Base!$W:$W, A151, Base!$O:$O, "Finalizado"), 0) +
      IFERROR(COUNTIFS(Base!$W:$W, A151, Base!$O:$O, "Concluído"), 0) +
      IFERROR(COUNTIFS(Base!$X:$X, A151, Base!$O:$O, "Finalizado"), 0) +
      IFERROR(COUNTIFS(Base!$X:$X, A151, Base!$O:$O, "Concluído"), 0) +
      IFERROR(COUNTIFS(Base!$Y:$Y, A151, Base!$O:$O, "Finalizado"), 0) +
      IFERROR(COUNTIFS(Base!$Y:$Y, A151, Base!$O:$O, "Concluído"), 0) +
      IFERROR(COUNTIFS(Base!$Z:$Z, A151, Base!$O:$O, "Finalizado"), 0) +
      IFERROR(COUNTIFS(Base!$Z:$Z, A151, Base!$O:$O, "Concluído"), 0)
    ) = 0,
    "-",
    (
      IFERROR(COUNTIFS(Base!$W:$W, A151, Base!$U:$U, TRUE), 0) +
      IFERROR(COUNTIFS(Base!$X:$X, A151, Base!$U:$U, TRUE), 0) +
      IFERROR(COUNTIFS(Base!$Y:$Y, A151, Base!$U:$U, TRUE), 0) +
      IFERROR(COUNTIFS(Base!$Z:$Z, A151, Base!$U:$U, TRUE), 0)
    ) /
    (
      IFERROR(COUNTIFS(Base!$W:$W, A151, Base!$O:$O, "Finalizado"), 0) +
      IFERROR(COUNTIFS(Base!$W:$W, A151, Base!$O:$O, "Concluído"), 0) +
      IFERROR(COUNTIFS(Base!$X:$X, A151, Base!$O:$O, "Finalizado"), 0) +
      IFERROR(COUNTIFS(Base!$X:$X, A151, Base!$O:$O, "Concluído"), 0) +
      IFERROR(COUNTIFS(Base!$Y:$Y, A151, Base!$O:$O, "Finalizado"), 0) +
      IFERROR(COUNTIFS(Base!$Y:$Y, A151, Base!$O:$O, "Concluído"), 0) +
      IFERROR(COUNTIFS(Base!$Z:$Z, A151, Base!$O:$O, "Finalizado"), 0) +
      IFERROR(COUNTIFS(Base!$Z:$Z, A151, Base!$O:$O, "Concluído"), 0)
    )
  )
)
</f>
        <v>-</v>
      </c>
      <c r="N151" s="120">
        <f>COUNTIF(Base!V:V,$A151)</f>
        <v>0</v>
      </c>
      <c r="O151" s="120">
        <f>COUNTIF(Base!W:W,$A151)</f>
        <v>0</v>
      </c>
      <c r="P151" s="120">
        <f>COUNTIF(Base!X:X,$A151)</f>
        <v>0</v>
      </c>
      <c r="Q151" s="120">
        <f>COUNTIF(Base!Y:Y,$A151)</f>
        <v>0</v>
      </c>
      <c r="R151" s="120">
        <f>COUNTIF(Base!Z:Z,$A151)</f>
        <v>0</v>
      </c>
      <c r="S151" s="120">
        <f t="shared" si="3"/>
        <v>0</v>
      </c>
      <c r="T151" s="120">
        <f t="shared" si="4"/>
        <v>0</v>
      </c>
      <c r="V151" s="293" t="str">
        <f>IF(
  (
    COUNTIF('Acompanhamento quinzenal'!$N:$N, A151) +
    COUNTIF('Acompanhamento quinzenal'!$T:$T, A151) +
    COUNTIF('Acompanhamento quinzenal'!$Z:$Z, A151) +
    COUNTIF('Acompanhamento quinzenal'!$AF:$AF, A151)
  ) = 0,
  "-",
  (
    IFERROR(SUMIFS('Acompanhamento quinzenal'!$S:$S, 'Acompanhamento quinzenal'!$N:$N, A151), 0) +
    IFERROR(SUMIFS('Acompanhamento quinzenal'!$Y:$Y, 'Acompanhamento quinzenal'!$T:$T, A151), 0) +
    IFERROR(SUMIFS('Acompanhamento quinzenal'!$AE:$AE, 'Acompanhamento quinzenal'!$Z:$Z, A151), 0) +
    IFERROR(SUMIFS('Acompanhamento quinzenal'!$AK:$AK, 'Acompanhamento quinzenal'!$AF:$AF, A151), 0)
  ) /
  (
    COUNTIF('Acompanhamento quinzenal'!$N:$N, A151) +
    COUNTIF('Acompanhamento quinzenal'!$T:$T, A151) +
    COUNTIF('Acompanhamento quinzenal'!$Z:$Z, A151) +
    COUNTIF('Acompanhamento quinzenal'!$AF:$AF, A151)
  )
)
</f>
        <v>-</v>
      </c>
      <c r="W151" s="293" t="str">
        <f>IF(
  (
    COUNTIF('Acompanhamento quinzenal'!$N:$N, A151) +
    COUNTIF('Acompanhamento quinzenal'!$T:$T, A151) +
    COUNTIF('Acompanhamento quinzenal'!$Z:$Z, A151) +
    COUNTIF('Acompanhamento quinzenal'!$AF:$AF, A151)
  ) = 0,
  "-",
  (
    IFERROR(SUMIFS('Acompanhamento quinzenal'!$O:$O, 'Acompanhamento quinzenal'!$N:$N, A151), 0) +
    IFERROR(SUMIFS('Acompanhamento quinzenal'!$U:$U, 'Acompanhamento quinzenal'!$T:$T, A151), 0) +
    IFERROR(SUMIFS('Acompanhamento quinzenal'!$AA:$AA, 'Acompanhamento quinzenal'!$Z:$Z, A151), 0) +
    IFERROR(SUMIFS('Acompanhamento quinzenal'!$AG:$AG, 'Acompanhamento quinzenal'!$AF:$AF, A151), 0)
  ) /
  (
    COUNTIF('Acompanhamento quinzenal'!$N:$N, A151) +
    COUNTIF('Acompanhamento quinzenal'!$T:$T, A151) +
    COUNTIF('Acompanhamento quinzenal'!$Z:$Z, A151) +
    COUNTIF('Acompanhamento quinzenal'!$AF:$AF, A151)
  )
)
</f>
        <v>-</v>
      </c>
      <c r="X151" s="294" t="str">
        <f>IF(
  (
    COUNTIF('Acompanhamento quinzenal'!$N:$N, A151) +
    COUNTIF('Acompanhamento quinzenal'!$T:$T, A151) +
    COUNTIF('Acompanhamento quinzenal'!$Z:$Z, A151) +
    COUNTIF('Acompanhamento quinzenal'!$AF:$AF, A151)
  ) = 0,
  "-",
  (
    IFERROR(SUMIFS('Acompanhamento quinzenal'!$P:$P, 'Acompanhamento quinzenal'!$N:$N, A151), 0) +
    IFERROR(SUMIFS('Acompanhamento quinzenal'!$V:$V, 'Acompanhamento quinzenal'!$T:$T, A151), 0) +
    IFERROR(SUMIFS('Acompanhamento quinzenal'!$AB:$AB, 'Acompanhamento quinzenal'!$Z:$Z, A151), 0) +
    IFERROR(SUMIFS('Acompanhamento quinzenal'!$AH:$AH, 'Acompanhamento quinzenal'!$AF:$AF, A151), 0)
  ) /
  (
    COUNTIF('Acompanhamento quinzenal'!$N:$N, A151) +
    COUNTIF('Acompanhamento quinzenal'!$T:$T, A151) +
    COUNTIF('Acompanhamento quinzenal'!$Z:$Z, A151) +
    COUNTIF('Acompanhamento quinzenal'!$AF:$AF, A151)
  )
)
</f>
        <v>-</v>
      </c>
      <c r="Y151" s="293" t="str">
        <f>IF(
  (
    COUNTIF('Acompanhamento quinzenal'!$N:$N, A151) +
    COUNTIF('Acompanhamento quinzenal'!$T:$T, A151) +
    COUNTIF('Acompanhamento quinzenal'!$Z:$Z, A151) +
    COUNTIF('Acompanhamento quinzenal'!$AF:$AF, A151)
  ) = 0,
  "-",
  (
    IFERROR(SUMIFS('Acompanhamento quinzenal'!$Q:$Q, 'Acompanhamento quinzenal'!$N:$N, A151), 0) +
    IFERROR(SUMIFS('Acompanhamento quinzenal'!$W:$W, 'Acompanhamento quinzenal'!$T:$T, A151), 0) +
    IFERROR(SUMIFS('Acompanhamento quinzenal'!$AC:$AC, 'Acompanhamento quinzenal'!$Z:$Z, A151), 0) +
    IFERROR(SUMIFS('Acompanhamento quinzenal'!$AI:$AI, 'Acompanhamento quinzenal'!$AF:$AF, A151), 0)
  ) /
  (
    COUNTIF('Acompanhamento quinzenal'!$N:$N, A151) +
    COUNTIF('Acompanhamento quinzenal'!$T:$T, A151) +
    COUNTIF('Acompanhamento quinzenal'!$Z:$Z, A151) +
    COUNTIF('Acompanhamento quinzenal'!$AF:$AF, A151)
  )
)
</f>
        <v>-</v>
      </c>
    </row>
    <row r="152" hidden="1">
      <c r="A152" s="291" t="str">
        <f>IFERROR(__xludf.DUMMYFUNCTION("""COMPUTED_VALUE"""),"pedro.amaral")</f>
        <v>pedro.amaral</v>
      </c>
      <c r="B152" s="120" t="str">
        <f>IFERROR(__xludf.DUMMYFUNCTION("""COMPUTED_VALUE"""),"Coordenador")</f>
        <v>Coordenador</v>
      </c>
      <c r="C152" s="120" t="str">
        <f>IFERROR(__xludf.DUMMYFUNCTION("""COMPUTED_VALUE"""),"NCon")</f>
        <v>NCon</v>
      </c>
      <c r="D152" s="292">
        <f>IFERROR((COUNTIFS(Base!$V:$V,A152,Base!$S:$S,"&gt;8") - COUNTIFS(Base!$V:$V,A152,Base!$S:$S,"&lt;7"))/COUNTIFS(Base!$V:$V,A152,Base!$S:$S,"&lt;&gt;"),"-")</f>
        <v>0.6666666667</v>
      </c>
      <c r="E152" s="292">
        <f>IF(
  (
    COUNTIFS(Base!$W:$W, A152, Base!$S:$S, "&lt;&gt;") +
    COUNTIFS(Base!$X:$X, A152, Base!$S:$S, "&lt;&gt;") +
    COUNTIFS(Base!$Y:$Y, A152, Base!$S:$S, "&lt;&gt;") +
    COUNTIFS(Base!$Z:$Z, A152, Base!$S:$S, "&lt;&gt;")
  ) = 0,
  "-",
  (
    COUNTIFS(Base!$W:$W, A152, Base!$S:$S, "&gt;8") - COUNTIFS(Base!$W:$W, A152, Base!$S:$S, "&lt;7") +
    COUNTIFS(Base!$X:$X, A152, Base!$S:$S, "&gt;8") - COUNTIFS(Base!$X:$X, A152, Base!$S:$S, "&lt;7") +
    COUNTIFS(Base!$Y:$Y, A152, Base!$S:$S, "&gt;8") - COUNTIFS(Base!$Y:$Y, A152, Base!$S:$S, "&lt;7") +
    COUNTIFS(Base!$Z:$Z, A152, Base!$S:$S, "&gt;8") - COUNTIFS(Base!$Z:$Z, A152, Base!$S:$S, "&lt;7")
  ) /
  (
    COUNTIFS(Base!$W:$W, A152, Base!$S:$S, "&lt;&gt;") +
    COUNTIFS(Base!$X:$X, A152, Base!$S:$S, "&lt;&gt;") +
    COUNTIFS(Base!$Y:$Y, A152, Base!$S:$S, "&lt;&gt;") +
    COUNTIFS(Base!$Z:$Z, A152, Base!$S:$S, "&lt;&gt;")
  )
)
</f>
        <v>1</v>
      </c>
      <c r="F152" s="290">
        <f>SUMIFS(Base!$N:$N,Base!$V:$V,A152,Base!$N:$N,"&lt;&gt;")-SUMIFS(Base!$K:$K,Base!$V:$V,A152,Base!$N:$N,"&lt;&gt;")-(SUMIFS(Base!$L:$L,Base!$V:$V,A152,Base!$N:$N,"&lt;&gt;")*7)</f>
        <v>45643</v>
      </c>
      <c r="G152" s="290"/>
      <c r="H152" s="290">
        <f>SUMIFS(Base!$F:$F,Base!$V:$V,A152,Base!$N:$N,"&lt;&gt;")*7</f>
        <v>196</v>
      </c>
      <c r="I152" s="290"/>
      <c r="J152" s="292">
        <f t="shared" ref="J152:K152" si="153">IFERROR(F152/H152,"-")</f>
        <v>232.872449</v>
      </c>
      <c r="K152" s="292" t="str">
        <f t="shared" si="153"/>
        <v>-</v>
      </c>
      <c r="L152" s="292">
        <f>IFERROR((COUNTIFS(Base!$V:$V,A152,Base!$U:$U,TRUE))/(COUNTIFS(Base!$V:$V,A152,Base!$O:$O,"Finalizado")+COUNTIFS(Base!$V:$V,A152,Base!$O:$O,"Concluído")),"-")</f>
        <v>0.1428571429</v>
      </c>
      <c r="M152" s="292">
        <f>IF(
  (
    IFERROR(COUNTIF(Base!$W:$W, A152), 0) +
    IFERROR(COUNTIF(Base!$X:$X, A152), 0) +
    IFERROR(COUNTIF(Base!$Y:$Y, A152), 0) +
    IFERROR(COUNTIF(Base!$Z:$Z, A152), 0)
  ) = 0,
  "-",
  IF(
    (
      IFERROR(COUNTIFS(Base!$W:$W, A152, Base!$O:$O, "Finalizado"), 0) +
      IFERROR(COUNTIFS(Base!$W:$W, A152, Base!$O:$O, "Concluído"), 0) +
      IFERROR(COUNTIFS(Base!$X:$X, A152, Base!$O:$O, "Finalizado"), 0) +
      IFERROR(COUNTIFS(Base!$X:$X, A152, Base!$O:$O, "Concluído"), 0) +
      IFERROR(COUNTIFS(Base!$Y:$Y, A152, Base!$O:$O, "Finalizado"), 0) +
      IFERROR(COUNTIFS(Base!$Y:$Y, A152, Base!$O:$O, "Concluído"), 0) +
      IFERROR(COUNTIFS(Base!$Z:$Z, A152, Base!$O:$O, "Finalizado"), 0) +
      IFERROR(COUNTIFS(Base!$Z:$Z, A152, Base!$O:$O, "Concluído"), 0)
    ) = 0,
    "-",
    (
      IFERROR(COUNTIFS(Base!$W:$W, A152, Base!$U:$U, TRUE), 0) +
      IFERROR(COUNTIFS(Base!$X:$X, A152, Base!$U:$U, TRUE), 0) +
      IFERROR(COUNTIFS(Base!$Y:$Y, A152, Base!$U:$U, TRUE), 0) +
      IFERROR(COUNTIFS(Base!$Z:$Z, A152, Base!$U:$U, TRUE), 0)
    ) /
    (
      IFERROR(COUNTIFS(Base!$W:$W, A152, Base!$O:$O, "Finalizado"), 0) +
      IFERROR(COUNTIFS(Base!$W:$W, A152, Base!$O:$O, "Concluído"), 0) +
      IFERROR(COUNTIFS(Base!$X:$X, A152, Base!$O:$O, "Finalizado"), 0) +
      IFERROR(COUNTIFS(Base!$X:$X, A152, Base!$O:$O, "Concluído"), 0) +
      IFERROR(COUNTIFS(Base!$Y:$Y, A152, Base!$O:$O, "Finalizado"), 0) +
      IFERROR(COUNTIFS(Base!$Y:$Y, A152, Base!$O:$O, "Concluído"), 0) +
      IFERROR(COUNTIFS(Base!$Z:$Z, A152, Base!$O:$O, "Finalizado"), 0) +
      IFERROR(COUNTIFS(Base!$Z:$Z, A152, Base!$O:$O, "Concluído"), 0)
    )
  )
)
</f>
        <v>0</v>
      </c>
      <c r="N152" s="120">
        <f>COUNTIF(Base!V:V,$A152)</f>
        <v>16</v>
      </c>
      <c r="O152" s="120">
        <f>COUNTIF(Base!W:W,$A152)</f>
        <v>1</v>
      </c>
      <c r="P152" s="120">
        <f>COUNTIF(Base!X:X,$A152)</f>
        <v>2</v>
      </c>
      <c r="Q152" s="120">
        <f>COUNTIF(Base!Y:Y,$A152)</f>
        <v>0</v>
      </c>
      <c r="R152" s="120">
        <f>COUNTIF(Base!Z:Z,$A152)</f>
        <v>0</v>
      </c>
      <c r="S152" s="120">
        <f t="shared" si="3"/>
        <v>19</v>
      </c>
      <c r="T152" s="120">
        <f t="shared" si="4"/>
        <v>3</v>
      </c>
      <c r="V152" s="293" t="str">
        <f>IF(
  (
    COUNTIF('Acompanhamento quinzenal'!$N:$N, A152) +
    COUNTIF('Acompanhamento quinzenal'!$T:$T, A152) +
    COUNTIF('Acompanhamento quinzenal'!$Z:$Z, A152) +
    COUNTIF('Acompanhamento quinzenal'!$AF:$AF, A152)
  ) = 0,
  "-",
  (
    IFERROR(SUMIFS('Acompanhamento quinzenal'!$S:$S, 'Acompanhamento quinzenal'!$N:$N, A152), 0) +
    IFERROR(SUMIFS('Acompanhamento quinzenal'!$Y:$Y, 'Acompanhamento quinzenal'!$T:$T, A152), 0) +
    IFERROR(SUMIFS('Acompanhamento quinzenal'!$AE:$AE, 'Acompanhamento quinzenal'!$Z:$Z, A152), 0) +
    IFERROR(SUMIFS('Acompanhamento quinzenal'!$AK:$AK, 'Acompanhamento quinzenal'!$AF:$AF, A152), 0)
  ) /
  (
    COUNTIF('Acompanhamento quinzenal'!$N:$N, A152) +
    COUNTIF('Acompanhamento quinzenal'!$T:$T, A152) +
    COUNTIF('Acompanhamento quinzenal'!$Z:$Z, A152) +
    COUNTIF('Acompanhamento quinzenal'!$AF:$AF, A152)
  )
)
</f>
        <v>-</v>
      </c>
      <c r="W152" s="293" t="str">
        <f>IF(
  (
    COUNTIF('Acompanhamento quinzenal'!$N:$N, A152) +
    COUNTIF('Acompanhamento quinzenal'!$T:$T, A152) +
    COUNTIF('Acompanhamento quinzenal'!$Z:$Z, A152) +
    COUNTIF('Acompanhamento quinzenal'!$AF:$AF, A152)
  ) = 0,
  "-",
  (
    IFERROR(SUMIFS('Acompanhamento quinzenal'!$O:$O, 'Acompanhamento quinzenal'!$N:$N, A152), 0) +
    IFERROR(SUMIFS('Acompanhamento quinzenal'!$U:$U, 'Acompanhamento quinzenal'!$T:$T, A152), 0) +
    IFERROR(SUMIFS('Acompanhamento quinzenal'!$AA:$AA, 'Acompanhamento quinzenal'!$Z:$Z, A152), 0) +
    IFERROR(SUMIFS('Acompanhamento quinzenal'!$AG:$AG, 'Acompanhamento quinzenal'!$AF:$AF, A152), 0)
  ) /
  (
    COUNTIF('Acompanhamento quinzenal'!$N:$N, A152) +
    COUNTIF('Acompanhamento quinzenal'!$T:$T, A152) +
    COUNTIF('Acompanhamento quinzenal'!$Z:$Z, A152) +
    COUNTIF('Acompanhamento quinzenal'!$AF:$AF, A152)
  )
)
</f>
        <v>-</v>
      </c>
      <c r="X152" s="294" t="str">
        <f>IF(
  (
    COUNTIF('Acompanhamento quinzenal'!$N:$N, A152) +
    COUNTIF('Acompanhamento quinzenal'!$T:$T, A152) +
    COUNTIF('Acompanhamento quinzenal'!$Z:$Z, A152) +
    COUNTIF('Acompanhamento quinzenal'!$AF:$AF, A152)
  ) = 0,
  "-",
  (
    IFERROR(SUMIFS('Acompanhamento quinzenal'!$P:$P, 'Acompanhamento quinzenal'!$N:$N, A152), 0) +
    IFERROR(SUMIFS('Acompanhamento quinzenal'!$V:$V, 'Acompanhamento quinzenal'!$T:$T, A152), 0) +
    IFERROR(SUMIFS('Acompanhamento quinzenal'!$AB:$AB, 'Acompanhamento quinzenal'!$Z:$Z, A152), 0) +
    IFERROR(SUMIFS('Acompanhamento quinzenal'!$AH:$AH, 'Acompanhamento quinzenal'!$AF:$AF, A152), 0)
  ) /
  (
    COUNTIF('Acompanhamento quinzenal'!$N:$N, A152) +
    COUNTIF('Acompanhamento quinzenal'!$T:$T, A152) +
    COUNTIF('Acompanhamento quinzenal'!$Z:$Z, A152) +
    COUNTIF('Acompanhamento quinzenal'!$AF:$AF, A152)
  )
)
</f>
        <v>-</v>
      </c>
      <c r="Y152" s="293" t="str">
        <f>IF(
  (
    COUNTIF('Acompanhamento quinzenal'!$N:$N, A152) +
    COUNTIF('Acompanhamento quinzenal'!$T:$T, A152) +
    COUNTIF('Acompanhamento quinzenal'!$Z:$Z, A152) +
    COUNTIF('Acompanhamento quinzenal'!$AF:$AF, A152)
  ) = 0,
  "-",
  (
    IFERROR(SUMIFS('Acompanhamento quinzenal'!$Q:$Q, 'Acompanhamento quinzenal'!$N:$N, A152), 0) +
    IFERROR(SUMIFS('Acompanhamento quinzenal'!$W:$W, 'Acompanhamento quinzenal'!$T:$T, A152), 0) +
    IFERROR(SUMIFS('Acompanhamento quinzenal'!$AC:$AC, 'Acompanhamento quinzenal'!$Z:$Z, A152), 0) +
    IFERROR(SUMIFS('Acompanhamento quinzenal'!$AI:$AI, 'Acompanhamento quinzenal'!$AF:$AF, A152), 0)
  ) /
  (
    COUNTIF('Acompanhamento quinzenal'!$N:$N, A152) +
    COUNTIF('Acompanhamento quinzenal'!$T:$T, A152) +
    COUNTIF('Acompanhamento quinzenal'!$Z:$Z, A152) +
    COUNTIF('Acompanhamento quinzenal'!$AF:$AF, A152)
  )
)
</f>
        <v>-</v>
      </c>
    </row>
    <row r="153">
      <c r="A153" s="291" t="str">
        <f>IFERROR(__xludf.DUMMYFUNCTION("""COMPUTED_VALUE"""),"pedro.matusita")</f>
        <v>pedro.matusita</v>
      </c>
      <c r="B153" s="120" t="str">
        <f>IFERROR(__xludf.DUMMYFUNCTION("""COMPUTED_VALUE"""),"Trainee")</f>
        <v>Trainee</v>
      </c>
      <c r="C153" s="120" t="str">
        <f>IFERROR(__xludf.DUMMYFUNCTION("""COMPUTED_VALUE"""),"NDados")</f>
        <v>NDados</v>
      </c>
      <c r="D153" s="292" t="str">
        <f>IFERROR((COUNTIFS(Base!$V:$V,A153,Base!$S:$S,"&gt;8") - COUNTIFS(Base!$V:$V,A153,Base!$S:$S,"&lt;7"))/COUNTIFS(Base!$V:$V,A153,Base!$S:$S,"&lt;&gt;"),"-")</f>
        <v>-</v>
      </c>
      <c r="E153" s="292" t="str">
        <f>IF(
  (
    COUNTIFS(Base!$W:$W, A153, Base!$S:$S, "&lt;&gt;") +
    COUNTIFS(Base!$X:$X, A153, Base!$S:$S, "&lt;&gt;") +
    COUNTIFS(Base!$Y:$Y, A153, Base!$S:$S, "&lt;&gt;") +
    COUNTIFS(Base!$Z:$Z, A153, Base!$S:$S, "&lt;&gt;")
  ) = 0,
  "-",
  (
    COUNTIFS(Base!$W:$W, A153, Base!$S:$S, "&gt;8") - COUNTIFS(Base!$W:$W, A153, Base!$S:$S, "&lt;7") +
    COUNTIFS(Base!$X:$X, A153, Base!$S:$S, "&gt;8") - COUNTIFS(Base!$X:$X, A153, Base!$S:$S, "&lt;7") +
    COUNTIFS(Base!$Y:$Y, A153, Base!$S:$S, "&gt;8") - COUNTIFS(Base!$Y:$Y, A153, Base!$S:$S, "&lt;7") +
    COUNTIFS(Base!$Z:$Z, A153, Base!$S:$S, "&gt;8") - COUNTIFS(Base!$Z:$Z, A153, Base!$S:$S, "&lt;7")
  ) /
  (
    COUNTIFS(Base!$W:$W, A153, Base!$S:$S, "&lt;&gt;") +
    COUNTIFS(Base!$X:$X, A153, Base!$S:$S, "&lt;&gt;") +
    COUNTIFS(Base!$Y:$Y, A153, Base!$S:$S, "&lt;&gt;") +
    COUNTIFS(Base!$Z:$Z, A153, Base!$S:$S, "&lt;&gt;")
  )
)
</f>
        <v>-</v>
      </c>
      <c r="F153" s="290">
        <f>SUMIFS(Base!$N:$N,Base!$V:$V,A153,Base!$N:$N,"&lt;&gt;")-SUMIFS(Base!$K:$K,Base!$V:$V,A153,Base!$N:$N,"&lt;&gt;")-(SUMIFS(Base!$L:$L,Base!$V:$V,A153,Base!$N:$N,"&lt;&gt;")*7)</f>
        <v>0</v>
      </c>
      <c r="G153" s="290"/>
      <c r="H153" s="290">
        <f>SUMIFS(Base!$F:$F,Base!$V:$V,A153,Base!$N:$N,"&lt;&gt;")*7</f>
        <v>0</v>
      </c>
      <c r="I153" s="290"/>
      <c r="J153" s="292" t="str">
        <f t="shared" ref="J153:K153" si="154">IFERROR(F153/H153,"-")</f>
        <v>-</v>
      </c>
      <c r="K153" s="292" t="str">
        <f t="shared" si="154"/>
        <v>-</v>
      </c>
      <c r="L153" s="292" t="str">
        <f>IFERROR((COUNTIFS(Base!$V:$V,A153,Base!$U:$U,TRUE))/(COUNTIFS(Base!$V:$V,A153,Base!$O:$O,"Finalizado")+COUNTIFS(Base!$V:$V,A153,Base!$O:$O,"Concluído")),"-")</f>
        <v>-</v>
      </c>
      <c r="M153" s="292" t="str">
        <f>IF(
  (
    IFERROR(COUNTIF(Base!$W:$W, A153), 0) +
    IFERROR(COUNTIF(Base!$X:$X, A153), 0) +
    IFERROR(COUNTIF(Base!$Y:$Y, A153), 0) +
    IFERROR(COUNTIF(Base!$Z:$Z, A153), 0)
  ) = 0,
  "-",
  IF(
    (
      IFERROR(COUNTIFS(Base!$W:$W, A153, Base!$O:$O, "Finalizado"), 0) +
      IFERROR(COUNTIFS(Base!$W:$W, A153, Base!$O:$O, "Concluído"), 0) +
      IFERROR(COUNTIFS(Base!$X:$X, A153, Base!$O:$O, "Finalizado"), 0) +
      IFERROR(COUNTIFS(Base!$X:$X, A153, Base!$O:$O, "Concluído"), 0) +
      IFERROR(COUNTIFS(Base!$Y:$Y, A153, Base!$O:$O, "Finalizado"), 0) +
      IFERROR(COUNTIFS(Base!$Y:$Y, A153, Base!$O:$O, "Concluído"), 0) +
      IFERROR(COUNTIFS(Base!$Z:$Z, A153, Base!$O:$O, "Finalizado"), 0) +
      IFERROR(COUNTIFS(Base!$Z:$Z, A153, Base!$O:$O, "Concluído"), 0)
    ) = 0,
    "-",
    (
      IFERROR(COUNTIFS(Base!$W:$W, A153, Base!$U:$U, TRUE), 0) +
      IFERROR(COUNTIFS(Base!$X:$X, A153, Base!$U:$U, TRUE), 0) +
      IFERROR(COUNTIFS(Base!$Y:$Y, A153, Base!$U:$U, TRUE), 0) +
      IFERROR(COUNTIFS(Base!$Z:$Z, A153, Base!$U:$U, TRUE), 0)
    ) /
    (
      IFERROR(COUNTIFS(Base!$W:$W, A153, Base!$O:$O, "Finalizado"), 0) +
      IFERROR(COUNTIFS(Base!$W:$W, A153, Base!$O:$O, "Concluído"), 0) +
      IFERROR(COUNTIFS(Base!$X:$X, A153, Base!$O:$O, "Finalizado"), 0) +
      IFERROR(COUNTIFS(Base!$X:$X, A153, Base!$O:$O, "Concluído"), 0) +
      IFERROR(COUNTIFS(Base!$Y:$Y, A153, Base!$O:$O, "Finalizado"), 0) +
      IFERROR(COUNTIFS(Base!$Y:$Y, A153, Base!$O:$O, "Concluído"), 0) +
      IFERROR(COUNTIFS(Base!$Z:$Z, A153, Base!$O:$O, "Finalizado"), 0) +
      IFERROR(COUNTIFS(Base!$Z:$Z, A153, Base!$O:$O, "Concluído"), 0)
    )
  )
)
</f>
        <v>-</v>
      </c>
      <c r="N153" s="120">
        <f>COUNTIF(Base!V:V,$A153)</f>
        <v>0</v>
      </c>
      <c r="O153" s="120">
        <f>COUNTIF(Base!W:W,$A153)</f>
        <v>1</v>
      </c>
      <c r="P153" s="120">
        <f>COUNTIF(Base!X:X,$A153)</f>
        <v>0</v>
      </c>
      <c r="Q153" s="120">
        <f>COUNTIF(Base!Y:Y,$A153)</f>
        <v>0</v>
      </c>
      <c r="R153" s="120">
        <f>COUNTIF(Base!Z:Z,$A153)</f>
        <v>0</v>
      </c>
      <c r="S153" s="120">
        <f t="shared" si="3"/>
        <v>1</v>
      </c>
      <c r="T153" s="120">
        <f t="shared" si="4"/>
        <v>1</v>
      </c>
      <c r="V153" s="293">
        <f>IF(
  (
    COUNTIF('Acompanhamento quinzenal'!$N:$N, A153) +
    COUNTIF('Acompanhamento quinzenal'!$T:$T, A153) +
    COUNTIF('Acompanhamento quinzenal'!$Z:$Z, A153) +
    COUNTIF('Acompanhamento quinzenal'!$AF:$AF, A153)
  ) = 0,
  "-",
  (
    IFERROR(SUMIFS('Acompanhamento quinzenal'!$S:$S, 'Acompanhamento quinzenal'!$N:$N, A153), 0) +
    IFERROR(SUMIFS('Acompanhamento quinzenal'!$Y:$Y, 'Acompanhamento quinzenal'!$T:$T, A153), 0) +
    IFERROR(SUMIFS('Acompanhamento quinzenal'!$AE:$AE, 'Acompanhamento quinzenal'!$Z:$Z, A153), 0) +
    IFERROR(SUMIFS('Acompanhamento quinzenal'!$AK:$AK, 'Acompanhamento quinzenal'!$AF:$AF, A153), 0)
  ) /
  (
    COUNTIF('Acompanhamento quinzenal'!$N:$N, A153) +
    COUNTIF('Acompanhamento quinzenal'!$T:$T, A153) +
    COUNTIF('Acompanhamento quinzenal'!$Z:$Z, A153) +
    COUNTIF('Acompanhamento quinzenal'!$AF:$AF, A153)
  )
)
</f>
        <v>0</v>
      </c>
      <c r="W153" s="293">
        <f>IF(
  (
    COUNTIF('Acompanhamento quinzenal'!$N:$N, A153) +
    COUNTIF('Acompanhamento quinzenal'!$T:$T, A153) +
    COUNTIF('Acompanhamento quinzenal'!$Z:$Z, A153) +
    COUNTIF('Acompanhamento quinzenal'!$AF:$AF, A153)
  ) = 0,
  "-",
  (
    IFERROR(SUMIFS('Acompanhamento quinzenal'!$O:$O, 'Acompanhamento quinzenal'!$N:$N, A153), 0) +
    IFERROR(SUMIFS('Acompanhamento quinzenal'!$U:$U, 'Acompanhamento quinzenal'!$T:$T, A153), 0) +
    IFERROR(SUMIFS('Acompanhamento quinzenal'!$AA:$AA, 'Acompanhamento quinzenal'!$Z:$Z, A153), 0) +
    IFERROR(SUMIFS('Acompanhamento quinzenal'!$AG:$AG, 'Acompanhamento quinzenal'!$AF:$AF, A153), 0)
  ) /
  (
    COUNTIF('Acompanhamento quinzenal'!$N:$N, A153) +
    COUNTIF('Acompanhamento quinzenal'!$T:$T, A153) +
    COUNTIF('Acompanhamento quinzenal'!$Z:$Z, A153) +
    COUNTIF('Acompanhamento quinzenal'!$AF:$AF, A153)
  )
)
</f>
        <v>3</v>
      </c>
      <c r="X153" s="294">
        <f>IF(
  (
    COUNTIF('Acompanhamento quinzenal'!$N:$N, A153) +
    COUNTIF('Acompanhamento quinzenal'!$T:$T, A153) +
    COUNTIF('Acompanhamento quinzenal'!$Z:$Z, A153) +
    COUNTIF('Acompanhamento quinzenal'!$AF:$AF, A153)
  ) = 0,
  "-",
  (
    IFERROR(SUMIFS('Acompanhamento quinzenal'!$P:$P, 'Acompanhamento quinzenal'!$N:$N, A153), 0) +
    IFERROR(SUMIFS('Acompanhamento quinzenal'!$V:$V, 'Acompanhamento quinzenal'!$T:$T, A153), 0) +
    IFERROR(SUMIFS('Acompanhamento quinzenal'!$AB:$AB, 'Acompanhamento quinzenal'!$Z:$Z, A153), 0) +
    IFERROR(SUMIFS('Acompanhamento quinzenal'!$AH:$AH, 'Acompanhamento quinzenal'!$AF:$AF, A153), 0)
  ) /
  (
    COUNTIF('Acompanhamento quinzenal'!$N:$N, A153) +
    COUNTIF('Acompanhamento quinzenal'!$T:$T, A153) +
    COUNTIF('Acompanhamento quinzenal'!$Z:$Z, A153) +
    COUNTIF('Acompanhamento quinzenal'!$AF:$AF, A153)
  )
)
</f>
        <v>3</v>
      </c>
      <c r="Y153" s="293">
        <f>IF(
  (
    COUNTIF('Acompanhamento quinzenal'!$N:$N, A153) +
    COUNTIF('Acompanhamento quinzenal'!$T:$T, A153) +
    COUNTIF('Acompanhamento quinzenal'!$Z:$Z, A153) +
    COUNTIF('Acompanhamento quinzenal'!$AF:$AF, A153)
  ) = 0,
  "-",
  (
    IFERROR(SUMIFS('Acompanhamento quinzenal'!$Q:$Q, 'Acompanhamento quinzenal'!$N:$N, A153), 0) +
    IFERROR(SUMIFS('Acompanhamento quinzenal'!$W:$W, 'Acompanhamento quinzenal'!$T:$T, A153), 0) +
    IFERROR(SUMIFS('Acompanhamento quinzenal'!$AC:$AC, 'Acompanhamento quinzenal'!$Z:$Z, A153), 0) +
    IFERROR(SUMIFS('Acompanhamento quinzenal'!$AI:$AI, 'Acompanhamento quinzenal'!$AF:$AF, A153), 0)
  ) /
  (
    COUNTIF('Acompanhamento quinzenal'!$N:$N, A153) +
    COUNTIF('Acompanhamento quinzenal'!$T:$T, A153) +
    COUNTIF('Acompanhamento quinzenal'!$Z:$Z, A153) +
    COUNTIF('Acompanhamento quinzenal'!$AF:$AF, A153)
  )
)
</f>
        <v>3</v>
      </c>
    </row>
    <row r="154" hidden="1">
      <c r="A154" s="291" t="str">
        <f>IFERROR(__xludf.DUMMYFUNCTION("""COMPUTED_VALUE"""),"pedro.ferraz")</f>
        <v>pedro.ferraz</v>
      </c>
      <c r="B154" s="120" t="str">
        <f>IFERROR(__xludf.DUMMYFUNCTION("""COMPUTED_VALUE"""),"Trainee")</f>
        <v>Trainee</v>
      </c>
      <c r="C154" s="120" t="str">
        <f>IFERROR(__xludf.DUMMYFUNCTION("""COMPUTED_VALUE"""),"NTec")</f>
        <v>NTec</v>
      </c>
      <c r="D154" s="292" t="str">
        <f>IFERROR((COUNTIFS(Base!$V:$V,A154,Base!$S:$S,"&gt;8") - COUNTIFS(Base!$V:$V,A154,Base!$S:$S,"&lt;7"))/COUNTIFS(Base!$V:$V,A154,Base!$S:$S,"&lt;&gt;"),"-")</f>
        <v>-</v>
      </c>
      <c r="E154" s="292">
        <f>IF(
  (
    COUNTIFS(Base!$W:$W, A154, Base!$S:$S, "&lt;&gt;") +
    COUNTIFS(Base!$X:$X, A154, Base!$S:$S, "&lt;&gt;") +
    COUNTIFS(Base!$Y:$Y, A154, Base!$S:$S, "&lt;&gt;") +
    COUNTIFS(Base!$Z:$Z, A154, Base!$S:$S, "&lt;&gt;")
  ) = 0,
  "-",
  (
    COUNTIFS(Base!$W:$W, A154, Base!$S:$S, "&gt;8") - COUNTIFS(Base!$W:$W, A154, Base!$S:$S, "&lt;7") +
    COUNTIFS(Base!$X:$X, A154, Base!$S:$S, "&gt;8") - COUNTIFS(Base!$X:$X, A154, Base!$S:$S, "&lt;7") +
    COUNTIFS(Base!$Y:$Y, A154, Base!$S:$S, "&gt;8") - COUNTIFS(Base!$Y:$Y, A154, Base!$S:$S, "&lt;7") +
    COUNTIFS(Base!$Z:$Z, A154, Base!$S:$S, "&gt;8") - COUNTIFS(Base!$Z:$Z, A154, Base!$S:$S, "&lt;7")
  ) /
  (
    COUNTIFS(Base!$W:$W, A154, Base!$S:$S, "&lt;&gt;") +
    COUNTIFS(Base!$X:$X, A154, Base!$S:$S, "&lt;&gt;") +
    COUNTIFS(Base!$Y:$Y, A154, Base!$S:$S, "&lt;&gt;") +
    COUNTIFS(Base!$Z:$Z, A154, Base!$S:$S, "&lt;&gt;")
  )
)
</f>
        <v>1</v>
      </c>
      <c r="F154" s="290">
        <f>SUMIFS(Base!$N:$N,Base!$V:$V,A154,Base!$N:$N,"&lt;&gt;")-SUMIFS(Base!$K:$K,Base!$V:$V,A154,Base!$N:$N,"&lt;&gt;")-(SUMIFS(Base!$L:$L,Base!$V:$V,A154,Base!$N:$N,"&lt;&gt;")*7)</f>
        <v>0</v>
      </c>
      <c r="G154" s="290"/>
      <c r="H154" s="290">
        <f>SUMIFS(Base!$F:$F,Base!$V:$V,A154,Base!$N:$N,"&lt;&gt;")*7</f>
        <v>0</v>
      </c>
      <c r="I154" s="290"/>
      <c r="J154" s="292" t="str">
        <f t="shared" ref="J154:K154" si="155">IFERROR(F154/H154,"-")</f>
        <v>-</v>
      </c>
      <c r="K154" s="292" t="str">
        <f t="shared" si="155"/>
        <v>-</v>
      </c>
      <c r="L154" s="292" t="str">
        <f>IFERROR((COUNTIFS(Base!$V:$V,A154,Base!$U:$U,TRUE))/(COUNTIFS(Base!$V:$V,A154,Base!$O:$O,"Finalizado")+COUNTIFS(Base!$V:$V,A154,Base!$O:$O,"Concluído")),"-")</f>
        <v>-</v>
      </c>
      <c r="M154" s="292" t="str">
        <f>IF(
  (
    IFERROR(COUNTIF(Base!$W:$W, A154), 0) +
    IFERROR(COUNTIF(Base!$X:$X, A154), 0) +
    IFERROR(COUNTIF(Base!$Y:$Y, A154), 0) +
    IFERROR(COUNTIF(Base!$Z:$Z, A154), 0)
  ) = 0,
  "-",
  IF(
    (
      IFERROR(COUNTIFS(Base!$W:$W, A154, Base!$O:$O, "Finalizado"), 0) +
      IFERROR(COUNTIFS(Base!$W:$W, A154, Base!$O:$O, "Concluído"), 0) +
      IFERROR(COUNTIFS(Base!$X:$X, A154, Base!$O:$O, "Finalizado"), 0) +
      IFERROR(COUNTIFS(Base!$X:$X, A154, Base!$O:$O, "Concluído"), 0) +
      IFERROR(COUNTIFS(Base!$Y:$Y, A154, Base!$O:$O, "Finalizado"), 0) +
      IFERROR(COUNTIFS(Base!$Y:$Y, A154, Base!$O:$O, "Concluído"), 0) +
      IFERROR(COUNTIFS(Base!$Z:$Z, A154, Base!$O:$O, "Finalizado"), 0) +
      IFERROR(COUNTIFS(Base!$Z:$Z, A154, Base!$O:$O, "Concluído"), 0)
    ) = 0,
    "-",
    (
      IFERROR(COUNTIFS(Base!$W:$W, A154, Base!$U:$U, TRUE), 0) +
      IFERROR(COUNTIFS(Base!$X:$X, A154, Base!$U:$U, TRUE), 0) +
      IFERROR(COUNTIFS(Base!$Y:$Y, A154, Base!$U:$U, TRUE), 0) +
      IFERROR(COUNTIFS(Base!$Z:$Z, A154, Base!$U:$U, TRUE), 0)
    ) /
    (
      IFERROR(COUNTIFS(Base!$W:$W, A154, Base!$O:$O, "Finalizado"), 0) +
      IFERROR(COUNTIFS(Base!$W:$W, A154, Base!$O:$O, "Concluído"), 0) +
      IFERROR(COUNTIFS(Base!$X:$X, A154, Base!$O:$O, "Finalizado"), 0) +
      IFERROR(COUNTIFS(Base!$X:$X, A154, Base!$O:$O, "Concluído"), 0) +
      IFERROR(COUNTIFS(Base!$Y:$Y, A154, Base!$O:$O, "Finalizado"), 0) +
      IFERROR(COUNTIFS(Base!$Y:$Y, A154, Base!$O:$O, "Concluído"), 0) +
      IFERROR(COUNTIFS(Base!$Z:$Z, A154, Base!$O:$O, "Finalizado"), 0) +
      IFERROR(COUNTIFS(Base!$Z:$Z, A154, Base!$O:$O, "Concluído"), 0)
    )
  )
)
</f>
        <v>-</v>
      </c>
      <c r="N154" s="120">
        <f>COUNTIF(Base!V:V,$A154)</f>
        <v>0</v>
      </c>
      <c r="O154" s="120">
        <f>COUNTIF(Base!W:W,$A154)</f>
        <v>1</v>
      </c>
      <c r="P154" s="120">
        <f>COUNTIF(Base!X:X,$A154)</f>
        <v>1</v>
      </c>
      <c r="Q154" s="120">
        <f>COUNTIF(Base!Y:Y,$A154)</f>
        <v>0</v>
      </c>
      <c r="R154" s="120">
        <f>COUNTIF(Base!Z:Z,$A154)</f>
        <v>0</v>
      </c>
      <c r="S154" s="120">
        <f t="shared" si="3"/>
        <v>2</v>
      </c>
      <c r="T154" s="120">
        <f t="shared" si="4"/>
        <v>2</v>
      </c>
      <c r="V154" s="293" t="str">
        <f>IF(
  (
    COUNTIF('Acompanhamento quinzenal'!$N:$N, A154) +
    COUNTIF('Acompanhamento quinzenal'!$T:$T, A154) +
    COUNTIF('Acompanhamento quinzenal'!$Z:$Z, A154) +
    COUNTIF('Acompanhamento quinzenal'!$AF:$AF, A154)
  ) = 0,
  "-",
  (
    IFERROR(SUMIFS('Acompanhamento quinzenal'!$S:$S, 'Acompanhamento quinzenal'!$N:$N, A154), 0) +
    IFERROR(SUMIFS('Acompanhamento quinzenal'!$Y:$Y, 'Acompanhamento quinzenal'!$T:$T, A154), 0) +
    IFERROR(SUMIFS('Acompanhamento quinzenal'!$AE:$AE, 'Acompanhamento quinzenal'!$Z:$Z, A154), 0) +
    IFERROR(SUMIFS('Acompanhamento quinzenal'!$AK:$AK, 'Acompanhamento quinzenal'!$AF:$AF, A154), 0)
  ) /
  (
    COUNTIF('Acompanhamento quinzenal'!$N:$N, A154) +
    COUNTIF('Acompanhamento quinzenal'!$T:$T, A154) +
    COUNTIF('Acompanhamento quinzenal'!$Z:$Z, A154) +
    COUNTIF('Acompanhamento quinzenal'!$AF:$AF, A154)
  )
)
</f>
        <v>-</v>
      </c>
      <c r="W154" s="293" t="str">
        <f>IF(
  (
    COUNTIF('Acompanhamento quinzenal'!$N:$N, A154) +
    COUNTIF('Acompanhamento quinzenal'!$T:$T, A154) +
    COUNTIF('Acompanhamento quinzenal'!$Z:$Z, A154) +
    COUNTIF('Acompanhamento quinzenal'!$AF:$AF, A154)
  ) = 0,
  "-",
  (
    IFERROR(SUMIFS('Acompanhamento quinzenal'!$O:$O, 'Acompanhamento quinzenal'!$N:$N, A154), 0) +
    IFERROR(SUMIFS('Acompanhamento quinzenal'!$U:$U, 'Acompanhamento quinzenal'!$T:$T, A154), 0) +
    IFERROR(SUMIFS('Acompanhamento quinzenal'!$AA:$AA, 'Acompanhamento quinzenal'!$Z:$Z, A154), 0) +
    IFERROR(SUMIFS('Acompanhamento quinzenal'!$AG:$AG, 'Acompanhamento quinzenal'!$AF:$AF, A154), 0)
  ) /
  (
    COUNTIF('Acompanhamento quinzenal'!$N:$N, A154) +
    COUNTIF('Acompanhamento quinzenal'!$T:$T, A154) +
    COUNTIF('Acompanhamento quinzenal'!$Z:$Z, A154) +
    COUNTIF('Acompanhamento quinzenal'!$AF:$AF, A154)
  )
)
</f>
        <v>-</v>
      </c>
      <c r="X154" s="294" t="str">
        <f>IF(
  (
    COUNTIF('Acompanhamento quinzenal'!$N:$N, A154) +
    COUNTIF('Acompanhamento quinzenal'!$T:$T, A154) +
    COUNTIF('Acompanhamento quinzenal'!$Z:$Z, A154) +
    COUNTIF('Acompanhamento quinzenal'!$AF:$AF, A154)
  ) = 0,
  "-",
  (
    IFERROR(SUMIFS('Acompanhamento quinzenal'!$P:$P, 'Acompanhamento quinzenal'!$N:$N, A154), 0) +
    IFERROR(SUMIFS('Acompanhamento quinzenal'!$V:$V, 'Acompanhamento quinzenal'!$T:$T, A154), 0) +
    IFERROR(SUMIFS('Acompanhamento quinzenal'!$AB:$AB, 'Acompanhamento quinzenal'!$Z:$Z, A154), 0) +
    IFERROR(SUMIFS('Acompanhamento quinzenal'!$AH:$AH, 'Acompanhamento quinzenal'!$AF:$AF, A154), 0)
  ) /
  (
    COUNTIF('Acompanhamento quinzenal'!$N:$N, A154) +
    COUNTIF('Acompanhamento quinzenal'!$T:$T, A154) +
    COUNTIF('Acompanhamento quinzenal'!$Z:$Z, A154) +
    COUNTIF('Acompanhamento quinzenal'!$AF:$AF, A154)
  )
)
</f>
        <v>-</v>
      </c>
      <c r="Y154" s="293" t="str">
        <f>IF(
  (
    COUNTIF('Acompanhamento quinzenal'!$N:$N, A154) +
    COUNTIF('Acompanhamento quinzenal'!$T:$T, A154) +
    COUNTIF('Acompanhamento quinzenal'!$Z:$Z, A154) +
    COUNTIF('Acompanhamento quinzenal'!$AF:$AF, A154)
  ) = 0,
  "-",
  (
    IFERROR(SUMIFS('Acompanhamento quinzenal'!$Q:$Q, 'Acompanhamento quinzenal'!$N:$N, A154), 0) +
    IFERROR(SUMIFS('Acompanhamento quinzenal'!$W:$W, 'Acompanhamento quinzenal'!$T:$T, A154), 0) +
    IFERROR(SUMIFS('Acompanhamento quinzenal'!$AC:$AC, 'Acompanhamento quinzenal'!$Z:$Z, A154), 0) +
    IFERROR(SUMIFS('Acompanhamento quinzenal'!$AI:$AI, 'Acompanhamento quinzenal'!$AF:$AF, A154), 0)
  ) /
  (
    COUNTIF('Acompanhamento quinzenal'!$N:$N, A154) +
    COUNTIF('Acompanhamento quinzenal'!$T:$T, A154) +
    COUNTIF('Acompanhamento quinzenal'!$Z:$Z, A154) +
    COUNTIF('Acompanhamento quinzenal'!$AF:$AF, A154)
  )
)
</f>
        <v>-</v>
      </c>
    </row>
    <row r="155">
      <c r="A155" s="291" t="str">
        <f>IFERROR(__xludf.DUMMYFUNCTION("""COMPUTED_VALUE"""),"pedro.aires")</f>
        <v>pedro.aires</v>
      </c>
      <c r="B155" s="120" t="str">
        <f>IFERROR(__xludf.DUMMYFUNCTION("""COMPUTED_VALUE"""),"Consultor")</f>
        <v>Consultor</v>
      </c>
      <c r="C155" s="120" t="str">
        <f>IFERROR(__xludf.DUMMYFUNCTION("""COMPUTED_VALUE"""),"NDados")</f>
        <v>NDados</v>
      </c>
      <c r="D155" s="292" t="str">
        <f>IFERROR((COUNTIFS(Base!$V:$V,A155,Base!$S:$S,"&gt;8") - COUNTIFS(Base!$V:$V,A155,Base!$S:$S,"&lt;7"))/COUNTIFS(Base!$V:$V,A155,Base!$S:$S,"&lt;&gt;"),"-")</f>
        <v>-</v>
      </c>
      <c r="E155" s="292" t="str">
        <f>IF(
  (
    COUNTIFS(Base!$W:$W, A155, Base!$S:$S, "&lt;&gt;") +
    COUNTIFS(Base!$X:$X, A155, Base!$S:$S, "&lt;&gt;") +
    COUNTIFS(Base!$Y:$Y, A155, Base!$S:$S, "&lt;&gt;") +
    COUNTIFS(Base!$Z:$Z, A155, Base!$S:$S, "&lt;&gt;")
  ) = 0,
  "-",
  (
    COUNTIFS(Base!$W:$W, A155, Base!$S:$S, "&gt;8") - COUNTIFS(Base!$W:$W, A155, Base!$S:$S, "&lt;7") +
    COUNTIFS(Base!$X:$X, A155, Base!$S:$S, "&gt;8") - COUNTIFS(Base!$X:$X, A155, Base!$S:$S, "&lt;7") +
    COUNTIFS(Base!$Y:$Y, A155, Base!$S:$S, "&gt;8") - COUNTIFS(Base!$Y:$Y, A155, Base!$S:$S, "&lt;7") +
    COUNTIFS(Base!$Z:$Z, A155, Base!$S:$S, "&gt;8") - COUNTIFS(Base!$Z:$Z, A155, Base!$S:$S, "&lt;7")
  ) /
  (
    COUNTIFS(Base!$W:$W, A155, Base!$S:$S, "&lt;&gt;") +
    COUNTIFS(Base!$X:$X, A155, Base!$S:$S, "&lt;&gt;") +
    COUNTIFS(Base!$Y:$Y, A155, Base!$S:$S, "&lt;&gt;") +
    COUNTIFS(Base!$Z:$Z, A155, Base!$S:$S, "&lt;&gt;")
  )
)
</f>
        <v>-</v>
      </c>
      <c r="F155" s="290">
        <f>SUMIFS(Base!$N:$N,Base!$V:$V,A155,Base!$N:$N,"&lt;&gt;")-SUMIFS(Base!$K:$K,Base!$V:$V,A155,Base!$N:$N,"&lt;&gt;")-(SUMIFS(Base!$L:$L,Base!$V:$V,A155,Base!$N:$N,"&lt;&gt;")*7)</f>
        <v>0</v>
      </c>
      <c r="G155" s="290"/>
      <c r="H155" s="290">
        <f>SUMIFS(Base!$F:$F,Base!$V:$V,A155,Base!$N:$N,"&lt;&gt;")*7</f>
        <v>0</v>
      </c>
      <c r="I155" s="290"/>
      <c r="J155" s="292" t="str">
        <f t="shared" ref="J155:K155" si="156">IFERROR(F155/H155,"-")</f>
        <v>-</v>
      </c>
      <c r="K155" s="292" t="str">
        <f t="shared" si="156"/>
        <v>-</v>
      </c>
      <c r="L155" s="292" t="str">
        <f>IFERROR((COUNTIFS(Base!$V:$V,A155,Base!$U:$U,TRUE))/(COUNTIFS(Base!$V:$V,A155,Base!$O:$O,"Finalizado")+COUNTIFS(Base!$V:$V,A155,Base!$O:$O,"Concluído")),"-")</f>
        <v>-</v>
      </c>
      <c r="M155" s="292">
        <f>IF(
  (
    IFERROR(COUNTIF(Base!$W:$W, A155), 0) +
    IFERROR(COUNTIF(Base!$X:$X, A155), 0) +
    IFERROR(COUNTIF(Base!$Y:$Y, A155), 0) +
    IFERROR(COUNTIF(Base!$Z:$Z, A155), 0)
  ) = 0,
  "-",
  IF(
    (
      IFERROR(COUNTIFS(Base!$W:$W, A155, Base!$O:$O, "Finalizado"), 0) +
      IFERROR(COUNTIFS(Base!$W:$W, A155, Base!$O:$O, "Concluído"), 0) +
      IFERROR(COUNTIFS(Base!$X:$X, A155, Base!$O:$O, "Finalizado"), 0) +
      IFERROR(COUNTIFS(Base!$X:$X, A155, Base!$O:$O, "Concluído"), 0) +
      IFERROR(COUNTIFS(Base!$Y:$Y, A155, Base!$O:$O, "Finalizado"), 0) +
      IFERROR(COUNTIFS(Base!$Y:$Y, A155, Base!$O:$O, "Concluído"), 0) +
      IFERROR(COUNTIFS(Base!$Z:$Z, A155, Base!$O:$O, "Finalizado"), 0) +
      IFERROR(COUNTIFS(Base!$Z:$Z, A155, Base!$O:$O, "Concluído"), 0)
    ) = 0,
    "-",
    (
      IFERROR(COUNTIFS(Base!$W:$W, A155, Base!$U:$U, TRUE), 0) +
      IFERROR(COUNTIFS(Base!$X:$X, A155, Base!$U:$U, TRUE), 0) +
      IFERROR(COUNTIFS(Base!$Y:$Y, A155, Base!$U:$U, TRUE), 0) +
      IFERROR(COUNTIFS(Base!$Z:$Z, A155, Base!$U:$U, TRUE), 0)
    ) /
    (
      IFERROR(COUNTIFS(Base!$W:$W, A155, Base!$O:$O, "Finalizado"), 0) +
      IFERROR(COUNTIFS(Base!$W:$W, A155, Base!$O:$O, "Concluído"), 0) +
      IFERROR(COUNTIFS(Base!$X:$X, A155, Base!$O:$O, "Finalizado"), 0) +
      IFERROR(COUNTIFS(Base!$X:$X, A155, Base!$O:$O, "Concluído"), 0) +
      IFERROR(COUNTIFS(Base!$Y:$Y, A155, Base!$O:$O, "Finalizado"), 0) +
      IFERROR(COUNTIFS(Base!$Y:$Y, A155, Base!$O:$O, "Concluído"), 0) +
      IFERROR(COUNTIFS(Base!$Z:$Z, A155, Base!$O:$O, "Finalizado"), 0) +
      IFERROR(COUNTIFS(Base!$Z:$Z, A155, Base!$O:$O, "Concluído"), 0)
    )
  )
)
</f>
        <v>0</v>
      </c>
      <c r="N155" s="120">
        <f>COUNTIF(Base!V:V,$A155)</f>
        <v>0</v>
      </c>
      <c r="O155" s="120">
        <f>COUNTIF(Base!W:W,$A155)</f>
        <v>1</v>
      </c>
      <c r="P155" s="120">
        <f>COUNTIF(Base!X:X,$A155)</f>
        <v>0</v>
      </c>
      <c r="Q155" s="120">
        <f>COUNTIF(Base!Y:Y,$A155)</f>
        <v>0</v>
      </c>
      <c r="R155" s="120">
        <f>COUNTIF(Base!Z:Z,$A155)</f>
        <v>1</v>
      </c>
      <c r="S155" s="120">
        <f t="shared" si="3"/>
        <v>2</v>
      </c>
      <c r="T155" s="120">
        <f t="shared" si="4"/>
        <v>2</v>
      </c>
      <c r="V155" s="293">
        <f>IF(
  (
    COUNTIF('Acompanhamento quinzenal'!$N:$N, A155) +
    COUNTIF('Acompanhamento quinzenal'!$T:$T, A155) +
    COUNTIF('Acompanhamento quinzenal'!$Z:$Z, A155) +
    COUNTIF('Acompanhamento quinzenal'!$AF:$AF, A155)
  ) = 0,
  "-",
  (
    IFERROR(SUMIFS('Acompanhamento quinzenal'!$S:$S, 'Acompanhamento quinzenal'!$N:$N, A155), 0) +
    IFERROR(SUMIFS('Acompanhamento quinzenal'!$Y:$Y, 'Acompanhamento quinzenal'!$T:$T, A155), 0) +
    IFERROR(SUMIFS('Acompanhamento quinzenal'!$AE:$AE, 'Acompanhamento quinzenal'!$Z:$Z, A155), 0) +
    IFERROR(SUMIFS('Acompanhamento quinzenal'!$AK:$AK, 'Acompanhamento quinzenal'!$AF:$AF, A155), 0)
  ) /
  (
    COUNTIF('Acompanhamento quinzenal'!$N:$N, A155) +
    COUNTIF('Acompanhamento quinzenal'!$T:$T, A155) +
    COUNTIF('Acompanhamento quinzenal'!$Z:$Z, A155) +
    COUNTIF('Acompanhamento quinzenal'!$AF:$AF, A155)
  )
)
</f>
        <v>2</v>
      </c>
      <c r="W155" s="293">
        <f>IF(
  (
    COUNTIF('Acompanhamento quinzenal'!$N:$N, A155) +
    COUNTIF('Acompanhamento quinzenal'!$T:$T, A155) +
    COUNTIF('Acompanhamento quinzenal'!$Z:$Z, A155) +
    COUNTIF('Acompanhamento quinzenal'!$AF:$AF, A155)
  ) = 0,
  "-",
  (
    IFERROR(SUMIFS('Acompanhamento quinzenal'!$O:$O, 'Acompanhamento quinzenal'!$N:$N, A155), 0) +
    IFERROR(SUMIFS('Acompanhamento quinzenal'!$U:$U, 'Acompanhamento quinzenal'!$T:$T, A155), 0) +
    IFERROR(SUMIFS('Acompanhamento quinzenal'!$AA:$AA, 'Acompanhamento quinzenal'!$Z:$Z, A155), 0) +
    IFERROR(SUMIFS('Acompanhamento quinzenal'!$AG:$AG, 'Acompanhamento quinzenal'!$AF:$AF, A155), 0)
  ) /
  (
    COUNTIF('Acompanhamento quinzenal'!$N:$N, A155) +
    COUNTIF('Acompanhamento quinzenal'!$T:$T, A155) +
    COUNTIF('Acompanhamento quinzenal'!$Z:$Z, A155) +
    COUNTIF('Acompanhamento quinzenal'!$AF:$AF, A155)
  )
)
</f>
        <v>2.4</v>
      </c>
      <c r="X155" s="294">
        <f>IF(
  (
    COUNTIF('Acompanhamento quinzenal'!$N:$N, A155) +
    COUNTIF('Acompanhamento quinzenal'!$T:$T, A155) +
    COUNTIF('Acompanhamento quinzenal'!$Z:$Z, A155) +
    COUNTIF('Acompanhamento quinzenal'!$AF:$AF, A155)
  ) = 0,
  "-",
  (
    IFERROR(SUMIFS('Acompanhamento quinzenal'!$P:$P, 'Acompanhamento quinzenal'!$N:$N, A155), 0) +
    IFERROR(SUMIFS('Acompanhamento quinzenal'!$V:$V, 'Acompanhamento quinzenal'!$T:$T, A155), 0) +
    IFERROR(SUMIFS('Acompanhamento quinzenal'!$AB:$AB, 'Acompanhamento quinzenal'!$Z:$Z, A155), 0) +
    IFERROR(SUMIFS('Acompanhamento quinzenal'!$AH:$AH, 'Acompanhamento quinzenal'!$AF:$AF, A155), 0)
  ) /
  (
    COUNTIF('Acompanhamento quinzenal'!$N:$N, A155) +
    COUNTIF('Acompanhamento quinzenal'!$T:$T, A155) +
    COUNTIF('Acompanhamento quinzenal'!$Z:$Z, A155) +
    COUNTIF('Acompanhamento quinzenal'!$AF:$AF, A155)
  )
)
</f>
        <v>2.2</v>
      </c>
      <c r="Y155" s="293">
        <f>IF(
  (
    COUNTIF('Acompanhamento quinzenal'!$N:$N, A155) +
    COUNTIF('Acompanhamento quinzenal'!$T:$T, A155) +
    COUNTIF('Acompanhamento quinzenal'!$Z:$Z, A155) +
    COUNTIF('Acompanhamento quinzenal'!$AF:$AF, A155)
  ) = 0,
  "-",
  (
    IFERROR(SUMIFS('Acompanhamento quinzenal'!$Q:$Q, 'Acompanhamento quinzenal'!$N:$N, A155), 0) +
    IFERROR(SUMIFS('Acompanhamento quinzenal'!$W:$W, 'Acompanhamento quinzenal'!$T:$T, A155), 0) +
    IFERROR(SUMIFS('Acompanhamento quinzenal'!$AC:$AC, 'Acompanhamento quinzenal'!$Z:$Z, A155), 0) +
    IFERROR(SUMIFS('Acompanhamento quinzenal'!$AI:$AI, 'Acompanhamento quinzenal'!$AF:$AF, A155), 0)
  ) /
  (
    COUNTIF('Acompanhamento quinzenal'!$N:$N, A155) +
    COUNTIF('Acompanhamento quinzenal'!$T:$T, A155) +
    COUNTIF('Acompanhamento quinzenal'!$Z:$Z, A155) +
    COUNTIF('Acompanhamento quinzenal'!$AF:$AF, A155)
  )
)
</f>
        <v>2.8</v>
      </c>
    </row>
    <row r="156" hidden="1">
      <c r="A156" s="291" t="str">
        <f>IFERROR(__xludf.DUMMYFUNCTION("""COMPUTED_VALUE"""),"pedro.gil")</f>
        <v>pedro.gil</v>
      </c>
      <c r="B156" s="120" t="str">
        <f>IFERROR(__xludf.DUMMYFUNCTION("""COMPUTED_VALUE"""),"Trainee")</f>
        <v>Trainee</v>
      </c>
      <c r="C156" s="120" t="str">
        <f>IFERROR(__xludf.DUMMYFUNCTION("""COMPUTED_VALUE"""),"NCon")</f>
        <v>NCon</v>
      </c>
      <c r="D156" s="292" t="str">
        <f>IFERROR((COUNTIFS(Base!$V:$V,A156,Base!$S:$S,"&gt;8") - COUNTIFS(Base!$V:$V,A156,Base!$S:$S,"&lt;7"))/COUNTIFS(Base!$V:$V,A156,Base!$S:$S,"&lt;&gt;"),"-")</f>
        <v>-</v>
      </c>
      <c r="E156" s="292" t="str">
        <f>IF(
  (
    COUNTIFS(Base!$W:$W, A156, Base!$S:$S, "&lt;&gt;") +
    COUNTIFS(Base!$X:$X, A156, Base!$S:$S, "&lt;&gt;") +
    COUNTIFS(Base!$Y:$Y, A156, Base!$S:$S, "&lt;&gt;") +
    COUNTIFS(Base!$Z:$Z, A156, Base!$S:$S, "&lt;&gt;")
  ) = 0,
  "-",
  (
    COUNTIFS(Base!$W:$W, A156, Base!$S:$S, "&gt;8") - COUNTIFS(Base!$W:$W, A156, Base!$S:$S, "&lt;7") +
    COUNTIFS(Base!$X:$X, A156, Base!$S:$S, "&gt;8") - COUNTIFS(Base!$X:$X, A156, Base!$S:$S, "&lt;7") +
    COUNTIFS(Base!$Y:$Y, A156, Base!$S:$S, "&gt;8") - COUNTIFS(Base!$Y:$Y, A156, Base!$S:$S, "&lt;7") +
    COUNTIFS(Base!$Z:$Z, A156, Base!$S:$S, "&gt;8") - COUNTIFS(Base!$Z:$Z, A156, Base!$S:$S, "&lt;7")
  ) /
  (
    COUNTIFS(Base!$W:$W, A156, Base!$S:$S, "&lt;&gt;") +
    COUNTIFS(Base!$X:$X, A156, Base!$S:$S, "&lt;&gt;") +
    COUNTIFS(Base!$Y:$Y, A156, Base!$S:$S, "&lt;&gt;") +
    COUNTIFS(Base!$Z:$Z, A156, Base!$S:$S, "&lt;&gt;")
  )
)
</f>
        <v>-</v>
      </c>
      <c r="F156" s="290">
        <f>SUMIFS(Base!$N:$N,Base!$V:$V,A156,Base!$N:$N,"&lt;&gt;")-SUMIFS(Base!$K:$K,Base!$V:$V,A156,Base!$N:$N,"&lt;&gt;")-(SUMIFS(Base!$L:$L,Base!$V:$V,A156,Base!$N:$N,"&lt;&gt;")*7)</f>
        <v>0</v>
      </c>
      <c r="G156" s="290"/>
      <c r="H156" s="290">
        <f>SUMIFS(Base!$F:$F,Base!$V:$V,A156,Base!$N:$N,"&lt;&gt;")*7</f>
        <v>0</v>
      </c>
      <c r="I156" s="290"/>
      <c r="J156" s="292" t="str">
        <f t="shared" ref="J156:K156" si="157">IFERROR(F156/H156,"-")</f>
        <v>-</v>
      </c>
      <c r="K156" s="292" t="str">
        <f t="shared" si="157"/>
        <v>-</v>
      </c>
      <c r="L156" s="292" t="str">
        <f>IFERROR((COUNTIFS(Base!$V:$V,A156,Base!$U:$U,TRUE))/(COUNTIFS(Base!$V:$V,A156,Base!$O:$O,"Finalizado")+COUNTIFS(Base!$V:$V,A156,Base!$O:$O,"Concluído")),"-")</f>
        <v>-</v>
      </c>
      <c r="M156" s="292" t="str">
        <f>IF(
  (
    IFERROR(COUNTIF(Base!$W:$W, A156), 0) +
    IFERROR(COUNTIF(Base!$X:$X, A156), 0) +
    IFERROR(COUNTIF(Base!$Y:$Y, A156), 0) +
    IFERROR(COUNTIF(Base!$Z:$Z, A156), 0)
  ) = 0,
  "-",
  IF(
    (
      IFERROR(COUNTIFS(Base!$W:$W, A156, Base!$O:$O, "Finalizado"), 0) +
      IFERROR(COUNTIFS(Base!$W:$W, A156, Base!$O:$O, "Concluído"), 0) +
      IFERROR(COUNTIFS(Base!$X:$X, A156, Base!$O:$O, "Finalizado"), 0) +
      IFERROR(COUNTIFS(Base!$X:$X, A156, Base!$O:$O, "Concluído"), 0) +
      IFERROR(COUNTIFS(Base!$Y:$Y, A156, Base!$O:$O, "Finalizado"), 0) +
      IFERROR(COUNTIFS(Base!$Y:$Y, A156, Base!$O:$O, "Concluído"), 0) +
      IFERROR(COUNTIFS(Base!$Z:$Z, A156, Base!$O:$O, "Finalizado"), 0) +
      IFERROR(COUNTIFS(Base!$Z:$Z, A156, Base!$O:$O, "Concluído"), 0)
    ) = 0,
    "-",
    (
      IFERROR(COUNTIFS(Base!$W:$W, A156, Base!$U:$U, TRUE), 0) +
      IFERROR(COUNTIFS(Base!$X:$X, A156, Base!$U:$U, TRUE), 0) +
      IFERROR(COUNTIFS(Base!$Y:$Y, A156, Base!$U:$U, TRUE), 0) +
      IFERROR(COUNTIFS(Base!$Z:$Z, A156, Base!$U:$U, TRUE), 0)
    ) /
    (
      IFERROR(COUNTIFS(Base!$W:$W, A156, Base!$O:$O, "Finalizado"), 0) +
      IFERROR(COUNTIFS(Base!$W:$W, A156, Base!$O:$O, "Concluído"), 0) +
      IFERROR(COUNTIFS(Base!$X:$X, A156, Base!$O:$O, "Finalizado"), 0) +
      IFERROR(COUNTIFS(Base!$X:$X, A156, Base!$O:$O, "Concluído"), 0) +
      IFERROR(COUNTIFS(Base!$Y:$Y, A156, Base!$O:$O, "Finalizado"), 0) +
      IFERROR(COUNTIFS(Base!$Y:$Y, A156, Base!$O:$O, "Concluído"), 0) +
      IFERROR(COUNTIFS(Base!$Z:$Z, A156, Base!$O:$O, "Finalizado"), 0) +
      IFERROR(COUNTIFS(Base!$Z:$Z, A156, Base!$O:$O, "Concluído"), 0)
    )
  )
)
</f>
        <v>-</v>
      </c>
      <c r="N156" s="120">
        <f>COUNTIF(Base!V:V,$A156)</f>
        <v>0</v>
      </c>
      <c r="O156" s="120">
        <f>COUNTIF(Base!W:W,$A156)</f>
        <v>0</v>
      </c>
      <c r="P156" s="120">
        <f>COUNTIF(Base!X:X,$A156)</f>
        <v>0</v>
      </c>
      <c r="Q156" s="120">
        <f>COUNTIF(Base!Y:Y,$A156)</f>
        <v>0</v>
      </c>
      <c r="R156" s="120">
        <f>COUNTIF(Base!Z:Z,$A156)</f>
        <v>0</v>
      </c>
      <c r="S156" s="120">
        <f t="shared" si="3"/>
        <v>0</v>
      </c>
      <c r="T156" s="120">
        <f t="shared" si="4"/>
        <v>0</v>
      </c>
      <c r="V156" s="293" t="str">
        <f>IF(
  (
    COUNTIF('Acompanhamento quinzenal'!$N:$N, A156) +
    COUNTIF('Acompanhamento quinzenal'!$T:$T, A156) +
    COUNTIF('Acompanhamento quinzenal'!$Z:$Z, A156) +
    COUNTIF('Acompanhamento quinzenal'!$AF:$AF, A156)
  ) = 0,
  "-",
  (
    IFERROR(SUMIFS('Acompanhamento quinzenal'!$S:$S, 'Acompanhamento quinzenal'!$N:$N, A156), 0) +
    IFERROR(SUMIFS('Acompanhamento quinzenal'!$Y:$Y, 'Acompanhamento quinzenal'!$T:$T, A156), 0) +
    IFERROR(SUMIFS('Acompanhamento quinzenal'!$AE:$AE, 'Acompanhamento quinzenal'!$Z:$Z, A156), 0) +
    IFERROR(SUMIFS('Acompanhamento quinzenal'!$AK:$AK, 'Acompanhamento quinzenal'!$AF:$AF, A156), 0)
  ) /
  (
    COUNTIF('Acompanhamento quinzenal'!$N:$N, A156) +
    COUNTIF('Acompanhamento quinzenal'!$T:$T, A156) +
    COUNTIF('Acompanhamento quinzenal'!$Z:$Z, A156) +
    COUNTIF('Acompanhamento quinzenal'!$AF:$AF, A156)
  )
)
</f>
        <v>-</v>
      </c>
      <c r="W156" s="293" t="str">
        <f>IF(
  (
    COUNTIF('Acompanhamento quinzenal'!$N:$N, A156) +
    COUNTIF('Acompanhamento quinzenal'!$T:$T, A156) +
    COUNTIF('Acompanhamento quinzenal'!$Z:$Z, A156) +
    COUNTIF('Acompanhamento quinzenal'!$AF:$AF, A156)
  ) = 0,
  "-",
  (
    IFERROR(SUMIFS('Acompanhamento quinzenal'!$O:$O, 'Acompanhamento quinzenal'!$N:$N, A156), 0) +
    IFERROR(SUMIFS('Acompanhamento quinzenal'!$U:$U, 'Acompanhamento quinzenal'!$T:$T, A156), 0) +
    IFERROR(SUMIFS('Acompanhamento quinzenal'!$AA:$AA, 'Acompanhamento quinzenal'!$Z:$Z, A156), 0) +
    IFERROR(SUMIFS('Acompanhamento quinzenal'!$AG:$AG, 'Acompanhamento quinzenal'!$AF:$AF, A156), 0)
  ) /
  (
    COUNTIF('Acompanhamento quinzenal'!$N:$N, A156) +
    COUNTIF('Acompanhamento quinzenal'!$T:$T, A156) +
    COUNTIF('Acompanhamento quinzenal'!$Z:$Z, A156) +
    COUNTIF('Acompanhamento quinzenal'!$AF:$AF, A156)
  )
)
</f>
        <v>-</v>
      </c>
      <c r="X156" s="294" t="str">
        <f>IF(
  (
    COUNTIF('Acompanhamento quinzenal'!$N:$N, A156) +
    COUNTIF('Acompanhamento quinzenal'!$T:$T, A156) +
    COUNTIF('Acompanhamento quinzenal'!$Z:$Z, A156) +
    COUNTIF('Acompanhamento quinzenal'!$AF:$AF, A156)
  ) = 0,
  "-",
  (
    IFERROR(SUMIFS('Acompanhamento quinzenal'!$P:$P, 'Acompanhamento quinzenal'!$N:$N, A156), 0) +
    IFERROR(SUMIFS('Acompanhamento quinzenal'!$V:$V, 'Acompanhamento quinzenal'!$T:$T, A156), 0) +
    IFERROR(SUMIFS('Acompanhamento quinzenal'!$AB:$AB, 'Acompanhamento quinzenal'!$Z:$Z, A156), 0) +
    IFERROR(SUMIFS('Acompanhamento quinzenal'!$AH:$AH, 'Acompanhamento quinzenal'!$AF:$AF, A156), 0)
  ) /
  (
    COUNTIF('Acompanhamento quinzenal'!$N:$N, A156) +
    COUNTIF('Acompanhamento quinzenal'!$T:$T, A156) +
    COUNTIF('Acompanhamento quinzenal'!$Z:$Z, A156) +
    COUNTIF('Acompanhamento quinzenal'!$AF:$AF, A156)
  )
)
</f>
        <v>-</v>
      </c>
      <c r="Y156" s="293" t="str">
        <f>IF(
  (
    COUNTIF('Acompanhamento quinzenal'!$N:$N, A156) +
    COUNTIF('Acompanhamento quinzenal'!$T:$T, A156) +
    COUNTIF('Acompanhamento quinzenal'!$Z:$Z, A156) +
    COUNTIF('Acompanhamento quinzenal'!$AF:$AF, A156)
  ) = 0,
  "-",
  (
    IFERROR(SUMIFS('Acompanhamento quinzenal'!$Q:$Q, 'Acompanhamento quinzenal'!$N:$N, A156), 0) +
    IFERROR(SUMIFS('Acompanhamento quinzenal'!$W:$W, 'Acompanhamento quinzenal'!$T:$T, A156), 0) +
    IFERROR(SUMIFS('Acompanhamento quinzenal'!$AC:$AC, 'Acompanhamento quinzenal'!$Z:$Z, A156), 0) +
    IFERROR(SUMIFS('Acompanhamento quinzenal'!$AI:$AI, 'Acompanhamento quinzenal'!$AF:$AF, A156), 0)
  ) /
  (
    COUNTIF('Acompanhamento quinzenal'!$N:$N, A156) +
    COUNTIF('Acompanhamento quinzenal'!$T:$T, A156) +
    COUNTIF('Acompanhamento quinzenal'!$Z:$Z, A156) +
    COUNTIF('Acompanhamento quinzenal'!$AF:$AF, A156)
  )
)
</f>
        <v>-</v>
      </c>
    </row>
    <row r="157" hidden="1">
      <c r="A157" s="291" t="str">
        <f>IFERROR(__xludf.DUMMYFUNCTION("""COMPUTED_VALUE"""),"pedro.oliveira")</f>
        <v>pedro.oliveira</v>
      </c>
      <c r="B157" s="120" t="str">
        <f>IFERROR(__xludf.DUMMYFUNCTION("""COMPUTED_VALUE"""),"Consultor")</f>
        <v>Consultor</v>
      </c>
      <c r="C157" s="120" t="str">
        <f>IFERROR(__xludf.DUMMYFUNCTION("""COMPUTED_VALUE"""),"NTec")</f>
        <v>NTec</v>
      </c>
      <c r="D157" s="292" t="str">
        <f>IFERROR((COUNTIFS(Base!$V:$V,A157,Base!$S:$S,"&gt;8") - COUNTIFS(Base!$V:$V,A157,Base!$S:$S,"&lt;7"))/COUNTIFS(Base!$V:$V,A157,Base!$S:$S,"&lt;&gt;"),"-")</f>
        <v>-</v>
      </c>
      <c r="E157" s="292" t="str">
        <f>IF(
  (
    COUNTIFS(Base!$W:$W, A157, Base!$S:$S, "&lt;&gt;") +
    COUNTIFS(Base!$X:$X, A157, Base!$S:$S, "&lt;&gt;") +
    COUNTIFS(Base!$Y:$Y, A157, Base!$S:$S, "&lt;&gt;") +
    COUNTIFS(Base!$Z:$Z, A157, Base!$S:$S, "&lt;&gt;")
  ) = 0,
  "-",
  (
    COUNTIFS(Base!$W:$W, A157, Base!$S:$S, "&gt;8") - COUNTIFS(Base!$W:$W, A157, Base!$S:$S, "&lt;7") +
    COUNTIFS(Base!$X:$X, A157, Base!$S:$S, "&gt;8") - COUNTIFS(Base!$X:$X, A157, Base!$S:$S, "&lt;7") +
    COUNTIFS(Base!$Y:$Y, A157, Base!$S:$S, "&gt;8") - COUNTIFS(Base!$Y:$Y, A157, Base!$S:$S, "&lt;7") +
    COUNTIFS(Base!$Z:$Z, A157, Base!$S:$S, "&gt;8") - COUNTIFS(Base!$Z:$Z, A157, Base!$S:$S, "&lt;7")
  ) /
  (
    COUNTIFS(Base!$W:$W, A157, Base!$S:$S, "&lt;&gt;") +
    COUNTIFS(Base!$X:$X, A157, Base!$S:$S, "&lt;&gt;") +
    COUNTIFS(Base!$Y:$Y, A157, Base!$S:$S, "&lt;&gt;") +
    COUNTIFS(Base!$Z:$Z, A157, Base!$S:$S, "&lt;&gt;")
  )
)
</f>
        <v>-</v>
      </c>
      <c r="F157" s="290">
        <f>SUMIFS(Base!$N:$N,Base!$V:$V,A157,Base!$N:$N,"&lt;&gt;")-SUMIFS(Base!$K:$K,Base!$V:$V,A157,Base!$N:$N,"&lt;&gt;")-(SUMIFS(Base!$L:$L,Base!$V:$V,A157,Base!$N:$N,"&lt;&gt;")*7)</f>
        <v>0</v>
      </c>
      <c r="G157" s="290"/>
      <c r="H157" s="290">
        <f>SUMIFS(Base!$F:$F,Base!$V:$V,A157,Base!$N:$N,"&lt;&gt;")*7</f>
        <v>0</v>
      </c>
      <c r="I157" s="290"/>
      <c r="J157" s="292" t="str">
        <f t="shared" ref="J157:K157" si="158">IFERROR(F157/H157,"-")</f>
        <v>-</v>
      </c>
      <c r="K157" s="292" t="str">
        <f t="shared" si="158"/>
        <v>-</v>
      </c>
      <c r="L157" s="292" t="str">
        <f>IFERROR((COUNTIFS(Base!$V:$V,A157,Base!$U:$U,TRUE))/(COUNTIFS(Base!$V:$V,A157,Base!$O:$O,"Finalizado")+COUNTIFS(Base!$V:$V,A157,Base!$O:$O,"Concluído")),"-")</f>
        <v>-</v>
      </c>
      <c r="M157" s="292" t="str">
        <f>IF(
  (
    IFERROR(COUNTIF(Base!$W:$W, A157), 0) +
    IFERROR(COUNTIF(Base!$X:$X, A157), 0) +
    IFERROR(COUNTIF(Base!$Y:$Y, A157), 0) +
    IFERROR(COUNTIF(Base!$Z:$Z, A157), 0)
  ) = 0,
  "-",
  IF(
    (
      IFERROR(COUNTIFS(Base!$W:$W, A157, Base!$O:$O, "Finalizado"), 0) +
      IFERROR(COUNTIFS(Base!$W:$W, A157, Base!$O:$O, "Concluído"), 0) +
      IFERROR(COUNTIFS(Base!$X:$X, A157, Base!$O:$O, "Finalizado"), 0) +
      IFERROR(COUNTIFS(Base!$X:$X, A157, Base!$O:$O, "Concluído"), 0) +
      IFERROR(COUNTIFS(Base!$Y:$Y, A157, Base!$O:$O, "Finalizado"), 0) +
      IFERROR(COUNTIFS(Base!$Y:$Y, A157, Base!$O:$O, "Concluído"), 0) +
      IFERROR(COUNTIFS(Base!$Z:$Z, A157, Base!$O:$O, "Finalizado"), 0) +
      IFERROR(COUNTIFS(Base!$Z:$Z, A157, Base!$O:$O, "Concluído"), 0)
    ) = 0,
    "-",
    (
      IFERROR(COUNTIFS(Base!$W:$W, A157, Base!$U:$U, TRUE), 0) +
      IFERROR(COUNTIFS(Base!$X:$X, A157, Base!$U:$U, TRUE), 0) +
      IFERROR(COUNTIFS(Base!$Y:$Y, A157, Base!$U:$U, TRUE), 0) +
      IFERROR(COUNTIFS(Base!$Z:$Z, A157, Base!$U:$U, TRUE), 0)
    ) /
    (
      IFERROR(COUNTIFS(Base!$W:$W, A157, Base!$O:$O, "Finalizado"), 0) +
      IFERROR(COUNTIFS(Base!$W:$W, A157, Base!$O:$O, "Concluído"), 0) +
      IFERROR(COUNTIFS(Base!$X:$X, A157, Base!$O:$O, "Finalizado"), 0) +
      IFERROR(COUNTIFS(Base!$X:$X, A157, Base!$O:$O, "Concluído"), 0) +
      IFERROR(COUNTIFS(Base!$Y:$Y, A157, Base!$O:$O, "Finalizado"), 0) +
      IFERROR(COUNTIFS(Base!$Y:$Y, A157, Base!$O:$O, "Concluído"), 0) +
      IFERROR(COUNTIFS(Base!$Z:$Z, A157, Base!$O:$O, "Finalizado"), 0) +
      IFERROR(COUNTIFS(Base!$Z:$Z, A157, Base!$O:$O, "Concluído"), 0)
    )
  )
)
</f>
        <v>-</v>
      </c>
      <c r="N157" s="120">
        <f>COUNTIF(Base!V:V,$A157)</f>
        <v>0</v>
      </c>
      <c r="O157" s="120">
        <f>COUNTIF(Base!W:W,$A157)</f>
        <v>0</v>
      </c>
      <c r="P157" s="120">
        <f>COUNTIF(Base!X:X,$A157)</f>
        <v>0</v>
      </c>
      <c r="Q157" s="120">
        <f>COUNTIF(Base!Y:Y,$A157)</f>
        <v>1</v>
      </c>
      <c r="R157" s="120">
        <f>COUNTIF(Base!Z:Z,$A157)</f>
        <v>1</v>
      </c>
      <c r="S157" s="120">
        <f t="shared" si="3"/>
        <v>2</v>
      </c>
      <c r="T157" s="120">
        <f t="shared" si="4"/>
        <v>2</v>
      </c>
      <c r="V157" s="293">
        <f>IF(
  (
    COUNTIF('Acompanhamento quinzenal'!$N:$N, A157) +
    COUNTIF('Acompanhamento quinzenal'!$T:$T, A157) +
    COUNTIF('Acompanhamento quinzenal'!$Z:$Z, A157) +
    COUNTIF('Acompanhamento quinzenal'!$AF:$AF, A157)
  ) = 0,
  "-",
  (
    IFERROR(SUMIFS('Acompanhamento quinzenal'!$S:$S, 'Acompanhamento quinzenal'!$N:$N, A157), 0) +
    IFERROR(SUMIFS('Acompanhamento quinzenal'!$Y:$Y, 'Acompanhamento quinzenal'!$T:$T, A157), 0) +
    IFERROR(SUMIFS('Acompanhamento quinzenal'!$AE:$AE, 'Acompanhamento quinzenal'!$Z:$Z, A157), 0) +
    IFERROR(SUMIFS('Acompanhamento quinzenal'!$AK:$AK, 'Acompanhamento quinzenal'!$AF:$AF, A157), 0)
  ) /
  (
    COUNTIF('Acompanhamento quinzenal'!$N:$N, A157) +
    COUNTIF('Acompanhamento quinzenal'!$T:$T, A157) +
    COUNTIF('Acompanhamento quinzenal'!$Z:$Z, A157) +
    COUNTIF('Acompanhamento quinzenal'!$AF:$AF, A157)
  )
)
</f>
        <v>3.866666667</v>
      </c>
      <c r="W157" s="293">
        <f>IF(
  (
    COUNTIF('Acompanhamento quinzenal'!$N:$N, A157) +
    COUNTIF('Acompanhamento quinzenal'!$T:$T, A157) +
    COUNTIF('Acompanhamento quinzenal'!$Z:$Z, A157) +
    COUNTIF('Acompanhamento quinzenal'!$AF:$AF, A157)
  ) = 0,
  "-",
  (
    IFERROR(SUMIFS('Acompanhamento quinzenal'!$O:$O, 'Acompanhamento quinzenal'!$N:$N, A157), 0) +
    IFERROR(SUMIFS('Acompanhamento quinzenal'!$U:$U, 'Acompanhamento quinzenal'!$T:$T, A157), 0) +
    IFERROR(SUMIFS('Acompanhamento quinzenal'!$AA:$AA, 'Acompanhamento quinzenal'!$Z:$Z, A157), 0) +
    IFERROR(SUMIFS('Acompanhamento quinzenal'!$AG:$AG, 'Acompanhamento quinzenal'!$AF:$AF, A157), 0)
  ) /
  (
    COUNTIF('Acompanhamento quinzenal'!$N:$N, A157) +
    COUNTIF('Acompanhamento quinzenal'!$T:$T, A157) +
    COUNTIF('Acompanhamento quinzenal'!$Z:$Z, A157) +
    COUNTIF('Acompanhamento quinzenal'!$AF:$AF, A157)
  )
)
</f>
        <v>4</v>
      </c>
      <c r="X157" s="294">
        <f>IF(
  (
    COUNTIF('Acompanhamento quinzenal'!$N:$N, A157) +
    COUNTIF('Acompanhamento quinzenal'!$T:$T, A157) +
    COUNTIF('Acompanhamento quinzenal'!$Z:$Z, A157) +
    COUNTIF('Acompanhamento quinzenal'!$AF:$AF, A157)
  ) = 0,
  "-",
  (
    IFERROR(SUMIFS('Acompanhamento quinzenal'!$P:$P, 'Acompanhamento quinzenal'!$N:$N, A157), 0) +
    IFERROR(SUMIFS('Acompanhamento quinzenal'!$V:$V, 'Acompanhamento quinzenal'!$T:$T, A157), 0) +
    IFERROR(SUMIFS('Acompanhamento quinzenal'!$AB:$AB, 'Acompanhamento quinzenal'!$Z:$Z, A157), 0) +
    IFERROR(SUMIFS('Acompanhamento quinzenal'!$AH:$AH, 'Acompanhamento quinzenal'!$AF:$AF, A157), 0)
  ) /
  (
    COUNTIF('Acompanhamento quinzenal'!$N:$N, A157) +
    COUNTIF('Acompanhamento quinzenal'!$T:$T, A157) +
    COUNTIF('Acompanhamento quinzenal'!$Z:$Z, A157) +
    COUNTIF('Acompanhamento quinzenal'!$AF:$AF, A157)
  )
)
</f>
        <v>4</v>
      </c>
      <c r="Y157" s="293">
        <f>IF(
  (
    COUNTIF('Acompanhamento quinzenal'!$N:$N, A157) +
    COUNTIF('Acompanhamento quinzenal'!$T:$T, A157) +
    COUNTIF('Acompanhamento quinzenal'!$Z:$Z, A157) +
    COUNTIF('Acompanhamento quinzenal'!$AF:$AF, A157)
  ) = 0,
  "-",
  (
    IFERROR(SUMIFS('Acompanhamento quinzenal'!$Q:$Q, 'Acompanhamento quinzenal'!$N:$N, A157), 0) +
    IFERROR(SUMIFS('Acompanhamento quinzenal'!$W:$W, 'Acompanhamento quinzenal'!$T:$T, A157), 0) +
    IFERROR(SUMIFS('Acompanhamento quinzenal'!$AC:$AC, 'Acompanhamento quinzenal'!$Z:$Z, A157), 0) +
    IFERROR(SUMIFS('Acompanhamento quinzenal'!$AI:$AI, 'Acompanhamento quinzenal'!$AF:$AF, A157), 0)
  ) /
  (
    COUNTIF('Acompanhamento quinzenal'!$N:$N, A157) +
    COUNTIF('Acompanhamento quinzenal'!$T:$T, A157) +
    COUNTIF('Acompanhamento quinzenal'!$Z:$Z, A157) +
    COUNTIF('Acompanhamento quinzenal'!$AF:$AF, A157)
  )
)
</f>
        <v>3.6</v>
      </c>
    </row>
    <row r="158" hidden="1">
      <c r="A158" s="291" t="str">
        <f>IFERROR(__xludf.DUMMYFUNCTION("""COMPUTED_VALUE"""),"pedro.kanakura")</f>
        <v>pedro.kanakura</v>
      </c>
      <c r="B158" s="120" t="str">
        <f>IFERROR(__xludf.DUMMYFUNCTION("""COMPUTED_VALUE"""),"Consultor")</f>
        <v>Consultor</v>
      </c>
      <c r="C158" s="120" t="str">
        <f>IFERROR(__xludf.DUMMYFUNCTION("""COMPUTED_VALUE"""),"WI")</f>
        <v>WI</v>
      </c>
      <c r="D158" s="292" t="str">
        <f>IFERROR((COUNTIFS(Base!$V:$V,A158,Base!$S:$S,"&gt;8") - COUNTIFS(Base!$V:$V,A158,Base!$S:$S,"&lt;7"))/COUNTIFS(Base!$V:$V,A158,Base!$S:$S,"&lt;&gt;"),"-")</f>
        <v>-</v>
      </c>
      <c r="E158" s="292" t="str">
        <f>IF(
  (
    COUNTIFS(Base!$W:$W, A158, Base!$S:$S, "&lt;&gt;") +
    COUNTIFS(Base!$X:$X, A158, Base!$S:$S, "&lt;&gt;") +
    COUNTIFS(Base!$Y:$Y, A158, Base!$S:$S, "&lt;&gt;") +
    COUNTIFS(Base!$Z:$Z, A158, Base!$S:$S, "&lt;&gt;")
  ) = 0,
  "-",
  (
    COUNTIFS(Base!$W:$W, A158, Base!$S:$S, "&gt;8") - COUNTIFS(Base!$W:$W, A158, Base!$S:$S, "&lt;7") +
    COUNTIFS(Base!$X:$X, A158, Base!$S:$S, "&gt;8") - COUNTIFS(Base!$X:$X, A158, Base!$S:$S, "&lt;7") +
    COUNTIFS(Base!$Y:$Y, A158, Base!$S:$S, "&gt;8") - COUNTIFS(Base!$Y:$Y, A158, Base!$S:$S, "&lt;7") +
    COUNTIFS(Base!$Z:$Z, A158, Base!$S:$S, "&gt;8") - COUNTIFS(Base!$Z:$Z, A158, Base!$S:$S, "&lt;7")
  ) /
  (
    COUNTIFS(Base!$W:$W, A158, Base!$S:$S, "&lt;&gt;") +
    COUNTIFS(Base!$X:$X, A158, Base!$S:$S, "&lt;&gt;") +
    COUNTIFS(Base!$Y:$Y, A158, Base!$S:$S, "&lt;&gt;") +
    COUNTIFS(Base!$Z:$Z, A158, Base!$S:$S, "&lt;&gt;")
  )
)
</f>
        <v>-</v>
      </c>
      <c r="F158" s="290">
        <f>SUMIFS(Base!$N:$N,Base!$V:$V,A158,Base!$N:$N,"&lt;&gt;")-SUMIFS(Base!$K:$K,Base!$V:$V,A158,Base!$N:$N,"&lt;&gt;")-(SUMIFS(Base!$L:$L,Base!$V:$V,A158,Base!$N:$N,"&lt;&gt;")*7)</f>
        <v>0</v>
      </c>
      <c r="G158" s="290"/>
      <c r="H158" s="290">
        <f>SUMIFS(Base!$F:$F,Base!$V:$V,A158,Base!$N:$N,"&lt;&gt;")*7</f>
        <v>0</v>
      </c>
      <c r="I158" s="290"/>
      <c r="J158" s="292" t="str">
        <f t="shared" ref="J158:K158" si="159">IFERROR(F158/H158,"-")</f>
        <v>-</v>
      </c>
      <c r="K158" s="292" t="str">
        <f t="shared" si="159"/>
        <v>-</v>
      </c>
      <c r="L158" s="292" t="str">
        <f>IFERROR((COUNTIFS(Base!$V:$V,A158,Base!$U:$U,TRUE))/(COUNTIFS(Base!$V:$V,A158,Base!$O:$O,"Finalizado")+COUNTIFS(Base!$V:$V,A158,Base!$O:$O,"Concluído")),"-")</f>
        <v>-</v>
      </c>
      <c r="M158" s="292" t="str">
        <f>IF(
  (
    IFERROR(COUNTIF(Base!$W:$W, A158), 0) +
    IFERROR(COUNTIF(Base!$X:$X, A158), 0) +
    IFERROR(COUNTIF(Base!$Y:$Y, A158), 0) +
    IFERROR(COUNTIF(Base!$Z:$Z, A158), 0)
  ) = 0,
  "-",
  IF(
    (
      IFERROR(COUNTIFS(Base!$W:$W, A158, Base!$O:$O, "Finalizado"), 0) +
      IFERROR(COUNTIFS(Base!$W:$W, A158, Base!$O:$O, "Concluído"), 0) +
      IFERROR(COUNTIFS(Base!$X:$X, A158, Base!$O:$O, "Finalizado"), 0) +
      IFERROR(COUNTIFS(Base!$X:$X, A158, Base!$O:$O, "Concluído"), 0) +
      IFERROR(COUNTIFS(Base!$Y:$Y, A158, Base!$O:$O, "Finalizado"), 0) +
      IFERROR(COUNTIFS(Base!$Y:$Y, A158, Base!$O:$O, "Concluído"), 0) +
      IFERROR(COUNTIFS(Base!$Z:$Z, A158, Base!$O:$O, "Finalizado"), 0) +
      IFERROR(COUNTIFS(Base!$Z:$Z, A158, Base!$O:$O, "Concluído"), 0)
    ) = 0,
    "-",
    (
      IFERROR(COUNTIFS(Base!$W:$W, A158, Base!$U:$U, TRUE), 0) +
      IFERROR(COUNTIFS(Base!$X:$X, A158, Base!$U:$U, TRUE), 0) +
      IFERROR(COUNTIFS(Base!$Y:$Y, A158, Base!$U:$U, TRUE), 0) +
      IFERROR(COUNTIFS(Base!$Z:$Z, A158, Base!$U:$U, TRUE), 0)
    ) /
    (
      IFERROR(COUNTIFS(Base!$W:$W, A158, Base!$O:$O, "Finalizado"), 0) +
      IFERROR(COUNTIFS(Base!$W:$W, A158, Base!$O:$O, "Concluído"), 0) +
      IFERROR(COUNTIFS(Base!$X:$X, A158, Base!$O:$O, "Finalizado"), 0) +
      IFERROR(COUNTIFS(Base!$X:$X, A158, Base!$O:$O, "Concluído"), 0) +
      IFERROR(COUNTIFS(Base!$Y:$Y, A158, Base!$O:$O, "Finalizado"), 0) +
      IFERROR(COUNTIFS(Base!$Y:$Y, A158, Base!$O:$O, "Concluído"), 0) +
      IFERROR(COUNTIFS(Base!$Z:$Z, A158, Base!$O:$O, "Finalizado"), 0) +
      IFERROR(COUNTIFS(Base!$Z:$Z, A158, Base!$O:$O, "Concluído"), 0)
    )
  )
)
</f>
        <v>-</v>
      </c>
      <c r="N158" s="120">
        <f>COUNTIF(Base!V:V,$A158)</f>
        <v>0</v>
      </c>
      <c r="O158" s="120">
        <f>COUNTIF(Base!W:W,$A158)</f>
        <v>0</v>
      </c>
      <c r="P158" s="120">
        <f>COUNTIF(Base!X:X,$A158)</f>
        <v>0</v>
      </c>
      <c r="Q158" s="120">
        <f>COUNTIF(Base!Y:Y,$A158)</f>
        <v>0</v>
      </c>
      <c r="R158" s="120">
        <f>COUNTIF(Base!Z:Z,$A158)</f>
        <v>0</v>
      </c>
      <c r="S158" s="120">
        <f t="shared" si="3"/>
        <v>0</v>
      </c>
      <c r="T158" s="120">
        <f t="shared" si="4"/>
        <v>0</v>
      </c>
      <c r="V158" s="293" t="str">
        <f>IF(
  (
    COUNTIF('Acompanhamento quinzenal'!$N:$N, A158) +
    COUNTIF('Acompanhamento quinzenal'!$T:$T, A158) +
    COUNTIF('Acompanhamento quinzenal'!$Z:$Z, A158) +
    COUNTIF('Acompanhamento quinzenal'!$AF:$AF, A158)
  ) = 0,
  "-",
  (
    IFERROR(SUMIFS('Acompanhamento quinzenal'!$S:$S, 'Acompanhamento quinzenal'!$N:$N, A158), 0) +
    IFERROR(SUMIFS('Acompanhamento quinzenal'!$Y:$Y, 'Acompanhamento quinzenal'!$T:$T, A158), 0) +
    IFERROR(SUMIFS('Acompanhamento quinzenal'!$AE:$AE, 'Acompanhamento quinzenal'!$Z:$Z, A158), 0) +
    IFERROR(SUMIFS('Acompanhamento quinzenal'!$AK:$AK, 'Acompanhamento quinzenal'!$AF:$AF, A158), 0)
  ) /
  (
    COUNTIF('Acompanhamento quinzenal'!$N:$N, A158) +
    COUNTIF('Acompanhamento quinzenal'!$T:$T, A158) +
    COUNTIF('Acompanhamento quinzenal'!$Z:$Z, A158) +
    COUNTIF('Acompanhamento quinzenal'!$AF:$AF, A158)
  )
)
</f>
        <v>-</v>
      </c>
      <c r="W158" s="293" t="str">
        <f>IF(
  (
    COUNTIF('Acompanhamento quinzenal'!$N:$N, A158) +
    COUNTIF('Acompanhamento quinzenal'!$T:$T, A158) +
    COUNTIF('Acompanhamento quinzenal'!$Z:$Z, A158) +
    COUNTIF('Acompanhamento quinzenal'!$AF:$AF, A158)
  ) = 0,
  "-",
  (
    IFERROR(SUMIFS('Acompanhamento quinzenal'!$O:$O, 'Acompanhamento quinzenal'!$N:$N, A158), 0) +
    IFERROR(SUMIFS('Acompanhamento quinzenal'!$U:$U, 'Acompanhamento quinzenal'!$T:$T, A158), 0) +
    IFERROR(SUMIFS('Acompanhamento quinzenal'!$AA:$AA, 'Acompanhamento quinzenal'!$Z:$Z, A158), 0) +
    IFERROR(SUMIFS('Acompanhamento quinzenal'!$AG:$AG, 'Acompanhamento quinzenal'!$AF:$AF, A158), 0)
  ) /
  (
    COUNTIF('Acompanhamento quinzenal'!$N:$N, A158) +
    COUNTIF('Acompanhamento quinzenal'!$T:$T, A158) +
    COUNTIF('Acompanhamento quinzenal'!$Z:$Z, A158) +
    COUNTIF('Acompanhamento quinzenal'!$AF:$AF, A158)
  )
)
</f>
        <v>-</v>
      </c>
      <c r="X158" s="294" t="str">
        <f>IF(
  (
    COUNTIF('Acompanhamento quinzenal'!$N:$N, A158) +
    COUNTIF('Acompanhamento quinzenal'!$T:$T, A158) +
    COUNTIF('Acompanhamento quinzenal'!$Z:$Z, A158) +
    COUNTIF('Acompanhamento quinzenal'!$AF:$AF, A158)
  ) = 0,
  "-",
  (
    IFERROR(SUMIFS('Acompanhamento quinzenal'!$P:$P, 'Acompanhamento quinzenal'!$N:$N, A158), 0) +
    IFERROR(SUMIFS('Acompanhamento quinzenal'!$V:$V, 'Acompanhamento quinzenal'!$T:$T, A158), 0) +
    IFERROR(SUMIFS('Acompanhamento quinzenal'!$AB:$AB, 'Acompanhamento quinzenal'!$Z:$Z, A158), 0) +
    IFERROR(SUMIFS('Acompanhamento quinzenal'!$AH:$AH, 'Acompanhamento quinzenal'!$AF:$AF, A158), 0)
  ) /
  (
    COUNTIF('Acompanhamento quinzenal'!$N:$N, A158) +
    COUNTIF('Acompanhamento quinzenal'!$T:$T, A158) +
    COUNTIF('Acompanhamento quinzenal'!$Z:$Z, A158) +
    COUNTIF('Acompanhamento quinzenal'!$AF:$AF, A158)
  )
)
</f>
        <v>-</v>
      </c>
      <c r="Y158" s="293" t="str">
        <f>IF(
  (
    COUNTIF('Acompanhamento quinzenal'!$N:$N, A158) +
    COUNTIF('Acompanhamento quinzenal'!$T:$T, A158) +
    COUNTIF('Acompanhamento quinzenal'!$Z:$Z, A158) +
    COUNTIF('Acompanhamento quinzenal'!$AF:$AF, A158)
  ) = 0,
  "-",
  (
    IFERROR(SUMIFS('Acompanhamento quinzenal'!$Q:$Q, 'Acompanhamento quinzenal'!$N:$N, A158), 0) +
    IFERROR(SUMIFS('Acompanhamento quinzenal'!$W:$W, 'Acompanhamento quinzenal'!$T:$T, A158), 0) +
    IFERROR(SUMIFS('Acompanhamento quinzenal'!$AC:$AC, 'Acompanhamento quinzenal'!$Z:$Z, A158), 0) +
    IFERROR(SUMIFS('Acompanhamento quinzenal'!$AI:$AI, 'Acompanhamento quinzenal'!$AF:$AF, A158), 0)
  ) /
  (
    COUNTIF('Acompanhamento quinzenal'!$N:$N, A158) +
    COUNTIF('Acompanhamento quinzenal'!$T:$T, A158) +
    COUNTIF('Acompanhamento quinzenal'!$Z:$Z, A158) +
    COUNTIF('Acompanhamento quinzenal'!$AF:$AF, A158)
  )
)
</f>
        <v>-</v>
      </c>
    </row>
    <row r="159">
      <c r="A159" s="291" t="str">
        <f>IFERROR(__xludf.DUMMYFUNCTION("""COMPUTED_VALUE"""),"pedro.porto")</f>
        <v>pedro.porto</v>
      </c>
      <c r="B159" s="120" t="str">
        <f>IFERROR(__xludf.DUMMYFUNCTION("""COMPUTED_VALUE"""),"Trainee")</f>
        <v>Trainee</v>
      </c>
      <c r="C159" s="120" t="str">
        <f>IFERROR(__xludf.DUMMYFUNCTION("""COMPUTED_VALUE"""),"NDados")</f>
        <v>NDados</v>
      </c>
      <c r="D159" s="292" t="str">
        <f>IFERROR((COUNTIFS(Base!$V:$V,A159,Base!$S:$S,"&gt;8") - COUNTIFS(Base!$V:$V,A159,Base!$S:$S,"&lt;7"))/COUNTIFS(Base!$V:$V,A159,Base!$S:$S,"&lt;&gt;"),"-")</f>
        <v>-</v>
      </c>
      <c r="E159" s="292" t="str">
        <f>IF(
  (
    COUNTIFS(Base!$W:$W, A159, Base!$S:$S, "&lt;&gt;") +
    COUNTIFS(Base!$X:$X, A159, Base!$S:$S, "&lt;&gt;") +
    COUNTIFS(Base!$Y:$Y, A159, Base!$S:$S, "&lt;&gt;") +
    COUNTIFS(Base!$Z:$Z, A159, Base!$S:$S, "&lt;&gt;")
  ) = 0,
  "-",
  (
    COUNTIFS(Base!$W:$W, A159, Base!$S:$S, "&gt;8") - COUNTIFS(Base!$W:$W, A159, Base!$S:$S, "&lt;7") +
    COUNTIFS(Base!$X:$X, A159, Base!$S:$S, "&gt;8") - COUNTIFS(Base!$X:$X, A159, Base!$S:$S, "&lt;7") +
    COUNTIFS(Base!$Y:$Y, A159, Base!$S:$S, "&gt;8") - COUNTIFS(Base!$Y:$Y, A159, Base!$S:$S, "&lt;7") +
    COUNTIFS(Base!$Z:$Z, A159, Base!$S:$S, "&gt;8") - COUNTIFS(Base!$Z:$Z, A159, Base!$S:$S, "&lt;7")
  ) /
  (
    COUNTIFS(Base!$W:$W, A159, Base!$S:$S, "&lt;&gt;") +
    COUNTIFS(Base!$X:$X, A159, Base!$S:$S, "&lt;&gt;") +
    COUNTIFS(Base!$Y:$Y, A159, Base!$S:$S, "&lt;&gt;") +
    COUNTIFS(Base!$Z:$Z, A159, Base!$S:$S, "&lt;&gt;")
  )
)
</f>
        <v>-</v>
      </c>
      <c r="F159" s="290">
        <f>SUMIFS(Base!$N:$N,Base!$V:$V,A159,Base!$N:$N,"&lt;&gt;")-SUMIFS(Base!$K:$K,Base!$V:$V,A159,Base!$N:$N,"&lt;&gt;")-(SUMIFS(Base!$L:$L,Base!$V:$V,A159,Base!$N:$N,"&lt;&gt;")*7)</f>
        <v>0</v>
      </c>
      <c r="G159" s="290"/>
      <c r="H159" s="290">
        <f>SUMIFS(Base!$F:$F,Base!$V:$V,A159,Base!$N:$N,"&lt;&gt;")*7</f>
        <v>0</v>
      </c>
      <c r="I159" s="290"/>
      <c r="J159" s="292" t="str">
        <f t="shared" ref="J159:K159" si="160">IFERROR(F159/H159,"-")</f>
        <v>-</v>
      </c>
      <c r="K159" s="292" t="str">
        <f t="shared" si="160"/>
        <v>-</v>
      </c>
      <c r="L159" s="292" t="str">
        <f>IFERROR((COUNTIFS(Base!$V:$V,A159,Base!$U:$U,TRUE))/(COUNTIFS(Base!$V:$V,A159,Base!$O:$O,"Finalizado")+COUNTIFS(Base!$V:$V,A159,Base!$O:$O,"Concluído")),"-")</f>
        <v>-</v>
      </c>
      <c r="M159" s="292" t="str">
        <f>IF(
  (
    IFERROR(COUNTIF(Base!$W:$W, A159), 0) +
    IFERROR(COUNTIF(Base!$X:$X, A159), 0) +
    IFERROR(COUNTIF(Base!$Y:$Y, A159), 0) +
    IFERROR(COUNTIF(Base!$Z:$Z, A159), 0)
  ) = 0,
  "-",
  IF(
    (
      IFERROR(COUNTIFS(Base!$W:$W, A159, Base!$O:$O, "Finalizado"), 0) +
      IFERROR(COUNTIFS(Base!$W:$W, A159, Base!$O:$O, "Concluído"), 0) +
      IFERROR(COUNTIFS(Base!$X:$X, A159, Base!$O:$O, "Finalizado"), 0) +
      IFERROR(COUNTIFS(Base!$X:$X, A159, Base!$O:$O, "Concluído"), 0) +
      IFERROR(COUNTIFS(Base!$Y:$Y, A159, Base!$O:$O, "Finalizado"), 0) +
      IFERROR(COUNTIFS(Base!$Y:$Y, A159, Base!$O:$O, "Concluído"), 0) +
      IFERROR(COUNTIFS(Base!$Z:$Z, A159, Base!$O:$O, "Finalizado"), 0) +
      IFERROR(COUNTIFS(Base!$Z:$Z, A159, Base!$O:$O, "Concluído"), 0)
    ) = 0,
    "-",
    (
      IFERROR(COUNTIFS(Base!$W:$W, A159, Base!$U:$U, TRUE), 0) +
      IFERROR(COUNTIFS(Base!$X:$X, A159, Base!$U:$U, TRUE), 0) +
      IFERROR(COUNTIFS(Base!$Y:$Y, A159, Base!$U:$U, TRUE), 0) +
      IFERROR(COUNTIFS(Base!$Z:$Z, A159, Base!$U:$U, TRUE), 0)
    ) /
    (
      IFERROR(COUNTIFS(Base!$W:$W, A159, Base!$O:$O, "Finalizado"), 0) +
      IFERROR(COUNTIFS(Base!$W:$W, A159, Base!$O:$O, "Concluído"), 0) +
      IFERROR(COUNTIFS(Base!$X:$X, A159, Base!$O:$O, "Finalizado"), 0) +
      IFERROR(COUNTIFS(Base!$X:$X, A159, Base!$O:$O, "Concluído"), 0) +
      IFERROR(COUNTIFS(Base!$Y:$Y, A159, Base!$O:$O, "Finalizado"), 0) +
      IFERROR(COUNTIFS(Base!$Y:$Y, A159, Base!$O:$O, "Concluído"), 0) +
      IFERROR(COUNTIFS(Base!$Z:$Z, A159, Base!$O:$O, "Finalizado"), 0) +
      IFERROR(COUNTIFS(Base!$Z:$Z, A159, Base!$O:$O, "Concluído"), 0)
    )
  )
)
</f>
        <v>-</v>
      </c>
      <c r="N159" s="120">
        <f>COUNTIF(Base!V:V,$A159)</f>
        <v>0</v>
      </c>
      <c r="O159" s="120">
        <f>COUNTIF(Base!W:W,$A159)</f>
        <v>2</v>
      </c>
      <c r="P159" s="120">
        <f>COUNTIF(Base!X:X,$A159)</f>
        <v>0</v>
      </c>
      <c r="Q159" s="120">
        <f>COUNTIF(Base!Y:Y,$A159)</f>
        <v>0</v>
      </c>
      <c r="R159" s="120">
        <f>COUNTIF(Base!Z:Z,$A159)</f>
        <v>0</v>
      </c>
      <c r="S159" s="120">
        <f t="shared" si="3"/>
        <v>2</v>
      </c>
      <c r="T159" s="120">
        <f t="shared" si="4"/>
        <v>2</v>
      </c>
      <c r="V159" s="293">
        <f>IF(
  (
    COUNTIF('Acompanhamento quinzenal'!$N:$N, A159) +
    COUNTIF('Acompanhamento quinzenal'!$T:$T, A159) +
    COUNTIF('Acompanhamento quinzenal'!$Z:$Z, A159) +
    COUNTIF('Acompanhamento quinzenal'!$AF:$AF, A159)
  ) = 0,
  "-",
  (
    IFERROR(SUMIFS('Acompanhamento quinzenal'!$S:$S, 'Acompanhamento quinzenal'!$N:$N, A159), 0) +
    IFERROR(SUMIFS('Acompanhamento quinzenal'!$Y:$Y, 'Acompanhamento quinzenal'!$T:$T, A159), 0) +
    IFERROR(SUMIFS('Acompanhamento quinzenal'!$AE:$AE, 'Acompanhamento quinzenal'!$Z:$Z, A159), 0) +
    IFERROR(SUMIFS('Acompanhamento quinzenal'!$AK:$AK, 'Acompanhamento quinzenal'!$AF:$AF, A159), 0)
  ) /
  (
    COUNTIF('Acompanhamento quinzenal'!$N:$N, A159) +
    COUNTIF('Acompanhamento quinzenal'!$T:$T, A159) +
    COUNTIF('Acompanhamento quinzenal'!$Z:$Z, A159) +
    COUNTIF('Acompanhamento quinzenal'!$AF:$AF, A159)
  )
)
</f>
        <v>2.083333333</v>
      </c>
      <c r="W159" s="293">
        <f>IF(
  (
    COUNTIF('Acompanhamento quinzenal'!$N:$N, A159) +
    COUNTIF('Acompanhamento quinzenal'!$T:$T, A159) +
    COUNTIF('Acompanhamento quinzenal'!$Z:$Z, A159) +
    COUNTIF('Acompanhamento quinzenal'!$AF:$AF, A159)
  ) = 0,
  "-",
  (
    IFERROR(SUMIFS('Acompanhamento quinzenal'!$O:$O, 'Acompanhamento quinzenal'!$N:$N, A159), 0) +
    IFERROR(SUMIFS('Acompanhamento quinzenal'!$U:$U, 'Acompanhamento quinzenal'!$T:$T, A159), 0) +
    IFERROR(SUMIFS('Acompanhamento quinzenal'!$AA:$AA, 'Acompanhamento quinzenal'!$Z:$Z, A159), 0) +
    IFERROR(SUMIFS('Acompanhamento quinzenal'!$AG:$AG, 'Acompanhamento quinzenal'!$AF:$AF, A159), 0)
  ) /
  (
    COUNTIF('Acompanhamento quinzenal'!$N:$N, A159) +
    COUNTIF('Acompanhamento quinzenal'!$T:$T, A159) +
    COUNTIF('Acompanhamento quinzenal'!$Z:$Z, A159) +
    COUNTIF('Acompanhamento quinzenal'!$AF:$AF, A159)
  )
)
</f>
        <v>3</v>
      </c>
      <c r="X159" s="294">
        <f>IF(
  (
    COUNTIF('Acompanhamento quinzenal'!$N:$N, A159) +
    COUNTIF('Acompanhamento quinzenal'!$T:$T, A159) +
    COUNTIF('Acompanhamento quinzenal'!$Z:$Z, A159) +
    COUNTIF('Acompanhamento quinzenal'!$AF:$AF, A159)
  ) = 0,
  "-",
  (
    IFERROR(SUMIFS('Acompanhamento quinzenal'!$P:$P, 'Acompanhamento quinzenal'!$N:$N, A159), 0) +
    IFERROR(SUMIFS('Acompanhamento quinzenal'!$V:$V, 'Acompanhamento quinzenal'!$T:$T, A159), 0) +
    IFERROR(SUMIFS('Acompanhamento quinzenal'!$AB:$AB, 'Acompanhamento quinzenal'!$Z:$Z, A159), 0) +
    IFERROR(SUMIFS('Acompanhamento quinzenal'!$AH:$AH, 'Acompanhamento quinzenal'!$AF:$AF, A159), 0)
  ) /
  (
    COUNTIF('Acompanhamento quinzenal'!$N:$N, A159) +
    COUNTIF('Acompanhamento quinzenal'!$T:$T, A159) +
    COUNTIF('Acompanhamento quinzenal'!$Z:$Z, A159) +
    COUNTIF('Acompanhamento quinzenal'!$AF:$AF, A159)
  )
)
</f>
        <v>3</v>
      </c>
      <c r="Y159" s="293">
        <f>IF(
  (
    COUNTIF('Acompanhamento quinzenal'!$N:$N, A159) +
    COUNTIF('Acompanhamento quinzenal'!$T:$T, A159) +
    COUNTIF('Acompanhamento quinzenal'!$Z:$Z, A159) +
    COUNTIF('Acompanhamento quinzenal'!$AF:$AF, A159)
  ) = 0,
  "-",
  (
    IFERROR(SUMIFS('Acompanhamento quinzenal'!$Q:$Q, 'Acompanhamento quinzenal'!$N:$N, A159), 0) +
    IFERROR(SUMIFS('Acompanhamento quinzenal'!$W:$W, 'Acompanhamento quinzenal'!$T:$T, A159), 0) +
    IFERROR(SUMIFS('Acompanhamento quinzenal'!$AC:$AC, 'Acompanhamento quinzenal'!$Z:$Z, A159), 0) +
    IFERROR(SUMIFS('Acompanhamento quinzenal'!$AI:$AI, 'Acompanhamento quinzenal'!$AF:$AF, A159), 0)
  ) /
  (
    COUNTIF('Acompanhamento quinzenal'!$N:$N, A159) +
    COUNTIF('Acompanhamento quinzenal'!$T:$T, A159) +
    COUNTIF('Acompanhamento quinzenal'!$Z:$Z, A159) +
    COUNTIF('Acompanhamento quinzenal'!$AF:$AF, A159)
  )
)
</f>
        <v>2.25</v>
      </c>
    </row>
    <row r="160">
      <c r="A160" s="291" t="str">
        <f>IFERROR(__xludf.DUMMYFUNCTION("""COMPUTED_VALUE"""),"pedro.tinoco")</f>
        <v>pedro.tinoco</v>
      </c>
      <c r="B160" s="120" t="str">
        <f>IFERROR(__xludf.DUMMYFUNCTION("""COMPUTED_VALUE"""),"Consultor")</f>
        <v>Consultor</v>
      </c>
      <c r="C160" s="120" t="str">
        <f>IFERROR(__xludf.DUMMYFUNCTION("""COMPUTED_VALUE"""),"NDados")</f>
        <v>NDados</v>
      </c>
      <c r="D160" s="292" t="str">
        <f>IFERROR((COUNTIFS(Base!$V:$V,A160,Base!$S:$S,"&gt;8") - COUNTIFS(Base!$V:$V,A160,Base!$S:$S,"&lt;7"))/COUNTIFS(Base!$V:$V,A160,Base!$S:$S,"&lt;&gt;"),"-")</f>
        <v>-</v>
      </c>
      <c r="E160" s="292" t="str">
        <f>IF(
  (
    COUNTIFS(Base!$W:$W, A160, Base!$S:$S, "&lt;&gt;") +
    COUNTIFS(Base!$X:$X, A160, Base!$S:$S, "&lt;&gt;") +
    COUNTIFS(Base!$Y:$Y, A160, Base!$S:$S, "&lt;&gt;") +
    COUNTIFS(Base!$Z:$Z, A160, Base!$S:$S, "&lt;&gt;")
  ) = 0,
  "-",
  (
    COUNTIFS(Base!$W:$W, A160, Base!$S:$S, "&gt;8") - COUNTIFS(Base!$W:$W, A160, Base!$S:$S, "&lt;7") +
    COUNTIFS(Base!$X:$X, A160, Base!$S:$S, "&gt;8") - COUNTIFS(Base!$X:$X, A160, Base!$S:$S, "&lt;7") +
    COUNTIFS(Base!$Y:$Y, A160, Base!$S:$S, "&gt;8") - COUNTIFS(Base!$Y:$Y, A160, Base!$S:$S, "&lt;7") +
    COUNTIFS(Base!$Z:$Z, A160, Base!$S:$S, "&gt;8") - COUNTIFS(Base!$Z:$Z, A160, Base!$S:$S, "&lt;7")
  ) /
  (
    COUNTIFS(Base!$W:$W, A160, Base!$S:$S, "&lt;&gt;") +
    COUNTIFS(Base!$X:$X, A160, Base!$S:$S, "&lt;&gt;") +
    COUNTIFS(Base!$Y:$Y, A160, Base!$S:$S, "&lt;&gt;") +
    COUNTIFS(Base!$Z:$Z, A160, Base!$S:$S, "&lt;&gt;")
  )
)
</f>
        <v>-</v>
      </c>
      <c r="F160" s="290">
        <f>SUMIFS(Base!$N:$N,Base!$V:$V,A160,Base!$N:$N,"&lt;&gt;")-SUMIFS(Base!$K:$K,Base!$V:$V,A160,Base!$N:$N,"&lt;&gt;")-(SUMIFS(Base!$L:$L,Base!$V:$V,A160,Base!$N:$N,"&lt;&gt;")*7)</f>
        <v>0</v>
      </c>
      <c r="G160" s="290"/>
      <c r="H160" s="290">
        <f>SUMIFS(Base!$F:$F,Base!$V:$V,A160,Base!$N:$N,"&lt;&gt;")*7</f>
        <v>0</v>
      </c>
      <c r="I160" s="290"/>
      <c r="J160" s="292" t="str">
        <f t="shared" ref="J160:K160" si="161">IFERROR(F160/H160,"-")</f>
        <v>-</v>
      </c>
      <c r="K160" s="292" t="str">
        <f t="shared" si="161"/>
        <v>-</v>
      </c>
      <c r="L160" s="292" t="str">
        <f>IFERROR((COUNTIFS(Base!$V:$V,A160,Base!$U:$U,TRUE))/(COUNTIFS(Base!$V:$V,A160,Base!$O:$O,"Finalizado")+COUNTIFS(Base!$V:$V,A160,Base!$O:$O,"Concluído")),"-")</f>
        <v>-</v>
      </c>
      <c r="M160" s="292" t="str">
        <f>IF(
  (
    IFERROR(COUNTIF(Base!$W:$W, A160), 0) +
    IFERROR(COUNTIF(Base!$X:$X, A160), 0) +
    IFERROR(COUNTIF(Base!$Y:$Y, A160), 0) +
    IFERROR(COUNTIF(Base!$Z:$Z, A160), 0)
  ) = 0,
  "-",
  IF(
    (
      IFERROR(COUNTIFS(Base!$W:$W, A160, Base!$O:$O, "Finalizado"), 0) +
      IFERROR(COUNTIFS(Base!$W:$W, A160, Base!$O:$O, "Concluído"), 0) +
      IFERROR(COUNTIFS(Base!$X:$X, A160, Base!$O:$O, "Finalizado"), 0) +
      IFERROR(COUNTIFS(Base!$X:$X, A160, Base!$O:$O, "Concluído"), 0) +
      IFERROR(COUNTIFS(Base!$Y:$Y, A160, Base!$O:$O, "Finalizado"), 0) +
      IFERROR(COUNTIFS(Base!$Y:$Y, A160, Base!$O:$O, "Concluído"), 0) +
      IFERROR(COUNTIFS(Base!$Z:$Z, A160, Base!$O:$O, "Finalizado"), 0) +
      IFERROR(COUNTIFS(Base!$Z:$Z, A160, Base!$O:$O, "Concluído"), 0)
    ) = 0,
    "-",
    (
      IFERROR(COUNTIFS(Base!$W:$W, A160, Base!$U:$U, TRUE), 0) +
      IFERROR(COUNTIFS(Base!$X:$X, A160, Base!$U:$U, TRUE), 0) +
      IFERROR(COUNTIFS(Base!$Y:$Y, A160, Base!$U:$U, TRUE), 0) +
      IFERROR(COUNTIFS(Base!$Z:$Z, A160, Base!$U:$U, TRUE), 0)
    ) /
    (
      IFERROR(COUNTIFS(Base!$W:$W, A160, Base!$O:$O, "Finalizado"), 0) +
      IFERROR(COUNTIFS(Base!$W:$W, A160, Base!$O:$O, "Concluído"), 0) +
      IFERROR(COUNTIFS(Base!$X:$X, A160, Base!$O:$O, "Finalizado"), 0) +
      IFERROR(COUNTIFS(Base!$X:$X, A160, Base!$O:$O, "Concluído"), 0) +
      IFERROR(COUNTIFS(Base!$Y:$Y, A160, Base!$O:$O, "Finalizado"), 0) +
      IFERROR(COUNTIFS(Base!$Y:$Y, A160, Base!$O:$O, "Concluído"), 0) +
      IFERROR(COUNTIFS(Base!$Z:$Z, A160, Base!$O:$O, "Finalizado"), 0) +
      IFERROR(COUNTIFS(Base!$Z:$Z, A160, Base!$O:$O, "Concluído"), 0)
    )
  )
)
</f>
        <v>-</v>
      </c>
      <c r="N160" s="120">
        <f>COUNTIF(Base!V:V,$A160)</f>
        <v>0</v>
      </c>
      <c r="O160" s="120">
        <f>COUNTIF(Base!W:W,$A160)</f>
        <v>0</v>
      </c>
      <c r="P160" s="120">
        <f>COUNTIF(Base!X:X,$A160)</f>
        <v>1</v>
      </c>
      <c r="Q160" s="120">
        <f>COUNTIF(Base!Y:Y,$A160)</f>
        <v>0</v>
      </c>
      <c r="R160" s="120">
        <f>COUNTIF(Base!Z:Z,$A160)</f>
        <v>0</v>
      </c>
      <c r="S160" s="120">
        <f t="shared" si="3"/>
        <v>1</v>
      </c>
      <c r="T160" s="120">
        <f t="shared" si="4"/>
        <v>1</v>
      </c>
      <c r="V160" s="293">
        <f>IF(
  (
    COUNTIF('Acompanhamento quinzenal'!$N:$N, A160) +
    COUNTIF('Acompanhamento quinzenal'!$T:$T, A160) +
    COUNTIF('Acompanhamento quinzenal'!$Z:$Z, A160) +
    COUNTIF('Acompanhamento quinzenal'!$AF:$AF, A160)
  ) = 0,
  "-",
  (
    IFERROR(SUMIFS('Acompanhamento quinzenal'!$S:$S, 'Acompanhamento quinzenal'!$N:$N, A160), 0) +
    IFERROR(SUMIFS('Acompanhamento quinzenal'!$Y:$Y, 'Acompanhamento quinzenal'!$T:$T, A160), 0) +
    IFERROR(SUMIFS('Acompanhamento quinzenal'!$AE:$AE, 'Acompanhamento quinzenal'!$Z:$Z, A160), 0) +
    IFERROR(SUMIFS('Acompanhamento quinzenal'!$AK:$AK, 'Acompanhamento quinzenal'!$AF:$AF, A160), 0)
  ) /
  (
    COUNTIF('Acompanhamento quinzenal'!$N:$N, A160) +
    COUNTIF('Acompanhamento quinzenal'!$T:$T, A160) +
    COUNTIF('Acompanhamento quinzenal'!$Z:$Z, A160) +
    COUNTIF('Acompanhamento quinzenal'!$AF:$AF, A160)
  )
)
</f>
        <v>0</v>
      </c>
      <c r="W160" s="293">
        <f>IF(
  (
    COUNTIF('Acompanhamento quinzenal'!$N:$N, A160) +
    COUNTIF('Acompanhamento quinzenal'!$T:$T, A160) +
    COUNTIF('Acompanhamento quinzenal'!$Z:$Z, A160) +
    COUNTIF('Acompanhamento quinzenal'!$AF:$AF, A160)
  ) = 0,
  "-",
  (
    IFERROR(SUMIFS('Acompanhamento quinzenal'!$O:$O, 'Acompanhamento quinzenal'!$N:$N, A160), 0) +
    IFERROR(SUMIFS('Acompanhamento quinzenal'!$U:$U, 'Acompanhamento quinzenal'!$T:$T, A160), 0) +
    IFERROR(SUMIFS('Acompanhamento quinzenal'!$AA:$AA, 'Acompanhamento quinzenal'!$Z:$Z, A160), 0) +
    IFERROR(SUMIFS('Acompanhamento quinzenal'!$AG:$AG, 'Acompanhamento quinzenal'!$AF:$AF, A160), 0)
  ) /
  (
    COUNTIF('Acompanhamento quinzenal'!$N:$N, A160) +
    COUNTIF('Acompanhamento quinzenal'!$T:$T, A160) +
    COUNTIF('Acompanhamento quinzenal'!$Z:$Z, A160) +
    COUNTIF('Acompanhamento quinzenal'!$AF:$AF, A160)
  )
)
</f>
        <v>3</v>
      </c>
      <c r="X160" s="294">
        <f>IF(
  (
    COUNTIF('Acompanhamento quinzenal'!$N:$N, A160) +
    COUNTIF('Acompanhamento quinzenal'!$T:$T, A160) +
    COUNTIF('Acompanhamento quinzenal'!$Z:$Z, A160) +
    COUNTIF('Acompanhamento quinzenal'!$AF:$AF, A160)
  ) = 0,
  "-",
  (
    IFERROR(SUMIFS('Acompanhamento quinzenal'!$P:$P, 'Acompanhamento quinzenal'!$N:$N, A160), 0) +
    IFERROR(SUMIFS('Acompanhamento quinzenal'!$V:$V, 'Acompanhamento quinzenal'!$T:$T, A160), 0) +
    IFERROR(SUMIFS('Acompanhamento quinzenal'!$AB:$AB, 'Acompanhamento quinzenal'!$Z:$Z, A160), 0) +
    IFERROR(SUMIFS('Acompanhamento quinzenal'!$AH:$AH, 'Acompanhamento quinzenal'!$AF:$AF, A160), 0)
  ) /
  (
    COUNTIF('Acompanhamento quinzenal'!$N:$N, A160) +
    COUNTIF('Acompanhamento quinzenal'!$T:$T, A160) +
    COUNTIF('Acompanhamento quinzenal'!$Z:$Z, A160) +
    COUNTIF('Acompanhamento quinzenal'!$AF:$AF, A160)
  )
)
</f>
        <v>3</v>
      </c>
      <c r="Y160" s="293">
        <f>IF(
  (
    COUNTIF('Acompanhamento quinzenal'!$N:$N, A160) +
    COUNTIF('Acompanhamento quinzenal'!$T:$T, A160) +
    COUNTIF('Acompanhamento quinzenal'!$Z:$Z, A160) +
    COUNTIF('Acompanhamento quinzenal'!$AF:$AF, A160)
  ) = 0,
  "-",
  (
    IFERROR(SUMIFS('Acompanhamento quinzenal'!$Q:$Q, 'Acompanhamento quinzenal'!$N:$N, A160), 0) +
    IFERROR(SUMIFS('Acompanhamento quinzenal'!$W:$W, 'Acompanhamento quinzenal'!$T:$T, A160), 0) +
    IFERROR(SUMIFS('Acompanhamento quinzenal'!$AC:$AC, 'Acompanhamento quinzenal'!$Z:$Z, A160), 0) +
    IFERROR(SUMIFS('Acompanhamento quinzenal'!$AI:$AI, 'Acompanhamento quinzenal'!$AF:$AF, A160), 0)
  ) /
  (
    COUNTIF('Acompanhamento quinzenal'!$N:$N, A160) +
    COUNTIF('Acompanhamento quinzenal'!$T:$T, A160) +
    COUNTIF('Acompanhamento quinzenal'!$Z:$Z, A160) +
    COUNTIF('Acompanhamento quinzenal'!$AF:$AF, A160)
  )
)
</f>
        <v>3</v>
      </c>
    </row>
    <row r="161" hidden="1">
      <c r="A161" s="291" t="str">
        <f>IFERROR(__xludf.DUMMYFUNCTION("""COMPUTED_VALUE"""),"pedro.feitosa")</f>
        <v>pedro.feitosa</v>
      </c>
      <c r="B161" s="120" t="str">
        <f>IFERROR(__xludf.DUMMYFUNCTION("""COMPUTED_VALUE"""),"Consultor")</f>
        <v>Consultor</v>
      </c>
      <c r="C161" s="120" t="str">
        <f>IFERROR(__xludf.DUMMYFUNCTION("""COMPUTED_VALUE"""),"NCon")</f>
        <v>NCon</v>
      </c>
      <c r="D161" s="292" t="str">
        <f>IFERROR((COUNTIFS(Base!$V:$V,A161,Base!$S:$S,"&gt;8") - COUNTIFS(Base!$V:$V,A161,Base!$S:$S,"&lt;7"))/COUNTIFS(Base!$V:$V,A161,Base!$S:$S,"&lt;&gt;"),"-")</f>
        <v>-</v>
      </c>
      <c r="E161" s="292">
        <f>IF(
  (
    COUNTIFS(Base!$W:$W, A161, Base!$S:$S, "&lt;&gt;") +
    COUNTIFS(Base!$X:$X, A161, Base!$S:$S, "&lt;&gt;") +
    COUNTIFS(Base!$Y:$Y, A161, Base!$S:$S, "&lt;&gt;") +
    COUNTIFS(Base!$Z:$Z, A161, Base!$S:$S, "&lt;&gt;")
  ) = 0,
  "-",
  (
    COUNTIFS(Base!$W:$W, A161, Base!$S:$S, "&gt;8") - COUNTIFS(Base!$W:$W, A161, Base!$S:$S, "&lt;7") +
    COUNTIFS(Base!$X:$X, A161, Base!$S:$S, "&gt;8") - COUNTIFS(Base!$X:$X, A161, Base!$S:$S, "&lt;7") +
    COUNTIFS(Base!$Y:$Y, A161, Base!$S:$S, "&gt;8") - COUNTIFS(Base!$Y:$Y, A161, Base!$S:$S, "&lt;7") +
    COUNTIFS(Base!$Z:$Z, A161, Base!$S:$S, "&gt;8") - COUNTIFS(Base!$Z:$Z, A161, Base!$S:$S, "&lt;7")
  ) /
  (
    COUNTIFS(Base!$W:$W, A161, Base!$S:$S, "&lt;&gt;") +
    COUNTIFS(Base!$X:$X, A161, Base!$S:$S, "&lt;&gt;") +
    COUNTIFS(Base!$Y:$Y, A161, Base!$S:$S, "&lt;&gt;") +
    COUNTIFS(Base!$Z:$Z, A161, Base!$S:$S, "&lt;&gt;")
  )
)
</f>
        <v>0.5</v>
      </c>
      <c r="F161" s="290">
        <f>SUMIFS(Base!$N:$N,Base!$V:$V,A161,Base!$N:$N,"&lt;&gt;")-SUMIFS(Base!$K:$K,Base!$V:$V,A161,Base!$N:$N,"&lt;&gt;")-(SUMIFS(Base!$L:$L,Base!$V:$V,A161,Base!$N:$N,"&lt;&gt;")*7)</f>
        <v>0</v>
      </c>
      <c r="G161" s="290"/>
      <c r="H161" s="290">
        <f>SUMIFS(Base!$F:$F,Base!$V:$V,A161,Base!$N:$N,"&lt;&gt;")*7</f>
        <v>0</v>
      </c>
      <c r="I161" s="290"/>
      <c r="J161" s="292" t="str">
        <f t="shared" ref="J161:K161" si="162">IFERROR(F161/H161,"-")</f>
        <v>-</v>
      </c>
      <c r="K161" s="292" t="str">
        <f t="shared" si="162"/>
        <v>-</v>
      </c>
      <c r="L161" s="292" t="str">
        <f>IFERROR((COUNTIFS(Base!$V:$V,A161,Base!$U:$U,TRUE))/(COUNTIFS(Base!$V:$V,A161,Base!$O:$O,"Finalizado")+COUNTIFS(Base!$V:$V,A161,Base!$O:$O,"Concluído")),"-")</f>
        <v>-</v>
      </c>
      <c r="M161" s="292">
        <f>IF(
  (
    IFERROR(COUNTIF(Base!$W:$W, A161), 0) +
    IFERROR(COUNTIF(Base!$X:$X, A161), 0) +
    IFERROR(COUNTIF(Base!$Y:$Y, A161), 0) +
    IFERROR(COUNTIF(Base!$Z:$Z, A161), 0)
  ) = 0,
  "-",
  IF(
    (
      IFERROR(COUNTIFS(Base!$W:$W, A161, Base!$O:$O, "Finalizado"), 0) +
      IFERROR(COUNTIFS(Base!$W:$W, A161, Base!$O:$O, "Concluído"), 0) +
      IFERROR(COUNTIFS(Base!$X:$X, A161, Base!$O:$O, "Finalizado"), 0) +
      IFERROR(COUNTIFS(Base!$X:$X, A161, Base!$O:$O, "Concluído"), 0) +
      IFERROR(COUNTIFS(Base!$Y:$Y, A161, Base!$O:$O, "Finalizado"), 0) +
      IFERROR(COUNTIFS(Base!$Y:$Y, A161, Base!$O:$O, "Concluído"), 0) +
      IFERROR(COUNTIFS(Base!$Z:$Z, A161, Base!$O:$O, "Finalizado"), 0) +
      IFERROR(COUNTIFS(Base!$Z:$Z, A161, Base!$O:$O, "Concluído"), 0)
    ) = 0,
    "-",
    (
      IFERROR(COUNTIFS(Base!$W:$W, A161, Base!$U:$U, TRUE), 0) +
      IFERROR(COUNTIFS(Base!$X:$X, A161, Base!$U:$U, TRUE), 0) +
      IFERROR(COUNTIFS(Base!$Y:$Y, A161, Base!$U:$U, TRUE), 0) +
      IFERROR(COUNTIFS(Base!$Z:$Z, A161, Base!$U:$U, TRUE), 0)
    ) /
    (
      IFERROR(COUNTIFS(Base!$W:$W, A161, Base!$O:$O, "Finalizado"), 0) +
      IFERROR(COUNTIFS(Base!$W:$W, A161, Base!$O:$O, "Concluído"), 0) +
      IFERROR(COUNTIFS(Base!$X:$X, A161, Base!$O:$O, "Finalizado"), 0) +
      IFERROR(COUNTIFS(Base!$X:$X, A161, Base!$O:$O, "Concluído"), 0) +
      IFERROR(COUNTIFS(Base!$Y:$Y, A161, Base!$O:$O, "Finalizado"), 0) +
      IFERROR(COUNTIFS(Base!$Y:$Y, A161, Base!$O:$O, "Concluído"), 0) +
      IFERROR(COUNTIFS(Base!$Z:$Z, A161, Base!$O:$O, "Finalizado"), 0) +
      IFERROR(COUNTIFS(Base!$Z:$Z, A161, Base!$O:$O, "Concluído"), 0)
    )
  )
)
</f>
        <v>0.1666666667</v>
      </c>
      <c r="N161" s="120">
        <f>COUNTIF(Base!V:V,$A161)</f>
        <v>0</v>
      </c>
      <c r="O161" s="120">
        <f>COUNTIF(Base!W:W,$A161)</f>
        <v>6</v>
      </c>
      <c r="P161" s="120">
        <f>COUNTIF(Base!X:X,$A161)</f>
        <v>1</v>
      </c>
      <c r="Q161" s="120">
        <f>COUNTIF(Base!Y:Y,$A161)</f>
        <v>0</v>
      </c>
      <c r="R161" s="120">
        <f>COUNTIF(Base!Z:Z,$A161)</f>
        <v>0</v>
      </c>
      <c r="S161" s="120">
        <f t="shared" si="3"/>
        <v>7</v>
      </c>
      <c r="T161" s="120">
        <f t="shared" si="4"/>
        <v>7</v>
      </c>
      <c r="V161" s="293">
        <f>IF(
  (
    COUNTIF('Acompanhamento quinzenal'!$N:$N, A161) +
    COUNTIF('Acompanhamento quinzenal'!$T:$T, A161) +
    COUNTIF('Acompanhamento quinzenal'!$Z:$Z, A161) +
    COUNTIF('Acompanhamento quinzenal'!$AF:$AF, A161)
  ) = 0,
  "-",
  (
    IFERROR(SUMIFS('Acompanhamento quinzenal'!$S:$S, 'Acompanhamento quinzenal'!$N:$N, A161), 0) +
    IFERROR(SUMIFS('Acompanhamento quinzenal'!$Y:$Y, 'Acompanhamento quinzenal'!$T:$T, A161), 0) +
    IFERROR(SUMIFS('Acompanhamento quinzenal'!$AE:$AE, 'Acompanhamento quinzenal'!$Z:$Z, A161), 0) +
    IFERROR(SUMIFS('Acompanhamento quinzenal'!$AK:$AK, 'Acompanhamento quinzenal'!$AF:$AF, A161), 0)
  ) /
  (
    COUNTIF('Acompanhamento quinzenal'!$N:$N, A161) +
    COUNTIF('Acompanhamento quinzenal'!$T:$T, A161) +
    COUNTIF('Acompanhamento quinzenal'!$Z:$Z, A161) +
    COUNTIF('Acompanhamento quinzenal'!$AF:$AF, A161)
  )
)
</f>
        <v>2.857142857</v>
      </c>
      <c r="W161" s="293">
        <f>IF(
  (
    COUNTIF('Acompanhamento quinzenal'!$N:$N, A161) +
    COUNTIF('Acompanhamento quinzenal'!$T:$T, A161) +
    COUNTIF('Acompanhamento quinzenal'!$Z:$Z, A161) +
    COUNTIF('Acompanhamento quinzenal'!$AF:$AF, A161)
  ) = 0,
  "-",
  (
    IFERROR(SUMIFS('Acompanhamento quinzenal'!$O:$O, 'Acompanhamento quinzenal'!$N:$N, A161), 0) +
    IFERROR(SUMIFS('Acompanhamento quinzenal'!$U:$U, 'Acompanhamento quinzenal'!$T:$T, A161), 0) +
    IFERROR(SUMIFS('Acompanhamento quinzenal'!$AA:$AA, 'Acompanhamento quinzenal'!$Z:$Z, A161), 0) +
    IFERROR(SUMIFS('Acompanhamento quinzenal'!$AG:$AG, 'Acompanhamento quinzenal'!$AF:$AF, A161), 0)
  ) /
  (
    COUNTIF('Acompanhamento quinzenal'!$N:$N, A161) +
    COUNTIF('Acompanhamento quinzenal'!$T:$T, A161) +
    COUNTIF('Acompanhamento quinzenal'!$Z:$Z, A161) +
    COUNTIF('Acompanhamento quinzenal'!$AF:$AF, A161)
  )
)
</f>
        <v>3.142857143</v>
      </c>
      <c r="X161" s="294">
        <f>IF(
  (
    COUNTIF('Acompanhamento quinzenal'!$N:$N, A161) +
    COUNTIF('Acompanhamento quinzenal'!$T:$T, A161) +
    COUNTIF('Acompanhamento quinzenal'!$Z:$Z, A161) +
    COUNTIF('Acompanhamento quinzenal'!$AF:$AF, A161)
  ) = 0,
  "-",
  (
    IFERROR(SUMIFS('Acompanhamento quinzenal'!$P:$P, 'Acompanhamento quinzenal'!$N:$N, A161), 0) +
    IFERROR(SUMIFS('Acompanhamento quinzenal'!$V:$V, 'Acompanhamento quinzenal'!$T:$T, A161), 0) +
    IFERROR(SUMIFS('Acompanhamento quinzenal'!$AB:$AB, 'Acompanhamento quinzenal'!$Z:$Z, A161), 0) +
    IFERROR(SUMIFS('Acompanhamento quinzenal'!$AH:$AH, 'Acompanhamento quinzenal'!$AF:$AF, A161), 0)
  ) /
  (
    COUNTIF('Acompanhamento quinzenal'!$N:$N, A161) +
    COUNTIF('Acompanhamento quinzenal'!$T:$T, A161) +
    COUNTIF('Acompanhamento quinzenal'!$Z:$Z, A161) +
    COUNTIF('Acompanhamento quinzenal'!$AF:$AF, A161)
  )
)
</f>
        <v>3.428571429</v>
      </c>
      <c r="Y161" s="293">
        <f>IF(
  (
    COUNTIF('Acompanhamento quinzenal'!$N:$N, A161) +
    COUNTIF('Acompanhamento quinzenal'!$T:$T, A161) +
    COUNTIF('Acompanhamento quinzenal'!$Z:$Z, A161) +
    COUNTIF('Acompanhamento quinzenal'!$AF:$AF, A161)
  ) = 0,
  "-",
  (
    IFERROR(SUMIFS('Acompanhamento quinzenal'!$Q:$Q, 'Acompanhamento quinzenal'!$N:$N, A161), 0) +
    IFERROR(SUMIFS('Acompanhamento quinzenal'!$W:$W, 'Acompanhamento quinzenal'!$T:$T, A161), 0) +
    IFERROR(SUMIFS('Acompanhamento quinzenal'!$AC:$AC, 'Acompanhamento quinzenal'!$Z:$Z, A161), 0) +
    IFERROR(SUMIFS('Acompanhamento quinzenal'!$AI:$AI, 'Acompanhamento quinzenal'!$AF:$AF, A161), 0)
  ) /
  (
    COUNTIF('Acompanhamento quinzenal'!$N:$N, A161) +
    COUNTIF('Acompanhamento quinzenal'!$T:$T, A161) +
    COUNTIF('Acompanhamento quinzenal'!$Z:$Z, A161) +
    COUNTIF('Acompanhamento quinzenal'!$AF:$AF, A161)
  )
)
</f>
        <v>3.285714286</v>
      </c>
    </row>
    <row r="162">
      <c r="A162" s="291" t="str">
        <f>IFERROR(__xludf.DUMMYFUNCTION("""COMPUTED_VALUE"""),"rafael.junqueira")</f>
        <v>rafael.junqueira</v>
      </c>
      <c r="B162" s="120" t="str">
        <f>IFERROR(__xludf.DUMMYFUNCTION("""COMPUTED_VALUE"""),"Consultor")</f>
        <v>Consultor</v>
      </c>
      <c r="C162" s="120" t="str">
        <f>IFERROR(__xludf.DUMMYFUNCTION("""COMPUTED_VALUE"""),"NDados")</f>
        <v>NDados</v>
      </c>
      <c r="D162" s="292" t="str">
        <f>IFERROR((COUNTIFS(Base!$V:$V,A162,Base!$S:$S,"&gt;8") - COUNTIFS(Base!$V:$V,A162,Base!$S:$S,"&lt;7"))/COUNTIFS(Base!$V:$V,A162,Base!$S:$S,"&lt;&gt;"),"-")</f>
        <v>-</v>
      </c>
      <c r="E162" s="292" t="str">
        <f>IF(
  (
    COUNTIFS(Base!$W:$W, A162, Base!$S:$S, "&lt;&gt;") +
    COUNTIFS(Base!$X:$X, A162, Base!$S:$S, "&lt;&gt;") +
    COUNTIFS(Base!$Y:$Y, A162, Base!$S:$S, "&lt;&gt;") +
    COUNTIFS(Base!$Z:$Z, A162, Base!$S:$S, "&lt;&gt;")
  ) = 0,
  "-",
  (
    COUNTIFS(Base!$W:$W, A162, Base!$S:$S, "&gt;8") - COUNTIFS(Base!$W:$W, A162, Base!$S:$S, "&lt;7") +
    COUNTIFS(Base!$X:$X, A162, Base!$S:$S, "&gt;8") - COUNTIFS(Base!$X:$X, A162, Base!$S:$S, "&lt;7") +
    COUNTIFS(Base!$Y:$Y, A162, Base!$S:$S, "&gt;8") - COUNTIFS(Base!$Y:$Y, A162, Base!$S:$S, "&lt;7") +
    COUNTIFS(Base!$Z:$Z, A162, Base!$S:$S, "&gt;8") - COUNTIFS(Base!$Z:$Z, A162, Base!$S:$S, "&lt;7")
  ) /
  (
    COUNTIFS(Base!$W:$W, A162, Base!$S:$S, "&lt;&gt;") +
    COUNTIFS(Base!$X:$X, A162, Base!$S:$S, "&lt;&gt;") +
    COUNTIFS(Base!$Y:$Y, A162, Base!$S:$S, "&lt;&gt;") +
    COUNTIFS(Base!$Z:$Z, A162, Base!$S:$S, "&lt;&gt;")
  )
)
</f>
        <v>-</v>
      </c>
      <c r="F162" s="290">
        <f>SUMIFS(Base!$N:$N,Base!$V:$V,A162,Base!$N:$N,"&lt;&gt;")-SUMIFS(Base!$K:$K,Base!$V:$V,A162,Base!$N:$N,"&lt;&gt;")-(SUMIFS(Base!$L:$L,Base!$V:$V,A162,Base!$N:$N,"&lt;&gt;")*7)</f>
        <v>0</v>
      </c>
      <c r="G162" s="290"/>
      <c r="H162" s="290">
        <f>SUMIFS(Base!$F:$F,Base!$V:$V,A162,Base!$N:$N,"&lt;&gt;")*7</f>
        <v>0</v>
      </c>
      <c r="I162" s="290"/>
      <c r="J162" s="292" t="str">
        <f t="shared" ref="J162:K162" si="163">IFERROR(F162/H162,"-")</f>
        <v>-</v>
      </c>
      <c r="K162" s="292" t="str">
        <f t="shared" si="163"/>
        <v>-</v>
      </c>
      <c r="L162" s="292" t="str">
        <f>IFERROR((COUNTIFS(Base!$V:$V,A162,Base!$U:$U,TRUE))/(COUNTIFS(Base!$V:$V,A162,Base!$O:$O,"Finalizado")+COUNTIFS(Base!$V:$V,A162,Base!$O:$O,"Concluído")),"-")</f>
        <v>-</v>
      </c>
      <c r="M162" s="292">
        <f>IF(
  (
    IFERROR(COUNTIF(Base!$W:$W, A162), 0) +
    IFERROR(COUNTIF(Base!$X:$X, A162), 0) +
    IFERROR(COUNTIF(Base!$Y:$Y, A162), 0) +
    IFERROR(COUNTIF(Base!$Z:$Z, A162), 0)
  ) = 0,
  "-",
  IF(
    (
      IFERROR(COUNTIFS(Base!$W:$W, A162, Base!$O:$O, "Finalizado"), 0) +
      IFERROR(COUNTIFS(Base!$W:$W, A162, Base!$O:$O, "Concluído"), 0) +
      IFERROR(COUNTIFS(Base!$X:$X, A162, Base!$O:$O, "Finalizado"), 0) +
      IFERROR(COUNTIFS(Base!$X:$X, A162, Base!$O:$O, "Concluído"), 0) +
      IFERROR(COUNTIFS(Base!$Y:$Y, A162, Base!$O:$O, "Finalizado"), 0) +
      IFERROR(COUNTIFS(Base!$Y:$Y, A162, Base!$O:$O, "Concluído"), 0) +
      IFERROR(COUNTIFS(Base!$Z:$Z, A162, Base!$O:$O, "Finalizado"), 0) +
      IFERROR(COUNTIFS(Base!$Z:$Z, A162, Base!$O:$O, "Concluído"), 0)
    ) = 0,
    "-",
    (
      IFERROR(COUNTIFS(Base!$W:$W, A162, Base!$U:$U, TRUE), 0) +
      IFERROR(COUNTIFS(Base!$X:$X, A162, Base!$U:$U, TRUE), 0) +
      IFERROR(COUNTIFS(Base!$Y:$Y, A162, Base!$U:$U, TRUE), 0) +
      IFERROR(COUNTIFS(Base!$Z:$Z, A162, Base!$U:$U, TRUE), 0)
    ) /
    (
      IFERROR(COUNTIFS(Base!$W:$W, A162, Base!$O:$O, "Finalizado"), 0) +
      IFERROR(COUNTIFS(Base!$W:$W, A162, Base!$O:$O, "Concluído"), 0) +
      IFERROR(COUNTIFS(Base!$X:$X, A162, Base!$O:$O, "Finalizado"), 0) +
      IFERROR(COUNTIFS(Base!$X:$X, A162, Base!$O:$O, "Concluído"), 0) +
      IFERROR(COUNTIFS(Base!$Y:$Y, A162, Base!$O:$O, "Finalizado"), 0) +
      IFERROR(COUNTIFS(Base!$Y:$Y, A162, Base!$O:$O, "Concluído"), 0) +
      IFERROR(COUNTIFS(Base!$Z:$Z, A162, Base!$O:$O, "Finalizado"), 0) +
      IFERROR(COUNTIFS(Base!$Z:$Z, A162, Base!$O:$O, "Concluído"), 0)
    )
  )
)
</f>
        <v>0</v>
      </c>
      <c r="N162" s="120">
        <f>COUNTIF(Base!V:V,$A162)</f>
        <v>0</v>
      </c>
      <c r="O162" s="120">
        <f>COUNTIF(Base!W:W,$A162)</f>
        <v>1</v>
      </c>
      <c r="P162" s="120">
        <f>COUNTIF(Base!X:X,$A162)</f>
        <v>1</v>
      </c>
      <c r="Q162" s="120">
        <f>COUNTIF(Base!Y:Y,$A162)</f>
        <v>1</v>
      </c>
      <c r="R162" s="120">
        <f>COUNTIF(Base!Z:Z,$A162)</f>
        <v>0</v>
      </c>
      <c r="S162" s="120">
        <f t="shared" si="3"/>
        <v>3</v>
      </c>
      <c r="T162" s="120">
        <f t="shared" si="4"/>
        <v>3</v>
      </c>
      <c r="V162" s="293">
        <f>IF(
  (
    COUNTIF('Acompanhamento quinzenal'!$N:$N, A162) +
    COUNTIF('Acompanhamento quinzenal'!$T:$T, A162) +
    COUNTIF('Acompanhamento quinzenal'!$Z:$Z, A162) +
    COUNTIF('Acompanhamento quinzenal'!$AF:$AF, A162)
  ) = 0,
  "-",
  (
    IFERROR(SUMIFS('Acompanhamento quinzenal'!$S:$S, 'Acompanhamento quinzenal'!$N:$N, A162), 0) +
    IFERROR(SUMIFS('Acompanhamento quinzenal'!$Y:$Y, 'Acompanhamento quinzenal'!$T:$T, A162), 0) +
    IFERROR(SUMIFS('Acompanhamento quinzenal'!$AE:$AE, 'Acompanhamento quinzenal'!$Z:$Z, A162), 0) +
    IFERROR(SUMIFS('Acompanhamento quinzenal'!$AK:$AK, 'Acompanhamento quinzenal'!$AF:$AF, A162), 0)
  ) /
  (
    COUNTIF('Acompanhamento quinzenal'!$N:$N, A162) +
    COUNTIF('Acompanhamento quinzenal'!$T:$T, A162) +
    COUNTIF('Acompanhamento quinzenal'!$Z:$Z, A162) +
    COUNTIF('Acompanhamento quinzenal'!$AF:$AF, A162)
  )
)
</f>
        <v>2.4</v>
      </c>
      <c r="W162" s="293">
        <f>IF(
  (
    COUNTIF('Acompanhamento quinzenal'!$N:$N, A162) +
    COUNTIF('Acompanhamento quinzenal'!$T:$T, A162) +
    COUNTIF('Acompanhamento quinzenal'!$Z:$Z, A162) +
    COUNTIF('Acompanhamento quinzenal'!$AF:$AF, A162)
  ) = 0,
  "-",
  (
    IFERROR(SUMIFS('Acompanhamento quinzenal'!$O:$O, 'Acompanhamento quinzenal'!$N:$N, A162), 0) +
    IFERROR(SUMIFS('Acompanhamento quinzenal'!$U:$U, 'Acompanhamento quinzenal'!$T:$T, A162), 0) +
    IFERROR(SUMIFS('Acompanhamento quinzenal'!$AA:$AA, 'Acompanhamento quinzenal'!$Z:$Z, A162), 0) +
    IFERROR(SUMIFS('Acompanhamento quinzenal'!$AG:$AG, 'Acompanhamento quinzenal'!$AF:$AF, A162), 0)
  ) /
  (
    COUNTIF('Acompanhamento quinzenal'!$N:$N, A162) +
    COUNTIF('Acompanhamento quinzenal'!$T:$T, A162) +
    COUNTIF('Acompanhamento quinzenal'!$Z:$Z, A162) +
    COUNTIF('Acompanhamento quinzenal'!$AF:$AF, A162)
  )
)
</f>
        <v>2.4</v>
      </c>
      <c r="X162" s="294">
        <f>IF(
  (
    COUNTIF('Acompanhamento quinzenal'!$N:$N, A162) +
    COUNTIF('Acompanhamento quinzenal'!$T:$T, A162) +
    COUNTIF('Acompanhamento quinzenal'!$Z:$Z, A162) +
    COUNTIF('Acompanhamento quinzenal'!$AF:$AF, A162)
  ) = 0,
  "-",
  (
    IFERROR(SUMIFS('Acompanhamento quinzenal'!$P:$P, 'Acompanhamento quinzenal'!$N:$N, A162), 0) +
    IFERROR(SUMIFS('Acompanhamento quinzenal'!$V:$V, 'Acompanhamento quinzenal'!$T:$T, A162), 0) +
    IFERROR(SUMIFS('Acompanhamento quinzenal'!$AB:$AB, 'Acompanhamento quinzenal'!$Z:$Z, A162), 0) +
    IFERROR(SUMIFS('Acompanhamento quinzenal'!$AH:$AH, 'Acompanhamento quinzenal'!$AF:$AF, A162), 0)
  ) /
  (
    COUNTIF('Acompanhamento quinzenal'!$N:$N, A162) +
    COUNTIF('Acompanhamento quinzenal'!$T:$T, A162) +
    COUNTIF('Acompanhamento quinzenal'!$Z:$Z, A162) +
    COUNTIF('Acompanhamento quinzenal'!$AF:$AF, A162)
  )
)
</f>
        <v>2.2</v>
      </c>
      <c r="Y162" s="293">
        <f>IF(
  (
    COUNTIF('Acompanhamento quinzenal'!$N:$N, A162) +
    COUNTIF('Acompanhamento quinzenal'!$T:$T, A162) +
    COUNTIF('Acompanhamento quinzenal'!$Z:$Z, A162) +
    COUNTIF('Acompanhamento quinzenal'!$AF:$AF, A162)
  ) = 0,
  "-",
  (
    IFERROR(SUMIFS('Acompanhamento quinzenal'!$Q:$Q, 'Acompanhamento quinzenal'!$N:$N, A162), 0) +
    IFERROR(SUMIFS('Acompanhamento quinzenal'!$W:$W, 'Acompanhamento quinzenal'!$T:$T, A162), 0) +
    IFERROR(SUMIFS('Acompanhamento quinzenal'!$AC:$AC, 'Acompanhamento quinzenal'!$Z:$Z, A162), 0) +
    IFERROR(SUMIFS('Acompanhamento quinzenal'!$AI:$AI, 'Acompanhamento quinzenal'!$AF:$AF, A162), 0)
  ) /
  (
    COUNTIF('Acompanhamento quinzenal'!$N:$N, A162) +
    COUNTIF('Acompanhamento quinzenal'!$T:$T, A162) +
    COUNTIF('Acompanhamento quinzenal'!$Z:$Z, A162) +
    COUNTIF('Acompanhamento quinzenal'!$AF:$AF, A162)
  )
)
</f>
        <v>2.6</v>
      </c>
    </row>
    <row r="163" hidden="1">
      <c r="A163" s="291" t="str">
        <f>IFERROR(__xludf.DUMMYFUNCTION("""COMPUTED_VALUE"""),"rafael.silva")</f>
        <v>rafael.silva</v>
      </c>
      <c r="B163" s="120" t="str">
        <f>IFERROR(__xludf.DUMMYFUNCTION("""COMPUTED_VALUE"""),"Trainee")</f>
        <v>Trainee</v>
      </c>
      <c r="C163" s="120" t="str">
        <f>IFERROR(__xludf.DUMMYFUNCTION("""COMPUTED_VALUE"""),"NCiv")</f>
        <v>NCiv</v>
      </c>
      <c r="D163" s="292" t="str">
        <f>IFERROR((COUNTIFS(Base!$V:$V,A163,Base!$S:$S,"&gt;8") - COUNTIFS(Base!$V:$V,A163,Base!$S:$S,"&lt;7"))/COUNTIFS(Base!$V:$V,A163,Base!$S:$S,"&lt;&gt;"),"-")</f>
        <v>-</v>
      </c>
      <c r="E163" s="292" t="str">
        <f>IF(
  (
    COUNTIFS(Base!$W:$W, A163, Base!$S:$S, "&lt;&gt;") +
    COUNTIFS(Base!$X:$X, A163, Base!$S:$S, "&lt;&gt;") +
    COUNTIFS(Base!$Y:$Y, A163, Base!$S:$S, "&lt;&gt;") +
    COUNTIFS(Base!$Z:$Z, A163, Base!$S:$S, "&lt;&gt;")
  ) = 0,
  "-",
  (
    COUNTIFS(Base!$W:$W, A163, Base!$S:$S, "&gt;8") - COUNTIFS(Base!$W:$W, A163, Base!$S:$S, "&lt;7") +
    COUNTIFS(Base!$X:$X, A163, Base!$S:$S, "&gt;8") - COUNTIFS(Base!$X:$X, A163, Base!$S:$S, "&lt;7") +
    COUNTIFS(Base!$Y:$Y, A163, Base!$S:$S, "&gt;8") - COUNTIFS(Base!$Y:$Y, A163, Base!$S:$S, "&lt;7") +
    COUNTIFS(Base!$Z:$Z, A163, Base!$S:$S, "&gt;8") - COUNTIFS(Base!$Z:$Z, A163, Base!$S:$S, "&lt;7")
  ) /
  (
    COUNTIFS(Base!$W:$W, A163, Base!$S:$S, "&lt;&gt;") +
    COUNTIFS(Base!$X:$X, A163, Base!$S:$S, "&lt;&gt;") +
    COUNTIFS(Base!$Y:$Y, A163, Base!$S:$S, "&lt;&gt;") +
    COUNTIFS(Base!$Z:$Z, A163, Base!$S:$S, "&lt;&gt;")
  )
)
</f>
        <v>-</v>
      </c>
      <c r="F163" s="290">
        <f>SUMIFS(Base!$N:$N,Base!$V:$V,A163,Base!$N:$N,"&lt;&gt;")-SUMIFS(Base!$K:$K,Base!$V:$V,A163,Base!$N:$N,"&lt;&gt;")-(SUMIFS(Base!$L:$L,Base!$V:$V,A163,Base!$N:$N,"&lt;&gt;")*7)</f>
        <v>0</v>
      </c>
      <c r="G163" s="290"/>
      <c r="H163" s="290">
        <f>SUMIFS(Base!$F:$F,Base!$V:$V,A163,Base!$N:$N,"&lt;&gt;")*7</f>
        <v>0</v>
      </c>
      <c r="I163" s="290"/>
      <c r="J163" s="292" t="str">
        <f t="shared" ref="J163:K163" si="164">IFERROR(F163/H163,"-")</f>
        <v>-</v>
      </c>
      <c r="K163" s="292" t="str">
        <f t="shared" si="164"/>
        <v>-</v>
      </c>
      <c r="L163" s="292" t="str">
        <f>IFERROR((COUNTIFS(Base!$V:$V,A163,Base!$U:$U,TRUE))/(COUNTIFS(Base!$V:$V,A163,Base!$O:$O,"Finalizado")+COUNTIFS(Base!$V:$V,A163,Base!$O:$O,"Concluído")),"-")</f>
        <v>-</v>
      </c>
      <c r="M163" s="292" t="str">
        <f>IF(
  (
    IFERROR(COUNTIF(Base!$W:$W, A163), 0) +
    IFERROR(COUNTIF(Base!$X:$X, A163), 0) +
    IFERROR(COUNTIF(Base!$Y:$Y, A163), 0) +
    IFERROR(COUNTIF(Base!$Z:$Z, A163), 0)
  ) = 0,
  "-",
  IF(
    (
      IFERROR(COUNTIFS(Base!$W:$W, A163, Base!$O:$O, "Finalizado"), 0) +
      IFERROR(COUNTIFS(Base!$W:$W, A163, Base!$O:$O, "Concluído"), 0) +
      IFERROR(COUNTIFS(Base!$X:$X, A163, Base!$O:$O, "Finalizado"), 0) +
      IFERROR(COUNTIFS(Base!$X:$X, A163, Base!$O:$O, "Concluído"), 0) +
      IFERROR(COUNTIFS(Base!$Y:$Y, A163, Base!$O:$O, "Finalizado"), 0) +
      IFERROR(COUNTIFS(Base!$Y:$Y, A163, Base!$O:$O, "Concluído"), 0) +
      IFERROR(COUNTIFS(Base!$Z:$Z, A163, Base!$O:$O, "Finalizado"), 0) +
      IFERROR(COUNTIFS(Base!$Z:$Z, A163, Base!$O:$O, "Concluído"), 0)
    ) = 0,
    "-",
    (
      IFERROR(COUNTIFS(Base!$W:$W, A163, Base!$U:$U, TRUE), 0) +
      IFERROR(COUNTIFS(Base!$X:$X, A163, Base!$U:$U, TRUE), 0) +
      IFERROR(COUNTIFS(Base!$Y:$Y, A163, Base!$U:$U, TRUE), 0) +
      IFERROR(COUNTIFS(Base!$Z:$Z, A163, Base!$U:$U, TRUE), 0)
    ) /
    (
      IFERROR(COUNTIFS(Base!$W:$W, A163, Base!$O:$O, "Finalizado"), 0) +
      IFERROR(COUNTIFS(Base!$W:$W, A163, Base!$O:$O, "Concluído"), 0) +
      IFERROR(COUNTIFS(Base!$X:$X, A163, Base!$O:$O, "Finalizado"), 0) +
      IFERROR(COUNTIFS(Base!$X:$X, A163, Base!$O:$O, "Concluído"), 0) +
      IFERROR(COUNTIFS(Base!$Y:$Y, A163, Base!$O:$O, "Finalizado"), 0) +
      IFERROR(COUNTIFS(Base!$Y:$Y, A163, Base!$O:$O, "Concluído"), 0) +
      IFERROR(COUNTIFS(Base!$Z:$Z, A163, Base!$O:$O, "Finalizado"), 0) +
      IFERROR(COUNTIFS(Base!$Z:$Z, A163, Base!$O:$O, "Concluído"), 0)
    )
  )
)
</f>
        <v>-</v>
      </c>
      <c r="N163" s="120">
        <f>COUNTIF(Base!V:V,$A163)</f>
        <v>0</v>
      </c>
      <c r="O163" s="120">
        <f>COUNTIF(Base!W:W,$A163)</f>
        <v>0</v>
      </c>
      <c r="P163" s="120">
        <f>COUNTIF(Base!X:X,$A163)</f>
        <v>0</v>
      </c>
      <c r="Q163" s="120">
        <f>COUNTIF(Base!Y:Y,$A163)</f>
        <v>0</v>
      </c>
      <c r="R163" s="120">
        <f>COUNTIF(Base!Z:Z,$A163)</f>
        <v>0</v>
      </c>
      <c r="S163" s="120">
        <f t="shared" si="3"/>
        <v>0</v>
      </c>
      <c r="T163" s="120">
        <f t="shared" si="4"/>
        <v>0</v>
      </c>
      <c r="V163" s="293" t="str">
        <f>IF(
  (
    COUNTIF('Acompanhamento quinzenal'!$N:$N, A163) +
    COUNTIF('Acompanhamento quinzenal'!$T:$T, A163) +
    COUNTIF('Acompanhamento quinzenal'!$Z:$Z, A163) +
    COUNTIF('Acompanhamento quinzenal'!$AF:$AF, A163)
  ) = 0,
  "-",
  (
    IFERROR(SUMIFS('Acompanhamento quinzenal'!$S:$S, 'Acompanhamento quinzenal'!$N:$N, A163), 0) +
    IFERROR(SUMIFS('Acompanhamento quinzenal'!$Y:$Y, 'Acompanhamento quinzenal'!$T:$T, A163), 0) +
    IFERROR(SUMIFS('Acompanhamento quinzenal'!$AE:$AE, 'Acompanhamento quinzenal'!$Z:$Z, A163), 0) +
    IFERROR(SUMIFS('Acompanhamento quinzenal'!$AK:$AK, 'Acompanhamento quinzenal'!$AF:$AF, A163), 0)
  ) /
  (
    COUNTIF('Acompanhamento quinzenal'!$N:$N, A163) +
    COUNTIF('Acompanhamento quinzenal'!$T:$T, A163) +
    COUNTIF('Acompanhamento quinzenal'!$Z:$Z, A163) +
    COUNTIF('Acompanhamento quinzenal'!$AF:$AF, A163)
  )
)
</f>
        <v>-</v>
      </c>
      <c r="W163" s="293" t="str">
        <f>IF(
  (
    COUNTIF('Acompanhamento quinzenal'!$N:$N, A163) +
    COUNTIF('Acompanhamento quinzenal'!$T:$T, A163) +
    COUNTIF('Acompanhamento quinzenal'!$Z:$Z, A163) +
    COUNTIF('Acompanhamento quinzenal'!$AF:$AF, A163)
  ) = 0,
  "-",
  (
    IFERROR(SUMIFS('Acompanhamento quinzenal'!$O:$O, 'Acompanhamento quinzenal'!$N:$N, A163), 0) +
    IFERROR(SUMIFS('Acompanhamento quinzenal'!$U:$U, 'Acompanhamento quinzenal'!$T:$T, A163), 0) +
    IFERROR(SUMIFS('Acompanhamento quinzenal'!$AA:$AA, 'Acompanhamento quinzenal'!$Z:$Z, A163), 0) +
    IFERROR(SUMIFS('Acompanhamento quinzenal'!$AG:$AG, 'Acompanhamento quinzenal'!$AF:$AF, A163), 0)
  ) /
  (
    COUNTIF('Acompanhamento quinzenal'!$N:$N, A163) +
    COUNTIF('Acompanhamento quinzenal'!$T:$T, A163) +
    COUNTIF('Acompanhamento quinzenal'!$Z:$Z, A163) +
    COUNTIF('Acompanhamento quinzenal'!$AF:$AF, A163)
  )
)
</f>
        <v>-</v>
      </c>
      <c r="X163" s="294" t="str">
        <f>IF(
  (
    COUNTIF('Acompanhamento quinzenal'!$N:$N, A163) +
    COUNTIF('Acompanhamento quinzenal'!$T:$T, A163) +
    COUNTIF('Acompanhamento quinzenal'!$Z:$Z, A163) +
    COUNTIF('Acompanhamento quinzenal'!$AF:$AF, A163)
  ) = 0,
  "-",
  (
    IFERROR(SUMIFS('Acompanhamento quinzenal'!$P:$P, 'Acompanhamento quinzenal'!$N:$N, A163), 0) +
    IFERROR(SUMIFS('Acompanhamento quinzenal'!$V:$V, 'Acompanhamento quinzenal'!$T:$T, A163), 0) +
    IFERROR(SUMIFS('Acompanhamento quinzenal'!$AB:$AB, 'Acompanhamento quinzenal'!$Z:$Z, A163), 0) +
    IFERROR(SUMIFS('Acompanhamento quinzenal'!$AH:$AH, 'Acompanhamento quinzenal'!$AF:$AF, A163), 0)
  ) /
  (
    COUNTIF('Acompanhamento quinzenal'!$N:$N, A163) +
    COUNTIF('Acompanhamento quinzenal'!$T:$T, A163) +
    COUNTIF('Acompanhamento quinzenal'!$Z:$Z, A163) +
    COUNTIF('Acompanhamento quinzenal'!$AF:$AF, A163)
  )
)
</f>
        <v>-</v>
      </c>
      <c r="Y163" s="293" t="str">
        <f>IF(
  (
    COUNTIF('Acompanhamento quinzenal'!$N:$N, A163) +
    COUNTIF('Acompanhamento quinzenal'!$T:$T, A163) +
    COUNTIF('Acompanhamento quinzenal'!$Z:$Z, A163) +
    COUNTIF('Acompanhamento quinzenal'!$AF:$AF, A163)
  ) = 0,
  "-",
  (
    IFERROR(SUMIFS('Acompanhamento quinzenal'!$Q:$Q, 'Acompanhamento quinzenal'!$N:$N, A163), 0) +
    IFERROR(SUMIFS('Acompanhamento quinzenal'!$W:$W, 'Acompanhamento quinzenal'!$T:$T, A163), 0) +
    IFERROR(SUMIFS('Acompanhamento quinzenal'!$AC:$AC, 'Acompanhamento quinzenal'!$Z:$Z, A163), 0) +
    IFERROR(SUMIFS('Acompanhamento quinzenal'!$AI:$AI, 'Acompanhamento quinzenal'!$AF:$AF, A163), 0)
  ) /
  (
    COUNTIF('Acompanhamento quinzenal'!$N:$N, A163) +
    COUNTIF('Acompanhamento quinzenal'!$T:$T, A163) +
    COUNTIF('Acompanhamento quinzenal'!$Z:$Z, A163) +
    COUNTIF('Acompanhamento quinzenal'!$AF:$AF, A163)
  )
)
</f>
        <v>-</v>
      </c>
    </row>
    <row r="164" hidden="1">
      <c r="A164" s="291" t="str">
        <f>IFERROR(__xludf.DUMMYFUNCTION("""COMPUTED_VALUE"""),"rafael.maesano")</f>
        <v>rafael.maesano</v>
      </c>
      <c r="B164" s="120" t="str">
        <f>IFERROR(__xludf.DUMMYFUNCTION("""COMPUTED_VALUE"""),"Trainee")</f>
        <v>Trainee</v>
      </c>
      <c r="C164" s="120" t="str">
        <f>IFERROR(__xludf.DUMMYFUNCTION("""COMPUTED_VALUE"""),"NCon")</f>
        <v>NCon</v>
      </c>
      <c r="D164" s="292" t="str">
        <f>IFERROR((COUNTIFS(Base!$V:$V,A164,Base!$S:$S,"&gt;8") - COUNTIFS(Base!$V:$V,A164,Base!$S:$S,"&lt;7"))/COUNTIFS(Base!$V:$V,A164,Base!$S:$S,"&lt;&gt;"),"-")</f>
        <v>-</v>
      </c>
      <c r="E164" s="292" t="str">
        <f>IF(
  (
    COUNTIFS(Base!$W:$W, A164, Base!$S:$S, "&lt;&gt;") +
    COUNTIFS(Base!$X:$X, A164, Base!$S:$S, "&lt;&gt;") +
    COUNTIFS(Base!$Y:$Y, A164, Base!$S:$S, "&lt;&gt;") +
    COUNTIFS(Base!$Z:$Z, A164, Base!$S:$S, "&lt;&gt;")
  ) = 0,
  "-",
  (
    COUNTIFS(Base!$W:$W, A164, Base!$S:$S, "&gt;8") - COUNTIFS(Base!$W:$W, A164, Base!$S:$S, "&lt;7") +
    COUNTIFS(Base!$X:$X, A164, Base!$S:$S, "&gt;8") - COUNTIFS(Base!$X:$X, A164, Base!$S:$S, "&lt;7") +
    COUNTIFS(Base!$Y:$Y, A164, Base!$S:$S, "&gt;8") - COUNTIFS(Base!$Y:$Y, A164, Base!$S:$S, "&lt;7") +
    COUNTIFS(Base!$Z:$Z, A164, Base!$S:$S, "&gt;8") - COUNTIFS(Base!$Z:$Z, A164, Base!$S:$S, "&lt;7")
  ) /
  (
    COUNTIFS(Base!$W:$W, A164, Base!$S:$S, "&lt;&gt;") +
    COUNTIFS(Base!$X:$X, A164, Base!$S:$S, "&lt;&gt;") +
    COUNTIFS(Base!$Y:$Y, A164, Base!$S:$S, "&lt;&gt;") +
    COUNTIFS(Base!$Z:$Z, A164, Base!$S:$S, "&lt;&gt;")
  )
)
</f>
        <v>-</v>
      </c>
      <c r="F164" s="290">
        <f>SUMIFS(Base!$N:$N,Base!$V:$V,A164,Base!$N:$N,"&lt;&gt;")-SUMIFS(Base!$K:$K,Base!$V:$V,A164,Base!$N:$N,"&lt;&gt;")-(SUMIFS(Base!$L:$L,Base!$V:$V,A164,Base!$N:$N,"&lt;&gt;")*7)</f>
        <v>0</v>
      </c>
      <c r="G164" s="290"/>
      <c r="H164" s="290">
        <f>SUMIFS(Base!$F:$F,Base!$V:$V,A164,Base!$N:$N,"&lt;&gt;")*7</f>
        <v>0</v>
      </c>
      <c r="I164" s="290"/>
      <c r="J164" s="292" t="str">
        <f t="shared" ref="J164:K164" si="165">IFERROR(F164/H164,"-")</f>
        <v>-</v>
      </c>
      <c r="K164" s="292" t="str">
        <f t="shared" si="165"/>
        <v>-</v>
      </c>
      <c r="L164" s="292" t="str">
        <f>IFERROR((COUNTIFS(Base!$V:$V,A164,Base!$U:$U,TRUE))/(COUNTIFS(Base!$V:$V,A164,Base!$O:$O,"Finalizado")+COUNTIFS(Base!$V:$V,A164,Base!$O:$O,"Concluído")),"-")</f>
        <v>-</v>
      </c>
      <c r="M164" s="292" t="str">
        <f>IF(
  (
    IFERROR(COUNTIF(Base!$W:$W, A164), 0) +
    IFERROR(COUNTIF(Base!$X:$X, A164), 0) +
    IFERROR(COUNTIF(Base!$Y:$Y, A164), 0) +
    IFERROR(COUNTIF(Base!$Z:$Z, A164), 0)
  ) = 0,
  "-",
  IF(
    (
      IFERROR(COUNTIFS(Base!$W:$W, A164, Base!$O:$O, "Finalizado"), 0) +
      IFERROR(COUNTIFS(Base!$W:$W, A164, Base!$O:$O, "Concluído"), 0) +
      IFERROR(COUNTIFS(Base!$X:$X, A164, Base!$O:$O, "Finalizado"), 0) +
      IFERROR(COUNTIFS(Base!$X:$X, A164, Base!$O:$O, "Concluído"), 0) +
      IFERROR(COUNTIFS(Base!$Y:$Y, A164, Base!$O:$O, "Finalizado"), 0) +
      IFERROR(COUNTIFS(Base!$Y:$Y, A164, Base!$O:$O, "Concluído"), 0) +
      IFERROR(COUNTIFS(Base!$Z:$Z, A164, Base!$O:$O, "Finalizado"), 0) +
      IFERROR(COUNTIFS(Base!$Z:$Z, A164, Base!$O:$O, "Concluído"), 0)
    ) = 0,
    "-",
    (
      IFERROR(COUNTIFS(Base!$W:$W, A164, Base!$U:$U, TRUE), 0) +
      IFERROR(COUNTIFS(Base!$X:$X, A164, Base!$U:$U, TRUE), 0) +
      IFERROR(COUNTIFS(Base!$Y:$Y, A164, Base!$U:$U, TRUE), 0) +
      IFERROR(COUNTIFS(Base!$Z:$Z, A164, Base!$U:$U, TRUE), 0)
    ) /
    (
      IFERROR(COUNTIFS(Base!$W:$W, A164, Base!$O:$O, "Finalizado"), 0) +
      IFERROR(COUNTIFS(Base!$W:$W, A164, Base!$O:$O, "Concluído"), 0) +
      IFERROR(COUNTIFS(Base!$X:$X, A164, Base!$O:$O, "Finalizado"), 0) +
      IFERROR(COUNTIFS(Base!$X:$X, A164, Base!$O:$O, "Concluído"), 0) +
      IFERROR(COUNTIFS(Base!$Y:$Y, A164, Base!$O:$O, "Finalizado"), 0) +
      IFERROR(COUNTIFS(Base!$Y:$Y, A164, Base!$O:$O, "Concluído"), 0) +
      IFERROR(COUNTIFS(Base!$Z:$Z, A164, Base!$O:$O, "Finalizado"), 0) +
      IFERROR(COUNTIFS(Base!$Z:$Z, A164, Base!$O:$O, "Concluído"), 0)
    )
  )
)
</f>
        <v>-</v>
      </c>
      <c r="N164" s="120">
        <f>COUNTIF(Base!V:V,$A164)</f>
        <v>0</v>
      </c>
      <c r="O164" s="120">
        <f>COUNTIF(Base!W:W,$A164)</f>
        <v>0</v>
      </c>
      <c r="P164" s="120">
        <f>COUNTIF(Base!X:X,$A164)</f>
        <v>0</v>
      </c>
      <c r="Q164" s="120">
        <f>COUNTIF(Base!Y:Y,$A164)</f>
        <v>0</v>
      </c>
      <c r="R164" s="120">
        <f>COUNTIF(Base!Z:Z,$A164)</f>
        <v>0</v>
      </c>
      <c r="S164" s="120">
        <f t="shared" si="3"/>
        <v>0</v>
      </c>
      <c r="T164" s="120">
        <f t="shared" si="4"/>
        <v>0</v>
      </c>
      <c r="V164" s="293" t="str">
        <f>IF(
  (
    COUNTIF('Acompanhamento quinzenal'!$N:$N, A164) +
    COUNTIF('Acompanhamento quinzenal'!$T:$T, A164) +
    COUNTIF('Acompanhamento quinzenal'!$Z:$Z, A164) +
    COUNTIF('Acompanhamento quinzenal'!$AF:$AF, A164)
  ) = 0,
  "-",
  (
    IFERROR(SUMIFS('Acompanhamento quinzenal'!$S:$S, 'Acompanhamento quinzenal'!$N:$N, A164), 0) +
    IFERROR(SUMIFS('Acompanhamento quinzenal'!$Y:$Y, 'Acompanhamento quinzenal'!$T:$T, A164), 0) +
    IFERROR(SUMIFS('Acompanhamento quinzenal'!$AE:$AE, 'Acompanhamento quinzenal'!$Z:$Z, A164), 0) +
    IFERROR(SUMIFS('Acompanhamento quinzenal'!$AK:$AK, 'Acompanhamento quinzenal'!$AF:$AF, A164), 0)
  ) /
  (
    COUNTIF('Acompanhamento quinzenal'!$N:$N, A164) +
    COUNTIF('Acompanhamento quinzenal'!$T:$T, A164) +
    COUNTIF('Acompanhamento quinzenal'!$Z:$Z, A164) +
    COUNTIF('Acompanhamento quinzenal'!$AF:$AF, A164)
  )
)
</f>
        <v>-</v>
      </c>
      <c r="W164" s="293" t="str">
        <f>IF(
  (
    COUNTIF('Acompanhamento quinzenal'!$N:$N, A164) +
    COUNTIF('Acompanhamento quinzenal'!$T:$T, A164) +
    COUNTIF('Acompanhamento quinzenal'!$Z:$Z, A164) +
    COUNTIF('Acompanhamento quinzenal'!$AF:$AF, A164)
  ) = 0,
  "-",
  (
    IFERROR(SUMIFS('Acompanhamento quinzenal'!$O:$O, 'Acompanhamento quinzenal'!$N:$N, A164), 0) +
    IFERROR(SUMIFS('Acompanhamento quinzenal'!$U:$U, 'Acompanhamento quinzenal'!$T:$T, A164), 0) +
    IFERROR(SUMIFS('Acompanhamento quinzenal'!$AA:$AA, 'Acompanhamento quinzenal'!$Z:$Z, A164), 0) +
    IFERROR(SUMIFS('Acompanhamento quinzenal'!$AG:$AG, 'Acompanhamento quinzenal'!$AF:$AF, A164), 0)
  ) /
  (
    COUNTIF('Acompanhamento quinzenal'!$N:$N, A164) +
    COUNTIF('Acompanhamento quinzenal'!$T:$T, A164) +
    COUNTIF('Acompanhamento quinzenal'!$Z:$Z, A164) +
    COUNTIF('Acompanhamento quinzenal'!$AF:$AF, A164)
  )
)
</f>
        <v>-</v>
      </c>
      <c r="X164" s="294" t="str">
        <f>IF(
  (
    COUNTIF('Acompanhamento quinzenal'!$N:$N, A164) +
    COUNTIF('Acompanhamento quinzenal'!$T:$T, A164) +
    COUNTIF('Acompanhamento quinzenal'!$Z:$Z, A164) +
    COUNTIF('Acompanhamento quinzenal'!$AF:$AF, A164)
  ) = 0,
  "-",
  (
    IFERROR(SUMIFS('Acompanhamento quinzenal'!$P:$P, 'Acompanhamento quinzenal'!$N:$N, A164), 0) +
    IFERROR(SUMIFS('Acompanhamento quinzenal'!$V:$V, 'Acompanhamento quinzenal'!$T:$T, A164), 0) +
    IFERROR(SUMIFS('Acompanhamento quinzenal'!$AB:$AB, 'Acompanhamento quinzenal'!$Z:$Z, A164), 0) +
    IFERROR(SUMIFS('Acompanhamento quinzenal'!$AH:$AH, 'Acompanhamento quinzenal'!$AF:$AF, A164), 0)
  ) /
  (
    COUNTIF('Acompanhamento quinzenal'!$N:$N, A164) +
    COUNTIF('Acompanhamento quinzenal'!$T:$T, A164) +
    COUNTIF('Acompanhamento quinzenal'!$Z:$Z, A164) +
    COUNTIF('Acompanhamento quinzenal'!$AF:$AF, A164)
  )
)
</f>
        <v>-</v>
      </c>
      <c r="Y164" s="293" t="str">
        <f>IF(
  (
    COUNTIF('Acompanhamento quinzenal'!$N:$N, A164) +
    COUNTIF('Acompanhamento quinzenal'!$T:$T, A164) +
    COUNTIF('Acompanhamento quinzenal'!$Z:$Z, A164) +
    COUNTIF('Acompanhamento quinzenal'!$AF:$AF, A164)
  ) = 0,
  "-",
  (
    IFERROR(SUMIFS('Acompanhamento quinzenal'!$Q:$Q, 'Acompanhamento quinzenal'!$N:$N, A164), 0) +
    IFERROR(SUMIFS('Acompanhamento quinzenal'!$W:$W, 'Acompanhamento quinzenal'!$T:$T, A164), 0) +
    IFERROR(SUMIFS('Acompanhamento quinzenal'!$AC:$AC, 'Acompanhamento quinzenal'!$Z:$Z, A164), 0) +
    IFERROR(SUMIFS('Acompanhamento quinzenal'!$AI:$AI, 'Acompanhamento quinzenal'!$AF:$AF, A164), 0)
  ) /
  (
    COUNTIF('Acompanhamento quinzenal'!$N:$N, A164) +
    COUNTIF('Acompanhamento quinzenal'!$T:$T, A164) +
    COUNTIF('Acompanhamento quinzenal'!$Z:$Z, A164) +
    COUNTIF('Acompanhamento quinzenal'!$AF:$AF, A164)
  )
)
</f>
        <v>-</v>
      </c>
    </row>
    <row r="165" hidden="1">
      <c r="A165" s="291" t="str">
        <f>IFERROR(__xludf.DUMMYFUNCTION("""COMPUTED_VALUE"""),"rafael.tamasi")</f>
        <v>rafael.tamasi</v>
      </c>
      <c r="B165" s="120" t="str">
        <f>IFERROR(__xludf.DUMMYFUNCTION("""COMPUTED_VALUE"""),"Conselheiro")</f>
        <v>Conselheiro</v>
      </c>
      <c r="C165" s="120" t="str">
        <f>IFERROR(__xludf.DUMMYFUNCTION("""COMPUTED_VALUE"""),"Anucleado")</f>
        <v>Anucleado</v>
      </c>
      <c r="D165" s="292" t="str">
        <f>IFERROR((COUNTIFS(Base!$V:$V,A165,Base!$S:$S,"&gt;8") - COUNTIFS(Base!$V:$V,A165,Base!$S:$S,"&lt;7"))/COUNTIFS(Base!$V:$V,A165,Base!$S:$S,"&lt;&gt;"),"-")</f>
        <v>-</v>
      </c>
      <c r="E165" s="292" t="str">
        <f>IF(
  (
    COUNTIFS(Base!$W:$W, A165, Base!$S:$S, "&lt;&gt;") +
    COUNTIFS(Base!$X:$X, A165, Base!$S:$S, "&lt;&gt;") +
    COUNTIFS(Base!$Y:$Y, A165, Base!$S:$S, "&lt;&gt;") +
    COUNTIFS(Base!$Z:$Z, A165, Base!$S:$S, "&lt;&gt;")
  ) = 0,
  "-",
  (
    COUNTIFS(Base!$W:$W, A165, Base!$S:$S, "&gt;8") - COUNTIFS(Base!$W:$W, A165, Base!$S:$S, "&lt;7") +
    COUNTIFS(Base!$X:$X, A165, Base!$S:$S, "&gt;8") - COUNTIFS(Base!$X:$X, A165, Base!$S:$S, "&lt;7") +
    COUNTIFS(Base!$Y:$Y, A165, Base!$S:$S, "&gt;8") - COUNTIFS(Base!$Y:$Y, A165, Base!$S:$S, "&lt;7") +
    COUNTIFS(Base!$Z:$Z, A165, Base!$S:$S, "&gt;8") - COUNTIFS(Base!$Z:$Z, A165, Base!$S:$S, "&lt;7")
  ) /
  (
    COUNTIFS(Base!$W:$W, A165, Base!$S:$S, "&lt;&gt;") +
    COUNTIFS(Base!$X:$X, A165, Base!$S:$S, "&lt;&gt;") +
    COUNTIFS(Base!$Y:$Y, A165, Base!$S:$S, "&lt;&gt;") +
    COUNTIFS(Base!$Z:$Z, A165, Base!$S:$S, "&lt;&gt;")
  )
)
</f>
        <v>-</v>
      </c>
      <c r="F165" s="290">
        <f>SUMIFS(Base!$N:$N,Base!$V:$V,A165,Base!$N:$N,"&lt;&gt;")-SUMIFS(Base!$K:$K,Base!$V:$V,A165,Base!$N:$N,"&lt;&gt;")-(SUMIFS(Base!$L:$L,Base!$V:$V,A165,Base!$N:$N,"&lt;&gt;")*7)</f>
        <v>0</v>
      </c>
      <c r="G165" s="290"/>
      <c r="H165" s="290">
        <f>SUMIFS(Base!$F:$F,Base!$V:$V,A165,Base!$N:$N,"&lt;&gt;")*7</f>
        <v>0</v>
      </c>
      <c r="I165" s="290"/>
      <c r="J165" s="292" t="str">
        <f t="shared" ref="J165:K165" si="166">IFERROR(F165/H165,"-")</f>
        <v>-</v>
      </c>
      <c r="K165" s="292" t="str">
        <f t="shared" si="166"/>
        <v>-</v>
      </c>
      <c r="L165" s="292" t="str">
        <f>IFERROR((COUNTIFS(Base!$V:$V,A165,Base!$U:$U,TRUE))/(COUNTIFS(Base!$V:$V,A165,Base!$O:$O,"Finalizado")+COUNTIFS(Base!$V:$V,A165,Base!$O:$O,"Concluído")),"-")</f>
        <v>-</v>
      </c>
      <c r="M165" s="292" t="str">
        <f>IF(
  (
    IFERROR(COUNTIF(Base!$W:$W, A165), 0) +
    IFERROR(COUNTIF(Base!$X:$X, A165), 0) +
    IFERROR(COUNTIF(Base!$Y:$Y, A165), 0) +
    IFERROR(COUNTIF(Base!$Z:$Z, A165), 0)
  ) = 0,
  "-",
  IF(
    (
      IFERROR(COUNTIFS(Base!$W:$W, A165, Base!$O:$O, "Finalizado"), 0) +
      IFERROR(COUNTIFS(Base!$W:$W, A165, Base!$O:$O, "Concluído"), 0) +
      IFERROR(COUNTIFS(Base!$X:$X, A165, Base!$O:$O, "Finalizado"), 0) +
      IFERROR(COUNTIFS(Base!$X:$X, A165, Base!$O:$O, "Concluído"), 0) +
      IFERROR(COUNTIFS(Base!$Y:$Y, A165, Base!$O:$O, "Finalizado"), 0) +
      IFERROR(COUNTIFS(Base!$Y:$Y, A165, Base!$O:$O, "Concluído"), 0) +
      IFERROR(COUNTIFS(Base!$Z:$Z, A165, Base!$O:$O, "Finalizado"), 0) +
      IFERROR(COUNTIFS(Base!$Z:$Z, A165, Base!$O:$O, "Concluído"), 0)
    ) = 0,
    "-",
    (
      IFERROR(COUNTIFS(Base!$W:$W, A165, Base!$U:$U, TRUE), 0) +
      IFERROR(COUNTIFS(Base!$X:$X, A165, Base!$U:$U, TRUE), 0) +
      IFERROR(COUNTIFS(Base!$Y:$Y, A165, Base!$U:$U, TRUE), 0) +
      IFERROR(COUNTIFS(Base!$Z:$Z, A165, Base!$U:$U, TRUE), 0)
    ) /
    (
      IFERROR(COUNTIFS(Base!$W:$W, A165, Base!$O:$O, "Finalizado"), 0) +
      IFERROR(COUNTIFS(Base!$W:$W, A165, Base!$O:$O, "Concluído"), 0) +
      IFERROR(COUNTIFS(Base!$X:$X, A165, Base!$O:$O, "Finalizado"), 0) +
      IFERROR(COUNTIFS(Base!$X:$X, A165, Base!$O:$O, "Concluído"), 0) +
      IFERROR(COUNTIFS(Base!$Y:$Y, A165, Base!$O:$O, "Finalizado"), 0) +
      IFERROR(COUNTIFS(Base!$Y:$Y, A165, Base!$O:$O, "Concluído"), 0) +
      IFERROR(COUNTIFS(Base!$Z:$Z, A165, Base!$O:$O, "Finalizado"), 0) +
      IFERROR(COUNTIFS(Base!$Z:$Z, A165, Base!$O:$O, "Concluído"), 0)
    )
  )
)
</f>
        <v>-</v>
      </c>
      <c r="N165" s="120">
        <f>COUNTIF(Base!V:V,$A165)</f>
        <v>0</v>
      </c>
      <c r="O165" s="120">
        <f>COUNTIF(Base!W:W,$A165)</f>
        <v>0</v>
      </c>
      <c r="P165" s="120">
        <f>COUNTIF(Base!X:X,$A165)</f>
        <v>0</v>
      </c>
      <c r="Q165" s="120">
        <f>COUNTIF(Base!Y:Y,$A165)</f>
        <v>0</v>
      </c>
      <c r="R165" s="120">
        <f>COUNTIF(Base!Z:Z,$A165)</f>
        <v>0</v>
      </c>
      <c r="S165" s="120">
        <f t="shared" si="3"/>
        <v>0</v>
      </c>
      <c r="T165" s="120">
        <f t="shared" si="4"/>
        <v>0</v>
      </c>
      <c r="V165" s="293" t="str">
        <f>IF(
  (
    COUNTIF('Acompanhamento quinzenal'!$N:$N, A165) +
    COUNTIF('Acompanhamento quinzenal'!$T:$T, A165) +
    COUNTIF('Acompanhamento quinzenal'!$Z:$Z, A165) +
    COUNTIF('Acompanhamento quinzenal'!$AF:$AF, A165)
  ) = 0,
  "-",
  (
    IFERROR(SUMIFS('Acompanhamento quinzenal'!$S:$S, 'Acompanhamento quinzenal'!$N:$N, A165), 0) +
    IFERROR(SUMIFS('Acompanhamento quinzenal'!$Y:$Y, 'Acompanhamento quinzenal'!$T:$T, A165), 0) +
    IFERROR(SUMIFS('Acompanhamento quinzenal'!$AE:$AE, 'Acompanhamento quinzenal'!$Z:$Z, A165), 0) +
    IFERROR(SUMIFS('Acompanhamento quinzenal'!$AK:$AK, 'Acompanhamento quinzenal'!$AF:$AF, A165), 0)
  ) /
  (
    COUNTIF('Acompanhamento quinzenal'!$N:$N, A165) +
    COUNTIF('Acompanhamento quinzenal'!$T:$T, A165) +
    COUNTIF('Acompanhamento quinzenal'!$Z:$Z, A165) +
    COUNTIF('Acompanhamento quinzenal'!$AF:$AF, A165)
  )
)
</f>
        <v>-</v>
      </c>
      <c r="W165" s="293" t="str">
        <f>IF(
  (
    COUNTIF('Acompanhamento quinzenal'!$N:$N, A165) +
    COUNTIF('Acompanhamento quinzenal'!$T:$T, A165) +
    COUNTIF('Acompanhamento quinzenal'!$Z:$Z, A165) +
    COUNTIF('Acompanhamento quinzenal'!$AF:$AF, A165)
  ) = 0,
  "-",
  (
    IFERROR(SUMIFS('Acompanhamento quinzenal'!$O:$O, 'Acompanhamento quinzenal'!$N:$N, A165), 0) +
    IFERROR(SUMIFS('Acompanhamento quinzenal'!$U:$U, 'Acompanhamento quinzenal'!$T:$T, A165), 0) +
    IFERROR(SUMIFS('Acompanhamento quinzenal'!$AA:$AA, 'Acompanhamento quinzenal'!$Z:$Z, A165), 0) +
    IFERROR(SUMIFS('Acompanhamento quinzenal'!$AG:$AG, 'Acompanhamento quinzenal'!$AF:$AF, A165), 0)
  ) /
  (
    COUNTIF('Acompanhamento quinzenal'!$N:$N, A165) +
    COUNTIF('Acompanhamento quinzenal'!$T:$T, A165) +
    COUNTIF('Acompanhamento quinzenal'!$Z:$Z, A165) +
    COUNTIF('Acompanhamento quinzenal'!$AF:$AF, A165)
  )
)
</f>
        <v>-</v>
      </c>
      <c r="X165" s="294" t="str">
        <f>IF(
  (
    COUNTIF('Acompanhamento quinzenal'!$N:$N, A165) +
    COUNTIF('Acompanhamento quinzenal'!$T:$T, A165) +
    COUNTIF('Acompanhamento quinzenal'!$Z:$Z, A165) +
    COUNTIF('Acompanhamento quinzenal'!$AF:$AF, A165)
  ) = 0,
  "-",
  (
    IFERROR(SUMIFS('Acompanhamento quinzenal'!$P:$P, 'Acompanhamento quinzenal'!$N:$N, A165), 0) +
    IFERROR(SUMIFS('Acompanhamento quinzenal'!$V:$V, 'Acompanhamento quinzenal'!$T:$T, A165), 0) +
    IFERROR(SUMIFS('Acompanhamento quinzenal'!$AB:$AB, 'Acompanhamento quinzenal'!$Z:$Z, A165), 0) +
    IFERROR(SUMIFS('Acompanhamento quinzenal'!$AH:$AH, 'Acompanhamento quinzenal'!$AF:$AF, A165), 0)
  ) /
  (
    COUNTIF('Acompanhamento quinzenal'!$N:$N, A165) +
    COUNTIF('Acompanhamento quinzenal'!$T:$T, A165) +
    COUNTIF('Acompanhamento quinzenal'!$Z:$Z, A165) +
    COUNTIF('Acompanhamento quinzenal'!$AF:$AF, A165)
  )
)
</f>
        <v>-</v>
      </c>
      <c r="Y165" s="293" t="str">
        <f>IF(
  (
    COUNTIF('Acompanhamento quinzenal'!$N:$N, A165) +
    COUNTIF('Acompanhamento quinzenal'!$T:$T, A165) +
    COUNTIF('Acompanhamento quinzenal'!$Z:$Z, A165) +
    COUNTIF('Acompanhamento quinzenal'!$AF:$AF, A165)
  ) = 0,
  "-",
  (
    IFERROR(SUMIFS('Acompanhamento quinzenal'!$Q:$Q, 'Acompanhamento quinzenal'!$N:$N, A165), 0) +
    IFERROR(SUMIFS('Acompanhamento quinzenal'!$W:$W, 'Acompanhamento quinzenal'!$T:$T, A165), 0) +
    IFERROR(SUMIFS('Acompanhamento quinzenal'!$AC:$AC, 'Acompanhamento quinzenal'!$Z:$Z, A165), 0) +
    IFERROR(SUMIFS('Acompanhamento quinzenal'!$AI:$AI, 'Acompanhamento quinzenal'!$AF:$AF, A165), 0)
  ) /
  (
    COUNTIF('Acompanhamento quinzenal'!$N:$N, A165) +
    COUNTIF('Acompanhamento quinzenal'!$T:$T, A165) +
    COUNTIF('Acompanhamento quinzenal'!$Z:$Z, A165) +
    COUNTIF('Acompanhamento quinzenal'!$AF:$AF, A165)
  )
)
</f>
        <v>-</v>
      </c>
    </row>
    <row r="166">
      <c r="A166" s="291" t="str">
        <f>IFERROR(__xludf.DUMMYFUNCTION("""COMPUTED_VALUE"""),"renan.groto")</f>
        <v>renan.groto</v>
      </c>
      <c r="B166" s="120" t="str">
        <f>IFERROR(__xludf.DUMMYFUNCTION("""COMPUTED_VALUE"""),"Consultor")</f>
        <v>Consultor</v>
      </c>
      <c r="C166" s="120" t="str">
        <f>IFERROR(__xludf.DUMMYFUNCTION("""COMPUTED_VALUE"""),"NDados")</f>
        <v>NDados</v>
      </c>
      <c r="D166" s="292" t="str">
        <f>IFERROR((COUNTIFS(Base!$V:$V,A166,Base!$S:$S,"&gt;8") - COUNTIFS(Base!$V:$V,A166,Base!$S:$S,"&lt;7"))/COUNTIFS(Base!$V:$V,A166,Base!$S:$S,"&lt;&gt;"),"-")</f>
        <v>-</v>
      </c>
      <c r="E166" s="292" t="str">
        <f>IF(
  (
    COUNTIFS(Base!$W:$W, A166, Base!$S:$S, "&lt;&gt;") +
    COUNTIFS(Base!$X:$X, A166, Base!$S:$S, "&lt;&gt;") +
    COUNTIFS(Base!$Y:$Y, A166, Base!$S:$S, "&lt;&gt;") +
    COUNTIFS(Base!$Z:$Z, A166, Base!$S:$S, "&lt;&gt;")
  ) = 0,
  "-",
  (
    COUNTIFS(Base!$W:$W, A166, Base!$S:$S, "&gt;8") - COUNTIFS(Base!$W:$W, A166, Base!$S:$S, "&lt;7") +
    COUNTIFS(Base!$X:$X, A166, Base!$S:$S, "&gt;8") - COUNTIFS(Base!$X:$X, A166, Base!$S:$S, "&lt;7") +
    COUNTIFS(Base!$Y:$Y, A166, Base!$S:$S, "&gt;8") - COUNTIFS(Base!$Y:$Y, A166, Base!$S:$S, "&lt;7") +
    COUNTIFS(Base!$Z:$Z, A166, Base!$S:$S, "&gt;8") - COUNTIFS(Base!$Z:$Z, A166, Base!$S:$S, "&lt;7")
  ) /
  (
    COUNTIFS(Base!$W:$W, A166, Base!$S:$S, "&lt;&gt;") +
    COUNTIFS(Base!$X:$X, A166, Base!$S:$S, "&lt;&gt;") +
    COUNTIFS(Base!$Y:$Y, A166, Base!$S:$S, "&lt;&gt;") +
    COUNTIFS(Base!$Z:$Z, A166, Base!$S:$S, "&lt;&gt;")
  )
)
</f>
        <v>-</v>
      </c>
      <c r="F166" s="290">
        <f>SUMIFS(Base!$N:$N,Base!$V:$V,A166,Base!$N:$N,"&lt;&gt;")-SUMIFS(Base!$K:$K,Base!$V:$V,A166,Base!$N:$N,"&lt;&gt;")-(SUMIFS(Base!$L:$L,Base!$V:$V,A166,Base!$N:$N,"&lt;&gt;")*7)</f>
        <v>0</v>
      </c>
      <c r="G166" s="290"/>
      <c r="H166" s="290">
        <f>SUMIFS(Base!$F:$F,Base!$V:$V,A166,Base!$N:$N,"&lt;&gt;")*7</f>
        <v>0</v>
      </c>
      <c r="I166" s="290"/>
      <c r="J166" s="292" t="str">
        <f t="shared" ref="J166:K166" si="167">IFERROR(F166/H166,"-")</f>
        <v>-</v>
      </c>
      <c r="K166" s="292" t="str">
        <f t="shared" si="167"/>
        <v>-</v>
      </c>
      <c r="L166" s="292" t="str">
        <f>IFERROR((COUNTIFS(Base!$V:$V,A166,Base!$U:$U,TRUE))/(COUNTIFS(Base!$V:$V,A166,Base!$O:$O,"Finalizado")+COUNTIFS(Base!$V:$V,A166,Base!$O:$O,"Concluído")),"-")</f>
        <v>-</v>
      </c>
      <c r="M166" s="292" t="str">
        <f>IF(
  (
    IFERROR(COUNTIF(Base!$W:$W, A166), 0) +
    IFERROR(COUNTIF(Base!$X:$X, A166), 0) +
    IFERROR(COUNTIF(Base!$Y:$Y, A166), 0) +
    IFERROR(COUNTIF(Base!$Z:$Z, A166), 0)
  ) = 0,
  "-",
  IF(
    (
      IFERROR(COUNTIFS(Base!$W:$W, A166, Base!$O:$O, "Finalizado"), 0) +
      IFERROR(COUNTIFS(Base!$W:$W, A166, Base!$O:$O, "Concluído"), 0) +
      IFERROR(COUNTIFS(Base!$X:$X, A166, Base!$O:$O, "Finalizado"), 0) +
      IFERROR(COUNTIFS(Base!$X:$X, A166, Base!$O:$O, "Concluído"), 0) +
      IFERROR(COUNTIFS(Base!$Y:$Y, A166, Base!$O:$O, "Finalizado"), 0) +
      IFERROR(COUNTIFS(Base!$Y:$Y, A166, Base!$O:$O, "Concluído"), 0) +
      IFERROR(COUNTIFS(Base!$Z:$Z, A166, Base!$O:$O, "Finalizado"), 0) +
      IFERROR(COUNTIFS(Base!$Z:$Z, A166, Base!$O:$O, "Concluído"), 0)
    ) = 0,
    "-",
    (
      IFERROR(COUNTIFS(Base!$W:$W, A166, Base!$U:$U, TRUE), 0) +
      IFERROR(COUNTIFS(Base!$X:$X, A166, Base!$U:$U, TRUE), 0) +
      IFERROR(COUNTIFS(Base!$Y:$Y, A166, Base!$U:$U, TRUE), 0) +
      IFERROR(COUNTIFS(Base!$Z:$Z, A166, Base!$U:$U, TRUE), 0)
    ) /
    (
      IFERROR(COUNTIFS(Base!$W:$W, A166, Base!$O:$O, "Finalizado"), 0) +
      IFERROR(COUNTIFS(Base!$W:$W, A166, Base!$O:$O, "Concluído"), 0) +
      IFERROR(COUNTIFS(Base!$X:$X, A166, Base!$O:$O, "Finalizado"), 0) +
      IFERROR(COUNTIFS(Base!$X:$X, A166, Base!$O:$O, "Concluído"), 0) +
      IFERROR(COUNTIFS(Base!$Y:$Y, A166, Base!$O:$O, "Finalizado"), 0) +
      IFERROR(COUNTIFS(Base!$Y:$Y, A166, Base!$O:$O, "Concluído"), 0) +
      IFERROR(COUNTIFS(Base!$Z:$Z, A166, Base!$O:$O, "Finalizado"), 0) +
      IFERROR(COUNTIFS(Base!$Z:$Z, A166, Base!$O:$O, "Concluído"), 0)
    )
  )
)
</f>
        <v>-</v>
      </c>
      <c r="N166" s="120">
        <f>COUNTIF(Base!V:V,$A166)</f>
        <v>0</v>
      </c>
      <c r="O166" s="120">
        <f>COUNTIF(Base!W:W,$A166)</f>
        <v>4</v>
      </c>
      <c r="P166" s="120">
        <f>COUNTIF(Base!X:X,$A166)</f>
        <v>0</v>
      </c>
      <c r="Q166" s="120">
        <f>COUNTIF(Base!Y:Y,$A166)</f>
        <v>0</v>
      </c>
      <c r="R166" s="120">
        <f>COUNTIF(Base!Z:Z,$A166)</f>
        <v>0</v>
      </c>
      <c r="S166" s="120">
        <f t="shared" si="3"/>
        <v>4</v>
      </c>
      <c r="T166" s="120">
        <f t="shared" si="4"/>
        <v>4</v>
      </c>
      <c r="V166" s="293">
        <f>IF(
  (
    COUNTIF('Acompanhamento quinzenal'!$N:$N, A166) +
    COUNTIF('Acompanhamento quinzenal'!$T:$T, A166) +
    COUNTIF('Acompanhamento quinzenal'!$Z:$Z, A166) +
    COUNTIF('Acompanhamento quinzenal'!$AF:$AF, A166)
  ) = 0,
  "-",
  (
    IFERROR(SUMIFS('Acompanhamento quinzenal'!$S:$S, 'Acompanhamento quinzenal'!$N:$N, A166), 0) +
    IFERROR(SUMIFS('Acompanhamento quinzenal'!$Y:$Y, 'Acompanhamento quinzenal'!$T:$T, A166), 0) +
    IFERROR(SUMIFS('Acompanhamento quinzenal'!$AE:$AE, 'Acompanhamento quinzenal'!$Z:$Z, A166), 0) +
    IFERROR(SUMIFS('Acompanhamento quinzenal'!$AK:$AK, 'Acompanhamento quinzenal'!$AF:$AF, A166), 0)
  ) /
  (
    COUNTIF('Acompanhamento quinzenal'!$N:$N, A166) +
    COUNTIF('Acompanhamento quinzenal'!$T:$T, A166) +
    COUNTIF('Acompanhamento quinzenal'!$Z:$Z, A166) +
    COUNTIF('Acompanhamento quinzenal'!$AF:$AF, A166)
  )
)
</f>
        <v>3.333333333</v>
      </c>
      <c r="W166" s="293">
        <f>IF(
  (
    COUNTIF('Acompanhamento quinzenal'!$N:$N, A166) +
    COUNTIF('Acompanhamento quinzenal'!$T:$T, A166) +
    COUNTIF('Acompanhamento quinzenal'!$Z:$Z, A166) +
    COUNTIF('Acompanhamento quinzenal'!$AF:$AF, A166)
  ) = 0,
  "-",
  (
    IFERROR(SUMIFS('Acompanhamento quinzenal'!$O:$O, 'Acompanhamento quinzenal'!$N:$N, A166), 0) +
    IFERROR(SUMIFS('Acompanhamento quinzenal'!$U:$U, 'Acompanhamento quinzenal'!$T:$T, A166), 0) +
    IFERROR(SUMIFS('Acompanhamento quinzenal'!$AA:$AA, 'Acompanhamento quinzenal'!$Z:$Z, A166), 0) +
    IFERROR(SUMIFS('Acompanhamento quinzenal'!$AG:$AG, 'Acompanhamento quinzenal'!$AF:$AF, A166), 0)
  ) /
  (
    COUNTIF('Acompanhamento quinzenal'!$N:$N, A166) +
    COUNTIF('Acompanhamento quinzenal'!$T:$T, A166) +
    COUNTIF('Acompanhamento quinzenal'!$Z:$Z, A166) +
    COUNTIF('Acompanhamento quinzenal'!$AF:$AF, A166)
  )
)
</f>
        <v>3.5</v>
      </c>
      <c r="X166" s="294">
        <f>IF(
  (
    COUNTIF('Acompanhamento quinzenal'!$N:$N, A166) +
    COUNTIF('Acompanhamento quinzenal'!$T:$T, A166) +
    COUNTIF('Acompanhamento quinzenal'!$Z:$Z, A166) +
    COUNTIF('Acompanhamento quinzenal'!$AF:$AF, A166)
  ) = 0,
  "-",
  (
    IFERROR(SUMIFS('Acompanhamento quinzenal'!$P:$P, 'Acompanhamento quinzenal'!$N:$N, A166), 0) +
    IFERROR(SUMIFS('Acompanhamento quinzenal'!$V:$V, 'Acompanhamento quinzenal'!$T:$T, A166), 0) +
    IFERROR(SUMIFS('Acompanhamento quinzenal'!$AB:$AB, 'Acompanhamento quinzenal'!$Z:$Z, A166), 0) +
    IFERROR(SUMIFS('Acompanhamento quinzenal'!$AH:$AH, 'Acompanhamento quinzenal'!$AF:$AF, A166), 0)
  ) /
  (
    COUNTIF('Acompanhamento quinzenal'!$N:$N, A166) +
    COUNTIF('Acompanhamento quinzenal'!$T:$T, A166) +
    COUNTIF('Acompanhamento quinzenal'!$Z:$Z, A166) +
    COUNTIF('Acompanhamento quinzenal'!$AF:$AF, A166)
  )
)
</f>
        <v>3.25</v>
      </c>
      <c r="Y166" s="293">
        <f>IF(
  (
    COUNTIF('Acompanhamento quinzenal'!$N:$N, A166) +
    COUNTIF('Acompanhamento quinzenal'!$T:$T, A166) +
    COUNTIF('Acompanhamento quinzenal'!$Z:$Z, A166) +
    COUNTIF('Acompanhamento quinzenal'!$AF:$AF, A166)
  ) = 0,
  "-",
  (
    IFERROR(SUMIFS('Acompanhamento quinzenal'!$Q:$Q, 'Acompanhamento quinzenal'!$N:$N, A166), 0) +
    IFERROR(SUMIFS('Acompanhamento quinzenal'!$W:$W, 'Acompanhamento quinzenal'!$T:$T, A166), 0) +
    IFERROR(SUMIFS('Acompanhamento quinzenal'!$AC:$AC, 'Acompanhamento quinzenal'!$Z:$Z, A166), 0) +
    IFERROR(SUMIFS('Acompanhamento quinzenal'!$AI:$AI, 'Acompanhamento quinzenal'!$AF:$AF, A166), 0)
  ) /
  (
    COUNTIF('Acompanhamento quinzenal'!$N:$N, A166) +
    COUNTIF('Acompanhamento quinzenal'!$T:$T, A166) +
    COUNTIF('Acompanhamento quinzenal'!$Z:$Z, A166) +
    COUNTIF('Acompanhamento quinzenal'!$AF:$AF, A166)
  )
)
</f>
        <v>3.25</v>
      </c>
    </row>
    <row r="167" hidden="1">
      <c r="A167" s="291" t="str">
        <f>IFERROR(__xludf.DUMMYFUNCTION("""COMPUTED_VALUE"""),"ricardo.rosebaum")</f>
        <v>ricardo.rosebaum</v>
      </c>
      <c r="B167" s="120" t="str">
        <f>IFERROR(__xludf.DUMMYFUNCTION("""COMPUTED_VALUE"""),"Trainee")</f>
        <v>Trainee</v>
      </c>
      <c r="C167" s="120" t="str">
        <f>IFERROR(__xludf.DUMMYFUNCTION("""COMPUTED_VALUE"""),"NTec")</f>
        <v>NTec</v>
      </c>
      <c r="D167" s="292" t="str">
        <f>IFERROR((COUNTIFS(Base!$V:$V,A167,Base!$S:$S,"&gt;8") - COUNTIFS(Base!$V:$V,A167,Base!$S:$S,"&lt;7"))/COUNTIFS(Base!$V:$V,A167,Base!$S:$S,"&lt;&gt;"),"-")</f>
        <v>-</v>
      </c>
      <c r="E167" s="292" t="str">
        <f>IF(
  (
    COUNTIFS(Base!$W:$W, A167, Base!$S:$S, "&lt;&gt;") +
    COUNTIFS(Base!$X:$X, A167, Base!$S:$S, "&lt;&gt;") +
    COUNTIFS(Base!$Y:$Y, A167, Base!$S:$S, "&lt;&gt;") +
    COUNTIFS(Base!$Z:$Z, A167, Base!$S:$S, "&lt;&gt;")
  ) = 0,
  "-",
  (
    COUNTIFS(Base!$W:$W, A167, Base!$S:$S, "&gt;8") - COUNTIFS(Base!$W:$W, A167, Base!$S:$S, "&lt;7") +
    COUNTIFS(Base!$X:$X, A167, Base!$S:$S, "&gt;8") - COUNTIFS(Base!$X:$X, A167, Base!$S:$S, "&lt;7") +
    COUNTIFS(Base!$Y:$Y, A167, Base!$S:$S, "&gt;8") - COUNTIFS(Base!$Y:$Y, A167, Base!$S:$S, "&lt;7") +
    COUNTIFS(Base!$Z:$Z, A167, Base!$S:$S, "&gt;8") - COUNTIFS(Base!$Z:$Z, A167, Base!$S:$S, "&lt;7")
  ) /
  (
    COUNTIFS(Base!$W:$W, A167, Base!$S:$S, "&lt;&gt;") +
    COUNTIFS(Base!$X:$X, A167, Base!$S:$S, "&lt;&gt;") +
    COUNTIFS(Base!$Y:$Y, A167, Base!$S:$S, "&lt;&gt;") +
    COUNTIFS(Base!$Z:$Z, A167, Base!$S:$S, "&lt;&gt;")
  )
)
</f>
        <v>-</v>
      </c>
      <c r="F167" s="290">
        <f>SUMIFS(Base!$N:$N,Base!$V:$V,A167,Base!$N:$N,"&lt;&gt;")-SUMIFS(Base!$K:$K,Base!$V:$V,A167,Base!$N:$N,"&lt;&gt;")-(SUMIFS(Base!$L:$L,Base!$V:$V,A167,Base!$N:$N,"&lt;&gt;")*7)</f>
        <v>0</v>
      </c>
      <c r="G167" s="290"/>
      <c r="H167" s="290">
        <f>SUMIFS(Base!$F:$F,Base!$V:$V,A167,Base!$N:$N,"&lt;&gt;")*7</f>
        <v>0</v>
      </c>
      <c r="I167" s="290"/>
      <c r="J167" s="292" t="str">
        <f t="shared" ref="J167:K167" si="168">IFERROR(F167/H167,"-")</f>
        <v>-</v>
      </c>
      <c r="K167" s="292" t="str">
        <f t="shared" si="168"/>
        <v>-</v>
      </c>
      <c r="L167" s="292" t="str">
        <f>IFERROR((COUNTIFS(Base!$V:$V,A167,Base!$U:$U,TRUE))/(COUNTIFS(Base!$V:$V,A167,Base!$O:$O,"Finalizado")+COUNTIFS(Base!$V:$V,A167,Base!$O:$O,"Concluído")),"-")</f>
        <v>-</v>
      </c>
      <c r="M167" s="292" t="str">
        <f>IF(
  (
    IFERROR(COUNTIF(Base!$W:$W, A167), 0) +
    IFERROR(COUNTIF(Base!$X:$X, A167), 0) +
    IFERROR(COUNTIF(Base!$Y:$Y, A167), 0) +
    IFERROR(COUNTIF(Base!$Z:$Z, A167), 0)
  ) = 0,
  "-",
  IF(
    (
      IFERROR(COUNTIFS(Base!$W:$W, A167, Base!$O:$O, "Finalizado"), 0) +
      IFERROR(COUNTIFS(Base!$W:$W, A167, Base!$O:$O, "Concluído"), 0) +
      IFERROR(COUNTIFS(Base!$X:$X, A167, Base!$O:$O, "Finalizado"), 0) +
      IFERROR(COUNTIFS(Base!$X:$X, A167, Base!$O:$O, "Concluído"), 0) +
      IFERROR(COUNTIFS(Base!$Y:$Y, A167, Base!$O:$O, "Finalizado"), 0) +
      IFERROR(COUNTIFS(Base!$Y:$Y, A167, Base!$O:$O, "Concluído"), 0) +
      IFERROR(COUNTIFS(Base!$Z:$Z, A167, Base!$O:$O, "Finalizado"), 0) +
      IFERROR(COUNTIFS(Base!$Z:$Z, A167, Base!$O:$O, "Concluído"), 0)
    ) = 0,
    "-",
    (
      IFERROR(COUNTIFS(Base!$W:$W, A167, Base!$U:$U, TRUE), 0) +
      IFERROR(COUNTIFS(Base!$X:$X, A167, Base!$U:$U, TRUE), 0) +
      IFERROR(COUNTIFS(Base!$Y:$Y, A167, Base!$U:$U, TRUE), 0) +
      IFERROR(COUNTIFS(Base!$Z:$Z, A167, Base!$U:$U, TRUE), 0)
    ) /
    (
      IFERROR(COUNTIFS(Base!$W:$W, A167, Base!$O:$O, "Finalizado"), 0) +
      IFERROR(COUNTIFS(Base!$W:$W, A167, Base!$O:$O, "Concluído"), 0) +
      IFERROR(COUNTIFS(Base!$X:$X, A167, Base!$O:$O, "Finalizado"), 0) +
      IFERROR(COUNTIFS(Base!$X:$X, A167, Base!$O:$O, "Concluído"), 0) +
      IFERROR(COUNTIFS(Base!$Y:$Y, A167, Base!$O:$O, "Finalizado"), 0) +
      IFERROR(COUNTIFS(Base!$Y:$Y, A167, Base!$O:$O, "Concluído"), 0) +
      IFERROR(COUNTIFS(Base!$Z:$Z, A167, Base!$O:$O, "Finalizado"), 0) +
      IFERROR(COUNTIFS(Base!$Z:$Z, A167, Base!$O:$O, "Concluído"), 0)
    )
  )
)
</f>
        <v>-</v>
      </c>
      <c r="N167" s="120">
        <f>COUNTIF(Base!V:V,$A167)</f>
        <v>0</v>
      </c>
      <c r="O167" s="120">
        <f>COUNTIF(Base!W:W,$A167)</f>
        <v>0</v>
      </c>
      <c r="P167" s="120">
        <f>COUNTIF(Base!X:X,$A167)</f>
        <v>0</v>
      </c>
      <c r="Q167" s="120">
        <f>COUNTIF(Base!Y:Y,$A167)</f>
        <v>1</v>
      </c>
      <c r="R167" s="120">
        <f>COUNTIF(Base!Z:Z,$A167)</f>
        <v>1</v>
      </c>
      <c r="S167" s="120">
        <f t="shared" si="3"/>
        <v>2</v>
      </c>
      <c r="T167" s="120">
        <f t="shared" si="4"/>
        <v>2</v>
      </c>
      <c r="U167" s="120"/>
      <c r="V167" s="293" t="str">
        <f>IF(
  (
    COUNTIF('Acompanhamento quinzenal'!$N:$N, A167) +
    COUNTIF('Acompanhamento quinzenal'!$T:$T, A167) +
    COUNTIF('Acompanhamento quinzenal'!$Z:$Z, A167) +
    COUNTIF('Acompanhamento quinzenal'!$AF:$AF, A167)
  ) = 0,
  "-",
  (
    IFERROR(SUMIFS('Acompanhamento quinzenal'!$S:$S, 'Acompanhamento quinzenal'!$N:$N, A167), 0) +
    IFERROR(SUMIFS('Acompanhamento quinzenal'!$Y:$Y, 'Acompanhamento quinzenal'!$T:$T, A167), 0) +
    IFERROR(SUMIFS('Acompanhamento quinzenal'!$AE:$AE, 'Acompanhamento quinzenal'!$Z:$Z, A167), 0) +
    IFERROR(SUMIFS('Acompanhamento quinzenal'!$AK:$AK, 'Acompanhamento quinzenal'!$AF:$AF, A167), 0)
  ) /
  (
    COUNTIF('Acompanhamento quinzenal'!$N:$N, A167) +
    COUNTIF('Acompanhamento quinzenal'!$T:$T, A167) +
    COUNTIF('Acompanhamento quinzenal'!$Z:$Z, A167) +
    COUNTIF('Acompanhamento quinzenal'!$AF:$AF, A167)
  )
)
</f>
        <v>-</v>
      </c>
      <c r="W167" s="293" t="str">
        <f>IF(
  (
    COUNTIF('Acompanhamento quinzenal'!$N:$N, A167) +
    COUNTIF('Acompanhamento quinzenal'!$T:$T, A167) +
    COUNTIF('Acompanhamento quinzenal'!$Z:$Z, A167) +
    COUNTIF('Acompanhamento quinzenal'!$AF:$AF, A167)
  ) = 0,
  "-",
  (
    IFERROR(SUMIFS('Acompanhamento quinzenal'!$O:$O, 'Acompanhamento quinzenal'!$N:$N, A167), 0) +
    IFERROR(SUMIFS('Acompanhamento quinzenal'!$U:$U, 'Acompanhamento quinzenal'!$T:$T, A167), 0) +
    IFERROR(SUMIFS('Acompanhamento quinzenal'!$AA:$AA, 'Acompanhamento quinzenal'!$Z:$Z, A167), 0) +
    IFERROR(SUMIFS('Acompanhamento quinzenal'!$AG:$AG, 'Acompanhamento quinzenal'!$AF:$AF, A167), 0)
  ) /
  (
    COUNTIF('Acompanhamento quinzenal'!$N:$N, A167) +
    COUNTIF('Acompanhamento quinzenal'!$T:$T, A167) +
    COUNTIF('Acompanhamento quinzenal'!$Z:$Z, A167) +
    COUNTIF('Acompanhamento quinzenal'!$AF:$AF, A167)
  )
)
</f>
        <v>-</v>
      </c>
      <c r="X167" s="294" t="str">
        <f>IF(
  (
    COUNTIF('Acompanhamento quinzenal'!$N:$N, A167) +
    COUNTIF('Acompanhamento quinzenal'!$T:$T, A167) +
    COUNTIF('Acompanhamento quinzenal'!$Z:$Z, A167) +
    COUNTIF('Acompanhamento quinzenal'!$AF:$AF, A167)
  ) = 0,
  "-",
  (
    IFERROR(SUMIFS('Acompanhamento quinzenal'!$P:$P, 'Acompanhamento quinzenal'!$N:$N, A167), 0) +
    IFERROR(SUMIFS('Acompanhamento quinzenal'!$V:$V, 'Acompanhamento quinzenal'!$T:$T, A167), 0) +
    IFERROR(SUMIFS('Acompanhamento quinzenal'!$AB:$AB, 'Acompanhamento quinzenal'!$Z:$Z, A167), 0) +
    IFERROR(SUMIFS('Acompanhamento quinzenal'!$AH:$AH, 'Acompanhamento quinzenal'!$AF:$AF, A167), 0)
  ) /
  (
    COUNTIF('Acompanhamento quinzenal'!$N:$N, A167) +
    COUNTIF('Acompanhamento quinzenal'!$T:$T, A167) +
    COUNTIF('Acompanhamento quinzenal'!$Z:$Z, A167) +
    COUNTIF('Acompanhamento quinzenal'!$AF:$AF, A167)
  )
)
</f>
        <v>-</v>
      </c>
      <c r="Y167" s="293" t="str">
        <f>IF(
  (
    COUNTIF('Acompanhamento quinzenal'!$N:$N, A167) +
    COUNTIF('Acompanhamento quinzenal'!$T:$T, A167) +
    COUNTIF('Acompanhamento quinzenal'!$Z:$Z, A167) +
    COUNTIF('Acompanhamento quinzenal'!$AF:$AF, A167)
  ) = 0,
  "-",
  (
    IFERROR(SUMIFS('Acompanhamento quinzenal'!$Q:$Q, 'Acompanhamento quinzenal'!$N:$N, A167), 0) +
    IFERROR(SUMIFS('Acompanhamento quinzenal'!$W:$W, 'Acompanhamento quinzenal'!$T:$T, A167), 0) +
    IFERROR(SUMIFS('Acompanhamento quinzenal'!$AC:$AC, 'Acompanhamento quinzenal'!$Z:$Z, A167), 0) +
    IFERROR(SUMIFS('Acompanhamento quinzenal'!$AI:$AI, 'Acompanhamento quinzenal'!$AF:$AF, A167), 0)
  ) /
  (
    COUNTIF('Acompanhamento quinzenal'!$N:$N, A167) +
    COUNTIF('Acompanhamento quinzenal'!$T:$T, A167) +
    COUNTIF('Acompanhamento quinzenal'!$Z:$Z, A167) +
    COUNTIF('Acompanhamento quinzenal'!$AF:$AF, A167)
  )
)
</f>
        <v>-</v>
      </c>
    </row>
    <row r="168" hidden="1">
      <c r="A168" s="291" t="str">
        <f>IFERROR(__xludf.DUMMYFUNCTION("""COMPUTED_VALUE"""),"sabrina.chui")</f>
        <v>sabrina.chui</v>
      </c>
      <c r="B168" s="120" t="str">
        <f>IFERROR(__xludf.DUMMYFUNCTION("""COMPUTED_VALUE"""),"Consultor")</f>
        <v>Consultor</v>
      </c>
      <c r="C168" s="120" t="str">
        <f>IFERROR(__xludf.DUMMYFUNCTION("""COMPUTED_VALUE"""),"NCon")</f>
        <v>NCon</v>
      </c>
      <c r="D168" s="292" t="str">
        <f>IFERROR((COUNTIFS(Base!$V:$V,A168,Base!$S:$S,"&gt;8") - COUNTIFS(Base!$V:$V,A168,Base!$S:$S,"&lt;7"))/COUNTIFS(Base!$V:$V,A168,Base!$S:$S,"&lt;&gt;"),"-")</f>
        <v>-</v>
      </c>
      <c r="E168" s="292">
        <f>IF(
  (
    COUNTIFS(Base!$W:$W, A168, Base!$S:$S, "&lt;&gt;") +
    COUNTIFS(Base!$X:$X, A168, Base!$S:$S, "&lt;&gt;") +
    COUNTIFS(Base!$Y:$Y, A168, Base!$S:$S, "&lt;&gt;") +
    COUNTIFS(Base!$Z:$Z, A168, Base!$S:$S, "&lt;&gt;")
  ) = 0,
  "-",
  (
    COUNTIFS(Base!$W:$W, A168, Base!$S:$S, "&gt;8") - COUNTIFS(Base!$W:$W, A168, Base!$S:$S, "&lt;7") +
    COUNTIFS(Base!$X:$X, A168, Base!$S:$S, "&gt;8") - COUNTIFS(Base!$X:$X, A168, Base!$S:$S, "&lt;7") +
    COUNTIFS(Base!$Y:$Y, A168, Base!$S:$S, "&gt;8") - COUNTIFS(Base!$Y:$Y, A168, Base!$S:$S, "&lt;7") +
    COUNTIFS(Base!$Z:$Z, A168, Base!$S:$S, "&gt;8") - COUNTIFS(Base!$Z:$Z, A168, Base!$S:$S, "&lt;7")
  ) /
  (
    COUNTIFS(Base!$W:$W, A168, Base!$S:$S, "&lt;&gt;") +
    COUNTIFS(Base!$X:$X, A168, Base!$S:$S, "&lt;&gt;") +
    COUNTIFS(Base!$Y:$Y, A168, Base!$S:$S, "&lt;&gt;") +
    COUNTIFS(Base!$Z:$Z, A168, Base!$S:$S, "&lt;&gt;")
  )
)
</f>
        <v>1</v>
      </c>
      <c r="F168" s="120"/>
      <c r="G168" s="120"/>
      <c r="J168" s="292" t="str">
        <f t="shared" ref="J168:K168" si="169">IFERROR(F168/H168,"-")</f>
        <v>-</v>
      </c>
      <c r="K168" s="292" t="str">
        <f t="shared" si="169"/>
        <v>-</v>
      </c>
      <c r="L168" s="292" t="str">
        <f>IFERROR((COUNTIFS(Base!$V:$V,A168,Base!$U:$U,TRUE))/(COUNTIFS(Base!$V:$V,A168,Base!$O:$O,"Finalizado")+COUNTIFS(Base!$V:$V,A168,Base!$O:$O,"Concluído")),"-")</f>
        <v>-</v>
      </c>
      <c r="M168" s="292">
        <f>IF(
  (
    IFERROR(COUNTIF(Base!$W:$W, A168), 0) +
    IFERROR(COUNTIF(Base!$X:$X, A168), 0) +
    IFERROR(COUNTIF(Base!$Y:$Y, A168), 0) +
    IFERROR(COUNTIF(Base!$Z:$Z, A168), 0)
  ) = 0,
  "-",
  IF(
    (
      IFERROR(COUNTIFS(Base!$W:$W, A168, Base!$O:$O, "Finalizado"), 0) +
      IFERROR(COUNTIFS(Base!$W:$W, A168, Base!$O:$O, "Concluído"), 0) +
      IFERROR(COUNTIFS(Base!$X:$X, A168, Base!$O:$O, "Finalizado"), 0) +
      IFERROR(COUNTIFS(Base!$X:$X, A168, Base!$O:$O, "Concluído"), 0) +
      IFERROR(COUNTIFS(Base!$Y:$Y, A168, Base!$O:$O, "Finalizado"), 0) +
      IFERROR(COUNTIFS(Base!$Y:$Y, A168, Base!$O:$O, "Concluído"), 0) +
      IFERROR(COUNTIFS(Base!$Z:$Z, A168, Base!$O:$O, "Finalizado"), 0) +
      IFERROR(COUNTIFS(Base!$Z:$Z, A168, Base!$O:$O, "Concluído"), 0)
    ) = 0,
    "-",
    (
      IFERROR(COUNTIFS(Base!$W:$W, A168, Base!$U:$U, TRUE), 0) +
      IFERROR(COUNTIFS(Base!$X:$X, A168, Base!$U:$U, TRUE), 0) +
      IFERROR(COUNTIFS(Base!$Y:$Y, A168, Base!$U:$U, TRUE), 0) +
      IFERROR(COUNTIFS(Base!$Z:$Z, A168, Base!$U:$U, TRUE), 0)
    ) /
    (
      IFERROR(COUNTIFS(Base!$W:$W, A168, Base!$O:$O, "Finalizado"), 0) +
      IFERROR(COUNTIFS(Base!$W:$W, A168, Base!$O:$O, "Concluído"), 0) +
      IFERROR(COUNTIFS(Base!$X:$X, A168, Base!$O:$O, "Finalizado"), 0) +
      IFERROR(COUNTIFS(Base!$X:$X, A168, Base!$O:$O, "Concluído"), 0) +
      IFERROR(COUNTIFS(Base!$Y:$Y, A168, Base!$O:$O, "Finalizado"), 0) +
      IFERROR(COUNTIFS(Base!$Y:$Y, A168, Base!$O:$O, "Concluído"), 0) +
      IFERROR(COUNTIFS(Base!$Z:$Z, A168, Base!$O:$O, "Finalizado"), 0) +
      IFERROR(COUNTIFS(Base!$Z:$Z, A168, Base!$O:$O, "Concluído"), 0)
    )
  )
)
</f>
        <v>0</v>
      </c>
      <c r="N168" s="120">
        <f>COUNTIF(Base!V:V,$A168)</f>
        <v>0</v>
      </c>
      <c r="O168" s="120"/>
      <c r="P168" s="120"/>
      <c r="Q168" s="120"/>
      <c r="R168" s="120"/>
      <c r="S168" s="120"/>
      <c r="T168" s="120">
        <f t="shared" si="4"/>
        <v>0</v>
      </c>
      <c r="V168" s="293">
        <f>IF(
  (
    COUNTIF('Acompanhamento quinzenal'!$N:$N, A168) +
    COUNTIF('Acompanhamento quinzenal'!$T:$T, A168) +
    COUNTIF('Acompanhamento quinzenal'!$Z:$Z, A168) +
    COUNTIF('Acompanhamento quinzenal'!$AF:$AF, A168)
  ) = 0,
  "-",
  (
    IFERROR(SUMIFS('Acompanhamento quinzenal'!$S:$S, 'Acompanhamento quinzenal'!$N:$N, A168), 0) +
    IFERROR(SUMIFS('Acompanhamento quinzenal'!$Y:$Y, 'Acompanhamento quinzenal'!$T:$T, A168), 0) +
    IFERROR(SUMIFS('Acompanhamento quinzenal'!$AE:$AE, 'Acompanhamento quinzenal'!$Z:$Z, A168), 0) +
    IFERROR(SUMIFS('Acompanhamento quinzenal'!$AK:$AK, 'Acompanhamento quinzenal'!$AF:$AF, A168), 0)
  ) /
  (
    COUNTIF('Acompanhamento quinzenal'!$N:$N, A168) +
    COUNTIF('Acompanhamento quinzenal'!$T:$T, A168) +
    COUNTIF('Acompanhamento quinzenal'!$Z:$Z, A168) +
    COUNTIF('Acompanhamento quinzenal'!$AF:$AF, A168)
  )
)
</f>
        <v>2.857142857</v>
      </c>
      <c r="W168" s="293">
        <f>IF(
  (
    COUNTIF('Acompanhamento quinzenal'!$N:$N, A168) +
    COUNTIF('Acompanhamento quinzenal'!$T:$T, A168) +
    COUNTIF('Acompanhamento quinzenal'!$Z:$Z, A168) +
    COUNTIF('Acompanhamento quinzenal'!$AF:$AF, A168)
  ) = 0,
  "-",
  (
    IFERROR(SUMIFS('Acompanhamento quinzenal'!$O:$O, 'Acompanhamento quinzenal'!$N:$N, A168), 0) +
    IFERROR(SUMIFS('Acompanhamento quinzenal'!$U:$U, 'Acompanhamento quinzenal'!$T:$T, A168), 0) +
    IFERROR(SUMIFS('Acompanhamento quinzenal'!$AA:$AA, 'Acompanhamento quinzenal'!$Z:$Z, A168), 0) +
    IFERROR(SUMIFS('Acompanhamento quinzenal'!$AG:$AG, 'Acompanhamento quinzenal'!$AF:$AF, A168), 0)
  ) /
  (
    COUNTIF('Acompanhamento quinzenal'!$N:$N, A168) +
    COUNTIF('Acompanhamento quinzenal'!$T:$T, A168) +
    COUNTIF('Acompanhamento quinzenal'!$Z:$Z, A168) +
    COUNTIF('Acompanhamento quinzenal'!$AF:$AF, A168)
  )
)
</f>
        <v>3.142857143</v>
      </c>
      <c r="X168" s="294">
        <f>IF(
  (
    COUNTIF('Acompanhamento quinzenal'!$N:$N, A168) +
    COUNTIF('Acompanhamento quinzenal'!$T:$T, A168) +
    COUNTIF('Acompanhamento quinzenal'!$Z:$Z, A168) +
    COUNTIF('Acompanhamento quinzenal'!$AF:$AF, A168)
  ) = 0,
  "-",
  (
    IFERROR(SUMIFS('Acompanhamento quinzenal'!$P:$P, 'Acompanhamento quinzenal'!$N:$N, A168), 0) +
    IFERROR(SUMIFS('Acompanhamento quinzenal'!$V:$V, 'Acompanhamento quinzenal'!$T:$T, A168), 0) +
    IFERROR(SUMIFS('Acompanhamento quinzenal'!$AB:$AB, 'Acompanhamento quinzenal'!$Z:$Z, A168), 0) +
    IFERROR(SUMIFS('Acompanhamento quinzenal'!$AH:$AH, 'Acompanhamento quinzenal'!$AF:$AF, A168), 0)
  ) /
  (
    COUNTIF('Acompanhamento quinzenal'!$N:$N, A168) +
    COUNTIF('Acompanhamento quinzenal'!$T:$T, A168) +
    COUNTIF('Acompanhamento quinzenal'!$Z:$Z, A168) +
    COUNTIF('Acompanhamento quinzenal'!$AF:$AF, A168)
  )
)
</f>
        <v>3.142857143</v>
      </c>
      <c r="Y168" s="293">
        <f>IF(
  (
    COUNTIF('Acompanhamento quinzenal'!$N:$N, A168) +
    COUNTIF('Acompanhamento quinzenal'!$T:$T, A168) +
    COUNTIF('Acompanhamento quinzenal'!$Z:$Z, A168) +
    COUNTIF('Acompanhamento quinzenal'!$AF:$AF, A168)
  ) = 0,
  "-",
  (
    IFERROR(SUMIFS('Acompanhamento quinzenal'!$Q:$Q, 'Acompanhamento quinzenal'!$N:$N, A168), 0) +
    IFERROR(SUMIFS('Acompanhamento quinzenal'!$W:$W, 'Acompanhamento quinzenal'!$T:$T, A168), 0) +
    IFERROR(SUMIFS('Acompanhamento quinzenal'!$AC:$AC, 'Acompanhamento quinzenal'!$Z:$Z, A168), 0) +
    IFERROR(SUMIFS('Acompanhamento quinzenal'!$AI:$AI, 'Acompanhamento quinzenal'!$AF:$AF, A168), 0)
  ) /
  (
    COUNTIF('Acompanhamento quinzenal'!$N:$N, A168) +
    COUNTIF('Acompanhamento quinzenal'!$T:$T, A168) +
    COUNTIF('Acompanhamento quinzenal'!$Z:$Z, A168) +
    COUNTIF('Acompanhamento quinzenal'!$AF:$AF, A168)
  )
)
</f>
        <v>3.571428571</v>
      </c>
    </row>
    <row r="169" hidden="1">
      <c r="A169" s="291" t="str">
        <f>IFERROR(__xludf.DUMMYFUNCTION("""COMPUTED_VALUE"""),"silvia.melo")</f>
        <v>silvia.melo</v>
      </c>
      <c r="B169" s="120" t="str">
        <f>IFERROR(__xludf.DUMMYFUNCTION("""COMPUTED_VALUE"""),"Trainee")</f>
        <v>Trainee</v>
      </c>
      <c r="C169" s="120" t="str">
        <f>IFERROR(__xludf.DUMMYFUNCTION("""COMPUTED_VALUE"""),"NCiv")</f>
        <v>NCiv</v>
      </c>
      <c r="D169" s="292" t="str">
        <f>IFERROR((COUNTIFS(Base!$V:$V,A169,Base!$S:$S,"&gt;8") - COUNTIFS(Base!$V:$V,A169,Base!$S:$S,"&lt;7"))/COUNTIFS(Base!$V:$V,A169,Base!$S:$S,"&lt;&gt;"),"-")</f>
        <v>-</v>
      </c>
      <c r="E169" s="292" t="str">
        <f>IF(
  (
    COUNTIFS(Base!$W:$W, A169, Base!$S:$S, "&lt;&gt;") +
    COUNTIFS(Base!$X:$X, A169, Base!$S:$S, "&lt;&gt;") +
    COUNTIFS(Base!$Y:$Y, A169, Base!$S:$S, "&lt;&gt;") +
    COUNTIFS(Base!$Z:$Z, A169, Base!$S:$S, "&lt;&gt;")
  ) = 0,
  "-",
  (
    COUNTIFS(Base!$W:$W, A169, Base!$S:$S, "&gt;8") - COUNTIFS(Base!$W:$W, A169, Base!$S:$S, "&lt;7") +
    COUNTIFS(Base!$X:$X, A169, Base!$S:$S, "&gt;8") - COUNTIFS(Base!$X:$X, A169, Base!$S:$S, "&lt;7") +
    COUNTIFS(Base!$Y:$Y, A169, Base!$S:$S, "&gt;8") - COUNTIFS(Base!$Y:$Y, A169, Base!$S:$S, "&lt;7") +
    COUNTIFS(Base!$Z:$Z, A169, Base!$S:$S, "&gt;8") - COUNTIFS(Base!$Z:$Z, A169, Base!$S:$S, "&lt;7")
  ) /
  (
    COUNTIFS(Base!$W:$W, A169, Base!$S:$S, "&lt;&gt;") +
    COUNTIFS(Base!$X:$X, A169, Base!$S:$S, "&lt;&gt;") +
    COUNTIFS(Base!$Y:$Y, A169, Base!$S:$S, "&lt;&gt;") +
    COUNTIFS(Base!$Z:$Z, A169, Base!$S:$S, "&lt;&gt;")
  )
)
</f>
        <v>-</v>
      </c>
      <c r="F169" s="120"/>
      <c r="G169" s="120"/>
      <c r="J169" s="292" t="str">
        <f t="shared" ref="J169:K169" si="170">IFERROR(F169/H169,"-")</f>
        <v>-</v>
      </c>
      <c r="K169" s="292" t="str">
        <f t="shared" si="170"/>
        <v>-</v>
      </c>
      <c r="L169" s="292" t="str">
        <f>IFERROR((COUNTIFS(Base!$V:$V,A169,Base!$U:$U,TRUE))/(COUNTIFS(Base!$V:$V,A169,Base!$O:$O,"Finalizado")+COUNTIFS(Base!$V:$V,A169,Base!$O:$O,"Concluído")),"-")</f>
        <v>-</v>
      </c>
      <c r="M169" s="292" t="str">
        <f>IF(
  (
    IFERROR(COUNTIF(Base!$W:$W, A169), 0) +
    IFERROR(COUNTIF(Base!$X:$X, A169), 0) +
    IFERROR(COUNTIF(Base!$Y:$Y, A169), 0) +
    IFERROR(COUNTIF(Base!$Z:$Z, A169), 0)
  ) = 0,
  "-",
  IF(
    (
      IFERROR(COUNTIFS(Base!$W:$W, A169, Base!$O:$O, "Finalizado"), 0) +
      IFERROR(COUNTIFS(Base!$W:$W, A169, Base!$O:$O, "Concluído"), 0) +
      IFERROR(COUNTIFS(Base!$X:$X, A169, Base!$O:$O, "Finalizado"), 0) +
      IFERROR(COUNTIFS(Base!$X:$X, A169, Base!$O:$O, "Concluído"), 0) +
      IFERROR(COUNTIFS(Base!$Y:$Y, A169, Base!$O:$O, "Finalizado"), 0) +
      IFERROR(COUNTIFS(Base!$Y:$Y, A169, Base!$O:$O, "Concluído"), 0) +
      IFERROR(COUNTIFS(Base!$Z:$Z, A169, Base!$O:$O, "Finalizado"), 0) +
      IFERROR(COUNTIFS(Base!$Z:$Z, A169, Base!$O:$O, "Concluído"), 0)
    ) = 0,
    "-",
    (
      IFERROR(COUNTIFS(Base!$W:$W, A169, Base!$U:$U, TRUE), 0) +
      IFERROR(COUNTIFS(Base!$X:$X, A169, Base!$U:$U, TRUE), 0) +
      IFERROR(COUNTIFS(Base!$Y:$Y, A169, Base!$U:$U, TRUE), 0) +
      IFERROR(COUNTIFS(Base!$Z:$Z, A169, Base!$U:$U, TRUE), 0)
    ) /
    (
      IFERROR(COUNTIFS(Base!$W:$W, A169, Base!$O:$O, "Finalizado"), 0) +
      IFERROR(COUNTIFS(Base!$W:$W, A169, Base!$O:$O, "Concluído"), 0) +
      IFERROR(COUNTIFS(Base!$X:$X, A169, Base!$O:$O, "Finalizado"), 0) +
      IFERROR(COUNTIFS(Base!$X:$X, A169, Base!$O:$O, "Concluído"), 0) +
      IFERROR(COUNTIFS(Base!$Y:$Y, A169, Base!$O:$O, "Finalizado"), 0) +
      IFERROR(COUNTIFS(Base!$Y:$Y, A169, Base!$O:$O, "Concluído"), 0) +
      IFERROR(COUNTIFS(Base!$Z:$Z, A169, Base!$O:$O, "Finalizado"), 0) +
      IFERROR(COUNTIFS(Base!$Z:$Z, A169, Base!$O:$O, "Concluído"), 0)
    )
  )
)
</f>
        <v>-</v>
      </c>
      <c r="N169" s="120">
        <f>COUNTIF(Base!V:V,$A169)</f>
        <v>0</v>
      </c>
      <c r="O169" s="120"/>
      <c r="P169" s="120"/>
      <c r="Q169" s="120"/>
      <c r="R169" s="120"/>
      <c r="S169" s="120"/>
      <c r="T169" s="120">
        <f t="shared" si="4"/>
        <v>0</v>
      </c>
      <c r="V169" s="293">
        <f>IF(
  (
    COUNTIF('Acompanhamento quinzenal'!$N:$N, A169) +
    COUNTIF('Acompanhamento quinzenal'!$T:$T, A169) +
    COUNTIF('Acompanhamento quinzenal'!$Z:$Z, A169) +
    COUNTIF('Acompanhamento quinzenal'!$AF:$AF, A169)
  ) = 0,
  "-",
  (
    IFERROR(SUMIFS('Acompanhamento quinzenal'!$S:$S, 'Acompanhamento quinzenal'!$N:$N, A169), 0) +
    IFERROR(SUMIFS('Acompanhamento quinzenal'!$Y:$Y, 'Acompanhamento quinzenal'!$T:$T, A169), 0) +
    IFERROR(SUMIFS('Acompanhamento quinzenal'!$AE:$AE, 'Acompanhamento quinzenal'!$Z:$Z, A169), 0) +
    IFERROR(SUMIFS('Acompanhamento quinzenal'!$AK:$AK, 'Acompanhamento quinzenal'!$AF:$AF, A169), 0)
  ) /
  (
    COUNTIF('Acompanhamento quinzenal'!$N:$N, A169) +
    COUNTIF('Acompanhamento quinzenal'!$T:$T, A169) +
    COUNTIF('Acompanhamento quinzenal'!$Z:$Z, A169) +
    COUNTIF('Acompanhamento quinzenal'!$AF:$AF, A169)
  )
)
</f>
        <v>0.8333333333</v>
      </c>
      <c r="W169" s="293">
        <f>IF(
  (
    COUNTIF('Acompanhamento quinzenal'!$N:$N, A169) +
    COUNTIF('Acompanhamento quinzenal'!$T:$T, A169) +
    COUNTIF('Acompanhamento quinzenal'!$Z:$Z, A169) +
    COUNTIF('Acompanhamento quinzenal'!$AF:$AF, A169)
  ) = 0,
  "-",
  (
    IFERROR(SUMIFS('Acompanhamento quinzenal'!$O:$O, 'Acompanhamento quinzenal'!$N:$N, A169), 0) +
    IFERROR(SUMIFS('Acompanhamento quinzenal'!$U:$U, 'Acompanhamento quinzenal'!$T:$T, A169), 0) +
    IFERROR(SUMIFS('Acompanhamento quinzenal'!$AA:$AA, 'Acompanhamento quinzenal'!$Z:$Z, A169), 0) +
    IFERROR(SUMIFS('Acompanhamento quinzenal'!$AG:$AG, 'Acompanhamento quinzenal'!$AF:$AF, A169), 0)
  ) /
  (
    COUNTIF('Acompanhamento quinzenal'!$N:$N, A169) +
    COUNTIF('Acompanhamento quinzenal'!$T:$T, A169) +
    COUNTIF('Acompanhamento quinzenal'!$Z:$Z, A169) +
    COUNTIF('Acompanhamento quinzenal'!$AF:$AF, A169)
  )
)
</f>
        <v>2</v>
      </c>
      <c r="X169" s="294">
        <f>IF(
  (
    COUNTIF('Acompanhamento quinzenal'!$N:$N, A169) +
    COUNTIF('Acompanhamento quinzenal'!$T:$T, A169) +
    COUNTIF('Acompanhamento quinzenal'!$Z:$Z, A169) +
    COUNTIF('Acompanhamento quinzenal'!$AF:$AF, A169)
  ) = 0,
  "-",
  (
    IFERROR(SUMIFS('Acompanhamento quinzenal'!$P:$P, 'Acompanhamento quinzenal'!$N:$N, A169), 0) +
    IFERROR(SUMIFS('Acompanhamento quinzenal'!$V:$V, 'Acompanhamento quinzenal'!$T:$T, A169), 0) +
    IFERROR(SUMIFS('Acompanhamento quinzenal'!$AB:$AB, 'Acompanhamento quinzenal'!$Z:$Z, A169), 0) +
    IFERROR(SUMIFS('Acompanhamento quinzenal'!$AH:$AH, 'Acompanhamento quinzenal'!$AF:$AF, A169), 0)
  ) /
  (
    COUNTIF('Acompanhamento quinzenal'!$N:$N, A169) +
    COUNTIF('Acompanhamento quinzenal'!$T:$T, A169) +
    COUNTIF('Acompanhamento quinzenal'!$Z:$Z, A169) +
    COUNTIF('Acompanhamento quinzenal'!$AF:$AF, A169)
  )
)
</f>
        <v>2</v>
      </c>
      <c r="Y169" s="293">
        <f>IF(
  (
    COUNTIF('Acompanhamento quinzenal'!$N:$N, A169) +
    COUNTIF('Acompanhamento quinzenal'!$T:$T, A169) +
    COUNTIF('Acompanhamento quinzenal'!$Z:$Z, A169) +
    COUNTIF('Acompanhamento quinzenal'!$AF:$AF, A169)
  ) = 0,
  "-",
  (
    IFERROR(SUMIFS('Acompanhamento quinzenal'!$Q:$Q, 'Acompanhamento quinzenal'!$N:$N, A169), 0) +
    IFERROR(SUMIFS('Acompanhamento quinzenal'!$W:$W, 'Acompanhamento quinzenal'!$T:$T, A169), 0) +
    IFERROR(SUMIFS('Acompanhamento quinzenal'!$AC:$AC, 'Acompanhamento quinzenal'!$Z:$Z, A169), 0) +
    IFERROR(SUMIFS('Acompanhamento quinzenal'!$AI:$AI, 'Acompanhamento quinzenal'!$AF:$AF, A169), 0)
  ) /
  (
    COUNTIF('Acompanhamento quinzenal'!$N:$N, A169) +
    COUNTIF('Acompanhamento quinzenal'!$T:$T, A169) +
    COUNTIF('Acompanhamento quinzenal'!$Z:$Z, A169) +
    COUNTIF('Acompanhamento quinzenal'!$AF:$AF, A169)
  )
)
</f>
        <v>2</v>
      </c>
    </row>
    <row r="170" hidden="1">
      <c r="A170" s="291" t="str">
        <f>IFERROR(__xludf.DUMMYFUNCTION("""COMPUTED_VALUE"""),"sofia.yoshimura")</f>
        <v>sofia.yoshimura</v>
      </c>
      <c r="B170" s="120" t="str">
        <f>IFERROR(__xludf.DUMMYFUNCTION("""COMPUTED_VALUE"""),"Gerente")</f>
        <v>Gerente</v>
      </c>
      <c r="C170" s="120" t="str">
        <f>IFERROR(__xludf.DUMMYFUNCTION("""COMPUTED_VALUE"""),"NCon")</f>
        <v>NCon</v>
      </c>
      <c r="D170" s="292">
        <f>IFERROR((COUNTIFS(Base!$V:$V,A170,Base!$S:$S,"&gt;8") - COUNTIFS(Base!$V:$V,A170,Base!$S:$S,"&lt;7"))/COUNTIFS(Base!$V:$V,A170,Base!$S:$S,"&lt;&gt;"),"-")</f>
        <v>1</v>
      </c>
      <c r="E170" s="292" t="str">
        <f>IF(
  (
    COUNTIFS(Base!$W:$W, A170, Base!$S:$S, "&lt;&gt;") +
    COUNTIFS(Base!$X:$X, A170, Base!$S:$S, "&lt;&gt;") +
    COUNTIFS(Base!$Y:$Y, A170, Base!$S:$S, "&lt;&gt;") +
    COUNTIFS(Base!$Z:$Z, A170, Base!$S:$S, "&lt;&gt;")
  ) = 0,
  "-",
  (
    COUNTIFS(Base!$W:$W, A170, Base!$S:$S, "&gt;8") - COUNTIFS(Base!$W:$W, A170, Base!$S:$S, "&lt;7") +
    COUNTIFS(Base!$X:$X, A170, Base!$S:$S, "&gt;8") - COUNTIFS(Base!$X:$X, A170, Base!$S:$S, "&lt;7") +
    COUNTIFS(Base!$Y:$Y, A170, Base!$S:$S, "&gt;8") - COUNTIFS(Base!$Y:$Y, A170, Base!$S:$S, "&lt;7") +
    COUNTIFS(Base!$Z:$Z, A170, Base!$S:$S, "&gt;8") - COUNTIFS(Base!$Z:$Z, A170, Base!$S:$S, "&lt;7")
  ) /
  (
    COUNTIFS(Base!$W:$W, A170, Base!$S:$S, "&lt;&gt;") +
    COUNTIFS(Base!$X:$X, A170, Base!$S:$S, "&lt;&gt;") +
    COUNTIFS(Base!$Y:$Y, A170, Base!$S:$S, "&lt;&gt;") +
    COUNTIFS(Base!$Z:$Z, A170, Base!$S:$S, "&lt;&gt;")
  )
)
</f>
        <v>-</v>
      </c>
      <c r="F170" s="120"/>
      <c r="G170" s="120"/>
      <c r="J170" s="292" t="str">
        <f t="shared" ref="J170:K170" si="171">IFERROR(F170/H170,"-")</f>
        <v>-</v>
      </c>
      <c r="K170" s="292" t="str">
        <f t="shared" si="171"/>
        <v>-</v>
      </c>
      <c r="L170" s="292">
        <f>IFERROR((COUNTIFS(Base!$V:$V,A170,Base!$U:$U,TRUE))/(COUNTIFS(Base!$V:$V,A170,Base!$O:$O,"Finalizado")+COUNTIFS(Base!$V:$V,A170,Base!$O:$O,"Concluído")),"-")</f>
        <v>0.5</v>
      </c>
      <c r="M170" s="292" t="str">
        <f>IF(
  (
    IFERROR(COUNTIF(Base!$W:$W, A170), 0) +
    IFERROR(COUNTIF(Base!$X:$X, A170), 0) +
    IFERROR(COUNTIF(Base!$Y:$Y, A170), 0) +
    IFERROR(COUNTIF(Base!$Z:$Z, A170), 0)
  ) = 0,
  "-",
  IF(
    (
      IFERROR(COUNTIFS(Base!$W:$W, A170, Base!$O:$O, "Finalizado"), 0) +
      IFERROR(COUNTIFS(Base!$W:$W, A170, Base!$O:$O, "Concluído"), 0) +
      IFERROR(COUNTIFS(Base!$X:$X, A170, Base!$O:$O, "Finalizado"), 0) +
      IFERROR(COUNTIFS(Base!$X:$X, A170, Base!$O:$O, "Concluído"), 0) +
      IFERROR(COUNTIFS(Base!$Y:$Y, A170, Base!$O:$O, "Finalizado"), 0) +
      IFERROR(COUNTIFS(Base!$Y:$Y, A170, Base!$O:$O, "Concluído"), 0) +
      IFERROR(COUNTIFS(Base!$Z:$Z, A170, Base!$O:$O, "Finalizado"), 0) +
      IFERROR(COUNTIFS(Base!$Z:$Z, A170, Base!$O:$O, "Concluído"), 0)
    ) = 0,
    "-",
    (
      IFERROR(COUNTIFS(Base!$W:$W, A170, Base!$U:$U, TRUE), 0) +
      IFERROR(COUNTIFS(Base!$X:$X, A170, Base!$U:$U, TRUE), 0) +
      IFERROR(COUNTIFS(Base!$Y:$Y, A170, Base!$U:$U, TRUE), 0) +
      IFERROR(COUNTIFS(Base!$Z:$Z, A170, Base!$U:$U, TRUE), 0)
    ) /
    (
      IFERROR(COUNTIFS(Base!$W:$W, A170, Base!$O:$O, "Finalizado"), 0) +
      IFERROR(COUNTIFS(Base!$W:$W, A170, Base!$O:$O, "Concluído"), 0) +
      IFERROR(COUNTIFS(Base!$X:$X, A170, Base!$O:$O, "Finalizado"), 0) +
      IFERROR(COUNTIFS(Base!$X:$X, A170, Base!$O:$O, "Concluído"), 0) +
      IFERROR(COUNTIFS(Base!$Y:$Y, A170, Base!$O:$O, "Finalizado"), 0) +
      IFERROR(COUNTIFS(Base!$Y:$Y, A170, Base!$O:$O, "Concluído"), 0) +
      IFERROR(COUNTIFS(Base!$Z:$Z, A170, Base!$O:$O, "Finalizado"), 0) +
      IFERROR(COUNTIFS(Base!$Z:$Z, A170, Base!$O:$O, "Concluído"), 0)
    )
  )
)
</f>
        <v>-</v>
      </c>
      <c r="N170" s="120">
        <f>COUNTIF(Base!V:V,$A170)</f>
        <v>2</v>
      </c>
      <c r="O170" s="120"/>
      <c r="P170" s="120"/>
      <c r="Q170" s="120"/>
      <c r="R170" s="120"/>
      <c r="S170" s="120"/>
      <c r="T170" s="120">
        <f t="shared" si="4"/>
        <v>0</v>
      </c>
      <c r="V170" s="293" t="str">
        <f>IF(
  (
    COUNTIF('Acompanhamento quinzenal'!$N:$N, A170) +
    COUNTIF('Acompanhamento quinzenal'!$T:$T, A170) +
    COUNTIF('Acompanhamento quinzenal'!$Z:$Z, A170) +
    COUNTIF('Acompanhamento quinzenal'!$AF:$AF, A170)
  ) = 0,
  "-",
  (
    IFERROR(SUMIFS('Acompanhamento quinzenal'!$S:$S, 'Acompanhamento quinzenal'!$N:$N, A170), 0) +
    IFERROR(SUMIFS('Acompanhamento quinzenal'!$Y:$Y, 'Acompanhamento quinzenal'!$T:$T, A170), 0) +
    IFERROR(SUMIFS('Acompanhamento quinzenal'!$AE:$AE, 'Acompanhamento quinzenal'!$Z:$Z, A170), 0) +
    IFERROR(SUMIFS('Acompanhamento quinzenal'!$AK:$AK, 'Acompanhamento quinzenal'!$AF:$AF, A170), 0)
  ) /
  (
    COUNTIF('Acompanhamento quinzenal'!$N:$N, A170) +
    COUNTIF('Acompanhamento quinzenal'!$T:$T, A170) +
    COUNTIF('Acompanhamento quinzenal'!$Z:$Z, A170) +
    COUNTIF('Acompanhamento quinzenal'!$AF:$AF, A170)
  )
)
</f>
        <v>-</v>
      </c>
      <c r="W170" s="293" t="str">
        <f>IF(
  (
    COUNTIF('Acompanhamento quinzenal'!$N:$N, A170) +
    COUNTIF('Acompanhamento quinzenal'!$T:$T, A170) +
    COUNTIF('Acompanhamento quinzenal'!$Z:$Z, A170) +
    COUNTIF('Acompanhamento quinzenal'!$AF:$AF, A170)
  ) = 0,
  "-",
  (
    IFERROR(SUMIFS('Acompanhamento quinzenal'!$O:$O, 'Acompanhamento quinzenal'!$N:$N, A170), 0) +
    IFERROR(SUMIFS('Acompanhamento quinzenal'!$U:$U, 'Acompanhamento quinzenal'!$T:$T, A170), 0) +
    IFERROR(SUMIFS('Acompanhamento quinzenal'!$AA:$AA, 'Acompanhamento quinzenal'!$Z:$Z, A170), 0) +
    IFERROR(SUMIFS('Acompanhamento quinzenal'!$AG:$AG, 'Acompanhamento quinzenal'!$AF:$AF, A170), 0)
  ) /
  (
    COUNTIF('Acompanhamento quinzenal'!$N:$N, A170) +
    COUNTIF('Acompanhamento quinzenal'!$T:$T, A170) +
    COUNTIF('Acompanhamento quinzenal'!$Z:$Z, A170) +
    COUNTIF('Acompanhamento quinzenal'!$AF:$AF, A170)
  )
)
</f>
        <v>-</v>
      </c>
      <c r="X170" s="294" t="str">
        <f>IF(
  (
    COUNTIF('Acompanhamento quinzenal'!$N:$N, A170) +
    COUNTIF('Acompanhamento quinzenal'!$T:$T, A170) +
    COUNTIF('Acompanhamento quinzenal'!$Z:$Z, A170) +
    COUNTIF('Acompanhamento quinzenal'!$AF:$AF, A170)
  ) = 0,
  "-",
  (
    IFERROR(SUMIFS('Acompanhamento quinzenal'!$P:$P, 'Acompanhamento quinzenal'!$N:$N, A170), 0) +
    IFERROR(SUMIFS('Acompanhamento quinzenal'!$V:$V, 'Acompanhamento quinzenal'!$T:$T, A170), 0) +
    IFERROR(SUMIFS('Acompanhamento quinzenal'!$AB:$AB, 'Acompanhamento quinzenal'!$Z:$Z, A170), 0) +
    IFERROR(SUMIFS('Acompanhamento quinzenal'!$AH:$AH, 'Acompanhamento quinzenal'!$AF:$AF, A170), 0)
  ) /
  (
    COUNTIF('Acompanhamento quinzenal'!$N:$N, A170) +
    COUNTIF('Acompanhamento quinzenal'!$T:$T, A170) +
    COUNTIF('Acompanhamento quinzenal'!$Z:$Z, A170) +
    COUNTIF('Acompanhamento quinzenal'!$AF:$AF, A170)
  )
)
</f>
        <v>-</v>
      </c>
      <c r="Y170" s="293" t="str">
        <f>IF(
  (
    COUNTIF('Acompanhamento quinzenal'!$N:$N, A170) +
    COUNTIF('Acompanhamento quinzenal'!$T:$T, A170) +
    COUNTIF('Acompanhamento quinzenal'!$Z:$Z, A170) +
    COUNTIF('Acompanhamento quinzenal'!$AF:$AF, A170)
  ) = 0,
  "-",
  (
    IFERROR(SUMIFS('Acompanhamento quinzenal'!$Q:$Q, 'Acompanhamento quinzenal'!$N:$N, A170), 0) +
    IFERROR(SUMIFS('Acompanhamento quinzenal'!$W:$W, 'Acompanhamento quinzenal'!$T:$T, A170), 0) +
    IFERROR(SUMIFS('Acompanhamento quinzenal'!$AC:$AC, 'Acompanhamento quinzenal'!$Z:$Z, A170), 0) +
    IFERROR(SUMIFS('Acompanhamento quinzenal'!$AI:$AI, 'Acompanhamento quinzenal'!$AF:$AF, A170), 0)
  ) /
  (
    COUNTIF('Acompanhamento quinzenal'!$N:$N, A170) +
    COUNTIF('Acompanhamento quinzenal'!$T:$T, A170) +
    COUNTIF('Acompanhamento quinzenal'!$Z:$Z, A170) +
    COUNTIF('Acompanhamento quinzenal'!$AF:$AF, A170)
  )
)
</f>
        <v>-</v>
      </c>
    </row>
    <row r="171" hidden="1">
      <c r="A171" s="291" t="str">
        <f>IFERROR(__xludf.DUMMYFUNCTION("""COMPUTED_VALUE"""),"stephanie.grunwald")</f>
        <v>stephanie.grunwald</v>
      </c>
      <c r="B171" s="120" t="str">
        <f>IFERROR(__xludf.DUMMYFUNCTION("""COMPUTED_VALUE"""),"Gerente")</f>
        <v>Gerente</v>
      </c>
      <c r="C171" s="120" t="str">
        <f>IFERROR(__xludf.DUMMYFUNCTION("""COMPUTED_VALUE"""),"NTec")</f>
        <v>NTec</v>
      </c>
      <c r="D171" s="292" t="str">
        <f>IFERROR((COUNTIFS(Base!$V:$V,A171,Base!$S:$S,"&gt;8") - COUNTIFS(Base!$V:$V,A171,Base!$S:$S,"&lt;7"))/COUNTIFS(Base!$V:$V,A171,Base!$S:$S,"&lt;&gt;"),"-")</f>
        <v>-</v>
      </c>
      <c r="E171" s="292" t="str">
        <f>IF(
  (
    COUNTIFS(Base!$W:$W, A171, Base!$S:$S, "&lt;&gt;") +
    COUNTIFS(Base!$X:$X, A171, Base!$S:$S, "&lt;&gt;") +
    COUNTIFS(Base!$Y:$Y, A171, Base!$S:$S, "&lt;&gt;") +
    COUNTIFS(Base!$Z:$Z, A171, Base!$S:$S, "&lt;&gt;")
  ) = 0,
  "-",
  (
    COUNTIFS(Base!$W:$W, A171, Base!$S:$S, "&gt;8") - COUNTIFS(Base!$W:$W, A171, Base!$S:$S, "&lt;7") +
    COUNTIFS(Base!$X:$X, A171, Base!$S:$S, "&gt;8") - COUNTIFS(Base!$X:$X, A171, Base!$S:$S, "&lt;7") +
    COUNTIFS(Base!$Y:$Y, A171, Base!$S:$S, "&gt;8") - COUNTIFS(Base!$Y:$Y, A171, Base!$S:$S, "&lt;7") +
    COUNTIFS(Base!$Z:$Z, A171, Base!$S:$S, "&gt;8") - COUNTIFS(Base!$Z:$Z, A171, Base!$S:$S, "&lt;7")
  ) /
  (
    COUNTIFS(Base!$W:$W, A171, Base!$S:$S, "&lt;&gt;") +
    COUNTIFS(Base!$X:$X, A171, Base!$S:$S, "&lt;&gt;") +
    COUNTIFS(Base!$Y:$Y, A171, Base!$S:$S, "&lt;&gt;") +
    COUNTIFS(Base!$Z:$Z, A171, Base!$S:$S, "&lt;&gt;")
  )
)
</f>
        <v>-</v>
      </c>
      <c r="F171" s="120"/>
      <c r="G171" s="120"/>
      <c r="J171" s="292" t="str">
        <f t="shared" ref="J171:K171" si="172">IFERROR(F171/H171,"-")</f>
        <v>-</v>
      </c>
      <c r="K171" s="292" t="str">
        <f t="shared" si="172"/>
        <v>-</v>
      </c>
      <c r="L171" s="292" t="str">
        <f>IFERROR((COUNTIFS(Base!$V:$V,A171,Base!$U:$U,TRUE))/(COUNTIFS(Base!$V:$V,A171,Base!$O:$O,"Finalizado")+COUNTIFS(Base!$V:$V,A171,Base!$O:$O,"Concluído")),"-")</f>
        <v>-</v>
      </c>
      <c r="M171" s="292" t="str">
        <f>IF(
  (
    IFERROR(COUNTIF(Base!$W:$W, A171), 0) +
    IFERROR(COUNTIF(Base!$X:$X, A171), 0) +
    IFERROR(COUNTIF(Base!$Y:$Y, A171), 0) +
    IFERROR(COUNTIF(Base!$Z:$Z, A171), 0)
  ) = 0,
  "-",
  IF(
    (
      IFERROR(COUNTIFS(Base!$W:$W, A171, Base!$O:$O, "Finalizado"), 0) +
      IFERROR(COUNTIFS(Base!$W:$W, A171, Base!$O:$O, "Concluído"), 0) +
      IFERROR(COUNTIFS(Base!$X:$X, A171, Base!$O:$O, "Finalizado"), 0) +
      IFERROR(COUNTIFS(Base!$X:$X, A171, Base!$O:$O, "Concluído"), 0) +
      IFERROR(COUNTIFS(Base!$Y:$Y, A171, Base!$O:$O, "Finalizado"), 0) +
      IFERROR(COUNTIFS(Base!$Y:$Y, A171, Base!$O:$O, "Concluído"), 0) +
      IFERROR(COUNTIFS(Base!$Z:$Z, A171, Base!$O:$O, "Finalizado"), 0) +
      IFERROR(COUNTIFS(Base!$Z:$Z, A171, Base!$O:$O, "Concluído"), 0)
    ) = 0,
    "-",
    (
      IFERROR(COUNTIFS(Base!$W:$W, A171, Base!$U:$U, TRUE), 0) +
      IFERROR(COUNTIFS(Base!$X:$X, A171, Base!$U:$U, TRUE), 0) +
      IFERROR(COUNTIFS(Base!$Y:$Y, A171, Base!$U:$U, TRUE), 0) +
      IFERROR(COUNTIFS(Base!$Z:$Z, A171, Base!$U:$U, TRUE), 0)
    ) /
    (
      IFERROR(COUNTIFS(Base!$W:$W, A171, Base!$O:$O, "Finalizado"), 0) +
      IFERROR(COUNTIFS(Base!$W:$W, A171, Base!$O:$O, "Concluído"), 0) +
      IFERROR(COUNTIFS(Base!$X:$X, A171, Base!$O:$O, "Finalizado"), 0) +
      IFERROR(COUNTIFS(Base!$X:$X, A171, Base!$O:$O, "Concluído"), 0) +
      IFERROR(COUNTIFS(Base!$Y:$Y, A171, Base!$O:$O, "Finalizado"), 0) +
      IFERROR(COUNTIFS(Base!$Y:$Y, A171, Base!$O:$O, "Concluído"), 0) +
      IFERROR(COUNTIFS(Base!$Z:$Z, A171, Base!$O:$O, "Finalizado"), 0) +
      IFERROR(COUNTIFS(Base!$Z:$Z, A171, Base!$O:$O, "Concluído"), 0)
    )
  )
)
</f>
        <v>-</v>
      </c>
      <c r="N171" s="120">
        <f>COUNTIF(Base!V:V,$A171)</f>
        <v>0</v>
      </c>
      <c r="O171" s="120"/>
      <c r="P171" s="120"/>
      <c r="Q171" s="120"/>
      <c r="R171" s="120"/>
      <c r="S171" s="120"/>
      <c r="T171" s="120">
        <f t="shared" si="4"/>
        <v>0</v>
      </c>
      <c r="V171" s="293" t="str">
        <f>IF(
  (
    COUNTIF('Acompanhamento quinzenal'!$N:$N, A171) +
    COUNTIF('Acompanhamento quinzenal'!$T:$T, A171) +
    COUNTIF('Acompanhamento quinzenal'!$Z:$Z, A171) +
    COUNTIF('Acompanhamento quinzenal'!$AF:$AF, A171)
  ) = 0,
  "-",
  (
    IFERROR(SUMIFS('Acompanhamento quinzenal'!$S:$S, 'Acompanhamento quinzenal'!$N:$N, A171), 0) +
    IFERROR(SUMIFS('Acompanhamento quinzenal'!$Y:$Y, 'Acompanhamento quinzenal'!$T:$T, A171), 0) +
    IFERROR(SUMIFS('Acompanhamento quinzenal'!$AE:$AE, 'Acompanhamento quinzenal'!$Z:$Z, A171), 0) +
    IFERROR(SUMIFS('Acompanhamento quinzenal'!$AK:$AK, 'Acompanhamento quinzenal'!$AF:$AF, A171), 0)
  ) /
  (
    COUNTIF('Acompanhamento quinzenal'!$N:$N, A171) +
    COUNTIF('Acompanhamento quinzenal'!$T:$T, A171) +
    COUNTIF('Acompanhamento quinzenal'!$Z:$Z, A171) +
    COUNTIF('Acompanhamento quinzenal'!$AF:$AF, A171)
  )
)
</f>
        <v>-</v>
      </c>
      <c r="W171" s="293" t="str">
        <f>IF(
  (
    COUNTIF('Acompanhamento quinzenal'!$N:$N, A171) +
    COUNTIF('Acompanhamento quinzenal'!$T:$T, A171) +
    COUNTIF('Acompanhamento quinzenal'!$Z:$Z, A171) +
    COUNTIF('Acompanhamento quinzenal'!$AF:$AF, A171)
  ) = 0,
  "-",
  (
    IFERROR(SUMIFS('Acompanhamento quinzenal'!$O:$O, 'Acompanhamento quinzenal'!$N:$N, A171), 0) +
    IFERROR(SUMIFS('Acompanhamento quinzenal'!$U:$U, 'Acompanhamento quinzenal'!$T:$T, A171), 0) +
    IFERROR(SUMIFS('Acompanhamento quinzenal'!$AA:$AA, 'Acompanhamento quinzenal'!$Z:$Z, A171), 0) +
    IFERROR(SUMIFS('Acompanhamento quinzenal'!$AG:$AG, 'Acompanhamento quinzenal'!$AF:$AF, A171), 0)
  ) /
  (
    COUNTIF('Acompanhamento quinzenal'!$N:$N, A171) +
    COUNTIF('Acompanhamento quinzenal'!$T:$T, A171) +
    COUNTIF('Acompanhamento quinzenal'!$Z:$Z, A171) +
    COUNTIF('Acompanhamento quinzenal'!$AF:$AF, A171)
  )
)
</f>
        <v>-</v>
      </c>
      <c r="X171" s="294" t="str">
        <f>IF(
  (
    COUNTIF('Acompanhamento quinzenal'!$N:$N, A171) +
    COUNTIF('Acompanhamento quinzenal'!$T:$T, A171) +
    COUNTIF('Acompanhamento quinzenal'!$Z:$Z, A171) +
    COUNTIF('Acompanhamento quinzenal'!$AF:$AF, A171)
  ) = 0,
  "-",
  (
    IFERROR(SUMIFS('Acompanhamento quinzenal'!$P:$P, 'Acompanhamento quinzenal'!$N:$N, A171), 0) +
    IFERROR(SUMIFS('Acompanhamento quinzenal'!$V:$V, 'Acompanhamento quinzenal'!$T:$T, A171), 0) +
    IFERROR(SUMIFS('Acompanhamento quinzenal'!$AB:$AB, 'Acompanhamento quinzenal'!$Z:$Z, A171), 0) +
    IFERROR(SUMIFS('Acompanhamento quinzenal'!$AH:$AH, 'Acompanhamento quinzenal'!$AF:$AF, A171), 0)
  ) /
  (
    COUNTIF('Acompanhamento quinzenal'!$N:$N, A171) +
    COUNTIF('Acompanhamento quinzenal'!$T:$T, A171) +
    COUNTIF('Acompanhamento quinzenal'!$Z:$Z, A171) +
    COUNTIF('Acompanhamento quinzenal'!$AF:$AF, A171)
  )
)
</f>
        <v>-</v>
      </c>
      <c r="Y171" s="293" t="str">
        <f>IF(
  (
    COUNTIF('Acompanhamento quinzenal'!$N:$N, A171) +
    COUNTIF('Acompanhamento quinzenal'!$T:$T, A171) +
    COUNTIF('Acompanhamento quinzenal'!$Z:$Z, A171) +
    COUNTIF('Acompanhamento quinzenal'!$AF:$AF, A171)
  ) = 0,
  "-",
  (
    IFERROR(SUMIFS('Acompanhamento quinzenal'!$Q:$Q, 'Acompanhamento quinzenal'!$N:$N, A171), 0) +
    IFERROR(SUMIFS('Acompanhamento quinzenal'!$W:$W, 'Acompanhamento quinzenal'!$T:$T, A171), 0) +
    IFERROR(SUMIFS('Acompanhamento quinzenal'!$AC:$AC, 'Acompanhamento quinzenal'!$Z:$Z, A171), 0) +
    IFERROR(SUMIFS('Acompanhamento quinzenal'!$AI:$AI, 'Acompanhamento quinzenal'!$AF:$AF, A171), 0)
  ) /
  (
    COUNTIF('Acompanhamento quinzenal'!$N:$N, A171) +
    COUNTIF('Acompanhamento quinzenal'!$T:$T, A171) +
    COUNTIF('Acompanhamento quinzenal'!$Z:$Z, A171) +
    COUNTIF('Acompanhamento quinzenal'!$AF:$AF, A171)
  )
)
</f>
        <v>-</v>
      </c>
    </row>
    <row r="172" hidden="1">
      <c r="A172" s="291" t="str">
        <f>IFERROR(__xludf.DUMMYFUNCTION("""COMPUTED_VALUE"""),"susana.gonzales")</f>
        <v>susana.gonzales</v>
      </c>
      <c r="B172" s="120" t="str">
        <f>IFERROR(__xludf.DUMMYFUNCTION("""COMPUTED_VALUE"""),"Coordenador")</f>
        <v>Coordenador</v>
      </c>
      <c r="C172" s="120" t="str">
        <f>IFERROR(__xludf.DUMMYFUNCTION("""COMPUTED_VALUE"""),"NCiv")</f>
        <v>NCiv</v>
      </c>
      <c r="D172" s="292" t="str">
        <f>IFERROR((COUNTIFS(Base!$V:$V,A172,Base!$S:$S,"&gt;8") - COUNTIFS(Base!$V:$V,A172,Base!$S:$S,"&lt;7"))/COUNTIFS(Base!$V:$V,A172,Base!$S:$S,"&lt;&gt;"),"-")</f>
        <v>-</v>
      </c>
      <c r="E172" s="292">
        <f>IF(
  (
    COUNTIFS(Base!$W:$W, A172, Base!$S:$S, "&lt;&gt;") +
    COUNTIFS(Base!$X:$X, A172, Base!$S:$S, "&lt;&gt;") +
    COUNTIFS(Base!$Y:$Y, A172, Base!$S:$S, "&lt;&gt;") +
    COUNTIFS(Base!$Z:$Z, A172, Base!$S:$S, "&lt;&gt;")
  ) = 0,
  "-",
  (
    COUNTIFS(Base!$W:$W, A172, Base!$S:$S, "&gt;8") - COUNTIFS(Base!$W:$W, A172, Base!$S:$S, "&lt;7") +
    COUNTIFS(Base!$X:$X, A172, Base!$S:$S, "&gt;8") - COUNTIFS(Base!$X:$X, A172, Base!$S:$S, "&lt;7") +
    COUNTIFS(Base!$Y:$Y, A172, Base!$S:$S, "&gt;8") - COUNTIFS(Base!$Y:$Y, A172, Base!$S:$S, "&lt;7") +
    COUNTIFS(Base!$Z:$Z, A172, Base!$S:$S, "&gt;8") - COUNTIFS(Base!$Z:$Z, A172, Base!$S:$S, "&lt;7")
  ) /
  (
    COUNTIFS(Base!$W:$W, A172, Base!$S:$S, "&lt;&gt;") +
    COUNTIFS(Base!$X:$X, A172, Base!$S:$S, "&lt;&gt;") +
    COUNTIFS(Base!$Y:$Y, A172, Base!$S:$S, "&lt;&gt;") +
    COUNTIFS(Base!$Z:$Z, A172, Base!$S:$S, "&lt;&gt;")
  )
)
</f>
        <v>0.5</v>
      </c>
      <c r="F172" s="120"/>
      <c r="G172" s="120"/>
      <c r="J172" s="292" t="str">
        <f t="shared" ref="J172:K172" si="173">IFERROR(F172/H172,"-")</f>
        <v>-</v>
      </c>
      <c r="K172" s="292" t="str">
        <f t="shared" si="173"/>
        <v>-</v>
      </c>
      <c r="L172" s="292" t="str">
        <f>IFERROR((COUNTIFS(Base!$V:$V,A172,Base!$U:$U,TRUE))/(COUNTIFS(Base!$V:$V,A172,Base!$O:$O,"Finalizado")+COUNTIFS(Base!$V:$V,A172,Base!$O:$O,"Concluído")),"-")</f>
        <v>-</v>
      </c>
      <c r="M172" s="292">
        <f>IF(
  (
    IFERROR(COUNTIF(Base!$W:$W, A172), 0) +
    IFERROR(COUNTIF(Base!$X:$X, A172), 0) +
    IFERROR(COUNTIF(Base!$Y:$Y, A172), 0) +
    IFERROR(COUNTIF(Base!$Z:$Z, A172), 0)
  ) = 0,
  "-",
  IF(
    (
      IFERROR(COUNTIFS(Base!$W:$W, A172, Base!$O:$O, "Finalizado"), 0) +
      IFERROR(COUNTIFS(Base!$W:$W, A172, Base!$O:$O, "Concluído"), 0) +
      IFERROR(COUNTIFS(Base!$X:$X, A172, Base!$O:$O, "Finalizado"), 0) +
      IFERROR(COUNTIFS(Base!$X:$X, A172, Base!$O:$O, "Concluído"), 0) +
      IFERROR(COUNTIFS(Base!$Y:$Y, A172, Base!$O:$O, "Finalizado"), 0) +
      IFERROR(COUNTIFS(Base!$Y:$Y, A172, Base!$O:$O, "Concluído"), 0) +
      IFERROR(COUNTIFS(Base!$Z:$Z, A172, Base!$O:$O, "Finalizado"), 0) +
      IFERROR(COUNTIFS(Base!$Z:$Z, A172, Base!$O:$O, "Concluído"), 0)
    ) = 0,
    "-",
    (
      IFERROR(COUNTIFS(Base!$W:$W, A172, Base!$U:$U, TRUE), 0) +
      IFERROR(COUNTIFS(Base!$X:$X, A172, Base!$U:$U, TRUE), 0) +
      IFERROR(COUNTIFS(Base!$Y:$Y, A172, Base!$U:$U, TRUE), 0) +
      IFERROR(COUNTIFS(Base!$Z:$Z, A172, Base!$U:$U, TRUE), 0)
    ) /
    (
      IFERROR(COUNTIFS(Base!$W:$W, A172, Base!$O:$O, "Finalizado"), 0) +
      IFERROR(COUNTIFS(Base!$W:$W, A172, Base!$O:$O, "Concluído"), 0) +
      IFERROR(COUNTIFS(Base!$X:$X, A172, Base!$O:$O, "Finalizado"), 0) +
      IFERROR(COUNTIFS(Base!$X:$X, A172, Base!$O:$O, "Concluído"), 0) +
      IFERROR(COUNTIFS(Base!$Y:$Y, A172, Base!$O:$O, "Finalizado"), 0) +
      IFERROR(COUNTIFS(Base!$Y:$Y, A172, Base!$O:$O, "Concluído"), 0) +
      IFERROR(COUNTIFS(Base!$Z:$Z, A172, Base!$O:$O, "Finalizado"), 0) +
      IFERROR(COUNTIFS(Base!$Z:$Z, A172, Base!$O:$O, "Concluído"), 0)
    )
  )
)
</f>
        <v>0.5</v>
      </c>
      <c r="N172" s="120">
        <f>COUNTIF(Base!V:V,$A172)</f>
        <v>0</v>
      </c>
      <c r="O172" s="120"/>
      <c r="P172" s="120"/>
      <c r="Q172" s="120"/>
      <c r="R172" s="120"/>
      <c r="S172" s="120"/>
      <c r="T172" s="120">
        <f t="shared" si="4"/>
        <v>0</v>
      </c>
      <c r="V172" s="293">
        <f>IF(
  (
    COUNTIF('Acompanhamento quinzenal'!$N:$N, A172) +
    COUNTIF('Acompanhamento quinzenal'!$T:$T, A172) +
    COUNTIF('Acompanhamento quinzenal'!$Z:$Z, A172) +
    COUNTIF('Acompanhamento quinzenal'!$AF:$AF, A172)
  ) = 0,
  "-",
  (
    IFERROR(SUMIFS('Acompanhamento quinzenal'!$S:$S, 'Acompanhamento quinzenal'!$N:$N, A172), 0) +
    IFERROR(SUMIFS('Acompanhamento quinzenal'!$Y:$Y, 'Acompanhamento quinzenal'!$T:$T, A172), 0) +
    IFERROR(SUMIFS('Acompanhamento quinzenal'!$AE:$AE, 'Acompanhamento quinzenal'!$Z:$Z, A172), 0) +
    IFERROR(SUMIFS('Acompanhamento quinzenal'!$AK:$AK, 'Acompanhamento quinzenal'!$AF:$AF, A172), 0)
  ) /
  (
    COUNTIF('Acompanhamento quinzenal'!$N:$N, A172) +
    COUNTIF('Acompanhamento quinzenal'!$T:$T, A172) +
    COUNTIF('Acompanhamento quinzenal'!$Z:$Z, A172) +
    COUNTIF('Acompanhamento quinzenal'!$AF:$AF, A172)
  )
)
</f>
        <v>3.333333333</v>
      </c>
      <c r="W172" s="293">
        <f>IF(
  (
    COUNTIF('Acompanhamento quinzenal'!$N:$N, A172) +
    COUNTIF('Acompanhamento quinzenal'!$T:$T, A172) +
    COUNTIF('Acompanhamento quinzenal'!$Z:$Z, A172) +
    COUNTIF('Acompanhamento quinzenal'!$AF:$AF, A172)
  ) = 0,
  "-",
  (
    IFERROR(SUMIFS('Acompanhamento quinzenal'!$O:$O, 'Acompanhamento quinzenal'!$N:$N, A172), 0) +
    IFERROR(SUMIFS('Acompanhamento quinzenal'!$U:$U, 'Acompanhamento quinzenal'!$T:$T, A172), 0) +
    IFERROR(SUMIFS('Acompanhamento quinzenal'!$AA:$AA, 'Acompanhamento quinzenal'!$Z:$Z, A172), 0) +
    IFERROR(SUMIFS('Acompanhamento quinzenal'!$AG:$AG, 'Acompanhamento quinzenal'!$AF:$AF, A172), 0)
  ) /
  (
    COUNTIF('Acompanhamento quinzenal'!$N:$N, A172) +
    COUNTIF('Acompanhamento quinzenal'!$T:$T, A172) +
    COUNTIF('Acompanhamento quinzenal'!$Z:$Z, A172) +
    COUNTIF('Acompanhamento quinzenal'!$AF:$AF, A172)
  )
)
</f>
        <v>4</v>
      </c>
      <c r="X172" s="294">
        <f>IF(
  (
    COUNTIF('Acompanhamento quinzenal'!$N:$N, A172) +
    COUNTIF('Acompanhamento quinzenal'!$T:$T, A172) +
    COUNTIF('Acompanhamento quinzenal'!$Z:$Z, A172) +
    COUNTIF('Acompanhamento quinzenal'!$AF:$AF, A172)
  ) = 0,
  "-",
  (
    IFERROR(SUMIFS('Acompanhamento quinzenal'!$P:$P, 'Acompanhamento quinzenal'!$N:$N, A172), 0) +
    IFERROR(SUMIFS('Acompanhamento quinzenal'!$V:$V, 'Acompanhamento quinzenal'!$T:$T, A172), 0) +
    IFERROR(SUMIFS('Acompanhamento quinzenal'!$AB:$AB, 'Acompanhamento quinzenal'!$Z:$Z, A172), 0) +
    IFERROR(SUMIFS('Acompanhamento quinzenal'!$AH:$AH, 'Acompanhamento quinzenal'!$AF:$AF, A172), 0)
  ) /
  (
    COUNTIF('Acompanhamento quinzenal'!$N:$N, A172) +
    COUNTIF('Acompanhamento quinzenal'!$T:$T, A172) +
    COUNTIF('Acompanhamento quinzenal'!$Z:$Z, A172) +
    COUNTIF('Acompanhamento quinzenal'!$AF:$AF, A172)
  )
)
</f>
        <v>3</v>
      </c>
      <c r="Y172" s="293">
        <f>IF(
  (
    COUNTIF('Acompanhamento quinzenal'!$N:$N, A172) +
    COUNTIF('Acompanhamento quinzenal'!$T:$T, A172) +
    COUNTIF('Acompanhamento quinzenal'!$Z:$Z, A172) +
    COUNTIF('Acompanhamento quinzenal'!$AF:$AF, A172)
  ) = 0,
  "-",
  (
    IFERROR(SUMIFS('Acompanhamento quinzenal'!$Q:$Q, 'Acompanhamento quinzenal'!$N:$N, A172), 0) +
    IFERROR(SUMIFS('Acompanhamento quinzenal'!$W:$W, 'Acompanhamento quinzenal'!$T:$T, A172), 0) +
    IFERROR(SUMIFS('Acompanhamento quinzenal'!$AC:$AC, 'Acompanhamento quinzenal'!$Z:$Z, A172), 0) +
    IFERROR(SUMIFS('Acompanhamento quinzenal'!$AI:$AI, 'Acompanhamento quinzenal'!$AF:$AF, A172), 0)
  ) /
  (
    COUNTIF('Acompanhamento quinzenal'!$N:$N, A172) +
    COUNTIF('Acompanhamento quinzenal'!$T:$T, A172) +
    COUNTIF('Acompanhamento quinzenal'!$Z:$Z, A172) +
    COUNTIF('Acompanhamento quinzenal'!$AF:$AF, A172)
  )
)
</f>
        <v>3</v>
      </c>
    </row>
    <row r="173" hidden="1">
      <c r="A173" s="291" t="str">
        <f>IFERROR(__xludf.DUMMYFUNCTION("""COMPUTED_VALUE"""),"tassyla.lima")</f>
        <v>tassyla.lima</v>
      </c>
      <c r="B173" s="120" t="str">
        <f>IFERROR(__xludf.DUMMYFUNCTION("""COMPUTED_VALUE"""),"Trainee")</f>
        <v>Trainee</v>
      </c>
      <c r="C173" s="120" t="str">
        <f>IFERROR(__xludf.DUMMYFUNCTION("""COMPUTED_VALUE"""),"NTec")</f>
        <v>NTec</v>
      </c>
      <c r="D173" s="292" t="str">
        <f>IFERROR((COUNTIFS(Base!$V:$V,A173,Base!$S:$S,"&gt;8") - COUNTIFS(Base!$V:$V,A173,Base!$S:$S,"&lt;7"))/COUNTIFS(Base!$V:$V,A173,Base!$S:$S,"&lt;&gt;"),"-")</f>
        <v>-</v>
      </c>
      <c r="E173" s="292" t="str">
        <f>IF(
  (
    COUNTIFS(Base!$W:$W, A173, Base!$S:$S, "&lt;&gt;") +
    COUNTIFS(Base!$X:$X, A173, Base!$S:$S, "&lt;&gt;") +
    COUNTIFS(Base!$Y:$Y, A173, Base!$S:$S, "&lt;&gt;") +
    COUNTIFS(Base!$Z:$Z, A173, Base!$S:$S, "&lt;&gt;")
  ) = 0,
  "-",
  (
    COUNTIFS(Base!$W:$W, A173, Base!$S:$S, "&gt;8") - COUNTIFS(Base!$W:$W, A173, Base!$S:$S, "&lt;7") +
    COUNTIFS(Base!$X:$X, A173, Base!$S:$S, "&gt;8") - COUNTIFS(Base!$X:$X, A173, Base!$S:$S, "&lt;7") +
    COUNTIFS(Base!$Y:$Y, A173, Base!$S:$S, "&gt;8") - COUNTIFS(Base!$Y:$Y, A173, Base!$S:$S, "&lt;7") +
    COUNTIFS(Base!$Z:$Z, A173, Base!$S:$S, "&gt;8") - COUNTIFS(Base!$Z:$Z, A173, Base!$S:$S, "&lt;7")
  ) /
  (
    COUNTIFS(Base!$W:$W, A173, Base!$S:$S, "&lt;&gt;") +
    COUNTIFS(Base!$X:$X, A173, Base!$S:$S, "&lt;&gt;") +
    COUNTIFS(Base!$Y:$Y, A173, Base!$S:$S, "&lt;&gt;") +
    COUNTIFS(Base!$Z:$Z, A173, Base!$S:$S, "&lt;&gt;")
  )
)
</f>
        <v>-</v>
      </c>
      <c r="F173" s="120"/>
      <c r="G173" s="120"/>
      <c r="J173" s="292" t="str">
        <f t="shared" ref="J173:K173" si="174">IFERROR(F173/H173,"-")</f>
        <v>-</v>
      </c>
      <c r="K173" s="292" t="str">
        <f t="shared" si="174"/>
        <v>-</v>
      </c>
      <c r="L173" s="292" t="str">
        <f>IFERROR((COUNTIFS(Base!$V:$V,A173,Base!$U:$U,TRUE))/(COUNTIFS(Base!$V:$V,A173,Base!$O:$O,"Finalizado")+COUNTIFS(Base!$V:$V,A173,Base!$O:$O,"Concluído")),"-")</f>
        <v>-</v>
      </c>
      <c r="M173" s="292" t="str">
        <f>IF(
  (
    IFERROR(COUNTIF(Base!$W:$W, A173), 0) +
    IFERROR(COUNTIF(Base!$X:$X, A173), 0) +
    IFERROR(COUNTIF(Base!$Y:$Y, A173), 0) +
    IFERROR(COUNTIF(Base!$Z:$Z, A173), 0)
  ) = 0,
  "-",
  IF(
    (
      IFERROR(COUNTIFS(Base!$W:$W, A173, Base!$O:$O, "Finalizado"), 0) +
      IFERROR(COUNTIFS(Base!$W:$W, A173, Base!$O:$O, "Concluído"), 0) +
      IFERROR(COUNTIFS(Base!$X:$X, A173, Base!$O:$O, "Finalizado"), 0) +
      IFERROR(COUNTIFS(Base!$X:$X, A173, Base!$O:$O, "Concluído"), 0) +
      IFERROR(COUNTIFS(Base!$Y:$Y, A173, Base!$O:$O, "Finalizado"), 0) +
      IFERROR(COUNTIFS(Base!$Y:$Y, A173, Base!$O:$O, "Concluído"), 0) +
      IFERROR(COUNTIFS(Base!$Z:$Z, A173, Base!$O:$O, "Finalizado"), 0) +
      IFERROR(COUNTIFS(Base!$Z:$Z, A173, Base!$O:$O, "Concluído"), 0)
    ) = 0,
    "-",
    (
      IFERROR(COUNTIFS(Base!$W:$W, A173, Base!$U:$U, TRUE), 0) +
      IFERROR(COUNTIFS(Base!$X:$X, A173, Base!$U:$U, TRUE), 0) +
      IFERROR(COUNTIFS(Base!$Y:$Y, A173, Base!$U:$U, TRUE), 0) +
      IFERROR(COUNTIFS(Base!$Z:$Z, A173, Base!$U:$U, TRUE), 0)
    ) /
    (
      IFERROR(COUNTIFS(Base!$W:$W, A173, Base!$O:$O, "Finalizado"), 0) +
      IFERROR(COUNTIFS(Base!$W:$W, A173, Base!$O:$O, "Concluído"), 0) +
      IFERROR(COUNTIFS(Base!$X:$X, A173, Base!$O:$O, "Finalizado"), 0) +
      IFERROR(COUNTIFS(Base!$X:$X, A173, Base!$O:$O, "Concluído"), 0) +
      IFERROR(COUNTIFS(Base!$Y:$Y, A173, Base!$O:$O, "Finalizado"), 0) +
      IFERROR(COUNTIFS(Base!$Y:$Y, A173, Base!$O:$O, "Concluído"), 0) +
      IFERROR(COUNTIFS(Base!$Z:$Z, A173, Base!$O:$O, "Finalizado"), 0) +
      IFERROR(COUNTIFS(Base!$Z:$Z, A173, Base!$O:$O, "Concluído"), 0)
    )
  )
)
</f>
        <v>-</v>
      </c>
      <c r="N173" s="120">
        <f>COUNTIF(Base!V:V,$A173)</f>
        <v>0</v>
      </c>
      <c r="O173" s="120"/>
      <c r="P173" s="120"/>
      <c r="Q173" s="120"/>
      <c r="R173" s="120"/>
      <c r="S173" s="120"/>
      <c r="T173" s="120">
        <f t="shared" si="4"/>
        <v>0</v>
      </c>
      <c r="V173" s="293" t="str">
        <f>IF(
  (
    COUNTIF('Acompanhamento quinzenal'!$N:$N, A173) +
    COUNTIF('Acompanhamento quinzenal'!$T:$T, A173) +
    COUNTIF('Acompanhamento quinzenal'!$Z:$Z, A173) +
    COUNTIF('Acompanhamento quinzenal'!$AF:$AF, A173)
  ) = 0,
  "-",
  (
    IFERROR(SUMIFS('Acompanhamento quinzenal'!$S:$S, 'Acompanhamento quinzenal'!$N:$N, A173), 0) +
    IFERROR(SUMIFS('Acompanhamento quinzenal'!$Y:$Y, 'Acompanhamento quinzenal'!$T:$T, A173), 0) +
    IFERROR(SUMIFS('Acompanhamento quinzenal'!$AE:$AE, 'Acompanhamento quinzenal'!$Z:$Z, A173), 0) +
    IFERROR(SUMIFS('Acompanhamento quinzenal'!$AK:$AK, 'Acompanhamento quinzenal'!$AF:$AF, A173), 0)
  ) /
  (
    COUNTIF('Acompanhamento quinzenal'!$N:$N, A173) +
    COUNTIF('Acompanhamento quinzenal'!$T:$T, A173) +
    COUNTIF('Acompanhamento quinzenal'!$Z:$Z, A173) +
    COUNTIF('Acompanhamento quinzenal'!$AF:$AF, A173)
  )
)
</f>
        <v>-</v>
      </c>
      <c r="W173" s="293" t="str">
        <f>IF(
  (
    COUNTIF('Acompanhamento quinzenal'!$N:$N, A173) +
    COUNTIF('Acompanhamento quinzenal'!$T:$T, A173) +
    COUNTIF('Acompanhamento quinzenal'!$Z:$Z, A173) +
    COUNTIF('Acompanhamento quinzenal'!$AF:$AF, A173)
  ) = 0,
  "-",
  (
    IFERROR(SUMIFS('Acompanhamento quinzenal'!$O:$O, 'Acompanhamento quinzenal'!$N:$N, A173), 0) +
    IFERROR(SUMIFS('Acompanhamento quinzenal'!$U:$U, 'Acompanhamento quinzenal'!$T:$T, A173), 0) +
    IFERROR(SUMIFS('Acompanhamento quinzenal'!$AA:$AA, 'Acompanhamento quinzenal'!$Z:$Z, A173), 0) +
    IFERROR(SUMIFS('Acompanhamento quinzenal'!$AG:$AG, 'Acompanhamento quinzenal'!$AF:$AF, A173), 0)
  ) /
  (
    COUNTIF('Acompanhamento quinzenal'!$N:$N, A173) +
    COUNTIF('Acompanhamento quinzenal'!$T:$T, A173) +
    COUNTIF('Acompanhamento quinzenal'!$Z:$Z, A173) +
    COUNTIF('Acompanhamento quinzenal'!$AF:$AF, A173)
  )
)
</f>
        <v>-</v>
      </c>
      <c r="X173" s="294" t="str">
        <f>IF(
  (
    COUNTIF('Acompanhamento quinzenal'!$N:$N, A173) +
    COUNTIF('Acompanhamento quinzenal'!$T:$T, A173) +
    COUNTIF('Acompanhamento quinzenal'!$Z:$Z, A173) +
    COUNTIF('Acompanhamento quinzenal'!$AF:$AF, A173)
  ) = 0,
  "-",
  (
    IFERROR(SUMIFS('Acompanhamento quinzenal'!$P:$P, 'Acompanhamento quinzenal'!$N:$N, A173), 0) +
    IFERROR(SUMIFS('Acompanhamento quinzenal'!$V:$V, 'Acompanhamento quinzenal'!$T:$T, A173), 0) +
    IFERROR(SUMIFS('Acompanhamento quinzenal'!$AB:$AB, 'Acompanhamento quinzenal'!$Z:$Z, A173), 0) +
    IFERROR(SUMIFS('Acompanhamento quinzenal'!$AH:$AH, 'Acompanhamento quinzenal'!$AF:$AF, A173), 0)
  ) /
  (
    COUNTIF('Acompanhamento quinzenal'!$N:$N, A173) +
    COUNTIF('Acompanhamento quinzenal'!$T:$T, A173) +
    COUNTIF('Acompanhamento quinzenal'!$Z:$Z, A173) +
    COUNTIF('Acompanhamento quinzenal'!$AF:$AF, A173)
  )
)
</f>
        <v>-</v>
      </c>
      <c r="Y173" s="293" t="str">
        <f>IF(
  (
    COUNTIF('Acompanhamento quinzenal'!$N:$N, A173) +
    COUNTIF('Acompanhamento quinzenal'!$T:$T, A173) +
    COUNTIF('Acompanhamento quinzenal'!$Z:$Z, A173) +
    COUNTIF('Acompanhamento quinzenal'!$AF:$AF, A173)
  ) = 0,
  "-",
  (
    IFERROR(SUMIFS('Acompanhamento quinzenal'!$Q:$Q, 'Acompanhamento quinzenal'!$N:$N, A173), 0) +
    IFERROR(SUMIFS('Acompanhamento quinzenal'!$W:$W, 'Acompanhamento quinzenal'!$T:$T, A173), 0) +
    IFERROR(SUMIFS('Acompanhamento quinzenal'!$AC:$AC, 'Acompanhamento quinzenal'!$Z:$Z, A173), 0) +
    IFERROR(SUMIFS('Acompanhamento quinzenal'!$AI:$AI, 'Acompanhamento quinzenal'!$AF:$AF, A173), 0)
  ) /
  (
    COUNTIF('Acompanhamento quinzenal'!$N:$N, A173) +
    COUNTIF('Acompanhamento quinzenal'!$T:$T, A173) +
    COUNTIF('Acompanhamento quinzenal'!$Z:$Z, A173) +
    COUNTIF('Acompanhamento quinzenal'!$AF:$AF, A173)
  )
)
</f>
        <v>-</v>
      </c>
    </row>
    <row r="174" hidden="1">
      <c r="A174" s="291" t="str">
        <f>IFERROR(__xludf.DUMMYFUNCTION("""COMPUTED_VALUE"""),"thiago.velasquez")</f>
        <v>thiago.velasquez</v>
      </c>
      <c r="B174" s="120" t="str">
        <f>IFERROR(__xludf.DUMMYFUNCTION("""COMPUTED_VALUE"""),"Coordenador")</f>
        <v>Coordenador</v>
      </c>
      <c r="C174" s="120" t="str">
        <f>IFERROR(__xludf.DUMMYFUNCTION("""COMPUTED_VALUE"""),"NTec")</f>
        <v>NTec</v>
      </c>
      <c r="D174" s="292" t="str">
        <f>IFERROR((COUNTIFS(Base!$V:$V,A174,Base!$S:$S,"&gt;8") - COUNTIFS(Base!$V:$V,A174,Base!$S:$S,"&lt;7"))/COUNTIFS(Base!$V:$V,A174,Base!$S:$S,"&lt;&gt;"),"-")</f>
        <v>-</v>
      </c>
      <c r="E174" s="292" t="str">
        <f>IF(
  (
    COUNTIFS(Base!$W:$W, A174, Base!$S:$S, "&lt;&gt;") +
    COUNTIFS(Base!$X:$X, A174, Base!$S:$S, "&lt;&gt;") +
    COUNTIFS(Base!$Y:$Y, A174, Base!$S:$S, "&lt;&gt;") +
    COUNTIFS(Base!$Z:$Z, A174, Base!$S:$S, "&lt;&gt;")
  ) = 0,
  "-",
  (
    COUNTIFS(Base!$W:$W, A174, Base!$S:$S, "&gt;8") - COUNTIFS(Base!$W:$W, A174, Base!$S:$S, "&lt;7") +
    COUNTIFS(Base!$X:$X, A174, Base!$S:$S, "&gt;8") - COUNTIFS(Base!$X:$X, A174, Base!$S:$S, "&lt;7") +
    COUNTIFS(Base!$Y:$Y, A174, Base!$S:$S, "&gt;8") - COUNTIFS(Base!$Y:$Y, A174, Base!$S:$S, "&lt;7") +
    COUNTIFS(Base!$Z:$Z, A174, Base!$S:$S, "&gt;8") - COUNTIFS(Base!$Z:$Z, A174, Base!$S:$S, "&lt;7")
  ) /
  (
    COUNTIFS(Base!$W:$W, A174, Base!$S:$S, "&lt;&gt;") +
    COUNTIFS(Base!$X:$X, A174, Base!$S:$S, "&lt;&gt;") +
    COUNTIFS(Base!$Y:$Y, A174, Base!$S:$S, "&lt;&gt;") +
    COUNTIFS(Base!$Z:$Z, A174, Base!$S:$S, "&lt;&gt;")
  )
)
</f>
        <v>-</v>
      </c>
      <c r="F174" s="120"/>
      <c r="G174" s="120"/>
      <c r="J174" s="292" t="str">
        <f t="shared" ref="J174:K174" si="175">IFERROR(F174/H174,"-")</f>
        <v>-</v>
      </c>
      <c r="K174" s="292" t="str">
        <f t="shared" si="175"/>
        <v>-</v>
      </c>
      <c r="L174" s="292" t="str">
        <f>IFERROR((COUNTIFS(Base!$V:$V,A174,Base!$U:$U,TRUE))/(COUNTIFS(Base!$V:$V,A174,Base!$O:$O,"Finalizado")+COUNTIFS(Base!$V:$V,A174,Base!$O:$O,"Concluído")),"-")</f>
        <v>-</v>
      </c>
      <c r="M174" s="292">
        <f>IF(
  (
    IFERROR(COUNTIF(Base!$W:$W, A174), 0) +
    IFERROR(COUNTIF(Base!$X:$X, A174), 0) +
    IFERROR(COUNTIF(Base!$Y:$Y, A174), 0) +
    IFERROR(COUNTIF(Base!$Z:$Z, A174), 0)
  ) = 0,
  "-",
  IF(
    (
      IFERROR(COUNTIFS(Base!$W:$W, A174, Base!$O:$O, "Finalizado"), 0) +
      IFERROR(COUNTIFS(Base!$W:$W, A174, Base!$O:$O, "Concluído"), 0) +
      IFERROR(COUNTIFS(Base!$X:$X, A174, Base!$O:$O, "Finalizado"), 0) +
      IFERROR(COUNTIFS(Base!$X:$X, A174, Base!$O:$O, "Concluído"), 0) +
      IFERROR(COUNTIFS(Base!$Y:$Y, A174, Base!$O:$O, "Finalizado"), 0) +
      IFERROR(COUNTIFS(Base!$Y:$Y, A174, Base!$O:$O, "Concluído"), 0) +
      IFERROR(COUNTIFS(Base!$Z:$Z, A174, Base!$O:$O, "Finalizado"), 0) +
      IFERROR(COUNTIFS(Base!$Z:$Z, A174, Base!$O:$O, "Concluído"), 0)
    ) = 0,
    "-",
    (
      IFERROR(COUNTIFS(Base!$W:$W, A174, Base!$U:$U, TRUE), 0) +
      IFERROR(COUNTIFS(Base!$X:$X, A174, Base!$U:$U, TRUE), 0) +
      IFERROR(COUNTIFS(Base!$Y:$Y, A174, Base!$U:$U, TRUE), 0) +
      IFERROR(COUNTIFS(Base!$Z:$Z, A174, Base!$U:$U, TRUE), 0)
    ) /
    (
      IFERROR(COUNTIFS(Base!$W:$W, A174, Base!$O:$O, "Finalizado"), 0) +
      IFERROR(COUNTIFS(Base!$W:$W, A174, Base!$O:$O, "Concluído"), 0) +
      IFERROR(COUNTIFS(Base!$X:$X, A174, Base!$O:$O, "Finalizado"), 0) +
      IFERROR(COUNTIFS(Base!$X:$X, A174, Base!$O:$O, "Concluído"), 0) +
      IFERROR(COUNTIFS(Base!$Y:$Y, A174, Base!$O:$O, "Finalizado"), 0) +
      IFERROR(COUNTIFS(Base!$Y:$Y, A174, Base!$O:$O, "Concluído"), 0) +
      IFERROR(COUNTIFS(Base!$Z:$Z, A174, Base!$O:$O, "Finalizado"), 0) +
      IFERROR(COUNTIFS(Base!$Z:$Z, A174, Base!$O:$O, "Concluído"), 0)
    )
  )
)
</f>
        <v>0</v>
      </c>
      <c r="N174" s="120">
        <f>COUNTIF(Base!V:V,$A174)</f>
        <v>3</v>
      </c>
      <c r="O174" s="120"/>
      <c r="P174" s="120"/>
      <c r="Q174" s="120"/>
      <c r="R174" s="120"/>
      <c r="S174" s="120"/>
      <c r="T174" s="120">
        <f t="shared" si="4"/>
        <v>0</v>
      </c>
      <c r="V174" s="293" t="str">
        <f>IF(
  (
    COUNTIF('Acompanhamento quinzenal'!$N:$N, A174) +
    COUNTIF('Acompanhamento quinzenal'!$T:$T, A174) +
    COUNTIF('Acompanhamento quinzenal'!$Z:$Z, A174) +
    COUNTIF('Acompanhamento quinzenal'!$AF:$AF, A174)
  ) = 0,
  "-",
  (
    IFERROR(SUMIFS('Acompanhamento quinzenal'!$S:$S, 'Acompanhamento quinzenal'!$N:$N, A174), 0) +
    IFERROR(SUMIFS('Acompanhamento quinzenal'!$Y:$Y, 'Acompanhamento quinzenal'!$T:$T, A174), 0) +
    IFERROR(SUMIFS('Acompanhamento quinzenal'!$AE:$AE, 'Acompanhamento quinzenal'!$Z:$Z, A174), 0) +
    IFERROR(SUMIFS('Acompanhamento quinzenal'!$AK:$AK, 'Acompanhamento quinzenal'!$AF:$AF, A174), 0)
  ) /
  (
    COUNTIF('Acompanhamento quinzenal'!$N:$N, A174) +
    COUNTIF('Acompanhamento quinzenal'!$T:$T, A174) +
    COUNTIF('Acompanhamento quinzenal'!$Z:$Z, A174) +
    COUNTIF('Acompanhamento quinzenal'!$AF:$AF, A174)
  )
)
</f>
        <v>-</v>
      </c>
      <c r="W174" s="293" t="str">
        <f>IF(
  (
    COUNTIF('Acompanhamento quinzenal'!$N:$N, A174) +
    COUNTIF('Acompanhamento quinzenal'!$T:$T, A174) +
    COUNTIF('Acompanhamento quinzenal'!$Z:$Z, A174) +
    COUNTIF('Acompanhamento quinzenal'!$AF:$AF, A174)
  ) = 0,
  "-",
  (
    IFERROR(SUMIFS('Acompanhamento quinzenal'!$O:$O, 'Acompanhamento quinzenal'!$N:$N, A174), 0) +
    IFERROR(SUMIFS('Acompanhamento quinzenal'!$U:$U, 'Acompanhamento quinzenal'!$T:$T, A174), 0) +
    IFERROR(SUMIFS('Acompanhamento quinzenal'!$AA:$AA, 'Acompanhamento quinzenal'!$Z:$Z, A174), 0) +
    IFERROR(SUMIFS('Acompanhamento quinzenal'!$AG:$AG, 'Acompanhamento quinzenal'!$AF:$AF, A174), 0)
  ) /
  (
    COUNTIF('Acompanhamento quinzenal'!$N:$N, A174) +
    COUNTIF('Acompanhamento quinzenal'!$T:$T, A174) +
    COUNTIF('Acompanhamento quinzenal'!$Z:$Z, A174) +
    COUNTIF('Acompanhamento quinzenal'!$AF:$AF, A174)
  )
)
</f>
        <v>-</v>
      </c>
      <c r="X174" s="294" t="str">
        <f>IF(
  (
    COUNTIF('Acompanhamento quinzenal'!$N:$N, A174) +
    COUNTIF('Acompanhamento quinzenal'!$T:$T, A174) +
    COUNTIF('Acompanhamento quinzenal'!$Z:$Z, A174) +
    COUNTIF('Acompanhamento quinzenal'!$AF:$AF, A174)
  ) = 0,
  "-",
  (
    IFERROR(SUMIFS('Acompanhamento quinzenal'!$P:$P, 'Acompanhamento quinzenal'!$N:$N, A174), 0) +
    IFERROR(SUMIFS('Acompanhamento quinzenal'!$V:$V, 'Acompanhamento quinzenal'!$T:$T, A174), 0) +
    IFERROR(SUMIFS('Acompanhamento quinzenal'!$AB:$AB, 'Acompanhamento quinzenal'!$Z:$Z, A174), 0) +
    IFERROR(SUMIFS('Acompanhamento quinzenal'!$AH:$AH, 'Acompanhamento quinzenal'!$AF:$AF, A174), 0)
  ) /
  (
    COUNTIF('Acompanhamento quinzenal'!$N:$N, A174) +
    COUNTIF('Acompanhamento quinzenal'!$T:$T, A174) +
    COUNTIF('Acompanhamento quinzenal'!$Z:$Z, A174) +
    COUNTIF('Acompanhamento quinzenal'!$AF:$AF, A174)
  )
)
</f>
        <v>-</v>
      </c>
      <c r="Y174" s="293" t="str">
        <f>IF(
  (
    COUNTIF('Acompanhamento quinzenal'!$N:$N, A174) +
    COUNTIF('Acompanhamento quinzenal'!$T:$T, A174) +
    COUNTIF('Acompanhamento quinzenal'!$Z:$Z, A174) +
    COUNTIF('Acompanhamento quinzenal'!$AF:$AF, A174)
  ) = 0,
  "-",
  (
    IFERROR(SUMIFS('Acompanhamento quinzenal'!$Q:$Q, 'Acompanhamento quinzenal'!$N:$N, A174), 0) +
    IFERROR(SUMIFS('Acompanhamento quinzenal'!$W:$W, 'Acompanhamento quinzenal'!$T:$T, A174), 0) +
    IFERROR(SUMIFS('Acompanhamento quinzenal'!$AC:$AC, 'Acompanhamento quinzenal'!$Z:$Z, A174), 0) +
    IFERROR(SUMIFS('Acompanhamento quinzenal'!$AI:$AI, 'Acompanhamento quinzenal'!$AF:$AF, A174), 0)
  ) /
  (
    COUNTIF('Acompanhamento quinzenal'!$N:$N, A174) +
    COUNTIF('Acompanhamento quinzenal'!$T:$T, A174) +
    COUNTIF('Acompanhamento quinzenal'!$Z:$Z, A174) +
    COUNTIF('Acompanhamento quinzenal'!$AF:$AF, A174)
  )
)
</f>
        <v>-</v>
      </c>
    </row>
    <row r="175" hidden="1">
      <c r="A175" s="291" t="str">
        <f>IFERROR(__xludf.DUMMYFUNCTION("""COMPUTED_VALUE"""),"thiago.verdelli")</f>
        <v>thiago.verdelli</v>
      </c>
      <c r="B175" s="120" t="str">
        <f>IFERROR(__xludf.DUMMYFUNCTION("""COMPUTED_VALUE"""),"Consultor")</f>
        <v>Consultor</v>
      </c>
      <c r="C175" s="120" t="str">
        <f>IFERROR(__xludf.DUMMYFUNCTION("""COMPUTED_VALUE"""),"WI")</f>
        <v>WI</v>
      </c>
      <c r="D175" s="292" t="str">
        <f>IFERROR((COUNTIFS(Base!$V:$V,A175,Base!$S:$S,"&gt;8") - COUNTIFS(Base!$V:$V,A175,Base!$S:$S,"&lt;7"))/COUNTIFS(Base!$V:$V,A175,Base!$S:$S,"&lt;&gt;"),"-")</f>
        <v>-</v>
      </c>
      <c r="E175" s="292">
        <f>IF(
  (
    COUNTIFS(Base!$W:$W, A175, Base!$S:$S, "&lt;&gt;") +
    COUNTIFS(Base!$X:$X, A175, Base!$S:$S, "&lt;&gt;") +
    COUNTIFS(Base!$Y:$Y, A175, Base!$S:$S, "&lt;&gt;") +
    COUNTIFS(Base!$Z:$Z, A175, Base!$S:$S, "&lt;&gt;")
  ) = 0,
  "-",
  (
    COUNTIFS(Base!$W:$W, A175, Base!$S:$S, "&gt;8") - COUNTIFS(Base!$W:$W, A175, Base!$S:$S, "&lt;7") +
    COUNTIFS(Base!$X:$X, A175, Base!$S:$S, "&gt;8") - COUNTIFS(Base!$X:$X, A175, Base!$S:$S, "&lt;7") +
    COUNTIFS(Base!$Y:$Y, A175, Base!$S:$S, "&gt;8") - COUNTIFS(Base!$Y:$Y, A175, Base!$S:$S, "&lt;7") +
    COUNTIFS(Base!$Z:$Z, A175, Base!$S:$S, "&gt;8") - COUNTIFS(Base!$Z:$Z, A175, Base!$S:$S, "&lt;7")
  ) /
  (
    COUNTIFS(Base!$W:$W, A175, Base!$S:$S, "&lt;&gt;") +
    COUNTIFS(Base!$X:$X, A175, Base!$S:$S, "&lt;&gt;") +
    COUNTIFS(Base!$Y:$Y, A175, Base!$S:$S, "&lt;&gt;") +
    COUNTIFS(Base!$Z:$Z, A175, Base!$S:$S, "&lt;&gt;")
  )
)
</f>
        <v>1</v>
      </c>
      <c r="F175" s="120"/>
      <c r="G175" s="120"/>
      <c r="J175" s="292" t="str">
        <f t="shared" ref="J175:K175" si="176">IFERROR(F175/H175,"-")</f>
        <v>-</v>
      </c>
      <c r="K175" s="292" t="str">
        <f t="shared" si="176"/>
        <v>-</v>
      </c>
      <c r="L175" s="292" t="str">
        <f>IFERROR((COUNTIFS(Base!$V:$V,A175,Base!$U:$U,TRUE))/(COUNTIFS(Base!$V:$V,A175,Base!$O:$O,"Finalizado")+COUNTIFS(Base!$V:$V,A175,Base!$O:$O,"Concluído")),"-")</f>
        <v>-</v>
      </c>
      <c r="M175" s="292">
        <f>IF(
  (
    IFERROR(COUNTIF(Base!$W:$W, A175), 0) +
    IFERROR(COUNTIF(Base!$X:$X, A175), 0) +
    IFERROR(COUNTIF(Base!$Y:$Y, A175), 0) +
    IFERROR(COUNTIF(Base!$Z:$Z, A175), 0)
  ) = 0,
  "-",
  IF(
    (
      IFERROR(COUNTIFS(Base!$W:$W, A175, Base!$O:$O, "Finalizado"), 0) +
      IFERROR(COUNTIFS(Base!$W:$W, A175, Base!$O:$O, "Concluído"), 0) +
      IFERROR(COUNTIFS(Base!$X:$X, A175, Base!$O:$O, "Finalizado"), 0) +
      IFERROR(COUNTIFS(Base!$X:$X, A175, Base!$O:$O, "Concluído"), 0) +
      IFERROR(COUNTIFS(Base!$Y:$Y, A175, Base!$O:$O, "Finalizado"), 0) +
      IFERROR(COUNTIFS(Base!$Y:$Y, A175, Base!$O:$O, "Concluído"), 0) +
      IFERROR(COUNTIFS(Base!$Z:$Z, A175, Base!$O:$O, "Finalizado"), 0) +
      IFERROR(COUNTIFS(Base!$Z:$Z, A175, Base!$O:$O, "Concluído"), 0)
    ) = 0,
    "-",
    (
      IFERROR(COUNTIFS(Base!$W:$W, A175, Base!$U:$U, TRUE), 0) +
      IFERROR(COUNTIFS(Base!$X:$X, A175, Base!$U:$U, TRUE), 0) +
      IFERROR(COUNTIFS(Base!$Y:$Y, A175, Base!$U:$U, TRUE), 0) +
      IFERROR(COUNTIFS(Base!$Z:$Z, A175, Base!$U:$U, TRUE), 0)
    ) /
    (
      IFERROR(COUNTIFS(Base!$W:$W, A175, Base!$O:$O, "Finalizado"), 0) +
      IFERROR(COUNTIFS(Base!$W:$W, A175, Base!$O:$O, "Concluído"), 0) +
      IFERROR(COUNTIFS(Base!$X:$X, A175, Base!$O:$O, "Finalizado"), 0) +
      IFERROR(COUNTIFS(Base!$X:$X, A175, Base!$O:$O, "Concluído"), 0) +
      IFERROR(COUNTIFS(Base!$Y:$Y, A175, Base!$O:$O, "Finalizado"), 0) +
      IFERROR(COUNTIFS(Base!$Y:$Y, A175, Base!$O:$O, "Concluído"), 0) +
      IFERROR(COUNTIFS(Base!$Z:$Z, A175, Base!$O:$O, "Finalizado"), 0) +
      IFERROR(COUNTIFS(Base!$Z:$Z, A175, Base!$O:$O, "Concluído"), 0)
    )
  )
)
</f>
        <v>0</v>
      </c>
      <c r="N175" s="120">
        <f>COUNTIF(Base!V:V,$A175)</f>
        <v>0</v>
      </c>
      <c r="O175" s="120"/>
      <c r="P175" s="120"/>
      <c r="Q175" s="120"/>
      <c r="R175" s="120"/>
      <c r="S175" s="120"/>
      <c r="T175" s="120">
        <f t="shared" si="4"/>
        <v>0</v>
      </c>
      <c r="V175" s="293" t="str">
        <f>IF(
  (
    COUNTIF('Acompanhamento quinzenal'!$N:$N, A175) +
    COUNTIF('Acompanhamento quinzenal'!$T:$T, A175) +
    COUNTIF('Acompanhamento quinzenal'!$Z:$Z, A175) +
    COUNTIF('Acompanhamento quinzenal'!$AF:$AF, A175)
  ) = 0,
  "-",
  (
    IFERROR(SUMIFS('Acompanhamento quinzenal'!$S:$S, 'Acompanhamento quinzenal'!$N:$N, A175), 0) +
    IFERROR(SUMIFS('Acompanhamento quinzenal'!$Y:$Y, 'Acompanhamento quinzenal'!$T:$T, A175), 0) +
    IFERROR(SUMIFS('Acompanhamento quinzenal'!$AE:$AE, 'Acompanhamento quinzenal'!$Z:$Z, A175), 0) +
    IFERROR(SUMIFS('Acompanhamento quinzenal'!$AK:$AK, 'Acompanhamento quinzenal'!$AF:$AF, A175), 0)
  ) /
  (
    COUNTIF('Acompanhamento quinzenal'!$N:$N, A175) +
    COUNTIF('Acompanhamento quinzenal'!$T:$T, A175) +
    COUNTIF('Acompanhamento quinzenal'!$Z:$Z, A175) +
    COUNTIF('Acompanhamento quinzenal'!$AF:$AF, A175)
  )
)
</f>
        <v>-</v>
      </c>
      <c r="W175" s="293" t="str">
        <f>IF(
  (
    COUNTIF('Acompanhamento quinzenal'!$N:$N, A175) +
    COUNTIF('Acompanhamento quinzenal'!$T:$T, A175) +
    COUNTIF('Acompanhamento quinzenal'!$Z:$Z, A175) +
    COUNTIF('Acompanhamento quinzenal'!$AF:$AF, A175)
  ) = 0,
  "-",
  (
    IFERROR(SUMIFS('Acompanhamento quinzenal'!$O:$O, 'Acompanhamento quinzenal'!$N:$N, A175), 0) +
    IFERROR(SUMIFS('Acompanhamento quinzenal'!$U:$U, 'Acompanhamento quinzenal'!$T:$T, A175), 0) +
    IFERROR(SUMIFS('Acompanhamento quinzenal'!$AA:$AA, 'Acompanhamento quinzenal'!$Z:$Z, A175), 0) +
    IFERROR(SUMIFS('Acompanhamento quinzenal'!$AG:$AG, 'Acompanhamento quinzenal'!$AF:$AF, A175), 0)
  ) /
  (
    COUNTIF('Acompanhamento quinzenal'!$N:$N, A175) +
    COUNTIF('Acompanhamento quinzenal'!$T:$T, A175) +
    COUNTIF('Acompanhamento quinzenal'!$Z:$Z, A175) +
    COUNTIF('Acompanhamento quinzenal'!$AF:$AF, A175)
  )
)
</f>
        <v>-</v>
      </c>
      <c r="X175" s="294" t="str">
        <f>IF(
  (
    COUNTIF('Acompanhamento quinzenal'!$N:$N, A175) +
    COUNTIF('Acompanhamento quinzenal'!$T:$T, A175) +
    COUNTIF('Acompanhamento quinzenal'!$Z:$Z, A175) +
    COUNTIF('Acompanhamento quinzenal'!$AF:$AF, A175)
  ) = 0,
  "-",
  (
    IFERROR(SUMIFS('Acompanhamento quinzenal'!$P:$P, 'Acompanhamento quinzenal'!$N:$N, A175), 0) +
    IFERROR(SUMIFS('Acompanhamento quinzenal'!$V:$V, 'Acompanhamento quinzenal'!$T:$T, A175), 0) +
    IFERROR(SUMIFS('Acompanhamento quinzenal'!$AB:$AB, 'Acompanhamento quinzenal'!$Z:$Z, A175), 0) +
    IFERROR(SUMIFS('Acompanhamento quinzenal'!$AH:$AH, 'Acompanhamento quinzenal'!$AF:$AF, A175), 0)
  ) /
  (
    COUNTIF('Acompanhamento quinzenal'!$N:$N, A175) +
    COUNTIF('Acompanhamento quinzenal'!$T:$T, A175) +
    COUNTIF('Acompanhamento quinzenal'!$Z:$Z, A175) +
    COUNTIF('Acompanhamento quinzenal'!$AF:$AF, A175)
  )
)
</f>
        <v>-</v>
      </c>
      <c r="Y175" s="293" t="str">
        <f>IF(
  (
    COUNTIF('Acompanhamento quinzenal'!$N:$N, A175) +
    COUNTIF('Acompanhamento quinzenal'!$T:$T, A175) +
    COUNTIF('Acompanhamento quinzenal'!$Z:$Z, A175) +
    COUNTIF('Acompanhamento quinzenal'!$AF:$AF, A175)
  ) = 0,
  "-",
  (
    IFERROR(SUMIFS('Acompanhamento quinzenal'!$Q:$Q, 'Acompanhamento quinzenal'!$N:$N, A175), 0) +
    IFERROR(SUMIFS('Acompanhamento quinzenal'!$W:$W, 'Acompanhamento quinzenal'!$T:$T, A175), 0) +
    IFERROR(SUMIFS('Acompanhamento quinzenal'!$AC:$AC, 'Acompanhamento quinzenal'!$Z:$Z, A175), 0) +
    IFERROR(SUMIFS('Acompanhamento quinzenal'!$AI:$AI, 'Acompanhamento quinzenal'!$AF:$AF, A175), 0)
  ) /
  (
    COUNTIF('Acompanhamento quinzenal'!$N:$N, A175) +
    COUNTIF('Acompanhamento quinzenal'!$T:$T, A175) +
    COUNTIF('Acompanhamento quinzenal'!$Z:$Z, A175) +
    COUNTIF('Acompanhamento quinzenal'!$AF:$AF, A175)
  )
)
</f>
        <v>-</v>
      </c>
    </row>
    <row r="176" hidden="1">
      <c r="A176" s="291" t="str">
        <f>IFERROR(__xludf.DUMMYFUNCTION("""COMPUTED_VALUE"""),"tiemi.koza")</f>
        <v>tiemi.koza</v>
      </c>
      <c r="B176" s="120" t="str">
        <f>IFERROR(__xludf.DUMMYFUNCTION("""COMPUTED_VALUE"""),"Gerente")</f>
        <v>Gerente</v>
      </c>
      <c r="C176" s="120" t="str">
        <f>IFERROR(__xludf.DUMMYFUNCTION("""COMPUTED_VALUE"""),"NCon")</f>
        <v>NCon</v>
      </c>
      <c r="D176" s="292" t="str">
        <f>IFERROR((COUNTIFS(Base!$V:$V,A176,Base!$S:$S,"&gt;8") - COUNTIFS(Base!$V:$V,A176,Base!$S:$S,"&lt;7"))/COUNTIFS(Base!$V:$V,A176,Base!$S:$S,"&lt;&gt;"),"-")</f>
        <v>-</v>
      </c>
      <c r="E176" s="292" t="str">
        <f>IF(
  (
    COUNTIFS(Base!$W:$W, A176, Base!$S:$S, "&lt;&gt;") +
    COUNTIFS(Base!$X:$X, A176, Base!$S:$S, "&lt;&gt;") +
    COUNTIFS(Base!$Y:$Y, A176, Base!$S:$S, "&lt;&gt;") +
    COUNTIFS(Base!$Z:$Z, A176, Base!$S:$S, "&lt;&gt;")
  ) = 0,
  "-",
  (
    COUNTIFS(Base!$W:$W, A176, Base!$S:$S, "&gt;8") - COUNTIFS(Base!$W:$W, A176, Base!$S:$S, "&lt;7") +
    COUNTIFS(Base!$X:$X, A176, Base!$S:$S, "&gt;8") - COUNTIFS(Base!$X:$X, A176, Base!$S:$S, "&lt;7") +
    COUNTIFS(Base!$Y:$Y, A176, Base!$S:$S, "&gt;8") - COUNTIFS(Base!$Y:$Y, A176, Base!$S:$S, "&lt;7") +
    COUNTIFS(Base!$Z:$Z, A176, Base!$S:$S, "&gt;8") - COUNTIFS(Base!$Z:$Z, A176, Base!$S:$S, "&lt;7")
  ) /
  (
    COUNTIFS(Base!$W:$W, A176, Base!$S:$S, "&lt;&gt;") +
    COUNTIFS(Base!$X:$X, A176, Base!$S:$S, "&lt;&gt;") +
    COUNTIFS(Base!$Y:$Y, A176, Base!$S:$S, "&lt;&gt;") +
    COUNTIFS(Base!$Z:$Z, A176, Base!$S:$S, "&lt;&gt;")
  )
)
</f>
        <v>-</v>
      </c>
      <c r="F176" s="120"/>
      <c r="G176" s="120"/>
      <c r="J176" s="292" t="str">
        <f t="shared" ref="J176:K176" si="177">IFERROR(F176/H176,"-")</f>
        <v>-</v>
      </c>
      <c r="K176" s="292" t="str">
        <f t="shared" si="177"/>
        <v>-</v>
      </c>
      <c r="L176" s="292" t="str">
        <f>IFERROR((COUNTIFS(Base!$V:$V,A176,Base!$U:$U,TRUE))/(COUNTIFS(Base!$V:$V,A176,Base!$O:$O,"Finalizado")+COUNTIFS(Base!$V:$V,A176,Base!$O:$O,"Concluído")),"-")</f>
        <v>-</v>
      </c>
      <c r="M176" s="292" t="str">
        <f>IF(
  (
    IFERROR(COUNTIF(Base!$W:$W, A176), 0) +
    IFERROR(COUNTIF(Base!$X:$X, A176), 0) +
    IFERROR(COUNTIF(Base!$Y:$Y, A176), 0) +
    IFERROR(COUNTIF(Base!$Z:$Z, A176), 0)
  ) = 0,
  "-",
  IF(
    (
      IFERROR(COUNTIFS(Base!$W:$W, A176, Base!$O:$O, "Finalizado"), 0) +
      IFERROR(COUNTIFS(Base!$W:$W, A176, Base!$O:$O, "Concluído"), 0) +
      IFERROR(COUNTIFS(Base!$X:$X, A176, Base!$O:$O, "Finalizado"), 0) +
      IFERROR(COUNTIFS(Base!$X:$X, A176, Base!$O:$O, "Concluído"), 0) +
      IFERROR(COUNTIFS(Base!$Y:$Y, A176, Base!$O:$O, "Finalizado"), 0) +
      IFERROR(COUNTIFS(Base!$Y:$Y, A176, Base!$O:$O, "Concluído"), 0) +
      IFERROR(COUNTIFS(Base!$Z:$Z, A176, Base!$O:$O, "Finalizado"), 0) +
      IFERROR(COUNTIFS(Base!$Z:$Z, A176, Base!$O:$O, "Concluído"), 0)
    ) = 0,
    "-",
    (
      IFERROR(COUNTIFS(Base!$W:$W, A176, Base!$U:$U, TRUE), 0) +
      IFERROR(COUNTIFS(Base!$X:$X, A176, Base!$U:$U, TRUE), 0) +
      IFERROR(COUNTIFS(Base!$Y:$Y, A176, Base!$U:$U, TRUE), 0) +
      IFERROR(COUNTIFS(Base!$Z:$Z, A176, Base!$U:$U, TRUE), 0)
    ) /
    (
      IFERROR(COUNTIFS(Base!$W:$W, A176, Base!$O:$O, "Finalizado"), 0) +
      IFERROR(COUNTIFS(Base!$W:$W, A176, Base!$O:$O, "Concluído"), 0) +
      IFERROR(COUNTIFS(Base!$X:$X, A176, Base!$O:$O, "Finalizado"), 0) +
      IFERROR(COUNTIFS(Base!$X:$X, A176, Base!$O:$O, "Concluído"), 0) +
      IFERROR(COUNTIFS(Base!$Y:$Y, A176, Base!$O:$O, "Finalizado"), 0) +
      IFERROR(COUNTIFS(Base!$Y:$Y, A176, Base!$O:$O, "Concluído"), 0) +
      IFERROR(COUNTIFS(Base!$Z:$Z, A176, Base!$O:$O, "Finalizado"), 0) +
      IFERROR(COUNTIFS(Base!$Z:$Z, A176, Base!$O:$O, "Concluído"), 0)
    )
  )
)
</f>
        <v>-</v>
      </c>
      <c r="N176" s="120">
        <f>COUNTIF(Base!V:V,$A176)</f>
        <v>0</v>
      </c>
      <c r="O176" s="120"/>
      <c r="P176" s="120"/>
      <c r="Q176" s="120"/>
      <c r="R176" s="120"/>
      <c r="S176" s="120"/>
      <c r="T176" s="120">
        <f t="shared" si="4"/>
        <v>0</v>
      </c>
      <c r="V176" s="293" t="str">
        <f>IF(
  (
    COUNTIF('Acompanhamento quinzenal'!$N:$N, A176) +
    COUNTIF('Acompanhamento quinzenal'!$T:$T, A176) +
    COUNTIF('Acompanhamento quinzenal'!$Z:$Z, A176) +
    COUNTIF('Acompanhamento quinzenal'!$AF:$AF, A176)
  ) = 0,
  "-",
  (
    IFERROR(SUMIFS('Acompanhamento quinzenal'!$S:$S, 'Acompanhamento quinzenal'!$N:$N, A176), 0) +
    IFERROR(SUMIFS('Acompanhamento quinzenal'!$Y:$Y, 'Acompanhamento quinzenal'!$T:$T, A176), 0) +
    IFERROR(SUMIFS('Acompanhamento quinzenal'!$AE:$AE, 'Acompanhamento quinzenal'!$Z:$Z, A176), 0) +
    IFERROR(SUMIFS('Acompanhamento quinzenal'!$AK:$AK, 'Acompanhamento quinzenal'!$AF:$AF, A176), 0)
  ) /
  (
    COUNTIF('Acompanhamento quinzenal'!$N:$N, A176) +
    COUNTIF('Acompanhamento quinzenal'!$T:$T, A176) +
    COUNTIF('Acompanhamento quinzenal'!$Z:$Z, A176) +
    COUNTIF('Acompanhamento quinzenal'!$AF:$AF, A176)
  )
)
</f>
        <v>-</v>
      </c>
      <c r="W176" s="293" t="str">
        <f>IF(
  (
    COUNTIF('Acompanhamento quinzenal'!$N:$N, A176) +
    COUNTIF('Acompanhamento quinzenal'!$T:$T, A176) +
    COUNTIF('Acompanhamento quinzenal'!$Z:$Z, A176) +
    COUNTIF('Acompanhamento quinzenal'!$AF:$AF, A176)
  ) = 0,
  "-",
  (
    IFERROR(SUMIFS('Acompanhamento quinzenal'!$O:$O, 'Acompanhamento quinzenal'!$N:$N, A176), 0) +
    IFERROR(SUMIFS('Acompanhamento quinzenal'!$U:$U, 'Acompanhamento quinzenal'!$T:$T, A176), 0) +
    IFERROR(SUMIFS('Acompanhamento quinzenal'!$AA:$AA, 'Acompanhamento quinzenal'!$Z:$Z, A176), 0) +
    IFERROR(SUMIFS('Acompanhamento quinzenal'!$AG:$AG, 'Acompanhamento quinzenal'!$AF:$AF, A176), 0)
  ) /
  (
    COUNTIF('Acompanhamento quinzenal'!$N:$N, A176) +
    COUNTIF('Acompanhamento quinzenal'!$T:$T, A176) +
    COUNTIF('Acompanhamento quinzenal'!$Z:$Z, A176) +
    COUNTIF('Acompanhamento quinzenal'!$AF:$AF, A176)
  )
)
</f>
        <v>-</v>
      </c>
      <c r="X176" s="294" t="str">
        <f>IF(
  (
    COUNTIF('Acompanhamento quinzenal'!$N:$N, A176) +
    COUNTIF('Acompanhamento quinzenal'!$T:$T, A176) +
    COUNTIF('Acompanhamento quinzenal'!$Z:$Z, A176) +
    COUNTIF('Acompanhamento quinzenal'!$AF:$AF, A176)
  ) = 0,
  "-",
  (
    IFERROR(SUMIFS('Acompanhamento quinzenal'!$P:$P, 'Acompanhamento quinzenal'!$N:$N, A176), 0) +
    IFERROR(SUMIFS('Acompanhamento quinzenal'!$V:$V, 'Acompanhamento quinzenal'!$T:$T, A176), 0) +
    IFERROR(SUMIFS('Acompanhamento quinzenal'!$AB:$AB, 'Acompanhamento quinzenal'!$Z:$Z, A176), 0) +
    IFERROR(SUMIFS('Acompanhamento quinzenal'!$AH:$AH, 'Acompanhamento quinzenal'!$AF:$AF, A176), 0)
  ) /
  (
    COUNTIF('Acompanhamento quinzenal'!$N:$N, A176) +
    COUNTIF('Acompanhamento quinzenal'!$T:$T, A176) +
    COUNTIF('Acompanhamento quinzenal'!$Z:$Z, A176) +
    COUNTIF('Acompanhamento quinzenal'!$AF:$AF, A176)
  )
)
</f>
        <v>-</v>
      </c>
      <c r="Y176" s="293" t="str">
        <f>IF(
  (
    COUNTIF('Acompanhamento quinzenal'!$N:$N, A176) +
    COUNTIF('Acompanhamento quinzenal'!$T:$T, A176) +
    COUNTIF('Acompanhamento quinzenal'!$Z:$Z, A176) +
    COUNTIF('Acompanhamento quinzenal'!$AF:$AF, A176)
  ) = 0,
  "-",
  (
    IFERROR(SUMIFS('Acompanhamento quinzenal'!$Q:$Q, 'Acompanhamento quinzenal'!$N:$N, A176), 0) +
    IFERROR(SUMIFS('Acompanhamento quinzenal'!$W:$W, 'Acompanhamento quinzenal'!$T:$T, A176), 0) +
    IFERROR(SUMIFS('Acompanhamento quinzenal'!$AC:$AC, 'Acompanhamento quinzenal'!$Z:$Z, A176), 0) +
    IFERROR(SUMIFS('Acompanhamento quinzenal'!$AI:$AI, 'Acompanhamento quinzenal'!$AF:$AF, A176), 0)
  ) /
  (
    COUNTIF('Acompanhamento quinzenal'!$N:$N, A176) +
    COUNTIF('Acompanhamento quinzenal'!$T:$T, A176) +
    COUNTIF('Acompanhamento quinzenal'!$Z:$Z, A176) +
    COUNTIF('Acompanhamento quinzenal'!$AF:$AF, A176)
  )
)
</f>
        <v>-</v>
      </c>
    </row>
    <row r="177">
      <c r="A177" s="291" t="str">
        <f>IFERROR(__xludf.DUMMYFUNCTION("""COMPUTED_VALUE"""),"valentina.maia")</f>
        <v>valentina.maia</v>
      </c>
      <c r="B177" s="120" t="str">
        <f>IFERROR(__xludf.DUMMYFUNCTION("""COMPUTED_VALUE"""),"Trainee")</f>
        <v>Trainee</v>
      </c>
      <c r="C177" s="120" t="str">
        <f>IFERROR(__xludf.DUMMYFUNCTION("""COMPUTED_VALUE"""),"NDados")</f>
        <v>NDados</v>
      </c>
      <c r="D177" s="292" t="str">
        <f>IFERROR((COUNTIFS(Base!$V:$V,A177,Base!$S:$S,"&gt;8") - COUNTIFS(Base!$V:$V,A177,Base!$S:$S,"&lt;7"))/COUNTIFS(Base!$V:$V,A177,Base!$S:$S,"&lt;&gt;"),"-")</f>
        <v>-</v>
      </c>
      <c r="E177" s="292" t="str">
        <f>IF(
  (
    COUNTIFS(Base!$W:$W, A177, Base!$S:$S, "&lt;&gt;") +
    COUNTIFS(Base!$X:$X, A177, Base!$S:$S, "&lt;&gt;") +
    COUNTIFS(Base!$Y:$Y, A177, Base!$S:$S, "&lt;&gt;") +
    COUNTIFS(Base!$Z:$Z, A177, Base!$S:$S, "&lt;&gt;")
  ) = 0,
  "-",
  (
    COUNTIFS(Base!$W:$W, A177, Base!$S:$S, "&gt;8") - COUNTIFS(Base!$W:$W, A177, Base!$S:$S, "&lt;7") +
    COUNTIFS(Base!$X:$X, A177, Base!$S:$S, "&gt;8") - COUNTIFS(Base!$X:$X, A177, Base!$S:$S, "&lt;7") +
    COUNTIFS(Base!$Y:$Y, A177, Base!$S:$S, "&gt;8") - COUNTIFS(Base!$Y:$Y, A177, Base!$S:$S, "&lt;7") +
    COUNTIFS(Base!$Z:$Z, A177, Base!$S:$S, "&gt;8") - COUNTIFS(Base!$Z:$Z, A177, Base!$S:$S, "&lt;7")
  ) /
  (
    COUNTIFS(Base!$W:$W, A177, Base!$S:$S, "&lt;&gt;") +
    COUNTIFS(Base!$X:$X, A177, Base!$S:$S, "&lt;&gt;") +
    COUNTIFS(Base!$Y:$Y, A177, Base!$S:$S, "&lt;&gt;") +
    COUNTIFS(Base!$Z:$Z, A177, Base!$S:$S, "&lt;&gt;")
  )
)
</f>
        <v>-</v>
      </c>
      <c r="F177" s="120"/>
      <c r="G177" s="120"/>
      <c r="J177" s="292" t="str">
        <f t="shared" ref="J177:K177" si="178">IFERROR(F177/H177,"-")</f>
        <v>-</v>
      </c>
      <c r="K177" s="292" t="str">
        <f t="shared" si="178"/>
        <v>-</v>
      </c>
      <c r="L177" s="292" t="str">
        <f>IFERROR((COUNTIFS(Base!$V:$V,A177,Base!$U:$U,TRUE))/(COUNTIFS(Base!$V:$V,A177,Base!$O:$O,"Finalizado")+COUNTIFS(Base!$V:$V,A177,Base!$O:$O,"Concluído")),"-")</f>
        <v>-</v>
      </c>
      <c r="M177" s="292" t="str">
        <f>IF(
  (
    IFERROR(COUNTIF(Base!$W:$W, A177), 0) +
    IFERROR(COUNTIF(Base!$X:$X, A177), 0) +
    IFERROR(COUNTIF(Base!$Y:$Y, A177), 0) +
    IFERROR(COUNTIF(Base!$Z:$Z, A177), 0)
  ) = 0,
  "-",
  IF(
    (
      IFERROR(COUNTIFS(Base!$W:$W, A177, Base!$O:$O, "Finalizado"), 0) +
      IFERROR(COUNTIFS(Base!$W:$W, A177, Base!$O:$O, "Concluído"), 0) +
      IFERROR(COUNTIFS(Base!$X:$X, A177, Base!$O:$O, "Finalizado"), 0) +
      IFERROR(COUNTIFS(Base!$X:$X, A177, Base!$O:$O, "Concluído"), 0) +
      IFERROR(COUNTIFS(Base!$Y:$Y, A177, Base!$O:$O, "Finalizado"), 0) +
      IFERROR(COUNTIFS(Base!$Y:$Y, A177, Base!$O:$O, "Concluído"), 0) +
      IFERROR(COUNTIFS(Base!$Z:$Z, A177, Base!$O:$O, "Finalizado"), 0) +
      IFERROR(COUNTIFS(Base!$Z:$Z, A177, Base!$O:$O, "Concluído"), 0)
    ) = 0,
    "-",
    (
      IFERROR(COUNTIFS(Base!$W:$W, A177, Base!$U:$U, TRUE), 0) +
      IFERROR(COUNTIFS(Base!$X:$X, A177, Base!$U:$U, TRUE), 0) +
      IFERROR(COUNTIFS(Base!$Y:$Y, A177, Base!$U:$U, TRUE), 0) +
      IFERROR(COUNTIFS(Base!$Z:$Z, A177, Base!$U:$U, TRUE), 0)
    ) /
    (
      IFERROR(COUNTIFS(Base!$W:$W, A177, Base!$O:$O, "Finalizado"), 0) +
      IFERROR(COUNTIFS(Base!$W:$W, A177, Base!$O:$O, "Concluído"), 0) +
      IFERROR(COUNTIFS(Base!$X:$X, A177, Base!$O:$O, "Finalizado"), 0) +
      IFERROR(COUNTIFS(Base!$X:$X, A177, Base!$O:$O, "Concluído"), 0) +
      IFERROR(COUNTIFS(Base!$Y:$Y, A177, Base!$O:$O, "Finalizado"), 0) +
      IFERROR(COUNTIFS(Base!$Y:$Y, A177, Base!$O:$O, "Concluído"), 0) +
      IFERROR(COUNTIFS(Base!$Z:$Z, A177, Base!$O:$O, "Finalizado"), 0) +
      IFERROR(COUNTIFS(Base!$Z:$Z, A177, Base!$O:$O, "Concluído"), 0)
    )
  )
)
</f>
        <v>-</v>
      </c>
      <c r="N177" s="120">
        <f>COUNTIF(Base!V:V,$A177)</f>
        <v>0</v>
      </c>
      <c r="O177" s="120"/>
      <c r="P177" s="120"/>
      <c r="Q177" s="120"/>
      <c r="R177" s="120"/>
      <c r="S177" s="120"/>
      <c r="T177" s="120">
        <f t="shared" si="4"/>
        <v>0</v>
      </c>
      <c r="V177" s="293" t="str">
        <f>IF(
  (
    COUNTIF('Acompanhamento quinzenal'!$N:$N, A177) +
    COUNTIF('Acompanhamento quinzenal'!$T:$T, A177) +
    COUNTIF('Acompanhamento quinzenal'!$Z:$Z, A177) +
    COUNTIF('Acompanhamento quinzenal'!$AF:$AF, A177)
  ) = 0,
  "-",
  (
    IFERROR(SUMIFS('Acompanhamento quinzenal'!$S:$S, 'Acompanhamento quinzenal'!$N:$N, A177), 0) +
    IFERROR(SUMIFS('Acompanhamento quinzenal'!$Y:$Y, 'Acompanhamento quinzenal'!$T:$T, A177), 0) +
    IFERROR(SUMIFS('Acompanhamento quinzenal'!$AE:$AE, 'Acompanhamento quinzenal'!$Z:$Z, A177), 0) +
    IFERROR(SUMIFS('Acompanhamento quinzenal'!$AK:$AK, 'Acompanhamento quinzenal'!$AF:$AF, A177), 0)
  ) /
  (
    COUNTIF('Acompanhamento quinzenal'!$N:$N, A177) +
    COUNTIF('Acompanhamento quinzenal'!$T:$T, A177) +
    COUNTIF('Acompanhamento quinzenal'!$Z:$Z, A177) +
    COUNTIF('Acompanhamento quinzenal'!$AF:$AF, A177)
  )
)
</f>
        <v>-</v>
      </c>
      <c r="W177" s="293" t="str">
        <f>IF(
  (
    COUNTIF('Acompanhamento quinzenal'!$N:$N, A177) +
    COUNTIF('Acompanhamento quinzenal'!$T:$T, A177) +
    COUNTIF('Acompanhamento quinzenal'!$Z:$Z, A177) +
    COUNTIF('Acompanhamento quinzenal'!$AF:$AF, A177)
  ) = 0,
  "-",
  (
    IFERROR(SUMIFS('Acompanhamento quinzenal'!$O:$O, 'Acompanhamento quinzenal'!$N:$N, A177), 0) +
    IFERROR(SUMIFS('Acompanhamento quinzenal'!$U:$U, 'Acompanhamento quinzenal'!$T:$T, A177), 0) +
    IFERROR(SUMIFS('Acompanhamento quinzenal'!$AA:$AA, 'Acompanhamento quinzenal'!$Z:$Z, A177), 0) +
    IFERROR(SUMIFS('Acompanhamento quinzenal'!$AG:$AG, 'Acompanhamento quinzenal'!$AF:$AF, A177), 0)
  ) /
  (
    COUNTIF('Acompanhamento quinzenal'!$N:$N, A177) +
    COUNTIF('Acompanhamento quinzenal'!$T:$T, A177) +
    COUNTIF('Acompanhamento quinzenal'!$Z:$Z, A177) +
    COUNTIF('Acompanhamento quinzenal'!$AF:$AF, A177)
  )
)
</f>
        <v>-</v>
      </c>
      <c r="X177" s="294" t="str">
        <f>IF(
  (
    COUNTIF('Acompanhamento quinzenal'!$N:$N, A177) +
    COUNTIF('Acompanhamento quinzenal'!$T:$T, A177) +
    COUNTIF('Acompanhamento quinzenal'!$Z:$Z, A177) +
    COUNTIF('Acompanhamento quinzenal'!$AF:$AF, A177)
  ) = 0,
  "-",
  (
    IFERROR(SUMIFS('Acompanhamento quinzenal'!$P:$P, 'Acompanhamento quinzenal'!$N:$N, A177), 0) +
    IFERROR(SUMIFS('Acompanhamento quinzenal'!$V:$V, 'Acompanhamento quinzenal'!$T:$T, A177), 0) +
    IFERROR(SUMIFS('Acompanhamento quinzenal'!$AB:$AB, 'Acompanhamento quinzenal'!$Z:$Z, A177), 0) +
    IFERROR(SUMIFS('Acompanhamento quinzenal'!$AH:$AH, 'Acompanhamento quinzenal'!$AF:$AF, A177), 0)
  ) /
  (
    COUNTIF('Acompanhamento quinzenal'!$N:$N, A177) +
    COUNTIF('Acompanhamento quinzenal'!$T:$T, A177) +
    COUNTIF('Acompanhamento quinzenal'!$Z:$Z, A177) +
    COUNTIF('Acompanhamento quinzenal'!$AF:$AF, A177)
  )
)
</f>
        <v>-</v>
      </c>
      <c r="Y177" s="293" t="str">
        <f>IF(
  (
    COUNTIF('Acompanhamento quinzenal'!$N:$N, A177) +
    COUNTIF('Acompanhamento quinzenal'!$T:$T, A177) +
    COUNTIF('Acompanhamento quinzenal'!$Z:$Z, A177) +
    COUNTIF('Acompanhamento quinzenal'!$AF:$AF, A177)
  ) = 0,
  "-",
  (
    IFERROR(SUMIFS('Acompanhamento quinzenal'!$Q:$Q, 'Acompanhamento quinzenal'!$N:$N, A177), 0) +
    IFERROR(SUMIFS('Acompanhamento quinzenal'!$W:$W, 'Acompanhamento quinzenal'!$T:$T, A177), 0) +
    IFERROR(SUMIFS('Acompanhamento quinzenal'!$AC:$AC, 'Acompanhamento quinzenal'!$Z:$Z, A177), 0) +
    IFERROR(SUMIFS('Acompanhamento quinzenal'!$AI:$AI, 'Acompanhamento quinzenal'!$AF:$AF, A177), 0)
  ) /
  (
    COUNTIF('Acompanhamento quinzenal'!$N:$N, A177) +
    COUNTIF('Acompanhamento quinzenal'!$T:$T, A177) +
    COUNTIF('Acompanhamento quinzenal'!$Z:$Z, A177) +
    COUNTIF('Acompanhamento quinzenal'!$AF:$AF, A177)
  )
)
</f>
        <v>-</v>
      </c>
    </row>
    <row r="178" hidden="1">
      <c r="A178" s="291" t="str">
        <f>IFERROR(__xludf.DUMMYFUNCTION("""COMPUTED_VALUE"""),"victor.carvalho")</f>
        <v>victor.carvalho</v>
      </c>
      <c r="B178" s="120" t="str">
        <f>IFERROR(__xludf.DUMMYFUNCTION("""COMPUTED_VALUE"""),"Trainee")</f>
        <v>Trainee</v>
      </c>
      <c r="C178" s="120" t="str">
        <f>IFERROR(__xludf.DUMMYFUNCTION("""COMPUTED_VALUE"""),"NTec")</f>
        <v>NTec</v>
      </c>
      <c r="D178" s="292" t="str">
        <f>IFERROR((COUNTIFS(Base!$V:$V,A178,Base!$S:$S,"&gt;8") - COUNTIFS(Base!$V:$V,A178,Base!$S:$S,"&lt;7"))/COUNTIFS(Base!$V:$V,A178,Base!$S:$S,"&lt;&gt;"),"-")</f>
        <v>-</v>
      </c>
      <c r="E178" s="292" t="str">
        <f>IF(
  (
    COUNTIFS(Base!$W:$W, A178, Base!$S:$S, "&lt;&gt;") +
    COUNTIFS(Base!$X:$X, A178, Base!$S:$S, "&lt;&gt;") +
    COUNTIFS(Base!$Y:$Y, A178, Base!$S:$S, "&lt;&gt;") +
    COUNTIFS(Base!$Z:$Z, A178, Base!$S:$S, "&lt;&gt;")
  ) = 0,
  "-",
  (
    COUNTIFS(Base!$W:$W, A178, Base!$S:$S, "&gt;8") - COUNTIFS(Base!$W:$W, A178, Base!$S:$S, "&lt;7") +
    COUNTIFS(Base!$X:$X, A178, Base!$S:$S, "&gt;8") - COUNTIFS(Base!$X:$X, A178, Base!$S:$S, "&lt;7") +
    COUNTIFS(Base!$Y:$Y, A178, Base!$S:$S, "&gt;8") - COUNTIFS(Base!$Y:$Y, A178, Base!$S:$S, "&lt;7") +
    COUNTIFS(Base!$Z:$Z, A178, Base!$S:$S, "&gt;8") - COUNTIFS(Base!$Z:$Z, A178, Base!$S:$S, "&lt;7")
  ) /
  (
    COUNTIFS(Base!$W:$W, A178, Base!$S:$S, "&lt;&gt;") +
    COUNTIFS(Base!$X:$X, A178, Base!$S:$S, "&lt;&gt;") +
    COUNTIFS(Base!$Y:$Y, A178, Base!$S:$S, "&lt;&gt;") +
    COUNTIFS(Base!$Z:$Z, A178, Base!$S:$S, "&lt;&gt;")
  )
)
</f>
        <v>-</v>
      </c>
      <c r="F178" s="120"/>
      <c r="G178" s="120"/>
      <c r="J178" s="292" t="str">
        <f t="shared" ref="J178:K178" si="179">IFERROR(F178/H178,"-")</f>
        <v>-</v>
      </c>
      <c r="K178" s="292" t="str">
        <f t="shared" si="179"/>
        <v>-</v>
      </c>
      <c r="L178" s="292" t="str">
        <f>IFERROR((COUNTIFS(Base!$V:$V,A178,Base!$U:$U,TRUE))/(COUNTIFS(Base!$V:$V,A178,Base!$O:$O,"Finalizado")+COUNTIFS(Base!$V:$V,A178,Base!$O:$O,"Concluído")),"-")</f>
        <v>-</v>
      </c>
      <c r="M178" s="292" t="str">
        <f>IF(
  (
    IFERROR(COUNTIF(Base!$W:$W, A178), 0) +
    IFERROR(COUNTIF(Base!$X:$X, A178), 0) +
    IFERROR(COUNTIF(Base!$Y:$Y, A178), 0) +
    IFERROR(COUNTIF(Base!$Z:$Z, A178), 0)
  ) = 0,
  "-",
  IF(
    (
      IFERROR(COUNTIFS(Base!$W:$W, A178, Base!$O:$O, "Finalizado"), 0) +
      IFERROR(COUNTIFS(Base!$W:$W, A178, Base!$O:$O, "Concluído"), 0) +
      IFERROR(COUNTIFS(Base!$X:$X, A178, Base!$O:$O, "Finalizado"), 0) +
      IFERROR(COUNTIFS(Base!$X:$X, A178, Base!$O:$O, "Concluído"), 0) +
      IFERROR(COUNTIFS(Base!$Y:$Y, A178, Base!$O:$O, "Finalizado"), 0) +
      IFERROR(COUNTIFS(Base!$Y:$Y, A178, Base!$O:$O, "Concluído"), 0) +
      IFERROR(COUNTIFS(Base!$Z:$Z, A178, Base!$O:$O, "Finalizado"), 0) +
      IFERROR(COUNTIFS(Base!$Z:$Z, A178, Base!$O:$O, "Concluído"), 0)
    ) = 0,
    "-",
    (
      IFERROR(COUNTIFS(Base!$W:$W, A178, Base!$U:$U, TRUE), 0) +
      IFERROR(COUNTIFS(Base!$X:$X, A178, Base!$U:$U, TRUE), 0) +
      IFERROR(COUNTIFS(Base!$Y:$Y, A178, Base!$U:$U, TRUE), 0) +
      IFERROR(COUNTIFS(Base!$Z:$Z, A178, Base!$U:$U, TRUE), 0)
    ) /
    (
      IFERROR(COUNTIFS(Base!$W:$W, A178, Base!$O:$O, "Finalizado"), 0) +
      IFERROR(COUNTIFS(Base!$W:$W, A178, Base!$O:$O, "Concluído"), 0) +
      IFERROR(COUNTIFS(Base!$X:$X, A178, Base!$O:$O, "Finalizado"), 0) +
      IFERROR(COUNTIFS(Base!$X:$X, A178, Base!$O:$O, "Concluído"), 0) +
      IFERROR(COUNTIFS(Base!$Y:$Y, A178, Base!$O:$O, "Finalizado"), 0) +
      IFERROR(COUNTIFS(Base!$Y:$Y, A178, Base!$O:$O, "Concluído"), 0) +
      IFERROR(COUNTIFS(Base!$Z:$Z, A178, Base!$O:$O, "Finalizado"), 0) +
      IFERROR(COUNTIFS(Base!$Z:$Z, A178, Base!$O:$O, "Concluído"), 0)
    )
  )
)
</f>
        <v>-</v>
      </c>
      <c r="N178" s="120">
        <f>COUNTIF(Base!V:V,$A178)</f>
        <v>0</v>
      </c>
      <c r="O178" s="120"/>
      <c r="P178" s="120"/>
      <c r="Q178" s="120"/>
      <c r="R178" s="120"/>
      <c r="S178" s="120"/>
      <c r="T178" s="120">
        <f t="shared" si="4"/>
        <v>0</v>
      </c>
      <c r="V178" s="293" t="str">
        <f>IF(
  (
    COUNTIF('Acompanhamento quinzenal'!$N:$N, A178) +
    COUNTIF('Acompanhamento quinzenal'!$T:$T, A178) +
    COUNTIF('Acompanhamento quinzenal'!$Z:$Z, A178) +
    COUNTIF('Acompanhamento quinzenal'!$AF:$AF, A178)
  ) = 0,
  "-",
  (
    IFERROR(SUMIFS('Acompanhamento quinzenal'!$S:$S, 'Acompanhamento quinzenal'!$N:$N, A178), 0) +
    IFERROR(SUMIFS('Acompanhamento quinzenal'!$Y:$Y, 'Acompanhamento quinzenal'!$T:$T, A178), 0) +
    IFERROR(SUMIFS('Acompanhamento quinzenal'!$AE:$AE, 'Acompanhamento quinzenal'!$Z:$Z, A178), 0) +
    IFERROR(SUMIFS('Acompanhamento quinzenal'!$AK:$AK, 'Acompanhamento quinzenal'!$AF:$AF, A178), 0)
  ) /
  (
    COUNTIF('Acompanhamento quinzenal'!$N:$N, A178) +
    COUNTIF('Acompanhamento quinzenal'!$T:$T, A178) +
    COUNTIF('Acompanhamento quinzenal'!$Z:$Z, A178) +
    COUNTIF('Acompanhamento quinzenal'!$AF:$AF, A178)
  )
)
</f>
        <v>-</v>
      </c>
      <c r="W178" s="293" t="str">
        <f>IF(
  (
    COUNTIF('Acompanhamento quinzenal'!$N:$N, A178) +
    COUNTIF('Acompanhamento quinzenal'!$T:$T, A178) +
    COUNTIF('Acompanhamento quinzenal'!$Z:$Z, A178) +
    COUNTIF('Acompanhamento quinzenal'!$AF:$AF, A178)
  ) = 0,
  "-",
  (
    IFERROR(SUMIFS('Acompanhamento quinzenal'!$O:$O, 'Acompanhamento quinzenal'!$N:$N, A178), 0) +
    IFERROR(SUMIFS('Acompanhamento quinzenal'!$U:$U, 'Acompanhamento quinzenal'!$T:$T, A178), 0) +
    IFERROR(SUMIFS('Acompanhamento quinzenal'!$AA:$AA, 'Acompanhamento quinzenal'!$Z:$Z, A178), 0) +
    IFERROR(SUMIFS('Acompanhamento quinzenal'!$AG:$AG, 'Acompanhamento quinzenal'!$AF:$AF, A178), 0)
  ) /
  (
    COUNTIF('Acompanhamento quinzenal'!$N:$N, A178) +
    COUNTIF('Acompanhamento quinzenal'!$T:$T, A178) +
    COUNTIF('Acompanhamento quinzenal'!$Z:$Z, A178) +
    COUNTIF('Acompanhamento quinzenal'!$AF:$AF, A178)
  )
)
</f>
        <v>-</v>
      </c>
      <c r="X178" s="294" t="str">
        <f>IF(
  (
    COUNTIF('Acompanhamento quinzenal'!$N:$N, A178) +
    COUNTIF('Acompanhamento quinzenal'!$T:$T, A178) +
    COUNTIF('Acompanhamento quinzenal'!$Z:$Z, A178) +
    COUNTIF('Acompanhamento quinzenal'!$AF:$AF, A178)
  ) = 0,
  "-",
  (
    IFERROR(SUMIFS('Acompanhamento quinzenal'!$P:$P, 'Acompanhamento quinzenal'!$N:$N, A178), 0) +
    IFERROR(SUMIFS('Acompanhamento quinzenal'!$V:$V, 'Acompanhamento quinzenal'!$T:$T, A178), 0) +
    IFERROR(SUMIFS('Acompanhamento quinzenal'!$AB:$AB, 'Acompanhamento quinzenal'!$Z:$Z, A178), 0) +
    IFERROR(SUMIFS('Acompanhamento quinzenal'!$AH:$AH, 'Acompanhamento quinzenal'!$AF:$AF, A178), 0)
  ) /
  (
    COUNTIF('Acompanhamento quinzenal'!$N:$N, A178) +
    COUNTIF('Acompanhamento quinzenal'!$T:$T, A178) +
    COUNTIF('Acompanhamento quinzenal'!$Z:$Z, A178) +
    COUNTIF('Acompanhamento quinzenal'!$AF:$AF, A178)
  )
)
</f>
        <v>-</v>
      </c>
      <c r="Y178" s="293" t="str">
        <f>IF(
  (
    COUNTIF('Acompanhamento quinzenal'!$N:$N, A178) +
    COUNTIF('Acompanhamento quinzenal'!$T:$T, A178) +
    COUNTIF('Acompanhamento quinzenal'!$Z:$Z, A178) +
    COUNTIF('Acompanhamento quinzenal'!$AF:$AF, A178)
  ) = 0,
  "-",
  (
    IFERROR(SUMIFS('Acompanhamento quinzenal'!$Q:$Q, 'Acompanhamento quinzenal'!$N:$N, A178), 0) +
    IFERROR(SUMIFS('Acompanhamento quinzenal'!$W:$W, 'Acompanhamento quinzenal'!$T:$T, A178), 0) +
    IFERROR(SUMIFS('Acompanhamento quinzenal'!$AC:$AC, 'Acompanhamento quinzenal'!$Z:$Z, A178), 0) +
    IFERROR(SUMIFS('Acompanhamento quinzenal'!$AI:$AI, 'Acompanhamento quinzenal'!$AF:$AF, A178), 0)
  ) /
  (
    COUNTIF('Acompanhamento quinzenal'!$N:$N, A178) +
    COUNTIF('Acompanhamento quinzenal'!$T:$T, A178) +
    COUNTIF('Acompanhamento quinzenal'!$Z:$Z, A178) +
    COUNTIF('Acompanhamento quinzenal'!$AF:$AF, A178)
  )
)
</f>
        <v>-</v>
      </c>
    </row>
    <row r="179" hidden="1">
      <c r="A179" s="291" t="str">
        <f>IFERROR(__xludf.DUMMYFUNCTION("""COMPUTED_VALUE"""),"victor.ishizaki")</f>
        <v>victor.ishizaki</v>
      </c>
      <c r="B179" s="120" t="str">
        <f>IFERROR(__xludf.DUMMYFUNCTION("""COMPUTED_VALUE"""),"Consultor")</f>
        <v>Consultor</v>
      </c>
      <c r="C179" s="120" t="str">
        <f>IFERROR(__xludf.DUMMYFUNCTION("""COMPUTED_VALUE"""),"NTec")</f>
        <v>NTec</v>
      </c>
      <c r="D179" s="292" t="str">
        <f>IFERROR((COUNTIFS(Base!$V:$V,A179,Base!$S:$S,"&gt;8") - COUNTIFS(Base!$V:$V,A179,Base!$S:$S,"&lt;7"))/COUNTIFS(Base!$V:$V,A179,Base!$S:$S,"&lt;&gt;"),"-")</f>
        <v>-</v>
      </c>
      <c r="E179" s="292" t="str">
        <f>IF(
  (
    COUNTIFS(Base!$W:$W, A179, Base!$S:$S, "&lt;&gt;") +
    COUNTIFS(Base!$X:$X, A179, Base!$S:$S, "&lt;&gt;") +
    COUNTIFS(Base!$Y:$Y, A179, Base!$S:$S, "&lt;&gt;") +
    COUNTIFS(Base!$Z:$Z, A179, Base!$S:$S, "&lt;&gt;")
  ) = 0,
  "-",
  (
    COUNTIFS(Base!$W:$W, A179, Base!$S:$S, "&gt;8") - COUNTIFS(Base!$W:$W, A179, Base!$S:$S, "&lt;7") +
    COUNTIFS(Base!$X:$X, A179, Base!$S:$S, "&gt;8") - COUNTIFS(Base!$X:$X, A179, Base!$S:$S, "&lt;7") +
    COUNTIFS(Base!$Y:$Y, A179, Base!$S:$S, "&gt;8") - COUNTIFS(Base!$Y:$Y, A179, Base!$S:$S, "&lt;7") +
    COUNTIFS(Base!$Z:$Z, A179, Base!$S:$S, "&gt;8") - COUNTIFS(Base!$Z:$Z, A179, Base!$S:$S, "&lt;7")
  ) /
  (
    COUNTIFS(Base!$W:$W, A179, Base!$S:$S, "&lt;&gt;") +
    COUNTIFS(Base!$X:$X, A179, Base!$S:$S, "&lt;&gt;") +
    COUNTIFS(Base!$Y:$Y, A179, Base!$S:$S, "&lt;&gt;") +
    COUNTIFS(Base!$Z:$Z, A179, Base!$S:$S, "&lt;&gt;")
  )
)
</f>
        <v>-</v>
      </c>
      <c r="F179" s="120"/>
      <c r="G179" s="120"/>
      <c r="J179" s="292" t="str">
        <f t="shared" ref="J179:K179" si="180">IFERROR(F179/H179,"-")</f>
        <v>-</v>
      </c>
      <c r="K179" s="292" t="str">
        <f t="shared" si="180"/>
        <v>-</v>
      </c>
      <c r="L179" s="292" t="str">
        <f>IFERROR((COUNTIFS(Base!$V:$V,A179,Base!$U:$U,TRUE))/(COUNTIFS(Base!$V:$V,A179,Base!$O:$O,"Finalizado")+COUNTIFS(Base!$V:$V,A179,Base!$O:$O,"Concluído")),"-")</f>
        <v>-</v>
      </c>
      <c r="M179" s="292">
        <f>IF(
  (
    IFERROR(COUNTIF(Base!$W:$W, A179), 0) +
    IFERROR(COUNTIF(Base!$X:$X, A179), 0) +
    IFERROR(COUNTIF(Base!$Y:$Y, A179), 0) +
    IFERROR(COUNTIF(Base!$Z:$Z, A179), 0)
  ) = 0,
  "-",
  IF(
    (
      IFERROR(COUNTIFS(Base!$W:$W, A179, Base!$O:$O, "Finalizado"), 0) +
      IFERROR(COUNTIFS(Base!$W:$W, A179, Base!$O:$O, "Concluído"), 0) +
      IFERROR(COUNTIFS(Base!$X:$X, A179, Base!$O:$O, "Finalizado"), 0) +
      IFERROR(COUNTIFS(Base!$X:$X, A179, Base!$O:$O, "Concluído"), 0) +
      IFERROR(COUNTIFS(Base!$Y:$Y, A179, Base!$O:$O, "Finalizado"), 0) +
      IFERROR(COUNTIFS(Base!$Y:$Y, A179, Base!$O:$O, "Concluído"), 0) +
      IFERROR(COUNTIFS(Base!$Z:$Z, A179, Base!$O:$O, "Finalizado"), 0) +
      IFERROR(COUNTIFS(Base!$Z:$Z, A179, Base!$O:$O, "Concluído"), 0)
    ) = 0,
    "-",
    (
      IFERROR(COUNTIFS(Base!$W:$W, A179, Base!$U:$U, TRUE), 0) +
      IFERROR(COUNTIFS(Base!$X:$X, A179, Base!$U:$U, TRUE), 0) +
      IFERROR(COUNTIFS(Base!$Y:$Y, A179, Base!$U:$U, TRUE), 0) +
      IFERROR(COUNTIFS(Base!$Z:$Z, A179, Base!$U:$U, TRUE), 0)
    ) /
    (
      IFERROR(COUNTIFS(Base!$W:$W, A179, Base!$O:$O, "Finalizado"), 0) +
      IFERROR(COUNTIFS(Base!$W:$W, A179, Base!$O:$O, "Concluído"), 0) +
      IFERROR(COUNTIFS(Base!$X:$X, A179, Base!$O:$O, "Finalizado"), 0) +
      IFERROR(COUNTIFS(Base!$X:$X, A179, Base!$O:$O, "Concluído"), 0) +
      IFERROR(COUNTIFS(Base!$Y:$Y, A179, Base!$O:$O, "Finalizado"), 0) +
      IFERROR(COUNTIFS(Base!$Y:$Y, A179, Base!$O:$O, "Concluído"), 0) +
      IFERROR(COUNTIFS(Base!$Z:$Z, A179, Base!$O:$O, "Finalizado"), 0) +
      IFERROR(COUNTIFS(Base!$Z:$Z, A179, Base!$O:$O, "Concluído"), 0)
    )
  )
)
</f>
        <v>0</v>
      </c>
      <c r="N179" s="120">
        <f>COUNTIF(Base!V:V,$A179)</f>
        <v>0</v>
      </c>
      <c r="O179" s="120"/>
      <c r="P179" s="120"/>
      <c r="Q179" s="120"/>
      <c r="R179" s="120"/>
      <c r="S179" s="120"/>
      <c r="T179" s="120">
        <f t="shared" si="4"/>
        <v>0</v>
      </c>
      <c r="V179" s="293">
        <f>IF(
  (
    COUNTIF('Acompanhamento quinzenal'!$N:$N, A179) +
    COUNTIF('Acompanhamento quinzenal'!$T:$T, A179) +
    COUNTIF('Acompanhamento quinzenal'!$Z:$Z, A179) +
    COUNTIF('Acompanhamento quinzenal'!$AF:$AF, A179)
  ) = 0,
  "-",
  (
    IFERROR(SUMIFS('Acompanhamento quinzenal'!$S:$S, 'Acompanhamento quinzenal'!$N:$N, A179), 0) +
    IFERROR(SUMIFS('Acompanhamento quinzenal'!$Y:$Y, 'Acompanhamento quinzenal'!$T:$T, A179), 0) +
    IFERROR(SUMIFS('Acompanhamento quinzenal'!$AE:$AE, 'Acompanhamento quinzenal'!$Z:$Z, A179), 0) +
    IFERROR(SUMIFS('Acompanhamento quinzenal'!$AK:$AK, 'Acompanhamento quinzenal'!$AF:$AF, A179), 0)
  ) /
  (
    COUNTIF('Acompanhamento quinzenal'!$N:$N, A179) +
    COUNTIF('Acompanhamento quinzenal'!$T:$T, A179) +
    COUNTIF('Acompanhamento quinzenal'!$Z:$Z, A179) +
    COUNTIF('Acompanhamento quinzenal'!$AF:$AF, A179)
  )
)
</f>
        <v>4.333333333</v>
      </c>
      <c r="W179" s="293">
        <f>IF(
  (
    COUNTIF('Acompanhamento quinzenal'!$N:$N, A179) +
    COUNTIF('Acompanhamento quinzenal'!$T:$T, A179) +
    COUNTIF('Acompanhamento quinzenal'!$Z:$Z, A179) +
    COUNTIF('Acompanhamento quinzenal'!$AF:$AF, A179)
  ) = 0,
  "-",
  (
    IFERROR(SUMIFS('Acompanhamento quinzenal'!$O:$O, 'Acompanhamento quinzenal'!$N:$N, A179), 0) +
    IFERROR(SUMIFS('Acompanhamento quinzenal'!$U:$U, 'Acompanhamento quinzenal'!$T:$T, A179), 0) +
    IFERROR(SUMIFS('Acompanhamento quinzenal'!$AA:$AA, 'Acompanhamento quinzenal'!$Z:$Z, A179), 0) +
    IFERROR(SUMIFS('Acompanhamento quinzenal'!$AG:$AG, 'Acompanhamento quinzenal'!$AF:$AF, A179), 0)
  ) /
  (
    COUNTIF('Acompanhamento quinzenal'!$N:$N, A179) +
    COUNTIF('Acompanhamento quinzenal'!$T:$T, A179) +
    COUNTIF('Acompanhamento quinzenal'!$Z:$Z, A179) +
    COUNTIF('Acompanhamento quinzenal'!$AF:$AF, A179)
  )
)
</f>
        <v>4.333333333</v>
      </c>
      <c r="X179" s="294">
        <f>IF(
  (
    COUNTIF('Acompanhamento quinzenal'!$N:$N, A179) +
    COUNTIF('Acompanhamento quinzenal'!$T:$T, A179) +
    COUNTIF('Acompanhamento quinzenal'!$Z:$Z, A179) +
    COUNTIF('Acompanhamento quinzenal'!$AF:$AF, A179)
  ) = 0,
  "-",
  (
    IFERROR(SUMIFS('Acompanhamento quinzenal'!$P:$P, 'Acompanhamento quinzenal'!$N:$N, A179), 0) +
    IFERROR(SUMIFS('Acompanhamento quinzenal'!$V:$V, 'Acompanhamento quinzenal'!$T:$T, A179), 0) +
    IFERROR(SUMIFS('Acompanhamento quinzenal'!$AB:$AB, 'Acompanhamento quinzenal'!$Z:$Z, A179), 0) +
    IFERROR(SUMIFS('Acompanhamento quinzenal'!$AH:$AH, 'Acompanhamento quinzenal'!$AF:$AF, A179), 0)
  ) /
  (
    COUNTIF('Acompanhamento quinzenal'!$N:$N, A179) +
    COUNTIF('Acompanhamento quinzenal'!$T:$T, A179) +
    COUNTIF('Acompanhamento quinzenal'!$Z:$Z, A179) +
    COUNTIF('Acompanhamento quinzenal'!$AF:$AF, A179)
  )
)
</f>
        <v>4.333333333</v>
      </c>
      <c r="Y179" s="293">
        <f>IF(
  (
    COUNTIF('Acompanhamento quinzenal'!$N:$N, A179) +
    COUNTIF('Acompanhamento quinzenal'!$T:$T, A179) +
    COUNTIF('Acompanhamento quinzenal'!$Z:$Z, A179) +
    COUNTIF('Acompanhamento quinzenal'!$AF:$AF, A179)
  ) = 0,
  "-",
  (
    IFERROR(SUMIFS('Acompanhamento quinzenal'!$Q:$Q, 'Acompanhamento quinzenal'!$N:$N, A179), 0) +
    IFERROR(SUMIFS('Acompanhamento quinzenal'!$W:$W, 'Acompanhamento quinzenal'!$T:$T, A179), 0) +
    IFERROR(SUMIFS('Acompanhamento quinzenal'!$AC:$AC, 'Acompanhamento quinzenal'!$Z:$Z, A179), 0) +
    IFERROR(SUMIFS('Acompanhamento quinzenal'!$AI:$AI, 'Acompanhamento quinzenal'!$AF:$AF, A179), 0)
  ) /
  (
    COUNTIF('Acompanhamento quinzenal'!$N:$N, A179) +
    COUNTIF('Acompanhamento quinzenal'!$T:$T, A179) +
    COUNTIF('Acompanhamento quinzenal'!$Z:$Z, A179) +
    COUNTIF('Acompanhamento quinzenal'!$AF:$AF, A179)
  )
)
</f>
        <v>4.333333333</v>
      </c>
    </row>
    <row r="180" hidden="1">
      <c r="A180" s="291" t="str">
        <f>IFERROR(__xludf.DUMMYFUNCTION("""COMPUTED_VALUE"""),"victoria.hiriart")</f>
        <v>victoria.hiriart</v>
      </c>
      <c r="B180" s="120" t="str">
        <f>IFERROR(__xludf.DUMMYFUNCTION("""COMPUTED_VALUE"""),"Trainee")</f>
        <v>Trainee</v>
      </c>
      <c r="C180" s="120" t="str">
        <f>IFERROR(__xludf.DUMMYFUNCTION("""COMPUTED_VALUE"""),"NCiv")</f>
        <v>NCiv</v>
      </c>
      <c r="D180" s="292" t="str">
        <f>IFERROR((COUNTIFS(Base!$V:$V,A180,Base!$S:$S,"&gt;8") - COUNTIFS(Base!$V:$V,A180,Base!$S:$S,"&lt;7"))/COUNTIFS(Base!$V:$V,A180,Base!$S:$S,"&lt;&gt;"),"-")</f>
        <v>-</v>
      </c>
      <c r="E180" s="292" t="str">
        <f>IF(
  (
    COUNTIFS(Base!$W:$W, A180, Base!$S:$S, "&lt;&gt;") +
    COUNTIFS(Base!$X:$X, A180, Base!$S:$S, "&lt;&gt;") +
    COUNTIFS(Base!$Y:$Y, A180, Base!$S:$S, "&lt;&gt;") +
    COUNTIFS(Base!$Z:$Z, A180, Base!$S:$S, "&lt;&gt;")
  ) = 0,
  "-",
  (
    COUNTIFS(Base!$W:$W, A180, Base!$S:$S, "&gt;8") - COUNTIFS(Base!$W:$W, A180, Base!$S:$S, "&lt;7") +
    COUNTIFS(Base!$X:$X, A180, Base!$S:$S, "&gt;8") - COUNTIFS(Base!$X:$X, A180, Base!$S:$S, "&lt;7") +
    COUNTIFS(Base!$Y:$Y, A180, Base!$S:$S, "&gt;8") - COUNTIFS(Base!$Y:$Y, A180, Base!$S:$S, "&lt;7") +
    COUNTIFS(Base!$Z:$Z, A180, Base!$S:$S, "&gt;8") - COUNTIFS(Base!$Z:$Z, A180, Base!$S:$S, "&lt;7")
  ) /
  (
    COUNTIFS(Base!$W:$W, A180, Base!$S:$S, "&lt;&gt;") +
    COUNTIFS(Base!$X:$X, A180, Base!$S:$S, "&lt;&gt;") +
    COUNTIFS(Base!$Y:$Y, A180, Base!$S:$S, "&lt;&gt;") +
    COUNTIFS(Base!$Z:$Z, A180, Base!$S:$S, "&lt;&gt;")
  )
)
</f>
        <v>-</v>
      </c>
      <c r="F180" s="120"/>
      <c r="G180" s="120"/>
      <c r="J180" s="292" t="str">
        <f t="shared" ref="J180:K180" si="181">IFERROR(F180/H180,"-")</f>
        <v>-</v>
      </c>
      <c r="K180" s="292" t="str">
        <f t="shared" si="181"/>
        <v>-</v>
      </c>
      <c r="L180" s="292" t="str">
        <f>IFERROR((COUNTIFS(Base!$V:$V,A180,Base!$U:$U,TRUE))/(COUNTIFS(Base!$V:$V,A180,Base!$O:$O,"Finalizado")+COUNTIFS(Base!$V:$V,A180,Base!$O:$O,"Concluído")),"-")</f>
        <v>-</v>
      </c>
      <c r="M180" s="292" t="str">
        <f>IF(
  (
    IFERROR(COUNTIF(Base!$W:$W, A180), 0) +
    IFERROR(COUNTIF(Base!$X:$X, A180), 0) +
    IFERROR(COUNTIF(Base!$Y:$Y, A180), 0) +
    IFERROR(COUNTIF(Base!$Z:$Z, A180), 0)
  ) = 0,
  "-",
  IF(
    (
      IFERROR(COUNTIFS(Base!$W:$W, A180, Base!$O:$O, "Finalizado"), 0) +
      IFERROR(COUNTIFS(Base!$W:$W, A180, Base!$O:$O, "Concluído"), 0) +
      IFERROR(COUNTIFS(Base!$X:$X, A180, Base!$O:$O, "Finalizado"), 0) +
      IFERROR(COUNTIFS(Base!$X:$X, A180, Base!$O:$O, "Concluído"), 0) +
      IFERROR(COUNTIFS(Base!$Y:$Y, A180, Base!$O:$O, "Finalizado"), 0) +
      IFERROR(COUNTIFS(Base!$Y:$Y, A180, Base!$O:$O, "Concluído"), 0) +
      IFERROR(COUNTIFS(Base!$Z:$Z, A180, Base!$O:$O, "Finalizado"), 0) +
      IFERROR(COUNTIFS(Base!$Z:$Z, A180, Base!$O:$O, "Concluído"), 0)
    ) = 0,
    "-",
    (
      IFERROR(COUNTIFS(Base!$W:$W, A180, Base!$U:$U, TRUE), 0) +
      IFERROR(COUNTIFS(Base!$X:$X, A180, Base!$U:$U, TRUE), 0) +
      IFERROR(COUNTIFS(Base!$Y:$Y, A180, Base!$U:$U, TRUE), 0) +
      IFERROR(COUNTIFS(Base!$Z:$Z, A180, Base!$U:$U, TRUE), 0)
    ) /
    (
      IFERROR(COUNTIFS(Base!$W:$W, A180, Base!$O:$O, "Finalizado"), 0) +
      IFERROR(COUNTIFS(Base!$W:$W, A180, Base!$O:$O, "Concluído"), 0) +
      IFERROR(COUNTIFS(Base!$X:$X, A180, Base!$O:$O, "Finalizado"), 0) +
      IFERROR(COUNTIFS(Base!$X:$X, A180, Base!$O:$O, "Concluído"), 0) +
      IFERROR(COUNTIFS(Base!$Y:$Y, A180, Base!$O:$O, "Finalizado"), 0) +
      IFERROR(COUNTIFS(Base!$Y:$Y, A180, Base!$O:$O, "Concluído"), 0) +
      IFERROR(COUNTIFS(Base!$Z:$Z, A180, Base!$O:$O, "Finalizado"), 0) +
      IFERROR(COUNTIFS(Base!$Z:$Z, A180, Base!$O:$O, "Concluído"), 0)
    )
  )
)
</f>
        <v>-</v>
      </c>
      <c r="N180" s="120">
        <f>COUNTIF(Base!V:V,$A180)</f>
        <v>0</v>
      </c>
      <c r="O180" s="120"/>
      <c r="P180" s="120"/>
      <c r="Q180" s="120"/>
      <c r="R180" s="120"/>
      <c r="S180" s="120"/>
      <c r="T180" s="120">
        <f t="shared" si="4"/>
        <v>0</v>
      </c>
      <c r="V180" s="293" t="str">
        <f>IF(
  (
    COUNTIF('Acompanhamento quinzenal'!$N:$N, A180) +
    COUNTIF('Acompanhamento quinzenal'!$T:$T, A180) +
    COUNTIF('Acompanhamento quinzenal'!$Z:$Z, A180) +
    COUNTIF('Acompanhamento quinzenal'!$AF:$AF, A180)
  ) = 0,
  "-",
  (
    IFERROR(SUMIFS('Acompanhamento quinzenal'!$S:$S, 'Acompanhamento quinzenal'!$N:$N, A180), 0) +
    IFERROR(SUMIFS('Acompanhamento quinzenal'!$Y:$Y, 'Acompanhamento quinzenal'!$T:$T, A180), 0) +
    IFERROR(SUMIFS('Acompanhamento quinzenal'!$AE:$AE, 'Acompanhamento quinzenal'!$Z:$Z, A180), 0) +
    IFERROR(SUMIFS('Acompanhamento quinzenal'!$AK:$AK, 'Acompanhamento quinzenal'!$AF:$AF, A180), 0)
  ) /
  (
    COUNTIF('Acompanhamento quinzenal'!$N:$N, A180) +
    COUNTIF('Acompanhamento quinzenal'!$T:$T, A180) +
    COUNTIF('Acompanhamento quinzenal'!$Z:$Z, A180) +
    COUNTIF('Acompanhamento quinzenal'!$AF:$AF, A180)
  )
)
</f>
        <v>-</v>
      </c>
      <c r="W180" s="293" t="str">
        <f>IF(
  (
    COUNTIF('Acompanhamento quinzenal'!$N:$N, A180) +
    COUNTIF('Acompanhamento quinzenal'!$T:$T, A180) +
    COUNTIF('Acompanhamento quinzenal'!$Z:$Z, A180) +
    COUNTIF('Acompanhamento quinzenal'!$AF:$AF, A180)
  ) = 0,
  "-",
  (
    IFERROR(SUMIFS('Acompanhamento quinzenal'!$O:$O, 'Acompanhamento quinzenal'!$N:$N, A180), 0) +
    IFERROR(SUMIFS('Acompanhamento quinzenal'!$U:$U, 'Acompanhamento quinzenal'!$T:$T, A180), 0) +
    IFERROR(SUMIFS('Acompanhamento quinzenal'!$AA:$AA, 'Acompanhamento quinzenal'!$Z:$Z, A180), 0) +
    IFERROR(SUMIFS('Acompanhamento quinzenal'!$AG:$AG, 'Acompanhamento quinzenal'!$AF:$AF, A180), 0)
  ) /
  (
    COUNTIF('Acompanhamento quinzenal'!$N:$N, A180) +
    COUNTIF('Acompanhamento quinzenal'!$T:$T, A180) +
    COUNTIF('Acompanhamento quinzenal'!$Z:$Z, A180) +
    COUNTIF('Acompanhamento quinzenal'!$AF:$AF, A180)
  )
)
</f>
        <v>-</v>
      </c>
      <c r="X180" s="294" t="str">
        <f>IF(
  (
    COUNTIF('Acompanhamento quinzenal'!$N:$N, A180) +
    COUNTIF('Acompanhamento quinzenal'!$T:$T, A180) +
    COUNTIF('Acompanhamento quinzenal'!$Z:$Z, A180) +
    COUNTIF('Acompanhamento quinzenal'!$AF:$AF, A180)
  ) = 0,
  "-",
  (
    IFERROR(SUMIFS('Acompanhamento quinzenal'!$P:$P, 'Acompanhamento quinzenal'!$N:$N, A180), 0) +
    IFERROR(SUMIFS('Acompanhamento quinzenal'!$V:$V, 'Acompanhamento quinzenal'!$T:$T, A180), 0) +
    IFERROR(SUMIFS('Acompanhamento quinzenal'!$AB:$AB, 'Acompanhamento quinzenal'!$Z:$Z, A180), 0) +
    IFERROR(SUMIFS('Acompanhamento quinzenal'!$AH:$AH, 'Acompanhamento quinzenal'!$AF:$AF, A180), 0)
  ) /
  (
    COUNTIF('Acompanhamento quinzenal'!$N:$N, A180) +
    COUNTIF('Acompanhamento quinzenal'!$T:$T, A180) +
    COUNTIF('Acompanhamento quinzenal'!$Z:$Z, A180) +
    COUNTIF('Acompanhamento quinzenal'!$AF:$AF, A180)
  )
)
</f>
        <v>-</v>
      </c>
      <c r="Y180" s="293" t="str">
        <f>IF(
  (
    COUNTIF('Acompanhamento quinzenal'!$N:$N, A180) +
    COUNTIF('Acompanhamento quinzenal'!$T:$T, A180) +
    COUNTIF('Acompanhamento quinzenal'!$Z:$Z, A180) +
    COUNTIF('Acompanhamento quinzenal'!$AF:$AF, A180)
  ) = 0,
  "-",
  (
    IFERROR(SUMIFS('Acompanhamento quinzenal'!$Q:$Q, 'Acompanhamento quinzenal'!$N:$N, A180), 0) +
    IFERROR(SUMIFS('Acompanhamento quinzenal'!$W:$W, 'Acompanhamento quinzenal'!$T:$T, A180), 0) +
    IFERROR(SUMIFS('Acompanhamento quinzenal'!$AC:$AC, 'Acompanhamento quinzenal'!$Z:$Z, A180), 0) +
    IFERROR(SUMIFS('Acompanhamento quinzenal'!$AI:$AI, 'Acompanhamento quinzenal'!$AF:$AF, A180), 0)
  ) /
  (
    COUNTIF('Acompanhamento quinzenal'!$N:$N, A180) +
    COUNTIF('Acompanhamento quinzenal'!$T:$T, A180) +
    COUNTIF('Acompanhamento quinzenal'!$Z:$Z, A180) +
    COUNTIF('Acompanhamento quinzenal'!$AF:$AF, A180)
  )
)
</f>
        <v>-</v>
      </c>
    </row>
    <row r="181" hidden="1">
      <c r="A181" s="291" t="str">
        <f>IFERROR(__xludf.DUMMYFUNCTION("""COMPUTED_VALUE"""),"vinicius.sakima")</f>
        <v>vinicius.sakima</v>
      </c>
      <c r="B181" s="120" t="str">
        <f>IFERROR(__xludf.DUMMYFUNCTION("""COMPUTED_VALUE"""),"Trainee")</f>
        <v>Trainee</v>
      </c>
      <c r="C181" s="120" t="str">
        <f>IFERROR(__xludf.DUMMYFUNCTION("""COMPUTED_VALUE"""),"NCon")</f>
        <v>NCon</v>
      </c>
      <c r="D181" s="292" t="str">
        <f>IFERROR((COUNTIFS(Base!$V:$V,A181,Base!$S:$S,"&gt;8") - COUNTIFS(Base!$V:$V,A181,Base!$S:$S,"&lt;7"))/COUNTIFS(Base!$V:$V,A181,Base!$S:$S,"&lt;&gt;"),"-")</f>
        <v>-</v>
      </c>
      <c r="E181" s="292" t="str">
        <f>IF(
  (
    COUNTIFS(Base!$W:$W, A181, Base!$S:$S, "&lt;&gt;") +
    COUNTIFS(Base!$X:$X, A181, Base!$S:$S, "&lt;&gt;") +
    COUNTIFS(Base!$Y:$Y, A181, Base!$S:$S, "&lt;&gt;") +
    COUNTIFS(Base!$Z:$Z, A181, Base!$S:$S, "&lt;&gt;")
  ) = 0,
  "-",
  (
    COUNTIFS(Base!$W:$W, A181, Base!$S:$S, "&gt;8") - COUNTIFS(Base!$W:$W, A181, Base!$S:$S, "&lt;7") +
    COUNTIFS(Base!$X:$X, A181, Base!$S:$S, "&gt;8") - COUNTIFS(Base!$X:$X, A181, Base!$S:$S, "&lt;7") +
    COUNTIFS(Base!$Y:$Y, A181, Base!$S:$S, "&gt;8") - COUNTIFS(Base!$Y:$Y, A181, Base!$S:$S, "&lt;7") +
    COUNTIFS(Base!$Z:$Z, A181, Base!$S:$S, "&gt;8") - COUNTIFS(Base!$Z:$Z, A181, Base!$S:$S, "&lt;7")
  ) /
  (
    COUNTIFS(Base!$W:$W, A181, Base!$S:$S, "&lt;&gt;") +
    COUNTIFS(Base!$X:$X, A181, Base!$S:$S, "&lt;&gt;") +
    COUNTIFS(Base!$Y:$Y, A181, Base!$S:$S, "&lt;&gt;") +
    COUNTIFS(Base!$Z:$Z, A181, Base!$S:$S, "&lt;&gt;")
  )
)
</f>
        <v>-</v>
      </c>
      <c r="F181" s="120"/>
      <c r="G181" s="120"/>
      <c r="J181" s="292" t="str">
        <f t="shared" ref="J181:K181" si="182">IFERROR(F181/H181,"-")</f>
        <v>-</v>
      </c>
      <c r="K181" s="292" t="str">
        <f t="shared" si="182"/>
        <v>-</v>
      </c>
      <c r="L181" s="292" t="str">
        <f>IFERROR((COUNTIFS(Base!$V:$V,A181,Base!$U:$U,TRUE))/(COUNTIFS(Base!$V:$V,A181,Base!$O:$O,"Finalizado")+COUNTIFS(Base!$V:$V,A181,Base!$O:$O,"Concluído")),"-")</f>
        <v>-</v>
      </c>
      <c r="M181" s="292" t="str">
        <f>IF(
  (
    IFERROR(COUNTIF(Base!$W:$W, A181), 0) +
    IFERROR(COUNTIF(Base!$X:$X, A181), 0) +
    IFERROR(COUNTIF(Base!$Y:$Y, A181), 0) +
    IFERROR(COUNTIF(Base!$Z:$Z, A181), 0)
  ) = 0,
  "-",
  IF(
    (
      IFERROR(COUNTIFS(Base!$W:$W, A181, Base!$O:$O, "Finalizado"), 0) +
      IFERROR(COUNTIFS(Base!$W:$W, A181, Base!$O:$O, "Concluído"), 0) +
      IFERROR(COUNTIFS(Base!$X:$X, A181, Base!$O:$O, "Finalizado"), 0) +
      IFERROR(COUNTIFS(Base!$X:$X, A181, Base!$O:$O, "Concluído"), 0) +
      IFERROR(COUNTIFS(Base!$Y:$Y, A181, Base!$O:$O, "Finalizado"), 0) +
      IFERROR(COUNTIFS(Base!$Y:$Y, A181, Base!$O:$O, "Concluído"), 0) +
      IFERROR(COUNTIFS(Base!$Z:$Z, A181, Base!$O:$O, "Finalizado"), 0) +
      IFERROR(COUNTIFS(Base!$Z:$Z, A181, Base!$O:$O, "Concluído"), 0)
    ) = 0,
    "-",
    (
      IFERROR(COUNTIFS(Base!$W:$W, A181, Base!$U:$U, TRUE), 0) +
      IFERROR(COUNTIFS(Base!$X:$X, A181, Base!$U:$U, TRUE), 0) +
      IFERROR(COUNTIFS(Base!$Y:$Y, A181, Base!$U:$U, TRUE), 0) +
      IFERROR(COUNTIFS(Base!$Z:$Z, A181, Base!$U:$U, TRUE), 0)
    ) /
    (
      IFERROR(COUNTIFS(Base!$W:$W, A181, Base!$O:$O, "Finalizado"), 0) +
      IFERROR(COUNTIFS(Base!$W:$W, A181, Base!$O:$O, "Concluído"), 0) +
      IFERROR(COUNTIFS(Base!$X:$X, A181, Base!$O:$O, "Finalizado"), 0) +
      IFERROR(COUNTIFS(Base!$X:$X, A181, Base!$O:$O, "Concluído"), 0) +
      IFERROR(COUNTIFS(Base!$Y:$Y, A181, Base!$O:$O, "Finalizado"), 0) +
      IFERROR(COUNTIFS(Base!$Y:$Y, A181, Base!$O:$O, "Concluído"), 0) +
      IFERROR(COUNTIFS(Base!$Z:$Z, A181, Base!$O:$O, "Finalizado"), 0) +
      IFERROR(COUNTIFS(Base!$Z:$Z, A181, Base!$O:$O, "Concluído"), 0)
    )
  )
)
</f>
        <v>-</v>
      </c>
      <c r="N181" s="120">
        <f>COUNTIF(Base!V:V,$A181)</f>
        <v>0</v>
      </c>
      <c r="O181" s="120"/>
      <c r="P181" s="120"/>
      <c r="Q181" s="120"/>
      <c r="R181" s="120"/>
      <c r="S181" s="120"/>
      <c r="T181" s="120">
        <f t="shared" si="4"/>
        <v>0</v>
      </c>
      <c r="V181" s="293" t="str">
        <f>IF(
  (
    COUNTIF('Acompanhamento quinzenal'!$N:$N, A181) +
    COUNTIF('Acompanhamento quinzenal'!$T:$T, A181) +
    COUNTIF('Acompanhamento quinzenal'!$Z:$Z, A181) +
    COUNTIF('Acompanhamento quinzenal'!$AF:$AF, A181)
  ) = 0,
  "-",
  (
    IFERROR(SUMIFS('Acompanhamento quinzenal'!$S:$S, 'Acompanhamento quinzenal'!$N:$N, A181), 0) +
    IFERROR(SUMIFS('Acompanhamento quinzenal'!$Y:$Y, 'Acompanhamento quinzenal'!$T:$T, A181), 0) +
    IFERROR(SUMIFS('Acompanhamento quinzenal'!$AE:$AE, 'Acompanhamento quinzenal'!$Z:$Z, A181), 0) +
    IFERROR(SUMIFS('Acompanhamento quinzenal'!$AK:$AK, 'Acompanhamento quinzenal'!$AF:$AF, A181), 0)
  ) /
  (
    COUNTIF('Acompanhamento quinzenal'!$N:$N, A181) +
    COUNTIF('Acompanhamento quinzenal'!$T:$T, A181) +
    COUNTIF('Acompanhamento quinzenal'!$Z:$Z, A181) +
    COUNTIF('Acompanhamento quinzenal'!$AF:$AF, A181)
  )
)
</f>
        <v>-</v>
      </c>
      <c r="W181" s="293" t="str">
        <f>IF(
  (
    COUNTIF('Acompanhamento quinzenal'!$N:$N, A181) +
    COUNTIF('Acompanhamento quinzenal'!$T:$T, A181) +
    COUNTIF('Acompanhamento quinzenal'!$Z:$Z, A181) +
    COUNTIF('Acompanhamento quinzenal'!$AF:$AF, A181)
  ) = 0,
  "-",
  (
    IFERROR(SUMIFS('Acompanhamento quinzenal'!$O:$O, 'Acompanhamento quinzenal'!$N:$N, A181), 0) +
    IFERROR(SUMIFS('Acompanhamento quinzenal'!$U:$U, 'Acompanhamento quinzenal'!$T:$T, A181), 0) +
    IFERROR(SUMIFS('Acompanhamento quinzenal'!$AA:$AA, 'Acompanhamento quinzenal'!$Z:$Z, A181), 0) +
    IFERROR(SUMIFS('Acompanhamento quinzenal'!$AG:$AG, 'Acompanhamento quinzenal'!$AF:$AF, A181), 0)
  ) /
  (
    COUNTIF('Acompanhamento quinzenal'!$N:$N, A181) +
    COUNTIF('Acompanhamento quinzenal'!$T:$T, A181) +
    COUNTIF('Acompanhamento quinzenal'!$Z:$Z, A181) +
    COUNTIF('Acompanhamento quinzenal'!$AF:$AF, A181)
  )
)
</f>
        <v>-</v>
      </c>
      <c r="X181" s="294" t="str">
        <f>IF(
  (
    COUNTIF('Acompanhamento quinzenal'!$N:$N, A181) +
    COUNTIF('Acompanhamento quinzenal'!$T:$T, A181) +
    COUNTIF('Acompanhamento quinzenal'!$Z:$Z, A181) +
    COUNTIF('Acompanhamento quinzenal'!$AF:$AF, A181)
  ) = 0,
  "-",
  (
    IFERROR(SUMIFS('Acompanhamento quinzenal'!$P:$P, 'Acompanhamento quinzenal'!$N:$N, A181), 0) +
    IFERROR(SUMIFS('Acompanhamento quinzenal'!$V:$V, 'Acompanhamento quinzenal'!$T:$T, A181), 0) +
    IFERROR(SUMIFS('Acompanhamento quinzenal'!$AB:$AB, 'Acompanhamento quinzenal'!$Z:$Z, A181), 0) +
    IFERROR(SUMIFS('Acompanhamento quinzenal'!$AH:$AH, 'Acompanhamento quinzenal'!$AF:$AF, A181), 0)
  ) /
  (
    COUNTIF('Acompanhamento quinzenal'!$N:$N, A181) +
    COUNTIF('Acompanhamento quinzenal'!$T:$T, A181) +
    COUNTIF('Acompanhamento quinzenal'!$Z:$Z, A181) +
    COUNTIF('Acompanhamento quinzenal'!$AF:$AF, A181)
  )
)
</f>
        <v>-</v>
      </c>
      <c r="Y181" s="293" t="str">
        <f>IF(
  (
    COUNTIF('Acompanhamento quinzenal'!$N:$N, A181) +
    COUNTIF('Acompanhamento quinzenal'!$T:$T, A181) +
    COUNTIF('Acompanhamento quinzenal'!$Z:$Z, A181) +
    COUNTIF('Acompanhamento quinzenal'!$AF:$AF, A181)
  ) = 0,
  "-",
  (
    IFERROR(SUMIFS('Acompanhamento quinzenal'!$Q:$Q, 'Acompanhamento quinzenal'!$N:$N, A181), 0) +
    IFERROR(SUMIFS('Acompanhamento quinzenal'!$W:$W, 'Acompanhamento quinzenal'!$T:$T, A181), 0) +
    IFERROR(SUMIFS('Acompanhamento quinzenal'!$AC:$AC, 'Acompanhamento quinzenal'!$Z:$Z, A181), 0) +
    IFERROR(SUMIFS('Acompanhamento quinzenal'!$AI:$AI, 'Acompanhamento quinzenal'!$AF:$AF, A181), 0)
  ) /
  (
    COUNTIF('Acompanhamento quinzenal'!$N:$N, A181) +
    COUNTIF('Acompanhamento quinzenal'!$T:$T, A181) +
    COUNTIF('Acompanhamento quinzenal'!$Z:$Z, A181) +
    COUNTIF('Acompanhamento quinzenal'!$AF:$AF, A181)
  )
)
</f>
        <v>-</v>
      </c>
    </row>
    <row r="182" hidden="1">
      <c r="A182" s="291" t="str">
        <f>IFERROR(__xludf.DUMMYFUNCTION("""COMPUTED_VALUE"""),"vinicius.lorenzo")</f>
        <v>vinicius.lorenzo</v>
      </c>
      <c r="B182" s="120" t="str">
        <f>IFERROR(__xludf.DUMMYFUNCTION("""COMPUTED_VALUE"""),"Trainee")</f>
        <v>Trainee</v>
      </c>
      <c r="C182" s="120" t="str">
        <f>IFERROR(__xludf.DUMMYFUNCTION("""COMPUTED_VALUE"""),"NCon")</f>
        <v>NCon</v>
      </c>
      <c r="D182" s="292" t="str">
        <f>IFERROR((COUNTIFS(Base!$V:$V,A182,Base!$S:$S,"&gt;8") - COUNTIFS(Base!$V:$V,A182,Base!$S:$S,"&lt;7"))/COUNTIFS(Base!$V:$V,A182,Base!$S:$S,"&lt;&gt;"),"-")</f>
        <v>-</v>
      </c>
      <c r="E182" s="292" t="str">
        <f>IF(
  (
    COUNTIFS(Base!$W:$W, A182, Base!$S:$S, "&lt;&gt;") +
    COUNTIFS(Base!$X:$X, A182, Base!$S:$S, "&lt;&gt;") +
    COUNTIFS(Base!$Y:$Y, A182, Base!$S:$S, "&lt;&gt;") +
    COUNTIFS(Base!$Z:$Z, A182, Base!$S:$S, "&lt;&gt;")
  ) = 0,
  "-",
  (
    COUNTIFS(Base!$W:$W, A182, Base!$S:$S, "&gt;8") - COUNTIFS(Base!$W:$W, A182, Base!$S:$S, "&lt;7") +
    COUNTIFS(Base!$X:$X, A182, Base!$S:$S, "&gt;8") - COUNTIFS(Base!$X:$X, A182, Base!$S:$S, "&lt;7") +
    COUNTIFS(Base!$Y:$Y, A182, Base!$S:$S, "&gt;8") - COUNTIFS(Base!$Y:$Y, A182, Base!$S:$S, "&lt;7") +
    COUNTIFS(Base!$Z:$Z, A182, Base!$S:$S, "&gt;8") - COUNTIFS(Base!$Z:$Z, A182, Base!$S:$S, "&lt;7")
  ) /
  (
    COUNTIFS(Base!$W:$W, A182, Base!$S:$S, "&lt;&gt;") +
    COUNTIFS(Base!$X:$X, A182, Base!$S:$S, "&lt;&gt;") +
    COUNTIFS(Base!$Y:$Y, A182, Base!$S:$S, "&lt;&gt;") +
    COUNTIFS(Base!$Z:$Z, A182, Base!$S:$S, "&lt;&gt;")
  )
)
</f>
        <v>-</v>
      </c>
      <c r="F182" s="120"/>
      <c r="G182" s="120"/>
      <c r="J182" s="292" t="str">
        <f t="shared" ref="J182:K182" si="183">IFERROR(F182/H182,"-")</f>
        <v>-</v>
      </c>
      <c r="K182" s="292" t="str">
        <f t="shared" si="183"/>
        <v>-</v>
      </c>
      <c r="L182" s="292" t="str">
        <f>IFERROR((COUNTIFS(Base!$V:$V,A182,Base!$U:$U,TRUE))/(COUNTIFS(Base!$V:$V,A182,Base!$O:$O,"Finalizado")+COUNTIFS(Base!$V:$V,A182,Base!$O:$O,"Concluído")),"-")</f>
        <v>-</v>
      </c>
      <c r="M182" s="292" t="str">
        <f>IF(
  (
    IFERROR(COUNTIF(Base!$W:$W, A182), 0) +
    IFERROR(COUNTIF(Base!$X:$X, A182), 0) +
    IFERROR(COUNTIF(Base!$Y:$Y, A182), 0) +
    IFERROR(COUNTIF(Base!$Z:$Z, A182), 0)
  ) = 0,
  "-",
  IF(
    (
      IFERROR(COUNTIFS(Base!$W:$W, A182, Base!$O:$O, "Finalizado"), 0) +
      IFERROR(COUNTIFS(Base!$W:$W, A182, Base!$O:$O, "Concluído"), 0) +
      IFERROR(COUNTIFS(Base!$X:$X, A182, Base!$O:$O, "Finalizado"), 0) +
      IFERROR(COUNTIFS(Base!$X:$X, A182, Base!$O:$O, "Concluído"), 0) +
      IFERROR(COUNTIFS(Base!$Y:$Y, A182, Base!$O:$O, "Finalizado"), 0) +
      IFERROR(COUNTIFS(Base!$Y:$Y, A182, Base!$O:$O, "Concluído"), 0) +
      IFERROR(COUNTIFS(Base!$Z:$Z, A182, Base!$O:$O, "Finalizado"), 0) +
      IFERROR(COUNTIFS(Base!$Z:$Z, A182, Base!$O:$O, "Concluído"), 0)
    ) = 0,
    "-",
    (
      IFERROR(COUNTIFS(Base!$W:$W, A182, Base!$U:$U, TRUE), 0) +
      IFERROR(COUNTIFS(Base!$X:$X, A182, Base!$U:$U, TRUE), 0) +
      IFERROR(COUNTIFS(Base!$Y:$Y, A182, Base!$U:$U, TRUE), 0) +
      IFERROR(COUNTIFS(Base!$Z:$Z, A182, Base!$U:$U, TRUE), 0)
    ) /
    (
      IFERROR(COUNTIFS(Base!$W:$W, A182, Base!$O:$O, "Finalizado"), 0) +
      IFERROR(COUNTIFS(Base!$W:$W, A182, Base!$O:$O, "Concluído"), 0) +
      IFERROR(COUNTIFS(Base!$X:$X, A182, Base!$O:$O, "Finalizado"), 0) +
      IFERROR(COUNTIFS(Base!$X:$X, A182, Base!$O:$O, "Concluído"), 0) +
      IFERROR(COUNTIFS(Base!$Y:$Y, A182, Base!$O:$O, "Finalizado"), 0) +
      IFERROR(COUNTIFS(Base!$Y:$Y, A182, Base!$O:$O, "Concluído"), 0) +
      IFERROR(COUNTIFS(Base!$Z:$Z, A182, Base!$O:$O, "Finalizado"), 0) +
      IFERROR(COUNTIFS(Base!$Z:$Z, A182, Base!$O:$O, "Concluído"), 0)
    )
  )
)
</f>
        <v>-</v>
      </c>
      <c r="N182" s="120">
        <f>COUNTIF(Base!V:V,$A182)</f>
        <v>0</v>
      </c>
      <c r="O182" s="120"/>
      <c r="P182" s="120"/>
      <c r="Q182" s="120"/>
      <c r="R182" s="120"/>
      <c r="S182" s="120"/>
      <c r="T182" s="120">
        <f t="shared" si="4"/>
        <v>0</v>
      </c>
      <c r="V182" s="293" t="str">
        <f>IF(
  (
    COUNTIF('Acompanhamento quinzenal'!$N:$N, A182) +
    COUNTIF('Acompanhamento quinzenal'!$T:$T, A182) +
    COUNTIF('Acompanhamento quinzenal'!$Z:$Z, A182) +
    COUNTIF('Acompanhamento quinzenal'!$AF:$AF, A182)
  ) = 0,
  "-",
  (
    IFERROR(SUMIFS('Acompanhamento quinzenal'!$S:$S, 'Acompanhamento quinzenal'!$N:$N, A182), 0) +
    IFERROR(SUMIFS('Acompanhamento quinzenal'!$Y:$Y, 'Acompanhamento quinzenal'!$T:$T, A182), 0) +
    IFERROR(SUMIFS('Acompanhamento quinzenal'!$AE:$AE, 'Acompanhamento quinzenal'!$Z:$Z, A182), 0) +
    IFERROR(SUMIFS('Acompanhamento quinzenal'!$AK:$AK, 'Acompanhamento quinzenal'!$AF:$AF, A182), 0)
  ) /
  (
    COUNTIF('Acompanhamento quinzenal'!$N:$N, A182) +
    COUNTIF('Acompanhamento quinzenal'!$T:$T, A182) +
    COUNTIF('Acompanhamento quinzenal'!$Z:$Z, A182) +
    COUNTIF('Acompanhamento quinzenal'!$AF:$AF, A182)
  )
)
</f>
        <v>-</v>
      </c>
      <c r="W182" s="293" t="str">
        <f>IF(
  (
    COUNTIF('Acompanhamento quinzenal'!$N:$N, A182) +
    COUNTIF('Acompanhamento quinzenal'!$T:$T, A182) +
    COUNTIF('Acompanhamento quinzenal'!$Z:$Z, A182) +
    COUNTIF('Acompanhamento quinzenal'!$AF:$AF, A182)
  ) = 0,
  "-",
  (
    IFERROR(SUMIFS('Acompanhamento quinzenal'!$O:$O, 'Acompanhamento quinzenal'!$N:$N, A182), 0) +
    IFERROR(SUMIFS('Acompanhamento quinzenal'!$U:$U, 'Acompanhamento quinzenal'!$T:$T, A182), 0) +
    IFERROR(SUMIFS('Acompanhamento quinzenal'!$AA:$AA, 'Acompanhamento quinzenal'!$Z:$Z, A182), 0) +
    IFERROR(SUMIFS('Acompanhamento quinzenal'!$AG:$AG, 'Acompanhamento quinzenal'!$AF:$AF, A182), 0)
  ) /
  (
    COUNTIF('Acompanhamento quinzenal'!$N:$N, A182) +
    COUNTIF('Acompanhamento quinzenal'!$T:$T, A182) +
    COUNTIF('Acompanhamento quinzenal'!$Z:$Z, A182) +
    COUNTIF('Acompanhamento quinzenal'!$AF:$AF, A182)
  )
)
</f>
        <v>-</v>
      </c>
      <c r="X182" s="294" t="str">
        <f>IF(
  (
    COUNTIF('Acompanhamento quinzenal'!$N:$N, A182) +
    COUNTIF('Acompanhamento quinzenal'!$T:$T, A182) +
    COUNTIF('Acompanhamento quinzenal'!$Z:$Z, A182) +
    COUNTIF('Acompanhamento quinzenal'!$AF:$AF, A182)
  ) = 0,
  "-",
  (
    IFERROR(SUMIFS('Acompanhamento quinzenal'!$P:$P, 'Acompanhamento quinzenal'!$N:$N, A182), 0) +
    IFERROR(SUMIFS('Acompanhamento quinzenal'!$V:$V, 'Acompanhamento quinzenal'!$T:$T, A182), 0) +
    IFERROR(SUMIFS('Acompanhamento quinzenal'!$AB:$AB, 'Acompanhamento quinzenal'!$Z:$Z, A182), 0) +
    IFERROR(SUMIFS('Acompanhamento quinzenal'!$AH:$AH, 'Acompanhamento quinzenal'!$AF:$AF, A182), 0)
  ) /
  (
    COUNTIF('Acompanhamento quinzenal'!$N:$N, A182) +
    COUNTIF('Acompanhamento quinzenal'!$T:$T, A182) +
    COUNTIF('Acompanhamento quinzenal'!$Z:$Z, A182) +
    COUNTIF('Acompanhamento quinzenal'!$AF:$AF, A182)
  )
)
</f>
        <v>-</v>
      </c>
      <c r="Y182" s="293" t="str">
        <f>IF(
  (
    COUNTIF('Acompanhamento quinzenal'!$N:$N, A182) +
    COUNTIF('Acompanhamento quinzenal'!$T:$T, A182) +
    COUNTIF('Acompanhamento quinzenal'!$Z:$Z, A182) +
    COUNTIF('Acompanhamento quinzenal'!$AF:$AF, A182)
  ) = 0,
  "-",
  (
    IFERROR(SUMIFS('Acompanhamento quinzenal'!$Q:$Q, 'Acompanhamento quinzenal'!$N:$N, A182), 0) +
    IFERROR(SUMIFS('Acompanhamento quinzenal'!$W:$W, 'Acompanhamento quinzenal'!$T:$T, A182), 0) +
    IFERROR(SUMIFS('Acompanhamento quinzenal'!$AC:$AC, 'Acompanhamento quinzenal'!$Z:$Z, A182), 0) +
    IFERROR(SUMIFS('Acompanhamento quinzenal'!$AI:$AI, 'Acompanhamento quinzenal'!$AF:$AF, A182), 0)
  ) /
  (
    COUNTIF('Acompanhamento quinzenal'!$N:$N, A182) +
    COUNTIF('Acompanhamento quinzenal'!$T:$T, A182) +
    COUNTIF('Acompanhamento quinzenal'!$Z:$Z, A182) +
    COUNTIF('Acompanhamento quinzenal'!$AF:$AF, A182)
  )
)
</f>
        <v>-</v>
      </c>
    </row>
    <row r="183" hidden="1">
      <c r="A183" s="291" t="str">
        <f>IFERROR(__xludf.DUMMYFUNCTION("""COMPUTED_VALUE"""),"vinicius.giro")</f>
        <v>vinicius.giro</v>
      </c>
      <c r="B183" s="120" t="str">
        <f>IFERROR(__xludf.DUMMYFUNCTION("""COMPUTED_VALUE"""),"Consultor")</f>
        <v>Consultor</v>
      </c>
      <c r="C183" s="120" t="str">
        <f>IFERROR(__xludf.DUMMYFUNCTION("""COMPUTED_VALUE"""),"NCon")</f>
        <v>NCon</v>
      </c>
      <c r="D183" s="292" t="str">
        <f>IFERROR((COUNTIFS(Base!$V:$V,A183,Base!$S:$S,"&gt;8") - COUNTIFS(Base!$V:$V,A183,Base!$S:$S,"&lt;7"))/COUNTIFS(Base!$V:$V,A183,Base!$S:$S,"&lt;&gt;"),"-")</f>
        <v>-</v>
      </c>
      <c r="E183" s="292">
        <f>IF(
  (
    COUNTIFS(Base!$W:$W, A183, Base!$S:$S, "&lt;&gt;") +
    COUNTIFS(Base!$X:$X, A183, Base!$S:$S, "&lt;&gt;") +
    COUNTIFS(Base!$Y:$Y, A183, Base!$S:$S, "&lt;&gt;") +
    COUNTIFS(Base!$Z:$Z, A183, Base!$S:$S, "&lt;&gt;")
  ) = 0,
  "-",
  (
    COUNTIFS(Base!$W:$W, A183, Base!$S:$S, "&gt;8") - COUNTIFS(Base!$W:$W, A183, Base!$S:$S, "&lt;7") +
    COUNTIFS(Base!$X:$X, A183, Base!$S:$S, "&gt;8") - COUNTIFS(Base!$X:$X, A183, Base!$S:$S, "&lt;7") +
    COUNTIFS(Base!$Y:$Y, A183, Base!$S:$S, "&gt;8") - COUNTIFS(Base!$Y:$Y, A183, Base!$S:$S, "&lt;7") +
    COUNTIFS(Base!$Z:$Z, A183, Base!$S:$S, "&gt;8") - COUNTIFS(Base!$Z:$Z, A183, Base!$S:$S, "&lt;7")
  ) /
  (
    COUNTIFS(Base!$W:$W, A183, Base!$S:$S, "&lt;&gt;") +
    COUNTIFS(Base!$X:$X, A183, Base!$S:$S, "&lt;&gt;") +
    COUNTIFS(Base!$Y:$Y, A183, Base!$S:$S, "&lt;&gt;") +
    COUNTIFS(Base!$Z:$Z, A183, Base!$S:$S, "&lt;&gt;")
  )
)
</f>
        <v>1</v>
      </c>
      <c r="F183" s="120"/>
      <c r="G183" s="120"/>
      <c r="J183" s="292" t="str">
        <f t="shared" ref="J183:K183" si="184">IFERROR(F183/H183,"-")</f>
        <v>-</v>
      </c>
      <c r="K183" s="292" t="str">
        <f t="shared" si="184"/>
        <v>-</v>
      </c>
      <c r="L183" s="292" t="str">
        <f>IFERROR((COUNTIFS(Base!$V:$V,A183,Base!$U:$U,TRUE))/(COUNTIFS(Base!$V:$V,A183,Base!$O:$O,"Finalizado")+COUNTIFS(Base!$V:$V,A183,Base!$O:$O,"Concluído")),"-")</f>
        <v>-</v>
      </c>
      <c r="M183" s="292">
        <f>IF(
  (
    IFERROR(COUNTIF(Base!$W:$W, A183), 0) +
    IFERROR(COUNTIF(Base!$X:$X, A183), 0) +
    IFERROR(COUNTIF(Base!$Y:$Y, A183), 0) +
    IFERROR(COUNTIF(Base!$Z:$Z, A183), 0)
  ) = 0,
  "-",
  IF(
    (
      IFERROR(COUNTIFS(Base!$W:$W, A183, Base!$O:$O, "Finalizado"), 0) +
      IFERROR(COUNTIFS(Base!$W:$W, A183, Base!$O:$O, "Concluído"), 0) +
      IFERROR(COUNTIFS(Base!$X:$X, A183, Base!$O:$O, "Finalizado"), 0) +
      IFERROR(COUNTIFS(Base!$X:$X, A183, Base!$O:$O, "Concluído"), 0) +
      IFERROR(COUNTIFS(Base!$Y:$Y, A183, Base!$O:$O, "Finalizado"), 0) +
      IFERROR(COUNTIFS(Base!$Y:$Y, A183, Base!$O:$O, "Concluído"), 0) +
      IFERROR(COUNTIFS(Base!$Z:$Z, A183, Base!$O:$O, "Finalizado"), 0) +
      IFERROR(COUNTIFS(Base!$Z:$Z, A183, Base!$O:$O, "Concluído"), 0)
    ) = 0,
    "-",
    (
      IFERROR(COUNTIFS(Base!$W:$W, A183, Base!$U:$U, TRUE), 0) +
      IFERROR(COUNTIFS(Base!$X:$X, A183, Base!$U:$U, TRUE), 0) +
      IFERROR(COUNTIFS(Base!$Y:$Y, A183, Base!$U:$U, TRUE), 0) +
      IFERROR(COUNTIFS(Base!$Z:$Z, A183, Base!$U:$U, TRUE), 0)
    ) /
    (
      IFERROR(COUNTIFS(Base!$W:$W, A183, Base!$O:$O, "Finalizado"), 0) +
      IFERROR(COUNTIFS(Base!$W:$W, A183, Base!$O:$O, "Concluído"), 0) +
      IFERROR(COUNTIFS(Base!$X:$X, A183, Base!$O:$O, "Finalizado"), 0) +
      IFERROR(COUNTIFS(Base!$X:$X, A183, Base!$O:$O, "Concluído"), 0) +
      IFERROR(COUNTIFS(Base!$Y:$Y, A183, Base!$O:$O, "Finalizado"), 0) +
      IFERROR(COUNTIFS(Base!$Y:$Y, A183, Base!$O:$O, "Concluído"), 0) +
      IFERROR(COUNTIFS(Base!$Z:$Z, A183, Base!$O:$O, "Finalizado"), 0) +
      IFERROR(COUNTIFS(Base!$Z:$Z, A183, Base!$O:$O, "Concluído"), 0)
    )
  )
)
</f>
        <v>0</v>
      </c>
      <c r="N183" s="120">
        <f>COUNTIF(Base!V:V,$A183)</f>
        <v>0</v>
      </c>
      <c r="O183" s="120"/>
      <c r="P183" s="120"/>
      <c r="Q183" s="120"/>
      <c r="R183" s="120"/>
      <c r="S183" s="120"/>
      <c r="T183" s="120">
        <f t="shared" si="4"/>
        <v>0</v>
      </c>
      <c r="V183" s="293">
        <f>IF(
  (
    COUNTIF('Acompanhamento quinzenal'!$N:$N, A183) +
    COUNTIF('Acompanhamento quinzenal'!$T:$T, A183) +
    COUNTIF('Acompanhamento quinzenal'!$Z:$Z, A183) +
    COUNTIF('Acompanhamento quinzenal'!$AF:$AF, A183)
  ) = 0,
  "-",
  (
    IFERROR(SUMIFS('Acompanhamento quinzenal'!$S:$S, 'Acompanhamento quinzenal'!$N:$N, A183), 0) +
    IFERROR(SUMIFS('Acompanhamento quinzenal'!$Y:$Y, 'Acompanhamento quinzenal'!$T:$T, A183), 0) +
    IFERROR(SUMIFS('Acompanhamento quinzenal'!$AE:$AE, 'Acompanhamento quinzenal'!$Z:$Z, A183), 0) +
    IFERROR(SUMIFS('Acompanhamento quinzenal'!$AK:$AK, 'Acompanhamento quinzenal'!$AF:$AF, A183), 0)
  ) /
  (
    COUNTIF('Acompanhamento quinzenal'!$N:$N, A183) +
    COUNTIF('Acompanhamento quinzenal'!$T:$T, A183) +
    COUNTIF('Acompanhamento quinzenal'!$Z:$Z, A183) +
    COUNTIF('Acompanhamento quinzenal'!$AF:$AF, A183)
  )
)
</f>
        <v>2.333333333</v>
      </c>
      <c r="W183" s="293">
        <f>IF(
  (
    COUNTIF('Acompanhamento quinzenal'!$N:$N, A183) +
    COUNTIF('Acompanhamento quinzenal'!$T:$T, A183) +
    COUNTIF('Acompanhamento quinzenal'!$Z:$Z, A183) +
    COUNTIF('Acompanhamento quinzenal'!$AF:$AF, A183)
  ) = 0,
  "-",
  (
    IFERROR(SUMIFS('Acompanhamento quinzenal'!$O:$O, 'Acompanhamento quinzenal'!$N:$N, A183), 0) +
    IFERROR(SUMIFS('Acompanhamento quinzenal'!$U:$U, 'Acompanhamento quinzenal'!$T:$T, A183), 0) +
    IFERROR(SUMIFS('Acompanhamento quinzenal'!$AA:$AA, 'Acompanhamento quinzenal'!$Z:$Z, A183), 0) +
    IFERROR(SUMIFS('Acompanhamento quinzenal'!$AG:$AG, 'Acompanhamento quinzenal'!$AF:$AF, A183), 0)
  ) /
  (
    COUNTIF('Acompanhamento quinzenal'!$N:$N, A183) +
    COUNTIF('Acompanhamento quinzenal'!$T:$T, A183) +
    COUNTIF('Acompanhamento quinzenal'!$Z:$Z, A183) +
    COUNTIF('Acompanhamento quinzenal'!$AF:$AF, A183)
  )
)
</f>
        <v>3</v>
      </c>
      <c r="X183" s="294">
        <f>IF(
  (
    COUNTIF('Acompanhamento quinzenal'!$N:$N, A183) +
    COUNTIF('Acompanhamento quinzenal'!$T:$T, A183) +
    COUNTIF('Acompanhamento quinzenal'!$Z:$Z, A183) +
    COUNTIF('Acompanhamento quinzenal'!$AF:$AF, A183)
  ) = 0,
  "-",
  (
    IFERROR(SUMIFS('Acompanhamento quinzenal'!$P:$P, 'Acompanhamento quinzenal'!$N:$N, A183), 0) +
    IFERROR(SUMIFS('Acompanhamento quinzenal'!$V:$V, 'Acompanhamento quinzenal'!$T:$T, A183), 0) +
    IFERROR(SUMIFS('Acompanhamento quinzenal'!$AB:$AB, 'Acompanhamento quinzenal'!$Z:$Z, A183), 0) +
    IFERROR(SUMIFS('Acompanhamento quinzenal'!$AH:$AH, 'Acompanhamento quinzenal'!$AF:$AF, A183), 0)
  ) /
  (
    COUNTIF('Acompanhamento quinzenal'!$N:$N, A183) +
    COUNTIF('Acompanhamento quinzenal'!$T:$T, A183) +
    COUNTIF('Acompanhamento quinzenal'!$Z:$Z, A183) +
    COUNTIF('Acompanhamento quinzenal'!$AF:$AF, A183)
  )
)
</f>
        <v>2</v>
      </c>
      <c r="Y183" s="293">
        <f>IF(
  (
    COUNTIF('Acompanhamento quinzenal'!$N:$N, A183) +
    COUNTIF('Acompanhamento quinzenal'!$T:$T, A183) +
    COUNTIF('Acompanhamento quinzenal'!$Z:$Z, A183) +
    COUNTIF('Acompanhamento quinzenal'!$AF:$AF, A183)
  ) = 0,
  "-",
  (
    IFERROR(SUMIFS('Acompanhamento quinzenal'!$Q:$Q, 'Acompanhamento quinzenal'!$N:$N, A183), 0) +
    IFERROR(SUMIFS('Acompanhamento quinzenal'!$W:$W, 'Acompanhamento quinzenal'!$T:$T, A183), 0) +
    IFERROR(SUMIFS('Acompanhamento quinzenal'!$AC:$AC, 'Acompanhamento quinzenal'!$Z:$Z, A183), 0) +
    IFERROR(SUMIFS('Acompanhamento quinzenal'!$AI:$AI, 'Acompanhamento quinzenal'!$AF:$AF, A183), 0)
  ) /
  (
    COUNTIF('Acompanhamento quinzenal'!$N:$N, A183) +
    COUNTIF('Acompanhamento quinzenal'!$T:$T, A183) +
    COUNTIF('Acompanhamento quinzenal'!$Z:$Z, A183) +
    COUNTIF('Acompanhamento quinzenal'!$AF:$AF, A183)
  )
)
</f>
        <v>2</v>
      </c>
    </row>
    <row r="184" hidden="1">
      <c r="A184" s="291" t="str">
        <f>IFERROR(__xludf.DUMMYFUNCTION("""COMPUTED_VALUE"""),"vitor.costa")</f>
        <v>vitor.costa</v>
      </c>
      <c r="B184" s="120" t="str">
        <f>IFERROR(__xludf.DUMMYFUNCTION("""COMPUTED_VALUE"""),"Coordenador")</f>
        <v>Coordenador</v>
      </c>
      <c r="C184" s="120" t="str">
        <f>IFERROR(__xludf.DUMMYFUNCTION("""COMPUTED_VALUE"""),"NTec")</f>
        <v>NTec</v>
      </c>
      <c r="D184" s="292" t="str">
        <f>IFERROR((COUNTIFS(Base!$V:$V,A184,Base!$S:$S,"&gt;8") - COUNTIFS(Base!$V:$V,A184,Base!$S:$S,"&lt;7"))/COUNTIFS(Base!$V:$V,A184,Base!$S:$S,"&lt;&gt;"),"-")</f>
        <v>-</v>
      </c>
      <c r="E184" s="292" t="str">
        <f>IF(
  (
    COUNTIFS(Base!$W:$W, A184, Base!$S:$S, "&lt;&gt;") +
    COUNTIFS(Base!$X:$X, A184, Base!$S:$S, "&lt;&gt;") +
    COUNTIFS(Base!$Y:$Y, A184, Base!$S:$S, "&lt;&gt;") +
    COUNTIFS(Base!$Z:$Z, A184, Base!$S:$S, "&lt;&gt;")
  ) = 0,
  "-",
  (
    COUNTIFS(Base!$W:$W, A184, Base!$S:$S, "&gt;8") - COUNTIFS(Base!$W:$W, A184, Base!$S:$S, "&lt;7") +
    COUNTIFS(Base!$X:$X, A184, Base!$S:$S, "&gt;8") - COUNTIFS(Base!$X:$X, A184, Base!$S:$S, "&lt;7") +
    COUNTIFS(Base!$Y:$Y, A184, Base!$S:$S, "&gt;8") - COUNTIFS(Base!$Y:$Y, A184, Base!$S:$S, "&lt;7") +
    COUNTIFS(Base!$Z:$Z, A184, Base!$S:$S, "&gt;8") - COUNTIFS(Base!$Z:$Z, A184, Base!$S:$S, "&lt;7")
  ) /
  (
    COUNTIFS(Base!$W:$W, A184, Base!$S:$S, "&lt;&gt;") +
    COUNTIFS(Base!$X:$X, A184, Base!$S:$S, "&lt;&gt;") +
    COUNTIFS(Base!$Y:$Y, A184, Base!$S:$S, "&lt;&gt;") +
    COUNTIFS(Base!$Z:$Z, A184, Base!$S:$S, "&lt;&gt;")
  )
)
</f>
        <v>-</v>
      </c>
      <c r="F184" s="120"/>
      <c r="G184" s="120"/>
      <c r="J184" s="292" t="str">
        <f t="shared" ref="J184:K184" si="185">IFERROR(F184/H184,"-")</f>
        <v>-</v>
      </c>
      <c r="K184" s="292" t="str">
        <f t="shared" si="185"/>
        <v>-</v>
      </c>
      <c r="L184" s="292">
        <f>IFERROR((COUNTIFS(Base!$V:$V,A184,Base!$U:$U,TRUE))/(COUNTIFS(Base!$V:$V,A184,Base!$O:$O,"Finalizado")+COUNTIFS(Base!$V:$V,A184,Base!$O:$O,"Concluído")),"-")</f>
        <v>0</v>
      </c>
      <c r="M184" s="292" t="str">
        <f>IF(
  (
    IFERROR(COUNTIF(Base!$W:$W, A184), 0) +
    IFERROR(COUNTIF(Base!$X:$X, A184), 0) +
    IFERROR(COUNTIF(Base!$Y:$Y, A184), 0) +
    IFERROR(COUNTIF(Base!$Z:$Z, A184), 0)
  ) = 0,
  "-",
  IF(
    (
      IFERROR(COUNTIFS(Base!$W:$W, A184, Base!$O:$O, "Finalizado"), 0) +
      IFERROR(COUNTIFS(Base!$W:$W, A184, Base!$O:$O, "Concluído"), 0) +
      IFERROR(COUNTIFS(Base!$X:$X, A184, Base!$O:$O, "Finalizado"), 0) +
      IFERROR(COUNTIFS(Base!$X:$X, A184, Base!$O:$O, "Concluído"), 0) +
      IFERROR(COUNTIFS(Base!$Y:$Y, A184, Base!$O:$O, "Finalizado"), 0) +
      IFERROR(COUNTIFS(Base!$Y:$Y, A184, Base!$O:$O, "Concluído"), 0) +
      IFERROR(COUNTIFS(Base!$Z:$Z, A184, Base!$O:$O, "Finalizado"), 0) +
      IFERROR(COUNTIFS(Base!$Z:$Z, A184, Base!$O:$O, "Concluído"), 0)
    ) = 0,
    "-",
    (
      IFERROR(COUNTIFS(Base!$W:$W, A184, Base!$U:$U, TRUE), 0) +
      IFERROR(COUNTIFS(Base!$X:$X, A184, Base!$U:$U, TRUE), 0) +
      IFERROR(COUNTIFS(Base!$Y:$Y, A184, Base!$U:$U, TRUE), 0) +
      IFERROR(COUNTIFS(Base!$Z:$Z, A184, Base!$U:$U, TRUE), 0)
    ) /
    (
      IFERROR(COUNTIFS(Base!$W:$W, A184, Base!$O:$O, "Finalizado"), 0) +
      IFERROR(COUNTIFS(Base!$W:$W, A184, Base!$O:$O, "Concluído"), 0) +
      IFERROR(COUNTIFS(Base!$X:$X, A184, Base!$O:$O, "Finalizado"), 0) +
      IFERROR(COUNTIFS(Base!$X:$X, A184, Base!$O:$O, "Concluído"), 0) +
      IFERROR(COUNTIFS(Base!$Y:$Y, A184, Base!$O:$O, "Finalizado"), 0) +
      IFERROR(COUNTIFS(Base!$Y:$Y, A184, Base!$O:$O, "Concluído"), 0) +
      IFERROR(COUNTIFS(Base!$Z:$Z, A184, Base!$O:$O, "Finalizado"), 0) +
      IFERROR(COUNTIFS(Base!$Z:$Z, A184, Base!$O:$O, "Concluído"), 0)
    )
  )
)
</f>
        <v>-</v>
      </c>
      <c r="N184" s="120">
        <f>COUNTIF(Base!V:V,$A184)</f>
        <v>2</v>
      </c>
      <c r="O184" s="120"/>
      <c r="P184" s="120"/>
      <c r="Q184" s="120"/>
      <c r="R184" s="120"/>
      <c r="S184" s="120"/>
      <c r="T184" s="120">
        <f t="shared" si="4"/>
        <v>0</v>
      </c>
      <c r="V184" s="293">
        <f>IF(
  (
    COUNTIF('Acompanhamento quinzenal'!$N:$N, A184) +
    COUNTIF('Acompanhamento quinzenal'!$T:$T, A184) +
    COUNTIF('Acompanhamento quinzenal'!$Z:$Z, A184) +
    COUNTIF('Acompanhamento quinzenal'!$AF:$AF, A184)
  ) = 0,
  "-",
  (
    IFERROR(SUMIFS('Acompanhamento quinzenal'!$S:$S, 'Acompanhamento quinzenal'!$N:$N, A184), 0) +
    IFERROR(SUMIFS('Acompanhamento quinzenal'!$Y:$Y, 'Acompanhamento quinzenal'!$T:$T, A184), 0) +
    IFERROR(SUMIFS('Acompanhamento quinzenal'!$AE:$AE, 'Acompanhamento quinzenal'!$Z:$Z, A184), 0) +
    IFERROR(SUMIFS('Acompanhamento quinzenal'!$AK:$AK, 'Acompanhamento quinzenal'!$AF:$AF, A184), 0)
  ) /
  (
    COUNTIF('Acompanhamento quinzenal'!$N:$N, A184) +
    COUNTIF('Acompanhamento quinzenal'!$T:$T, A184) +
    COUNTIF('Acompanhamento quinzenal'!$Z:$Z, A184) +
    COUNTIF('Acompanhamento quinzenal'!$AF:$AF, A184)
  )
)
</f>
        <v>4.666666667</v>
      </c>
      <c r="W184" s="293">
        <f>IF(
  (
    COUNTIF('Acompanhamento quinzenal'!$N:$N, A184) +
    COUNTIF('Acompanhamento quinzenal'!$T:$T, A184) +
    COUNTIF('Acompanhamento quinzenal'!$Z:$Z, A184) +
    COUNTIF('Acompanhamento quinzenal'!$AF:$AF, A184)
  ) = 0,
  "-",
  (
    IFERROR(SUMIFS('Acompanhamento quinzenal'!$O:$O, 'Acompanhamento quinzenal'!$N:$N, A184), 0) +
    IFERROR(SUMIFS('Acompanhamento quinzenal'!$U:$U, 'Acompanhamento quinzenal'!$T:$T, A184), 0) +
    IFERROR(SUMIFS('Acompanhamento quinzenal'!$AA:$AA, 'Acompanhamento quinzenal'!$Z:$Z, A184), 0) +
    IFERROR(SUMIFS('Acompanhamento quinzenal'!$AG:$AG, 'Acompanhamento quinzenal'!$AF:$AF, A184), 0)
  ) /
  (
    COUNTIF('Acompanhamento quinzenal'!$N:$N, A184) +
    COUNTIF('Acompanhamento quinzenal'!$T:$T, A184) +
    COUNTIF('Acompanhamento quinzenal'!$Z:$Z, A184) +
    COUNTIF('Acompanhamento quinzenal'!$AF:$AF, A184)
  )
)
</f>
        <v>4.5</v>
      </c>
      <c r="X184" s="294">
        <f>IF(
  (
    COUNTIF('Acompanhamento quinzenal'!$N:$N, A184) +
    COUNTIF('Acompanhamento quinzenal'!$T:$T, A184) +
    COUNTIF('Acompanhamento quinzenal'!$Z:$Z, A184) +
    COUNTIF('Acompanhamento quinzenal'!$AF:$AF, A184)
  ) = 0,
  "-",
  (
    IFERROR(SUMIFS('Acompanhamento quinzenal'!$P:$P, 'Acompanhamento quinzenal'!$N:$N, A184), 0) +
    IFERROR(SUMIFS('Acompanhamento quinzenal'!$V:$V, 'Acompanhamento quinzenal'!$T:$T, A184), 0) +
    IFERROR(SUMIFS('Acompanhamento quinzenal'!$AB:$AB, 'Acompanhamento quinzenal'!$Z:$Z, A184), 0) +
    IFERROR(SUMIFS('Acompanhamento quinzenal'!$AH:$AH, 'Acompanhamento quinzenal'!$AF:$AF, A184), 0)
  ) /
  (
    COUNTIF('Acompanhamento quinzenal'!$N:$N, A184) +
    COUNTIF('Acompanhamento quinzenal'!$T:$T, A184) +
    COUNTIF('Acompanhamento quinzenal'!$Z:$Z, A184) +
    COUNTIF('Acompanhamento quinzenal'!$AF:$AF, A184)
  )
)
</f>
        <v>5</v>
      </c>
      <c r="Y184" s="293">
        <f>IF(
  (
    COUNTIF('Acompanhamento quinzenal'!$N:$N, A184) +
    COUNTIF('Acompanhamento quinzenal'!$T:$T, A184) +
    COUNTIF('Acompanhamento quinzenal'!$Z:$Z, A184) +
    COUNTIF('Acompanhamento quinzenal'!$AF:$AF, A184)
  ) = 0,
  "-",
  (
    IFERROR(SUMIFS('Acompanhamento quinzenal'!$Q:$Q, 'Acompanhamento quinzenal'!$N:$N, A184), 0) +
    IFERROR(SUMIFS('Acompanhamento quinzenal'!$W:$W, 'Acompanhamento quinzenal'!$T:$T, A184), 0) +
    IFERROR(SUMIFS('Acompanhamento quinzenal'!$AC:$AC, 'Acompanhamento quinzenal'!$Z:$Z, A184), 0) +
    IFERROR(SUMIFS('Acompanhamento quinzenal'!$AI:$AI, 'Acompanhamento quinzenal'!$AF:$AF, A184), 0)
  ) /
  (
    COUNTIF('Acompanhamento quinzenal'!$N:$N, A184) +
    COUNTIF('Acompanhamento quinzenal'!$T:$T, A184) +
    COUNTIF('Acompanhamento quinzenal'!$Z:$Z, A184) +
    COUNTIF('Acompanhamento quinzenal'!$AF:$AF, A184)
  )
)
</f>
        <v>4.5</v>
      </c>
    </row>
    <row r="185" hidden="1">
      <c r="A185" s="291" t="str">
        <f>IFERROR(__xludf.DUMMYFUNCTION("""COMPUTED_VALUE"""),"vitor.goncalves")</f>
        <v>vitor.goncalves</v>
      </c>
      <c r="B185" s="120" t="str">
        <f>IFERROR(__xludf.DUMMYFUNCTION("""COMPUTED_VALUE"""),"Trainee")</f>
        <v>Trainee</v>
      </c>
      <c r="C185" s="120" t="str">
        <f>IFERROR(__xludf.DUMMYFUNCTION("""COMPUTED_VALUE"""),"NCon")</f>
        <v>NCon</v>
      </c>
      <c r="D185" s="292" t="str">
        <f>IFERROR((COUNTIFS(Base!$V:$V,A185,Base!$S:$S,"&gt;8") - COUNTIFS(Base!$V:$V,A185,Base!$S:$S,"&lt;7"))/COUNTIFS(Base!$V:$V,A185,Base!$S:$S,"&lt;&gt;"),"-")</f>
        <v>-</v>
      </c>
      <c r="E185" s="292" t="str">
        <f>IF(
  (
    COUNTIFS(Base!$W:$W, A185, Base!$S:$S, "&lt;&gt;") +
    COUNTIFS(Base!$X:$X, A185, Base!$S:$S, "&lt;&gt;") +
    COUNTIFS(Base!$Y:$Y, A185, Base!$S:$S, "&lt;&gt;") +
    COUNTIFS(Base!$Z:$Z, A185, Base!$S:$S, "&lt;&gt;")
  ) = 0,
  "-",
  (
    COUNTIFS(Base!$W:$W, A185, Base!$S:$S, "&gt;8") - COUNTIFS(Base!$W:$W, A185, Base!$S:$S, "&lt;7") +
    COUNTIFS(Base!$X:$X, A185, Base!$S:$S, "&gt;8") - COUNTIFS(Base!$X:$X, A185, Base!$S:$S, "&lt;7") +
    COUNTIFS(Base!$Y:$Y, A185, Base!$S:$S, "&gt;8") - COUNTIFS(Base!$Y:$Y, A185, Base!$S:$S, "&lt;7") +
    COUNTIFS(Base!$Z:$Z, A185, Base!$S:$S, "&gt;8") - COUNTIFS(Base!$Z:$Z, A185, Base!$S:$S, "&lt;7")
  ) /
  (
    COUNTIFS(Base!$W:$W, A185, Base!$S:$S, "&lt;&gt;") +
    COUNTIFS(Base!$X:$X, A185, Base!$S:$S, "&lt;&gt;") +
    COUNTIFS(Base!$Y:$Y, A185, Base!$S:$S, "&lt;&gt;") +
    COUNTIFS(Base!$Z:$Z, A185, Base!$S:$S, "&lt;&gt;")
  )
)
</f>
        <v>-</v>
      </c>
      <c r="F185" s="120"/>
      <c r="G185" s="120"/>
      <c r="J185" s="292" t="str">
        <f t="shared" ref="J185:K185" si="186">IFERROR(F185/H185,"-")</f>
        <v>-</v>
      </c>
      <c r="K185" s="292" t="str">
        <f t="shared" si="186"/>
        <v>-</v>
      </c>
      <c r="L185" s="292" t="str">
        <f>IFERROR((COUNTIFS(Base!$V:$V,A185,Base!$U:$U,TRUE))/(COUNTIFS(Base!$V:$V,A185,Base!$O:$O,"Finalizado")+COUNTIFS(Base!$V:$V,A185,Base!$O:$O,"Concluído")),"-")</f>
        <v>-</v>
      </c>
      <c r="M185" s="292" t="str">
        <f>IF(
  (
    IFERROR(COUNTIF(Base!$W:$W, A185), 0) +
    IFERROR(COUNTIF(Base!$X:$X, A185), 0) +
    IFERROR(COUNTIF(Base!$Y:$Y, A185), 0) +
    IFERROR(COUNTIF(Base!$Z:$Z, A185), 0)
  ) = 0,
  "-",
  IF(
    (
      IFERROR(COUNTIFS(Base!$W:$W, A185, Base!$O:$O, "Finalizado"), 0) +
      IFERROR(COUNTIFS(Base!$W:$W, A185, Base!$O:$O, "Concluído"), 0) +
      IFERROR(COUNTIFS(Base!$X:$X, A185, Base!$O:$O, "Finalizado"), 0) +
      IFERROR(COUNTIFS(Base!$X:$X, A185, Base!$O:$O, "Concluído"), 0) +
      IFERROR(COUNTIFS(Base!$Y:$Y, A185, Base!$O:$O, "Finalizado"), 0) +
      IFERROR(COUNTIFS(Base!$Y:$Y, A185, Base!$O:$O, "Concluído"), 0) +
      IFERROR(COUNTIFS(Base!$Z:$Z, A185, Base!$O:$O, "Finalizado"), 0) +
      IFERROR(COUNTIFS(Base!$Z:$Z, A185, Base!$O:$O, "Concluído"), 0)
    ) = 0,
    "-",
    (
      IFERROR(COUNTIFS(Base!$W:$W, A185, Base!$U:$U, TRUE), 0) +
      IFERROR(COUNTIFS(Base!$X:$X, A185, Base!$U:$U, TRUE), 0) +
      IFERROR(COUNTIFS(Base!$Y:$Y, A185, Base!$U:$U, TRUE), 0) +
      IFERROR(COUNTIFS(Base!$Z:$Z, A185, Base!$U:$U, TRUE), 0)
    ) /
    (
      IFERROR(COUNTIFS(Base!$W:$W, A185, Base!$O:$O, "Finalizado"), 0) +
      IFERROR(COUNTIFS(Base!$W:$W, A185, Base!$O:$O, "Concluído"), 0) +
      IFERROR(COUNTIFS(Base!$X:$X, A185, Base!$O:$O, "Finalizado"), 0) +
      IFERROR(COUNTIFS(Base!$X:$X, A185, Base!$O:$O, "Concluído"), 0) +
      IFERROR(COUNTIFS(Base!$Y:$Y, A185, Base!$O:$O, "Finalizado"), 0) +
      IFERROR(COUNTIFS(Base!$Y:$Y, A185, Base!$O:$O, "Concluído"), 0) +
      IFERROR(COUNTIFS(Base!$Z:$Z, A185, Base!$O:$O, "Finalizado"), 0) +
      IFERROR(COUNTIFS(Base!$Z:$Z, A185, Base!$O:$O, "Concluído"), 0)
    )
  )
)
</f>
        <v>-</v>
      </c>
      <c r="N185" s="120">
        <f>COUNTIF(Base!V:V,$A185)</f>
        <v>0</v>
      </c>
      <c r="O185" s="120"/>
      <c r="P185" s="120"/>
      <c r="Q185" s="120"/>
      <c r="R185" s="120"/>
      <c r="S185" s="120"/>
      <c r="T185" s="120">
        <f t="shared" si="4"/>
        <v>0</v>
      </c>
      <c r="V185" s="293" t="str">
        <f>IF(
  (
    COUNTIF('Acompanhamento quinzenal'!$N:$N, A185) +
    COUNTIF('Acompanhamento quinzenal'!$T:$T, A185) +
    COUNTIF('Acompanhamento quinzenal'!$Z:$Z, A185) +
    COUNTIF('Acompanhamento quinzenal'!$AF:$AF, A185)
  ) = 0,
  "-",
  (
    IFERROR(SUMIFS('Acompanhamento quinzenal'!$S:$S, 'Acompanhamento quinzenal'!$N:$N, A185), 0) +
    IFERROR(SUMIFS('Acompanhamento quinzenal'!$Y:$Y, 'Acompanhamento quinzenal'!$T:$T, A185), 0) +
    IFERROR(SUMIFS('Acompanhamento quinzenal'!$AE:$AE, 'Acompanhamento quinzenal'!$Z:$Z, A185), 0) +
    IFERROR(SUMIFS('Acompanhamento quinzenal'!$AK:$AK, 'Acompanhamento quinzenal'!$AF:$AF, A185), 0)
  ) /
  (
    COUNTIF('Acompanhamento quinzenal'!$N:$N, A185) +
    COUNTIF('Acompanhamento quinzenal'!$T:$T, A185) +
    COUNTIF('Acompanhamento quinzenal'!$Z:$Z, A185) +
    COUNTIF('Acompanhamento quinzenal'!$AF:$AF, A185)
  )
)
</f>
        <v>-</v>
      </c>
      <c r="W185" s="293" t="str">
        <f>IF(
  (
    COUNTIF('Acompanhamento quinzenal'!$N:$N, A185) +
    COUNTIF('Acompanhamento quinzenal'!$T:$T, A185) +
    COUNTIF('Acompanhamento quinzenal'!$Z:$Z, A185) +
    COUNTIF('Acompanhamento quinzenal'!$AF:$AF, A185)
  ) = 0,
  "-",
  (
    IFERROR(SUMIFS('Acompanhamento quinzenal'!$O:$O, 'Acompanhamento quinzenal'!$N:$N, A185), 0) +
    IFERROR(SUMIFS('Acompanhamento quinzenal'!$U:$U, 'Acompanhamento quinzenal'!$T:$T, A185), 0) +
    IFERROR(SUMIFS('Acompanhamento quinzenal'!$AA:$AA, 'Acompanhamento quinzenal'!$Z:$Z, A185), 0) +
    IFERROR(SUMIFS('Acompanhamento quinzenal'!$AG:$AG, 'Acompanhamento quinzenal'!$AF:$AF, A185), 0)
  ) /
  (
    COUNTIF('Acompanhamento quinzenal'!$N:$N, A185) +
    COUNTIF('Acompanhamento quinzenal'!$T:$T, A185) +
    COUNTIF('Acompanhamento quinzenal'!$Z:$Z, A185) +
    COUNTIF('Acompanhamento quinzenal'!$AF:$AF, A185)
  )
)
</f>
        <v>-</v>
      </c>
      <c r="X185" s="294" t="str">
        <f>IF(
  (
    COUNTIF('Acompanhamento quinzenal'!$N:$N, A185) +
    COUNTIF('Acompanhamento quinzenal'!$T:$T, A185) +
    COUNTIF('Acompanhamento quinzenal'!$Z:$Z, A185) +
    COUNTIF('Acompanhamento quinzenal'!$AF:$AF, A185)
  ) = 0,
  "-",
  (
    IFERROR(SUMIFS('Acompanhamento quinzenal'!$P:$P, 'Acompanhamento quinzenal'!$N:$N, A185), 0) +
    IFERROR(SUMIFS('Acompanhamento quinzenal'!$V:$V, 'Acompanhamento quinzenal'!$T:$T, A185), 0) +
    IFERROR(SUMIFS('Acompanhamento quinzenal'!$AB:$AB, 'Acompanhamento quinzenal'!$Z:$Z, A185), 0) +
    IFERROR(SUMIFS('Acompanhamento quinzenal'!$AH:$AH, 'Acompanhamento quinzenal'!$AF:$AF, A185), 0)
  ) /
  (
    COUNTIF('Acompanhamento quinzenal'!$N:$N, A185) +
    COUNTIF('Acompanhamento quinzenal'!$T:$T, A185) +
    COUNTIF('Acompanhamento quinzenal'!$Z:$Z, A185) +
    COUNTIF('Acompanhamento quinzenal'!$AF:$AF, A185)
  )
)
</f>
        <v>-</v>
      </c>
      <c r="Y185" s="293" t="str">
        <f>IF(
  (
    COUNTIF('Acompanhamento quinzenal'!$N:$N, A185) +
    COUNTIF('Acompanhamento quinzenal'!$T:$T, A185) +
    COUNTIF('Acompanhamento quinzenal'!$Z:$Z, A185) +
    COUNTIF('Acompanhamento quinzenal'!$AF:$AF, A185)
  ) = 0,
  "-",
  (
    IFERROR(SUMIFS('Acompanhamento quinzenal'!$Q:$Q, 'Acompanhamento quinzenal'!$N:$N, A185), 0) +
    IFERROR(SUMIFS('Acompanhamento quinzenal'!$W:$W, 'Acompanhamento quinzenal'!$T:$T, A185), 0) +
    IFERROR(SUMIFS('Acompanhamento quinzenal'!$AC:$AC, 'Acompanhamento quinzenal'!$Z:$Z, A185), 0) +
    IFERROR(SUMIFS('Acompanhamento quinzenal'!$AI:$AI, 'Acompanhamento quinzenal'!$AF:$AF, A185), 0)
  ) /
  (
    COUNTIF('Acompanhamento quinzenal'!$N:$N, A185) +
    COUNTIF('Acompanhamento quinzenal'!$T:$T, A185) +
    COUNTIF('Acompanhamento quinzenal'!$Z:$Z, A185) +
    COUNTIF('Acompanhamento quinzenal'!$AF:$AF, A185)
  )
)
</f>
        <v>-</v>
      </c>
    </row>
    <row r="186" hidden="1">
      <c r="A186" s="291" t="str">
        <f>IFERROR(__xludf.DUMMYFUNCTION("""COMPUTED_VALUE"""),"vitor.iwasaki")</f>
        <v>vitor.iwasaki</v>
      </c>
      <c r="B186" s="120" t="str">
        <f>IFERROR(__xludf.DUMMYFUNCTION("""COMPUTED_VALUE"""),"Trainee")</f>
        <v>Trainee</v>
      </c>
      <c r="C186" s="120" t="str">
        <f>IFERROR(__xludf.DUMMYFUNCTION("""COMPUTED_VALUE"""),"NCon")</f>
        <v>NCon</v>
      </c>
      <c r="D186" s="292" t="str">
        <f>IFERROR((COUNTIFS(Base!$V:$V,A186,Base!$S:$S,"&gt;8") - COUNTIFS(Base!$V:$V,A186,Base!$S:$S,"&lt;7"))/COUNTIFS(Base!$V:$V,A186,Base!$S:$S,"&lt;&gt;"),"-")</f>
        <v>-</v>
      </c>
      <c r="E186" s="292" t="str">
        <f>IF(
  (
    COUNTIFS(Base!$W:$W, A186, Base!$S:$S, "&lt;&gt;") +
    COUNTIFS(Base!$X:$X, A186, Base!$S:$S, "&lt;&gt;") +
    COUNTIFS(Base!$Y:$Y, A186, Base!$S:$S, "&lt;&gt;") +
    COUNTIFS(Base!$Z:$Z, A186, Base!$S:$S, "&lt;&gt;")
  ) = 0,
  "-",
  (
    COUNTIFS(Base!$W:$W, A186, Base!$S:$S, "&gt;8") - COUNTIFS(Base!$W:$W, A186, Base!$S:$S, "&lt;7") +
    COUNTIFS(Base!$X:$X, A186, Base!$S:$S, "&gt;8") - COUNTIFS(Base!$X:$X, A186, Base!$S:$S, "&lt;7") +
    COUNTIFS(Base!$Y:$Y, A186, Base!$S:$S, "&gt;8") - COUNTIFS(Base!$Y:$Y, A186, Base!$S:$S, "&lt;7") +
    COUNTIFS(Base!$Z:$Z, A186, Base!$S:$S, "&gt;8") - COUNTIFS(Base!$Z:$Z, A186, Base!$S:$S, "&lt;7")
  ) /
  (
    COUNTIFS(Base!$W:$W, A186, Base!$S:$S, "&lt;&gt;") +
    COUNTIFS(Base!$X:$X, A186, Base!$S:$S, "&lt;&gt;") +
    COUNTIFS(Base!$Y:$Y, A186, Base!$S:$S, "&lt;&gt;") +
    COUNTIFS(Base!$Z:$Z, A186, Base!$S:$S, "&lt;&gt;")
  )
)
</f>
        <v>-</v>
      </c>
      <c r="F186" s="120"/>
      <c r="G186" s="120"/>
      <c r="J186" s="292" t="str">
        <f t="shared" ref="J186:K186" si="187">IFERROR(F186/H186,"-")</f>
        <v>-</v>
      </c>
      <c r="K186" s="292" t="str">
        <f t="shared" si="187"/>
        <v>-</v>
      </c>
      <c r="L186" s="292" t="str">
        <f>IFERROR((COUNTIFS(Base!$V:$V,A186,Base!$U:$U,TRUE))/(COUNTIFS(Base!$V:$V,A186,Base!$O:$O,"Finalizado")+COUNTIFS(Base!$V:$V,A186,Base!$O:$O,"Concluído")),"-")</f>
        <v>-</v>
      </c>
      <c r="M186" s="292" t="str">
        <f>IF(
  (
    IFERROR(COUNTIF(Base!$W:$W, A186), 0) +
    IFERROR(COUNTIF(Base!$X:$X, A186), 0) +
    IFERROR(COUNTIF(Base!$Y:$Y, A186), 0) +
    IFERROR(COUNTIF(Base!$Z:$Z, A186), 0)
  ) = 0,
  "-",
  IF(
    (
      IFERROR(COUNTIFS(Base!$W:$W, A186, Base!$O:$O, "Finalizado"), 0) +
      IFERROR(COUNTIFS(Base!$W:$W, A186, Base!$O:$O, "Concluído"), 0) +
      IFERROR(COUNTIFS(Base!$X:$X, A186, Base!$O:$O, "Finalizado"), 0) +
      IFERROR(COUNTIFS(Base!$X:$X, A186, Base!$O:$O, "Concluído"), 0) +
      IFERROR(COUNTIFS(Base!$Y:$Y, A186, Base!$O:$O, "Finalizado"), 0) +
      IFERROR(COUNTIFS(Base!$Y:$Y, A186, Base!$O:$O, "Concluído"), 0) +
      IFERROR(COUNTIFS(Base!$Z:$Z, A186, Base!$O:$O, "Finalizado"), 0) +
      IFERROR(COUNTIFS(Base!$Z:$Z, A186, Base!$O:$O, "Concluído"), 0)
    ) = 0,
    "-",
    (
      IFERROR(COUNTIFS(Base!$W:$W, A186, Base!$U:$U, TRUE), 0) +
      IFERROR(COUNTIFS(Base!$X:$X, A186, Base!$U:$U, TRUE), 0) +
      IFERROR(COUNTIFS(Base!$Y:$Y, A186, Base!$U:$U, TRUE), 0) +
      IFERROR(COUNTIFS(Base!$Z:$Z, A186, Base!$U:$U, TRUE), 0)
    ) /
    (
      IFERROR(COUNTIFS(Base!$W:$W, A186, Base!$O:$O, "Finalizado"), 0) +
      IFERROR(COUNTIFS(Base!$W:$W, A186, Base!$O:$O, "Concluído"), 0) +
      IFERROR(COUNTIFS(Base!$X:$X, A186, Base!$O:$O, "Finalizado"), 0) +
      IFERROR(COUNTIFS(Base!$X:$X, A186, Base!$O:$O, "Concluído"), 0) +
      IFERROR(COUNTIFS(Base!$Y:$Y, A186, Base!$O:$O, "Finalizado"), 0) +
      IFERROR(COUNTIFS(Base!$Y:$Y, A186, Base!$O:$O, "Concluído"), 0) +
      IFERROR(COUNTIFS(Base!$Z:$Z, A186, Base!$O:$O, "Finalizado"), 0) +
      IFERROR(COUNTIFS(Base!$Z:$Z, A186, Base!$O:$O, "Concluído"), 0)
    )
  )
)
</f>
        <v>-</v>
      </c>
      <c r="N186" s="120">
        <f>COUNTIF(Base!V:V,$A186)</f>
        <v>0</v>
      </c>
      <c r="O186" s="120"/>
      <c r="P186" s="120"/>
      <c r="Q186" s="120"/>
      <c r="R186" s="120"/>
      <c r="S186" s="120"/>
      <c r="T186" s="120">
        <f t="shared" si="4"/>
        <v>0</v>
      </c>
      <c r="V186" s="293">
        <f>IF(
  (
    COUNTIF('Acompanhamento quinzenal'!$N:$N, A186) +
    COUNTIF('Acompanhamento quinzenal'!$T:$T, A186) +
    COUNTIF('Acompanhamento quinzenal'!$Z:$Z, A186) +
    COUNTIF('Acompanhamento quinzenal'!$AF:$AF, A186)
  ) = 0,
  "-",
  (
    IFERROR(SUMIFS('Acompanhamento quinzenal'!$S:$S, 'Acompanhamento quinzenal'!$N:$N, A186), 0) +
    IFERROR(SUMIFS('Acompanhamento quinzenal'!$Y:$Y, 'Acompanhamento quinzenal'!$T:$T, A186), 0) +
    IFERROR(SUMIFS('Acompanhamento quinzenal'!$AE:$AE, 'Acompanhamento quinzenal'!$Z:$Z, A186), 0) +
    IFERROR(SUMIFS('Acompanhamento quinzenal'!$AK:$AK, 'Acompanhamento quinzenal'!$AF:$AF, A186), 0)
  ) /
  (
    COUNTIF('Acompanhamento quinzenal'!$N:$N, A186) +
    COUNTIF('Acompanhamento quinzenal'!$T:$T, A186) +
    COUNTIF('Acompanhamento quinzenal'!$Z:$Z, A186) +
    COUNTIF('Acompanhamento quinzenal'!$AF:$AF, A186)
  )
)
</f>
        <v>1.5</v>
      </c>
      <c r="W186" s="293">
        <f>IF(
  (
    COUNTIF('Acompanhamento quinzenal'!$N:$N, A186) +
    COUNTIF('Acompanhamento quinzenal'!$T:$T, A186) +
    COUNTIF('Acompanhamento quinzenal'!$Z:$Z, A186) +
    COUNTIF('Acompanhamento quinzenal'!$AF:$AF, A186)
  ) = 0,
  "-",
  (
    IFERROR(SUMIFS('Acompanhamento quinzenal'!$O:$O, 'Acompanhamento quinzenal'!$N:$N, A186), 0) +
    IFERROR(SUMIFS('Acompanhamento quinzenal'!$U:$U, 'Acompanhamento quinzenal'!$T:$T, A186), 0) +
    IFERROR(SUMIFS('Acompanhamento quinzenal'!$AA:$AA, 'Acompanhamento quinzenal'!$Z:$Z, A186), 0) +
    IFERROR(SUMIFS('Acompanhamento quinzenal'!$AG:$AG, 'Acompanhamento quinzenal'!$AF:$AF, A186), 0)
  ) /
  (
    COUNTIF('Acompanhamento quinzenal'!$N:$N, A186) +
    COUNTIF('Acompanhamento quinzenal'!$T:$T, A186) +
    COUNTIF('Acompanhamento quinzenal'!$Z:$Z, A186) +
    COUNTIF('Acompanhamento quinzenal'!$AF:$AF, A186)
  )
)
</f>
        <v>3</v>
      </c>
      <c r="X186" s="294">
        <f>IF(
  (
    COUNTIF('Acompanhamento quinzenal'!$N:$N, A186) +
    COUNTIF('Acompanhamento quinzenal'!$T:$T, A186) +
    COUNTIF('Acompanhamento quinzenal'!$Z:$Z, A186) +
    COUNTIF('Acompanhamento quinzenal'!$AF:$AF, A186)
  ) = 0,
  "-",
  (
    IFERROR(SUMIFS('Acompanhamento quinzenal'!$P:$P, 'Acompanhamento quinzenal'!$N:$N, A186), 0) +
    IFERROR(SUMIFS('Acompanhamento quinzenal'!$V:$V, 'Acompanhamento quinzenal'!$T:$T, A186), 0) +
    IFERROR(SUMIFS('Acompanhamento quinzenal'!$AB:$AB, 'Acompanhamento quinzenal'!$Z:$Z, A186), 0) +
    IFERROR(SUMIFS('Acompanhamento quinzenal'!$AH:$AH, 'Acompanhamento quinzenal'!$AF:$AF, A186), 0)
  ) /
  (
    COUNTIF('Acompanhamento quinzenal'!$N:$N, A186) +
    COUNTIF('Acompanhamento quinzenal'!$T:$T, A186) +
    COUNTIF('Acompanhamento quinzenal'!$Z:$Z, A186) +
    COUNTIF('Acompanhamento quinzenal'!$AF:$AF, A186)
  )
)
</f>
        <v>3</v>
      </c>
      <c r="Y186" s="293">
        <f>IF(
  (
    COUNTIF('Acompanhamento quinzenal'!$N:$N, A186) +
    COUNTIF('Acompanhamento quinzenal'!$T:$T, A186) +
    COUNTIF('Acompanhamento quinzenal'!$Z:$Z, A186) +
    COUNTIF('Acompanhamento quinzenal'!$AF:$AF, A186)
  ) = 0,
  "-",
  (
    IFERROR(SUMIFS('Acompanhamento quinzenal'!$Q:$Q, 'Acompanhamento quinzenal'!$N:$N, A186), 0) +
    IFERROR(SUMIFS('Acompanhamento quinzenal'!$W:$W, 'Acompanhamento quinzenal'!$T:$T, A186), 0) +
    IFERROR(SUMIFS('Acompanhamento quinzenal'!$AC:$AC, 'Acompanhamento quinzenal'!$Z:$Z, A186), 0) +
    IFERROR(SUMIFS('Acompanhamento quinzenal'!$AI:$AI, 'Acompanhamento quinzenal'!$AF:$AF, A186), 0)
  ) /
  (
    COUNTIF('Acompanhamento quinzenal'!$N:$N, A186) +
    COUNTIF('Acompanhamento quinzenal'!$T:$T, A186) +
    COUNTIF('Acompanhamento quinzenal'!$Z:$Z, A186) +
    COUNTIF('Acompanhamento quinzenal'!$AF:$AF, A186)
  )
)
</f>
        <v>2.5</v>
      </c>
    </row>
    <row r="187" hidden="1">
      <c r="A187" s="291" t="str">
        <f>IFERROR(__xludf.DUMMYFUNCTION("""COMPUTED_VALUE"""),"vitoria.morseli")</f>
        <v>vitoria.morseli</v>
      </c>
      <c r="B187" s="120" t="str">
        <f>IFERROR(__xludf.DUMMYFUNCTION("""COMPUTED_VALUE"""),"Trainee")</f>
        <v>Trainee</v>
      </c>
      <c r="C187" s="120" t="str">
        <f>IFERROR(__xludf.DUMMYFUNCTION("""COMPUTED_VALUE"""),"NCon")</f>
        <v>NCon</v>
      </c>
      <c r="D187" s="292" t="str">
        <f>IFERROR((COUNTIFS(Base!$V:$V,A187,Base!$S:$S,"&gt;8") - COUNTIFS(Base!$V:$V,A187,Base!$S:$S,"&lt;7"))/COUNTIFS(Base!$V:$V,A187,Base!$S:$S,"&lt;&gt;"),"-")</f>
        <v>-</v>
      </c>
      <c r="E187" s="292" t="str">
        <f>IF(
  (
    COUNTIFS(Base!$W:$W, A187, Base!$S:$S, "&lt;&gt;") +
    COUNTIFS(Base!$X:$X, A187, Base!$S:$S, "&lt;&gt;") +
    COUNTIFS(Base!$Y:$Y, A187, Base!$S:$S, "&lt;&gt;") +
    COUNTIFS(Base!$Z:$Z, A187, Base!$S:$S, "&lt;&gt;")
  ) = 0,
  "-",
  (
    COUNTIFS(Base!$W:$W, A187, Base!$S:$S, "&gt;8") - COUNTIFS(Base!$W:$W, A187, Base!$S:$S, "&lt;7") +
    COUNTIFS(Base!$X:$X, A187, Base!$S:$S, "&gt;8") - COUNTIFS(Base!$X:$X, A187, Base!$S:$S, "&lt;7") +
    COUNTIFS(Base!$Y:$Y, A187, Base!$S:$S, "&gt;8") - COUNTIFS(Base!$Y:$Y, A187, Base!$S:$S, "&lt;7") +
    COUNTIFS(Base!$Z:$Z, A187, Base!$S:$S, "&gt;8") - COUNTIFS(Base!$Z:$Z, A187, Base!$S:$S, "&lt;7")
  ) /
  (
    COUNTIFS(Base!$W:$W, A187, Base!$S:$S, "&lt;&gt;") +
    COUNTIFS(Base!$X:$X, A187, Base!$S:$S, "&lt;&gt;") +
    COUNTIFS(Base!$Y:$Y, A187, Base!$S:$S, "&lt;&gt;") +
    COUNTIFS(Base!$Z:$Z, A187, Base!$S:$S, "&lt;&gt;")
  )
)
</f>
        <v>-</v>
      </c>
      <c r="F187" s="120"/>
      <c r="G187" s="120"/>
      <c r="J187" s="292" t="str">
        <f t="shared" ref="J187:K187" si="188">IFERROR(F187/H187,"-")</f>
        <v>-</v>
      </c>
      <c r="K187" s="292" t="str">
        <f t="shared" si="188"/>
        <v>-</v>
      </c>
      <c r="L187" s="292" t="str">
        <f>IFERROR((COUNTIFS(Base!$V:$V,A187,Base!$U:$U,TRUE))/(COUNTIFS(Base!$V:$V,A187,Base!$O:$O,"Finalizado")+COUNTIFS(Base!$V:$V,A187,Base!$O:$O,"Concluído")),"-")</f>
        <v>-</v>
      </c>
      <c r="M187" s="292" t="str">
        <f>IF(
  (
    IFERROR(COUNTIF(Base!$W:$W, A187), 0) +
    IFERROR(COUNTIF(Base!$X:$X, A187), 0) +
    IFERROR(COUNTIF(Base!$Y:$Y, A187), 0) +
    IFERROR(COUNTIF(Base!$Z:$Z, A187), 0)
  ) = 0,
  "-",
  IF(
    (
      IFERROR(COUNTIFS(Base!$W:$W, A187, Base!$O:$O, "Finalizado"), 0) +
      IFERROR(COUNTIFS(Base!$W:$W, A187, Base!$O:$O, "Concluído"), 0) +
      IFERROR(COUNTIFS(Base!$X:$X, A187, Base!$O:$O, "Finalizado"), 0) +
      IFERROR(COUNTIFS(Base!$X:$X, A187, Base!$O:$O, "Concluído"), 0) +
      IFERROR(COUNTIFS(Base!$Y:$Y, A187, Base!$O:$O, "Finalizado"), 0) +
      IFERROR(COUNTIFS(Base!$Y:$Y, A187, Base!$O:$O, "Concluído"), 0) +
      IFERROR(COUNTIFS(Base!$Z:$Z, A187, Base!$O:$O, "Finalizado"), 0) +
      IFERROR(COUNTIFS(Base!$Z:$Z, A187, Base!$O:$O, "Concluído"), 0)
    ) = 0,
    "-",
    (
      IFERROR(COUNTIFS(Base!$W:$W, A187, Base!$U:$U, TRUE), 0) +
      IFERROR(COUNTIFS(Base!$X:$X, A187, Base!$U:$U, TRUE), 0) +
      IFERROR(COUNTIFS(Base!$Y:$Y, A187, Base!$U:$U, TRUE), 0) +
      IFERROR(COUNTIFS(Base!$Z:$Z, A187, Base!$U:$U, TRUE), 0)
    ) /
    (
      IFERROR(COUNTIFS(Base!$W:$W, A187, Base!$O:$O, "Finalizado"), 0) +
      IFERROR(COUNTIFS(Base!$W:$W, A187, Base!$O:$O, "Concluído"), 0) +
      IFERROR(COUNTIFS(Base!$X:$X, A187, Base!$O:$O, "Finalizado"), 0) +
      IFERROR(COUNTIFS(Base!$X:$X, A187, Base!$O:$O, "Concluído"), 0) +
      IFERROR(COUNTIFS(Base!$Y:$Y, A187, Base!$O:$O, "Finalizado"), 0) +
      IFERROR(COUNTIFS(Base!$Y:$Y, A187, Base!$O:$O, "Concluído"), 0) +
      IFERROR(COUNTIFS(Base!$Z:$Z, A187, Base!$O:$O, "Finalizado"), 0) +
      IFERROR(COUNTIFS(Base!$Z:$Z, A187, Base!$O:$O, "Concluído"), 0)
    )
  )
)
</f>
        <v>-</v>
      </c>
      <c r="N187" s="120">
        <f>COUNTIF(Base!V:V,$A187)</f>
        <v>0</v>
      </c>
      <c r="O187" s="120"/>
      <c r="P187" s="120"/>
      <c r="Q187" s="120"/>
      <c r="R187" s="120"/>
      <c r="S187" s="120"/>
      <c r="T187" s="120">
        <f t="shared" si="4"/>
        <v>0</v>
      </c>
      <c r="V187" s="293">
        <f>IF(
  (
    COUNTIF('Acompanhamento quinzenal'!$N:$N, A187) +
    COUNTIF('Acompanhamento quinzenal'!$T:$T, A187) +
    COUNTIF('Acompanhamento quinzenal'!$Z:$Z, A187) +
    COUNTIF('Acompanhamento quinzenal'!$AF:$AF, A187)
  ) = 0,
  "-",
  (
    IFERROR(SUMIFS('Acompanhamento quinzenal'!$S:$S, 'Acompanhamento quinzenal'!$N:$N, A187), 0) +
    IFERROR(SUMIFS('Acompanhamento quinzenal'!$Y:$Y, 'Acompanhamento quinzenal'!$T:$T, A187), 0) +
    IFERROR(SUMIFS('Acompanhamento quinzenal'!$AE:$AE, 'Acompanhamento quinzenal'!$Z:$Z, A187), 0) +
    IFERROR(SUMIFS('Acompanhamento quinzenal'!$AK:$AK, 'Acompanhamento quinzenal'!$AF:$AF, A187), 0)
  ) /
  (
    COUNTIF('Acompanhamento quinzenal'!$N:$N, A187) +
    COUNTIF('Acompanhamento quinzenal'!$T:$T, A187) +
    COUNTIF('Acompanhamento quinzenal'!$Z:$Z, A187) +
    COUNTIF('Acompanhamento quinzenal'!$AF:$AF, A187)
  )
)
</f>
        <v>3</v>
      </c>
      <c r="W187" s="293">
        <f>IF(
  (
    COUNTIF('Acompanhamento quinzenal'!$N:$N, A187) +
    COUNTIF('Acompanhamento quinzenal'!$T:$T, A187) +
    COUNTIF('Acompanhamento quinzenal'!$Z:$Z, A187) +
    COUNTIF('Acompanhamento quinzenal'!$AF:$AF, A187)
  ) = 0,
  "-",
  (
    IFERROR(SUMIFS('Acompanhamento quinzenal'!$O:$O, 'Acompanhamento quinzenal'!$N:$N, A187), 0) +
    IFERROR(SUMIFS('Acompanhamento quinzenal'!$U:$U, 'Acompanhamento quinzenal'!$T:$T, A187), 0) +
    IFERROR(SUMIFS('Acompanhamento quinzenal'!$AA:$AA, 'Acompanhamento quinzenal'!$Z:$Z, A187), 0) +
    IFERROR(SUMIFS('Acompanhamento quinzenal'!$AG:$AG, 'Acompanhamento quinzenal'!$AF:$AF, A187), 0)
  ) /
  (
    COUNTIF('Acompanhamento quinzenal'!$N:$N, A187) +
    COUNTIF('Acompanhamento quinzenal'!$T:$T, A187) +
    COUNTIF('Acompanhamento quinzenal'!$Z:$Z, A187) +
    COUNTIF('Acompanhamento quinzenal'!$AF:$AF, A187)
  )
)
</f>
        <v>3</v>
      </c>
      <c r="X187" s="294">
        <f>IF(
  (
    COUNTIF('Acompanhamento quinzenal'!$N:$N, A187) +
    COUNTIF('Acompanhamento quinzenal'!$T:$T, A187) +
    COUNTIF('Acompanhamento quinzenal'!$Z:$Z, A187) +
    COUNTIF('Acompanhamento quinzenal'!$AF:$AF, A187)
  ) = 0,
  "-",
  (
    IFERROR(SUMIFS('Acompanhamento quinzenal'!$P:$P, 'Acompanhamento quinzenal'!$N:$N, A187), 0) +
    IFERROR(SUMIFS('Acompanhamento quinzenal'!$V:$V, 'Acompanhamento quinzenal'!$T:$T, A187), 0) +
    IFERROR(SUMIFS('Acompanhamento quinzenal'!$AB:$AB, 'Acompanhamento quinzenal'!$Z:$Z, A187), 0) +
    IFERROR(SUMIFS('Acompanhamento quinzenal'!$AH:$AH, 'Acompanhamento quinzenal'!$AF:$AF, A187), 0)
  ) /
  (
    COUNTIF('Acompanhamento quinzenal'!$N:$N, A187) +
    COUNTIF('Acompanhamento quinzenal'!$T:$T, A187) +
    COUNTIF('Acompanhamento quinzenal'!$Z:$Z, A187) +
    COUNTIF('Acompanhamento quinzenal'!$AF:$AF, A187)
  )
)
</f>
        <v>3</v>
      </c>
      <c r="Y187" s="293">
        <f>IF(
  (
    COUNTIF('Acompanhamento quinzenal'!$N:$N, A187) +
    COUNTIF('Acompanhamento quinzenal'!$T:$T, A187) +
    COUNTIF('Acompanhamento quinzenal'!$Z:$Z, A187) +
    COUNTIF('Acompanhamento quinzenal'!$AF:$AF, A187)
  ) = 0,
  "-",
  (
    IFERROR(SUMIFS('Acompanhamento quinzenal'!$Q:$Q, 'Acompanhamento quinzenal'!$N:$N, A187), 0) +
    IFERROR(SUMIFS('Acompanhamento quinzenal'!$W:$W, 'Acompanhamento quinzenal'!$T:$T, A187), 0) +
    IFERROR(SUMIFS('Acompanhamento quinzenal'!$AC:$AC, 'Acompanhamento quinzenal'!$Z:$Z, A187), 0) +
    IFERROR(SUMIFS('Acompanhamento quinzenal'!$AI:$AI, 'Acompanhamento quinzenal'!$AF:$AF, A187), 0)
  ) /
  (
    COUNTIF('Acompanhamento quinzenal'!$N:$N, A187) +
    COUNTIF('Acompanhamento quinzenal'!$T:$T, A187) +
    COUNTIF('Acompanhamento quinzenal'!$Z:$Z, A187) +
    COUNTIF('Acompanhamento quinzenal'!$AF:$AF, A187)
  )
)
</f>
        <v>3</v>
      </c>
    </row>
    <row r="188" hidden="1">
      <c r="A188" s="291" t="str">
        <f>IFERROR(__xludf.DUMMYFUNCTION("""COMPUTED_VALUE"""),"william.luz")</f>
        <v>william.luz</v>
      </c>
      <c r="B188" s="120" t="str">
        <f>IFERROR(__xludf.DUMMYFUNCTION("""COMPUTED_VALUE"""),"Trainee")</f>
        <v>Trainee</v>
      </c>
      <c r="C188" s="120" t="str">
        <f>IFERROR(__xludf.DUMMYFUNCTION("""COMPUTED_VALUE"""),"NCiv")</f>
        <v>NCiv</v>
      </c>
      <c r="D188" s="292" t="str">
        <f>IFERROR((COUNTIFS(Base!$V:$V,A188,Base!$S:$S,"&gt;8") - COUNTIFS(Base!$V:$V,A188,Base!$S:$S,"&lt;7"))/COUNTIFS(Base!$V:$V,A188,Base!$S:$S,"&lt;&gt;"),"-")</f>
        <v>-</v>
      </c>
      <c r="E188" s="292" t="str">
        <f>IF(
  (
    COUNTIFS(Base!$W:$W, A188, Base!$S:$S, "&lt;&gt;") +
    COUNTIFS(Base!$X:$X, A188, Base!$S:$S, "&lt;&gt;") +
    COUNTIFS(Base!$Y:$Y, A188, Base!$S:$S, "&lt;&gt;") +
    COUNTIFS(Base!$Z:$Z, A188, Base!$S:$S, "&lt;&gt;")
  ) = 0,
  "-",
  (
    COUNTIFS(Base!$W:$W, A188, Base!$S:$S, "&gt;8") - COUNTIFS(Base!$W:$W, A188, Base!$S:$S, "&lt;7") +
    COUNTIFS(Base!$X:$X, A188, Base!$S:$S, "&gt;8") - COUNTIFS(Base!$X:$X, A188, Base!$S:$S, "&lt;7") +
    COUNTIFS(Base!$Y:$Y, A188, Base!$S:$S, "&gt;8") - COUNTIFS(Base!$Y:$Y, A188, Base!$S:$S, "&lt;7") +
    COUNTIFS(Base!$Z:$Z, A188, Base!$S:$S, "&gt;8") - COUNTIFS(Base!$Z:$Z, A188, Base!$S:$S, "&lt;7")
  ) /
  (
    COUNTIFS(Base!$W:$W, A188, Base!$S:$S, "&lt;&gt;") +
    COUNTIFS(Base!$X:$X, A188, Base!$S:$S, "&lt;&gt;") +
    COUNTIFS(Base!$Y:$Y, A188, Base!$S:$S, "&lt;&gt;") +
    COUNTIFS(Base!$Z:$Z, A188, Base!$S:$S, "&lt;&gt;")
  )
)
</f>
        <v>-</v>
      </c>
      <c r="F188" s="120"/>
      <c r="G188" s="120"/>
      <c r="J188" s="292" t="str">
        <f t="shared" ref="J188:K188" si="189">IFERROR(F188/H188,"-")</f>
        <v>-</v>
      </c>
      <c r="K188" s="292" t="str">
        <f t="shared" si="189"/>
        <v>-</v>
      </c>
      <c r="L188" s="292" t="str">
        <f>IFERROR((COUNTIFS(Base!$V:$V,A188,Base!$U:$U,TRUE))/(COUNTIFS(Base!$V:$V,A188,Base!$O:$O,"Finalizado")+COUNTIFS(Base!$V:$V,A188,Base!$O:$O,"Concluído")),"-")</f>
        <v>-</v>
      </c>
      <c r="M188" s="292" t="str">
        <f>IF(
  (
    IFERROR(COUNTIF(Base!$W:$W, A188), 0) +
    IFERROR(COUNTIF(Base!$X:$X, A188), 0) +
    IFERROR(COUNTIF(Base!$Y:$Y, A188), 0) +
    IFERROR(COUNTIF(Base!$Z:$Z, A188), 0)
  ) = 0,
  "-",
  IF(
    (
      IFERROR(COUNTIFS(Base!$W:$W, A188, Base!$O:$O, "Finalizado"), 0) +
      IFERROR(COUNTIFS(Base!$W:$W, A188, Base!$O:$O, "Concluído"), 0) +
      IFERROR(COUNTIFS(Base!$X:$X, A188, Base!$O:$O, "Finalizado"), 0) +
      IFERROR(COUNTIFS(Base!$X:$X, A188, Base!$O:$O, "Concluído"), 0) +
      IFERROR(COUNTIFS(Base!$Y:$Y, A188, Base!$O:$O, "Finalizado"), 0) +
      IFERROR(COUNTIFS(Base!$Y:$Y, A188, Base!$O:$O, "Concluído"), 0) +
      IFERROR(COUNTIFS(Base!$Z:$Z, A188, Base!$O:$O, "Finalizado"), 0) +
      IFERROR(COUNTIFS(Base!$Z:$Z, A188, Base!$O:$O, "Concluído"), 0)
    ) = 0,
    "-",
    (
      IFERROR(COUNTIFS(Base!$W:$W, A188, Base!$U:$U, TRUE), 0) +
      IFERROR(COUNTIFS(Base!$X:$X, A188, Base!$U:$U, TRUE), 0) +
      IFERROR(COUNTIFS(Base!$Y:$Y, A188, Base!$U:$U, TRUE), 0) +
      IFERROR(COUNTIFS(Base!$Z:$Z, A188, Base!$U:$U, TRUE), 0)
    ) /
    (
      IFERROR(COUNTIFS(Base!$W:$W, A188, Base!$O:$O, "Finalizado"), 0) +
      IFERROR(COUNTIFS(Base!$W:$W, A188, Base!$O:$O, "Concluído"), 0) +
      IFERROR(COUNTIFS(Base!$X:$X, A188, Base!$O:$O, "Finalizado"), 0) +
      IFERROR(COUNTIFS(Base!$X:$X, A188, Base!$O:$O, "Concluído"), 0) +
      IFERROR(COUNTIFS(Base!$Y:$Y, A188, Base!$O:$O, "Finalizado"), 0) +
      IFERROR(COUNTIFS(Base!$Y:$Y, A188, Base!$O:$O, "Concluído"), 0) +
      IFERROR(COUNTIFS(Base!$Z:$Z, A188, Base!$O:$O, "Finalizado"), 0) +
      IFERROR(COUNTIFS(Base!$Z:$Z, A188, Base!$O:$O, "Concluído"), 0)
    )
  )
)
</f>
        <v>-</v>
      </c>
      <c r="N188" s="120">
        <f>COUNTIF(Base!V:V,$A188)</f>
        <v>0</v>
      </c>
      <c r="O188" s="120"/>
      <c r="P188" s="120"/>
      <c r="Q188" s="120"/>
      <c r="R188" s="120"/>
      <c r="S188" s="120"/>
      <c r="T188" s="120">
        <f t="shared" si="4"/>
        <v>0</v>
      </c>
      <c r="V188" s="293" t="str">
        <f>IF(
  (
    COUNTIF('Acompanhamento quinzenal'!$N:$N, A188) +
    COUNTIF('Acompanhamento quinzenal'!$T:$T, A188) +
    COUNTIF('Acompanhamento quinzenal'!$Z:$Z, A188) +
    COUNTIF('Acompanhamento quinzenal'!$AF:$AF, A188)
  ) = 0,
  "-",
  (
    IFERROR(SUMIFS('Acompanhamento quinzenal'!$S:$S, 'Acompanhamento quinzenal'!$N:$N, A188), 0) +
    IFERROR(SUMIFS('Acompanhamento quinzenal'!$Y:$Y, 'Acompanhamento quinzenal'!$T:$T, A188), 0) +
    IFERROR(SUMIFS('Acompanhamento quinzenal'!$AE:$AE, 'Acompanhamento quinzenal'!$Z:$Z, A188), 0) +
    IFERROR(SUMIFS('Acompanhamento quinzenal'!$AK:$AK, 'Acompanhamento quinzenal'!$AF:$AF, A188), 0)
  ) /
  (
    COUNTIF('Acompanhamento quinzenal'!$N:$N, A188) +
    COUNTIF('Acompanhamento quinzenal'!$T:$T, A188) +
    COUNTIF('Acompanhamento quinzenal'!$Z:$Z, A188) +
    COUNTIF('Acompanhamento quinzenal'!$AF:$AF, A188)
  )
)
</f>
        <v>-</v>
      </c>
      <c r="W188" s="293" t="str">
        <f>IF(
  (
    COUNTIF('Acompanhamento quinzenal'!$N:$N, A188) +
    COUNTIF('Acompanhamento quinzenal'!$T:$T, A188) +
    COUNTIF('Acompanhamento quinzenal'!$Z:$Z, A188) +
    COUNTIF('Acompanhamento quinzenal'!$AF:$AF, A188)
  ) = 0,
  "-",
  (
    IFERROR(SUMIFS('Acompanhamento quinzenal'!$O:$O, 'Acompanhamento quinzenal'!$N:$N, A188), 0) +
    IFERROR(SUMIFS('Acompanhamento quinzenal'!$U:$U, 'Acompanhamento quinzenal'!$T:$T, A188), 0) +
    IFERROR(SUMIFS('Acompanhamento quinzenal'!$AA:$AA, 'Acompanhamento quinzenal'!$Z:$Z, A188), 0) +
    IFERROR(SUMIFS('Acompanhamento quinzenal'!$AG:$AG, 'Acompanhamento quinzenal'!$AF:$AF, A188), 0)
  ) /
  (
    COUNTIF('Acompanhamento quinzenal'!$N:$N, A188) +
    COUNTIF('Acompanhamento quinzenal'!$T:$T, A188) +
    COUNTIF('Acompanhamento quinzenal'!$Z:$Z, A188) +
    COUNTIF('Acompanhamento quinzenal'!$AF:$AF, A188)
  )
)
</f>
        <v>-</v>
      </c>
      <c r="X188" s="294" t="str">
        <f>IF(
  (
    COUNTIF('Acompanhamento quinzenal'!$N:$N, A188) +
    COUNTIF('Acompanhamento quinzenal'!$T:$T, A188) +
    COUNTIF('Acompanhamento quinzenal'!$Z:$Z, A188) +
    COUNTIF('Acompanhamento quinzenal'!$AF:$AF, A188)
  ) = 0,
  "-",
  (
    IFERROR(SUMIFS('Acompanhamento quinzenal'!$P:$P, 'Acompanhamento quinzenal'!$N:$N, A188), 0) +
    IFERROR(SUMIFS('Acompanhamento quinzenal'!$V:$V, 'Acompanhamento quinzenal'!$T:$T, A188), 0) +
    IFERROR(SUMIFS('Acompanhamento quinzenal'!$AB:$AB, 'Acompanhamento quinzenal'!$Z:$Z, A188), 0) +
    IFERROR(SUMIFS('Acompanhamento quinzenal'!$AH:$AH, 'Acompanhamento quinzenal'!$AF:$AF, A188), 0)
  ) /
  (
    COUNTIF('Acompanhamento quinzenal'!$N:$N, A188) +
    COUNTIF('Acompanhamento quinzenal'!$T:$T, A188) +
    COUNTIF('Acompanhamento quinzenal'!$Z:$Z, A188) +
    COUNTIF('Acompanhamento quinzenal'!$AF:$AF, A188)
  )
)
</f>
        <v>-</v>
      </c>
      <c r="Y188" s="293" t="str">
        <f>IF(
  (
    COUNTIF('Acompanhamento quinzenal'!$N:$N, A188) +
    COUNTIF('Acompanhamento quinzenal'!$T:$T, A188) +
    COUNTIF('Acompanhamento quinzenal'!$Z:$Z, A188) +
    COUNTIF('Acompanhamento quinzenal'!$AF:$AF, A188)
  ) = 0,
  "-",
  (
    IFERROR(SUMIFS('Acompanhamento quinzenal'!$Q:$Q, 'Acompanhamento quinzenal'!$N:$N, A188), 0) +
    IFERROR(SUMIFS('Acompanhamento quinzenal'!$W:$W, 'Acompanhamento quinzenal'!$T:$T, A188), 0) +
    IFERROR(SUMIFS('Acompanhamento quinzenal'!$AC:$AC, 'Acompanhamento quinzenal'!$Z:$Z, A188), 0) +
    IFERROR(SUMIFS('Acompanhamento quinzenal'!$AI:$AI, 'Acompanhamento quinzenal'!$AF:$AF, A188), 0)
  ) /
  (
    COUNTIF('Acompanhamento quinzenal'!$N:$N, A188) +
    COUNTIF('Acompanhamento quinzenal'!$T:$T, A188) +
    COUNTIF('Acompanhamento quinzenal'!$Z:$Z, A188) +
    COUNTIF('Acompanhamento quinzenal'!$AF:$AF, A188)
  )
)
</f>
        <v>-</v>
      </c>
    </row>
    <row r="189" hidden="1">
      <c r="A189" s="291"/>
      <c r="B189" s="120"/>
      <c r="C189" s="120"/>
      <c r="D189" s="292" t="str">
        <f>IFERROR((COUNTIFS(Base!$V:$V,A189,Base!$S:$S,"&gt;8") - COUNTIFS(Base!$V:$V,A189,Base!$S:$S,"&lt;7"))/COUNTIFS(Base!$V:$V,A189,Base!$S:$S,"&lt;&gt;"),"-")</f>
        <v>-</v>
      </c>
      <c r="E189" s="292" t="str">
        <f>IF(
  (
    COUNTIFS(Base!$W:$W, A189, Base!$S:$S, "&lt;&gt;") +
    COUNTIFS(Base!$X:$X, A189, Base!$S:$S, "&lt;&gt;") +
    COUNTIFS(Base!$Y:$Y, A189, Base!$S:$S, "&lt;&gt;") +
    COUNTIFS(Base!$Z:$Z, A189, Base!$S:$S, "&lt;&gt;")
  ) = 0,
  "-",
  (
    COUNTIFS(Base!$W:$W, A189, Base!$S:$S, "&gt;8") - COUNTIFS(Base!$W:$W, A189, Base!$S:$S, "&lt;7") +
    COUNTIFS(Base!$X:$X, A189, Base!$S:$S, "&gt;8") - COUNTIFS(Base!$X:$X, A189, Base!$S:$S, "&lt;7") +
    COUNTIFS(Base!$Y:$Y, A189, Base!$S:$S, "&gt;8") - COUNTIFS(Base!$Y:$Y, A189, Base!$S:$S, "&lt;7") +
    COUNTIFS(Base!$Z:$Z, A189, Base!$S:$S, "&gt;8") - COUNTIFS(Base!$Z:$Z, A189, Base!$S:$S, "&lt;7")
  ) /
  (
    COUNTIFS(Base!$W:$W, A189, Base!$S:$S, "&lt;&gt;") +
    COUNTIFS(Base!$X:$X, A189, Base!$S:$S, "&lt;&gt;") +
    COUNTIFS(Base!$Y:$Y, A189, Base!$S:$S, "&lt;&gt;") +
    COUNTIFS(Base!$Z:$Z, A189, Base!$S:$S, "&lt;&gt;")
  )
)
</f>
        <v>-</v>
      </c>
      <c r="F189" s="120"/>
      <c r="G189" s="120"/>
      <c r="J189" s="292" t="str">
        <f t="shared" ref="J189:K189" si="190">IFERROR(F189/H189,"-")</f>
        <v>-</v>
      </c>
      <c r="K189" s="292" t="str">
        <f t="shared" si="190"/>
        <v>-</v>
      </c>
      <c r="L189" s="292" t="str">
        <f>IFERROR((COUNTIFS(Base!$V:$V,A189,Base!$U:$U,TRUE))/(COUNTIFS(Base!$V:$V,A189,Base!$O:$O,"Finalizado")+COUNTIFS(Base!$V:$V,A189,Base!$O:$O,"Concluído")),"-")</f>
        <v>-</v>
      </c>
      <c r="M189" s="292" t="str">
        <f>IF(
  (
    IFERROR(COUNTIF(Base!$W:$W, A189), 0) +
    IFERROR(COUNTIF(Base!$X:$X, A189), 0) +
    IFERROR(COUNTIF(Base!$Y:$Y, A189), 0) +
    IFERROR(COUNTIF(Base!$Z:$Z, A189), 0)
  ) = 0,
  "-",
  IF(
    (
      IFERROR(COUNTIFS(Base!$W:$W, A189, Base!$O:$O, "Finalizado"), 0) +
      IFERROR(COUNTIFS(Base!$W:$W, A189, Base!$O:$O, "Concluído"), 0) +
      IFERROR(COUNTIFS(Base!$X:$X, A189, Base!$O:$O, "Finalizado"), 0) +
      IFERROR(COUNTIFS(Base!$X:$X, A189, Base!$O:$O, "Concluído"), 0) +
      IFERROR(COUNTIFS(Base!$Y:$Y, A189, Base!$O:$O, "Finalizado"), 0) +
      IFERROR(COUNTIFS(Base!$Y:$Y, A189, Base!$O:$O, "Concluído"), 0) +
      IFERROR(COUNTIFS(Base!$Z:$Z, A189, Base!$O:$O, "Finalizado"), 0) +
      IFERROR(COUNTIFS(Base!$Z:$Z, A189, Base!$O:$O, "Concluído"), 0)
    ) = 0,
    "-",
    (
      IFERROR(COUNTIFS(Base!$W:$W, A189, Base!$U:$U, TRUE), 0) +
      IFERROR(COUNTIFS(Base!$X:$X, A189, Base!$U:$U, TRUE), 0) +
      IFERROR(COUNTIFS(Base!$Y:$Y, A189, Base!$U:$U, TRUE), 0) +
      IFERROR(COUNTIFS(Base!$Z:$Z, A189, Base!$U:$U, TRUE), 0)
    ) /
    (
      IFERROR(COUNTIFS(Base!$W:$W, A189, Base!$O:$O, "Finalizado"), 0) +
      IFERROR(COUNTIFS(Base!$W:$W, A189, Base!$O:$O, "Concluído"), 0) +
      IFERROR(COUNTIFS(Base!$X:$X, A189, Base!$O:$O, "Finalizado"), 0) +
      IFERROR(COUNTIFS(Base!$X:$X, A189, Base!$O:$O, "Concluído"), 0) +
      IFERROR(COUNTIFS(Base!$Y:$Y, A189, Base!$O:$O, "Finalizado"), 0) +
      IFERROR(COUNTIFS(Base!$Y:$Y, A189, Base!$O:$O, "Concluído"), 0) +
      IFERROR(COUNTIFS(Base!$Z:$Z, A189, Base!$O:$O, "Finalizado"), 0) +
      IFERROR(COUNTIFS(Base!$Z:$Z, A189, Base!$O:$O, "Concluído"), 0)
    )
  )
)
</f>
        <v>-</v>
      </c>
      <c r="N189" s="120">
        <f>COUNTIF(Base!V:V,$A189)</f>
        <v>0</v>
      </c>
      <c r="O189" s="120"/>
      <c r="P189" s="120"/>
      <c r="Q189" s="120"/>
      <c r="R189" s="120"/>
      <c r="S189" s="120"/>
      <c r="T189" s="120">
        <f t="shared" si="4"/>
        <v>0</v>
      </c>
      <c r="V189" s="293" t="str">
        <f>IF(
  (
    COUNTIF('Acompanhamento quinzenal'!$N:$N, A189) +
    COUNTIF('Acompanhamento quinzenal'!$T:$T, A189) +
    COUNTIF('Acompanhamento quinzenal'!$Z:$Z, A189) +
    COUNTIF('Acompanhamento quinzenal'!$AF:$AF, A189)
  ) = 0,
  "-",
  (
    IFERROR(SUMIFS('Acompanhamento quinzenal'!$S:$S, 'Acompanhamento quinzenal'!$N:$N, A189), 0) +
    IFERROR(SUMIFS('Acompanhamento quinzenal'!$Y:$Y, 'Acompanhamento quinzenal'!$T:$T, A189), 0) +
    IFERROR(SUMIFS('Acompanhamento quinzenal'!$AE:$AE, 'Acompanhamento quinzenal'!$Z:$Z, A189), 0) +
    IFERROR(SUMIFS('Acompanhamento quinzenal'!$AK:$AK, 'Acompanhamento quinzenal'!$AF:$AF, A189), 0)
  ) /
  (
    COUNTIF('Acompanhamento quinzenal'!$N:$N, A189) +
    COUNTIF('Acompanhamento quinzenal'!$T:$T, A189) +
    COUNTIF('Acompanhamento quinzenal'!$Z:$Z, A189) +
    COUNTIF('Acompanhamento quinzenal'!$AF:$AF, A189)
  )
)
</f>
        <v>-</v>
      </c>
      <c r="W189" s="293" t="str">
        <f>IF(
  (
    COUNTIF('Acompanhamento quinzenal'!$N:$N, A189) +
    COUNTIF('Acompanhamento quinzenal'!$T:$T, A189) +
    COUNTIF('Acompanhamento quinzenal'!$Z:$Z, A189) +
    COUNTIF('Acompanhamento quinzenal'!$AF:$AF, A189)
  ) = 0,
  "-",
  (
    IFERROR(SUMIFS('Acompanhamento quinzenal'!$O:$O, 'Acompanhamento quinzenal'!$N:$N, A189), 0) +
    IFERROR(SUMIFS('Acompanhamento quinzenal'!$U:$U, 'Acompanhamento quinzenal'!$T:$T, A189), 0) +
    IFERROR(SUMIFS('Acompanhamento quinzenal'!$AA:$AA, 'Acompanhamento quinzenal'!$Z:$Z, A189), 0) +
    IFERROR(SUMIFS('Acompanhamento quinzenal'!$AG:$AG, 'Acompanhamento quinzenal'!$AF:$AF, A189), 0)
  ) /
  (
    COUNTIF('Acompanhamento quinzenal'!$N:$N, A189) +
    COUNTIF('Acompanhamento quinzenal'!$T:$T, A189) +
    COUNTIF('Acompanhamento quinzenal'!$Z:$Z, A189) +
    COUNTIF('Acompanhamento quinzenal'!$AF:$AF, A189)
  )
)
</f>
        <v>-</v>
      </c>
      <c r="X189" s="294" t="str">
        <f>IF(
  (
    COUNTIF('Acompanhamento quinzenal'!$N:$N, A189) +
    COUNTIF('Acompanhamento quinzenal'!$T:$T, A189) +
    COUNTIF('Acompanhamento quinzenal'!$Z:$Z, A189) +
    COUNTIF('Acompanhamento quinzenal'!$AF:$AF, A189)
  ) = 0,
  "-",
  (
    IFERROR(SUMIFS('Acompanhamento quinzenal'!$P:$P, 'Acompanhamento quinzenal'!$N:$N, A189), 0) +
    IFERROR(SUMIFS('Acompanhamento quinzenal'!$V:$V, 'Acompanhamento quinzenal'!$T:$T, A189), 0) +
    IFERROR(SUMIFS('Acompanhamento quinzenal'!$AB:$AB, 'Acompanhamento quinzenal'!$Z:$Z, A189), 0) +
    IFERROR(SUMIFS('Acompanhamento quinzenal'!$AH:$AH, 'Acompanhamento quinzenal'!$AF:$AF, A189), 0)
  ) /
  (
    COUNTIF('Acompanhamento quinzenal'!$N:$N, A189) +
    COUNTIF('Acompanhamento quinzenal'!$T:$T, A189) +
    COUNTIF('Acompanhamento quinzenal'!$Z:$Z, A189) +
    COUNTIF('Acompanhamento quinzenal'!$AF:$AF, A189)
  )
)
</f>
        <v>-</v>
      </c>
      <c r="Y189" s="293" t="str">
        <f>IF(
  (
    COUNTIF('Acompanhamento quinzenal'!$N:$N, A189) +
    COUNTIF('Acompanhamento quinzenal'!$T:$T, A189) +
    COUNTIF('Acompanhamento quinzenal'!$Z:$Z, A189) +
    COUNTIF('Acompanhamento quinzenal'!$AF:$AF, A189)
  ) = 0,
  "-",
  (
    IFERROR(SUMIFS('Acompanhamento quinzenal'!$Q:$Q, 'Acompanhamento quinzenal'!$N:$N, A189), 0) +
    IFERROR(SUMIFS('Acompanhamento quinzenal'!$W:$W, 'Acompanhamento quinzenal'!$T:$T, A189), 0) +
    IFERROR(SUMIFS('Acompanhamento quinzenal'!$AC:$AC, 'Acompanhamento quinzenal'!$Z:$Z, A189), 0) +
    IFERROR(SUMIFS('Acompanhamento quinzenal'!$AI:$AI, 'Acompanhamento quinzenal'!$AF:$AF, A189), 0)
  ) /
  (
    COUNTIF('Acompanhamento quinzenal'!$N:$N, A189) +
    COUNTIF('Acompanhamento quinzenal'!$T:$T, A189) +
    COUNTIF('Acompanhamento quinzenal'!$Z:$Z, A189) +
    COUNTIF('Acompanhamento quinzenal'!$AF:$AF, A189)
  )
)
</f>
        <v>-</v>
      </c>
    </row>
    <row r="190" hidden="1">
      <c r="A190" s="291"/>
      <c r="B190" s="120"/>
      <c r="C190" s="120"/>
      <c r="D190" s="292" t="str">
        <f>IFERROR((COUNTIFS(Base!$V:$V,A190,Base!$S:$S,"&gt;8") - COUNTIFS(Base!$V:$V,A190,Base!$S:$S,"&lt;7"))/COUNTIFS(Base!$V:$V,A190,Base!$S:$S,"&lt;&gt;"),"-")</f>
        <v>-</v>
      </c>
      <c r="E190" s="292" t="str">
        <f>IF(
  (
    COUNTIFS(Base!$W:$W, A190, Base!$S:$S, "&lt;&gt;") +
    COUNTIFS(Base!$X:$X, A190, Base!$S:$S, "&lt;&gt;") +
    COUNTIFS(Base!$Y:$Y, A190, Base!$S:$S, "&lt;&gt;") +
    COUNTIFS(Base!$Z:$Z, A190, Base!$S:$S, "&lt;&gt;")
  ) = 0,
  "-",
  (
    COUNTIFS(Base!$W:$W, A190, Base!$S:$S, "&gt;8") - COUNTIFS(Base!$W:$W, A190, Base!$S:$S, "&lt;7") +
    COUNTIFS(Base!$X:$X, A190, Base!$S:$S, "&gt;8") - COUNTIFS(Base!$X:$X, A190, Base!$S:$S, "&lt;7") +
    COUNTIFS(Base!$Y:$Y, A190, Base!$S:$S, "&gt;8") - COUNTIFS(Base!$Y:$Y, A190, Base!$S:$S, "&lt;7") +
    COUNTIFS(Base!$Z:$Z, A190, Base!$S:$S, "&gt;8") - COUNTIFS(Base!$Z:$Z, A190, Base!$S:$S, "&lt;7")
  ) /
  (
    COUNTIFS(Base!$W:$W, A190, Base!$S:$S, "&lt;&gt;") +
    COUNTIFS(Base!$X:$X, A190, Base!$S:$S, "&lt;&gt;") +
    COUNTIFS(Base!$Y:$Y, A190, Base!$S:$S, "&lt;&gt;") +
    COUNTIFS(Base!$Z:$Z, A190, Base!$S:$S, "&lt;&gt;")
  )
)
</f>
        <v>-</v>
      </c>
      <c r="F190" s="120"/>
      <c r="G190" s="120"/>
      <c r="J190" s="292" t="str">
        <f t="shared" ref="J190:K190" si="191">IFERROR(F190/H190,"-")</f>
        <v>-</v>
      </c>
      <c r="K190" s="292" t="str">
        <f t="shared" si="191"/>
        <v>-</v>
      </c>
      <c r="L190" s="292" t="str">
        <f>IFERROR((COUNTIFS(Base!$V:$V,A190,Base!$U:$U,TRUE))/(COUNTIFS(Base!$V:$V,A190,Base!$O:$O,"Finalizado")+COUNTIFS(Base!$V:$V,A190,Base!$O:$O,"Concluído")),"-")</f>
        <v>-</v>
      </c>
      <c r="M190" s="292" t="str">
        <f>IF(
  (
    IFERROR(COUNTIF(Base!$W:$W, A190), 0) +
    IFERROR(COUNTIF(Base!$X:$X, A190), 0) +
    IFERROR(COUNTIF(Base!$Y:$Y, A190), 0) +
    IFERROR(COUNTIF(Base!$Z:$Z, A190), 0)
  ) = 0,
  "-",
  IF(
    (
      IFERROR(COUNTIFS(Base!$W:$W, A190, Base!$O:$O, "Finalizado"), 0) +
      IFERROR(COUNTIFS(Base!$W:$W, A190, Base!$O:$O, "Concluído"), 0) +
      IFERROR(COUNTIFS(Base!$X:$X, A190, Base!$O:$O, "Finalizado"), 0) +
      IFERROR(COUNTIFS(Base!$X:$X, A190, Base!$O:$O, "Concluído"), 0) +
      IFERROR(COUNTIFS(Base!$Y:$Y, A190, Base!$O:$O, "Finalizado"), 0) +
      IFERROR(COUNTIFS(Base!$Y:$Y, A190, Base!$O:$O, "Concluído"), 0) +
      IFERROR(COUNTIFS(Base!$Z:$Z, A190, Base!$O:$O, "Finalizado"), 0) +
      IFERROR(COUNTIFS(Base!$Z:$Z, A190, Base!$O:$O, "Concluído"), 0)
    ) = 0,
    "-",
    (
      IFERROR(COUNTIFS(Base!$W:$W, A190, Base!$U:$U, TRUE), 0) +
      IFERROR(COUNTIFS(Base!$X:$X, A190, Base!$U:$U, TRUE), 0) +
      IFERROR(COUNTIFS(Base!$Y:$Y, A190, Base!$U:$U, TRUE), 0) +
      IFERROR(COUNTIFS(Base!$Z:$Z, A190, Base!$U:$U, TRUE), 0)
    ) /
    (
      IFERROR(COUNTIFS(Base!$W:$W, A190, Base!$O:$O, "Finalizado"), 0) +
      IFERROR(COUNTIFS(Base!$W:$W, A190, Base!$O:$O, "Concluído"), 0) +
      IFERROR(COUNTIFS(Base!$X:$X, A190, Base!$O:$O, "Finalizado"), 0) +
      IFERROR(COUNTIFS(Base!$X:$X, A190, Base!$O:$O, "Concluído"), 0) +
      IFERROR(COUNTIFS(Base!$Y:$Y, A190, Base!$O:$O, "Finalizado"), 0) +
      IFERROR(COUNTIFS(Base!$Y:$Y, A190, Base!$O:$O, "Concluído"), 0) +
      IFERROR(COUNTIFS(Base!$Z:$Z, A190, Base!$O:$O, "Finalizado"), 0) +
      IFERROR(COUNTIFS(Base!$Z:$Z, A190, Base!$O:$O, "Concluído"), 0)
    )
  )
)
</f>
        <v>-</v>
      </c>
      <c r="N190" s="120">
        <f>COUNTIF(Base!V:V,$A190)</f>
        <v>0</v>
      </c>
      <c r="O190" s="120"/>
      <c r="P190" s="120"/>
      <c r="Q190" s="120"/>
      <c r="R190" s="120"/>
      <c r="S190" s="120"/>
      <c r="T190" s="120">
        <f t="shared" si="4"/>
        <v>0</v>
      </c>
      <c r="V190" s="293" t="str">
        <f>IF(
  (
    COUNTIF('Acompanhamento quinzenal'!$N:$N, A190) +
    COUNTIF('Acompanhamento quinzenal'!$T:$T, A190) +
    COUNTIF('Acompanhamento quinzenal'!$Z:$Z, A190) +
    COUNTIF('Acompanhamento quinzenal'!$AF:$AF, A190)
  ) = 0,
  "-",
  (
    IFERROR(SUMIFS('Acompanhamento quinzenal'!$S:$S, 'Acompanhamento quinzenal'!$N:$N, A190), 0) +
    IFERROR(SUMIFS('Acompanhamento quinzenal'!$Y:$Y, 'Acompanhamento quinzenal'!$T:$T, A190), 0) +
    IFERROR(SUMIFS('Acompanhamento quinzenal'!$AE:$AE, 'Acompanhamento quinzenal'!$Z:$Z, A190), 0) +
    IFERROR(SUMIFS('Acompanhamento quinzenal'!$AK:$AK, 'Acompanhamento quinzenal'!$AF:$AF, A190), 0)
  ) /
  (
    COUNTIF('Acompanhamento quinzenal'!$N:$N, A190) +
    COUNTIF('Acompanhamento quinzenal'!$T:$T, A190) +
    COUNTIF('Acompanhamento quinzenal'!$Z:$Z, A190) +
    COUNTIF('Acompanhamento quinzenal'!$AF:$AF, A190)
  )
)
</f>
        <v>-</v>
      </c>
      <c r="W190" s="293" t="str">
        <f>IF(
  (
    COUNTIF('Acompanhamento quinzenal'!$N:$N, A190) +
    COUNTIF('Acompanhamento quinzenal'!$T:$T, A190) +
    COUNTIF('Acompanhamento quinzenal'!$Z:$Z, A190) +
    COUNTIF('Acompanhamento quinzenal'!$AF:$AF, A190)
  ) = 0,
  "-",
  (
    IFERROR(SUMIFS('Acompanhamento quinzenal'!$O:$O, 'Acompanhamento quinzenal'!$N:$N, A190), 0) +
    IFERROR(SUMIFS('Acompanhamento quinzenal'!$U:$U, 'Acompanhamento quinzenal'!$T:$T, A190), 0) +
    IFERROR(SUMIFS('Acompanhamento quinzenal'!$AA:$AA, 'Acompanhamento quinzenal'!$Z:$Z, A190), 0) +
    IFERROR(SUMIFS('Acompanhamento quinzenal'!$AG:$AG, 'Acompanhamento quinzenal'!$AF:$AF, A190), 0)
  ) /
  (
    COUNTIF('Acompanhamento quinzenal'!$N:$N, A190) +
    COUNTIF('Acompanhamento quinzenal'!$T:$T, A190) +
    COUNTIF('Acompanhamento quinzenal'!$Z:$Z, A190) +
    COUNTIF('Acompanhamento quinzenal'!$AF:$AF, A190)
  )
)
</f>
        <v>-</v>
      </c>
      <c r="X190" s="294" t="str">
        <f>IF(
  (
    COUNTIF('Acompanhamento quinzenal'!$N:$N, A190) +
    COUNTIF('Acompanhamento quinzenal'!$T:$T, A190) +
    COUNTIF('Acompanhamento quinzenal'!$Z:$Z, A190) +
    COUNTIF('Acompanhamento quinzenal'!$AF:$AF, A190)
  ) = 0,
  "-",
  (
    IFERROR(SUMIFS('Acompanhamento quinzenal'!$P:$P, 'Acompanhamento quinzenal'!$N:$N, A190), 0) +
    IFERROR(SUMIFS('Acompanhamento quinzenal'!$V:$V, 'Acompanhamento quinzenal'!$T:$T, A190), 0) +
    IFERROR(SUMIFS('Acompanhamento quinzenal'!$AB:$AB, 'Acompanhamento quinzenal'!$Z:$Z, A190), 0) +
    IFERROR(SUMIFS('Acompanhamento quinzenal'!$AH:$AH, 'Acompanhamento quinzenal'!$AF:$AF, A190), 0)
  ) /
  (
    COUNTIF('Acompanhamento quinzenal'!$N:$N, A190) +
    COUNTIF('Acompanhamento quinzenal'!$T:$T, A190) +
    COUNTIF('Acompanhamento quinzenal'!$Z:$Z, A190) +
    COUNTIF('Acompanhamento quinzenal'!$AF:$AF, A190)
  )
)
</f>
        <v>-</v>
      </c>
      <c r="Y190" s="293" t="str">
        <f>IF(
  (
    COUNTIF('Acompanhamento quinzenal'!$N:$N, A190) +
    COUNTIF('Acompanhamento quinzenal'!$T:$T, A190) +
    COUNTIF('Acompanhamento quinzenal'!$Z:$Z, A190) +
    COUNTIF('Acompanhamento quinzenal'!$AF:$AF, A190)
  ) = 0,
  "-",
  (
    IFERROR(SUMIFS('Acompanhamento quinzenal'!$Q:$Q, 'Acompanhamento quinzenal'!$N:$N, A190), 0) +
    IFERROR(SUMIFS('Acompanhamento quinzenal'!$W:$W, 'Acompanhamento quinzenal'!$T:$T, A190), 0) +
    IFERROR(SUMIFS('Acompanhamento quinzenal'!$AC:$AC, 'Acompanhamento quinzenal'!$Z:$Z, A190), 0) +
    IFERROR(SUMIFS('Acompanhamento quinzenal'!$AI:$AI, 'Acompanhamento quinzenal'!$AF:$AF, A190), 0)
  ) /
  (
    COUNTIF('Acompanhamento quinzenal'!$N:$N, A190) +
    COUNTIF('Acompanhamento quinzenal'!$T:$T, A190) +
    COUNTIF('Acompanhamento quinzenal'!$Z:$Z, A190) +
    COUNTIF('Acompanhamento quinzenal'!$AF:$AF, A190)
  )
)
</f>
        <v>-</v>
      </c>
    </row>
    <row r="191" hidden="1">
      <c r="A191" s="291"/>
      <c r="B191" s="120"/>
      <c r="C191" s="120"/>
      <c r="D191" s="292" t="str">
        <f>IFERROR((COUNTIFS(Base!$V:$V,A191,Base!$S:$S,"&gt;8") - COUNTIFS(Base!$V:$V,A191,Base!$S:$S,"&lt;7"))/COUNTIFS(Base!$V:$V,A191,Base!$S:$S,"&lt;&gt;"),"-")</f>
        <v>-</v>
      </c>
      <c r="E191" s="292" t="str">
        <f>IF(
  (
    COUNTIFS(Base!$W:$W, A191, Base!$S:$S, "&lt;&gt;") +
    COUNTIFS(Base!$X:$X, A191, Base!$S:$S, "&lt;&gt;") +
    COUNTIFS(Base!$Y:$Y, A191, Base!$S:$S, "&lt;&gt;") +
    COUNTIFS(Base!$Z:$Z, A191, Base!$S:$S, "&lt;&gt;")
  ) = 0,
  "-",
  (
    COUNTIFS(Base!$W:$W, A191, Base!$S:$S, "&gt;8") - COUNTIFS(Base!$W:$W, A191, Base!$S:$S, "&lt;7") +
    COUNTIFS(Base!$X:$X, A191, Base!$S:$S, "&gt;8") - COUNTIFS(Base!$X:$X, A191, Base!$S:$S, "&lt;7") +
    COUNTIFS(Base!$Y:$Y, A191, Base!$S:$S, "&gt;8") - COUNTIFS(Base!$Y:$Y, A191, Base!$S:$S, "&lt;7") +
    COUNTIFS(Base!$Z:$Z, A191, Base!$S:$S, "&gt;8") - COUNTIFS(Base!$Z:$Z, A191, Base!$S:$S, "&lt;7")
  ) /
  (
    COUNTIFS(Base!$W:$W, A191, Base!$S:$S, "&lt;&gt;") +
    COUNTIFS(Base!$X:$X, A191, Base!$S:$S, "&lt;&gt;") +
    COUNTIFS(Base!$Y:$Y, A191, Base!$S:$S, "&lt;&gt;") +
    COUNTIFS(Base!$Z:$Z, A191, Base!$S:$S, "&lt;&gt;")
  )
)
</f>
        <v>-</v>
      </c>
      <c r="F191" s="120"/>
      <c r="G191" s="120"/>
      <c r="J191" s="292" t="str">
        <f t="shared" ref="J191:K191" si="192">IFERROR(F191/H191,"-")</f>
        <v>-</v>
      </c>
      <c r="K191" s="292" t="str">
        <f t="shared" si="192"/>
        <v>-</v>
      </c>
      <c r="L191" s="292" t="str">
        <f>IFERROR((COUNTIFS(Base!$V:$V,A191,Base!$U:$U,TRUE))/(COUNTIFS(Base!$V:$V,A191,Base!$O:$O,"Finalizado")+COUNTIFS(Base!$V:$V,A191,Base!$O:$O,"Concluído")),"-")</f>
        <v>-</v>
      </c>
      <c r="M191" s="292" t="str">
        <f>IF(
  (
    IFERROR(COUNTIF(Base!$W:$W, A191), 0) +
    IFERROR(COUNTIF(Base!$X:$X, A191), 0) +
    IFERROR(COUNTIF(Base!$Y:$Y, A191), 0) +
    IFERROR(COUNTIF(Base!$Z:$Z, A191), 0)
  ) = 0,
  "-",
  IF(
    (
      IFERROR(COUNTIFS(Base!$W:$W, A191, Base!$O:$O, "Finalizado"), 0) +
      IFERROR(COUNTIFS(Base!$W:$W, A191, Base!$O:$O, "Concluído"), 0) +
      IFERROR(COUNTIFS(Base!$X:$X, A191, Base!$O:$O, "Finalizado"), 0) +
      IFERROR(COUNTIFS(Base!$X:$X, A191, Base!$O:$O, "Concluído"), 0) +
      IFERROR(COUNTIFS(Base!$Y:$Y, A191, Base!$O:$O, "Finalizado"), 0) +
      IFERROR(COUNTIFS(Base!$Y:$Y, A191, Base!$O:$O, "Concluído"), 0) +
      IFERROR(COUNTIFS(Base!$Z:$Z, A191, Base!$O:$O, "Finalizado"), 0) +
      IFERROR(COUNTIFS(Base!$Z:$Z, A191, Base!$O:$O, "Concluído"), 0)
    ) = 0,
    "-",
    (
      IFERROR(COUNTIFS(Base!$W:$W, A191, Base!$U:$U, TRUE), 0) +
      IFERROR(COUNTIFS(Base!$X:$X, A191, Base!$U:$U, TRUE), 0) +
      IFERROR(COUNTIFS(Base!$Y:$Y, A191, Base!$U:$U, TRUE), 0) +
      IFERROR(COUNTIFS(Base!$Z:$Z, A191, Base!$U:$U, TRUE), 0)
    ) /
    (
      IFERROR(COUNTIFS(Base!$W:$W, A191, Base!$O:$O, "Finalizado"), 0) +
      IFERROR(COUNTIFS(Base!$W:$W, A191, Base!$O:$O, "Concluído"), 0) +
      IFERROR(COUNTIFS(Base!$X:$X, A191, Base!$O:$O, "Finalizado"), 0) +
      IFERROR(COUNTIFS(Base!$X:$X, A191, Base!$O:$O, "Concluído"), 0) +
      IFERROR(COUNTIFS(Base!$Y:$Y, A191, Base!$O:$O, "Finalizado"), 0) +
      IFERROR(COUNTIFS(Base!$Y:$Y, A191, Base!$O:$O, "Concluído"), 0) +
      IFERROR(COUNTIFS(Base!$Z:$Z, A191, Base!$O:$O, "Finalizado"), 0) +
      IFERROR(COUNTIFS(Base!$Z:$Z, A191, Base!$O:$O, "Concluído"), 0)
    )
  )
)
</f>
        <v>-</v>
      </c>
      <c r="N191" s="120">
        <f>COUNTIF(Base!V:V,$A191)</f>
        <v>0</v>
      </c>
      <c r="O191" s="120"/>
      <c r="P191" s="120"/>
      <c r="Q191" s="120"/>
      <c r="R191" s="120"/>
      <c r="S191" s="120"/>
      <c r="T191" s="120">
        <f t="shared" si="4"/>
        <v>0</v>
      </c>
      <c r="V191" s="293" t="str">
        <f>IF(
  (
    COUNTIF('Acompanhamento quinzenal'!$N:$N, A191) +
    COUNTIF('Acompanhamento quinzenal'!$T:$T, A191) +
    COUNTIF('Acompanhamento quinzenal'!$Z:$Z, A191) +
    COUNTIF('Acompanhamento quinzenal'!$AF:$AF, A191)
  ) = 0,
  "-",
  (
    IFERROR(SUMIFS('Acompanhamento quinzenal'!$S:$S, 'Acompanhamento quinzenal'!$N:$N, A191), 0) +
    IFERROR(SUMIFS('Acompanhamento quinzenal'!$Y:$Y, 'Acompanhamento quinzenal'!$T:$T, A191), 0) +
    IFERROR(SUMIFS('Acompanhamento quinzenal'!$AE:$AE, 'Acompanhamento quinzenal'!$Z:$Z, A191), 0) +
    IFERROR(SUMIFS('Acompanhamento quinzenal'!$AK:$AK, 'Acompanhamento quinzenal'!$AF:$AF, A191), 0)
  ) /
  (
    COUNTIF('Acompanhamento quinzenal'!$N:$N, A191) +
    COUNTIF('Acompanhamento quinzenal'!$T:$T, A191) +
    COUNTIF('Acompanhamento quinzenal'!$Z:$Z, A191) +
    COUNTIF('Acompanhamento quinzenal'!$AF:$AF, A191)
  )
)
</f>
        <v>-</v>
      </c>
      <c r="W191" s="293" t="str">
        <f>IF(
  (
    COUNTIF('Acompanhamento quinzenal'!$N:$N, A191) +
    COUNTIF('Acompanhamento quinzenal'!$T:$T, A191) +
    COUNTIF('Acompanhamento quinzenal'!$Z:$Z, A191) +
    COUNTIF('Acompanhamento quinzenal'!$AF:$AF, A191)
  ) = 0,
  "-",
  (
    IFERROR(SUMIFS('Acompanhamento quinzenal'!$O:$O, 'Acompanhamento quinzenal'!$N:$N, A191), 0) +
    IFERROR(SUMIFS('Acompanhamento quinzenal'!$U:$U, 'Acompanhamento quinzenal'!$T:$T, A191), 0) +
    IFERROR(SUMIFS('Acompanhamento quinzenal'!$AA:$AA, 'Acompanhamento quinzenal'!$Z:$Z, A191), 0) +
    IFERROR(SUMIFS('Acompanhamento quinzenal'!$AG:$AG, 'Acompanhamento quinzenal'!$AF:$AF, A191), 0)
  ) /
  (
    COUNTIF('Acompanhamento quinzenal'!$N:$N, A191) +
    COUNTIF('Acompanhamento quinzenal'!$T:$T, A191) +
    COUNTIF('Acompanhamento quinzenal'!$Z:$Z, A191) +
    COUNTIF('Acompanhamento quinzenal'!$AF:$AF, A191)
  )
)
</f>
        <v>-</v>
      </c>
      <c r="X191" s="294" t="str">
        <f>IF(
  (
    COUNTIF('Acompanhamento quinzenal'!$N:$N, A191) +
    COUNTIF('Acompanhamento quinzenal'!$T:$T, A191) +
    COUNTIF('Acompanhamento quinzenal'!$Z:$Z, A191) +
    COUNTIF('Acompanhamento quinzenal'!$AF:$AF, A191)
  ) = 0,
  "-",
  (
    IFERROR(SUMIFS('Acompanhamento quinzenal'!$P:$P, 'Acompanhamento quinzenal'!$N:$N, A191), 0) +
    IFERROR(SUMIFS('Acompanhamento quinzenal'!$V:$V, 'Acompanhamento quinzenal'!$T:$T, A191), 0) +
    IFERROR(SUMIFS('Acompanhamento quinzenal'!$AB:$AB, 'Acompanhamento quinzenal'!$Z:$Z, A191), 0) +
    IFERROR(SUMIFS('Acompanhamento quinzenal'!$AH:$AH, 'Acompanhamento quinzenal'!$AF:$AF, A191), 0)
  ) /
  (
    COUNTIF('Acompanhamento quinzenal'!$N:$N, A191) +
    COUNTIF('Acompanhamento quinzenal'!$T:$T, A191) +
    COUNTIF('Acompanhamento quinzenal'!$Z:$Z, A191) +
    COUNTIF('Acompanhamento quinzenal'!$AF:$AF, A191)
  )
)
</f>
        <v>-</v>
      </c>
      <c r="Y191" s="293" t="str">
        <f>IF(
  (
    COUNTIF('Acompanhamento quinzenal'!$N:$N, A191) +
    COUNTIF('Acompanhamento quinzenal'!$T:$T, A191) +
    COUNTIF('Acompanhamento quinzenal'!$Z:$Z, A191) +
    COUNTIF('Acompanhamento quinzenal'!$AF:$AF, A191)
  ) = 0,
  "-",
  (
    IFERROR(SUMIFS('Acompanhamento quinzenal'!$Q:$Q, 'Acompanhamento quinzenal'!$N:$N, A191), 0) +
    IFERROR(SUMIFS('Acompanhamento quinzenal'!$W:$W, 'Acompanhamento quinzenal'!$T:$T, A191), 0) +
    IFERROR(SUMIFS('Acompanhamento quinzenal'!$AC:$AC, 'Acompanhamento quinzenal'!$Z:$Z, A191), 0) +
    IFERROR(SUMIFS('Acompanhamento quinzenal'!$AI:$AI, 'Acompanhamento quinzenal'!$AF:$AF, A191), 0)
  ) /
  (
    COUNTIF('Acompanhamento quinzenal'!$N:$N, A191) +
    COUNTIF('Acompanhamento quinzenal'!$T:$T, A191) +
    COUNTIF('Acompanhamento quinzenal'!$Z:$Z, A191) +
    COUNTIF('Acompanhamento quinzenal'!$AF:$AF, A191)
  )
)
</f>
        <v>-</v>
      </c>
    </row>
    <row r="192" hidden="1">
      <c r="A192" s="291"/>
      <c r="B192" s="120"/>
      <c r="C192" s="120"/>
      <c r="D192" s="292" t="str">
        <f>IFERROR((COUNTIFS(Base!$V:$V,A192,Base!$S:$S,"&gt;8") - COUNTIFS(Base!$V:$V,A192,Base!$S:$S,"&lt;7"))/COUNTIFS(Base!$V:$V,A192,Base!$S:$S,"&lt;&gt;"),"-")</f>
        <v>-</v>
      </c>
      <c r="E192" s="292" t="str">
        <f>IF(
  (
    COUNTIFS(Base!$W:$W, A192, Base!$S:$S, "&lt;&gt;") +
    COUNTIFS(Base!$X:$X, A192, Base!$S:$S, "&lt;&gt;") +
    COUNTIFS(Base!$Y:$Y, A192, Base!$S:$S, "&lt;&gt;") +
    COUNTIFS(Base!$Z:$Z, A192, Base!$S:$S, "&lt;&gt;")
  ) = 0,
  "-",
  (
    COUNTIFS(Base!$W:$W, A192, Base!$S:$S, "&gt;8") - COUNTIFS(Base!$W:$W, A192, Base!$S:$S, "&lt;7") +
    COUNTIFS(Base!$X:$X, A192, Base!$S:$S, "&gt;8") - COUNTIFS(Base!$X:$X, A192, Base!$S:$S, "&lt;7") +
    COUNTIFS(Base!$Y:$Y, A192, Base!$S:$S, "&gt;8") - COUNTIFS(Base!$Y:$Y, A192, Base!$S:$S, "&lt;7") +
    COUNTIFS(Base!$Z:$Z, A192, Base!$S:$S, "&gt;8") - COUNTIFS(Base!$Z:$Z, A192, Base!$S:$S, "&lt;7")
  ) /
  (
    COUNTIFS(Base!$W:$W, A192, Base!$S:$S, "&lt;&gt;") +
    COUNTIFS(Base!$X:$X, A192, Base!$S:$S, "&lt;&gt;") +
    COUNTIFS(Base!$Y:$Y, A192, Base!$S:$S, "&lt;&gt;") +
    COUNTIFS(Base!$Z:$Z, A192, Base!$S:$S, "&lt;&gt;")
  )
)
</f>
        <v>-</v>
      </c>
      <c r="F192" s="120"/>
      <c r="G192" s="120"/>
      <c r="J192" s="292" t="str">
        <f t="shared" ref="J192:K192" si="193">IFERROR(F192/H192,"-")</f>
        <v>-</v>
      </c>
      <c r="K192" s="292" t="str">
        <f t="shared" si="193"/>
        <v>-</v>
      </c>
      <c r="L192" s="292" t="str">
        <f>IFERROR((COUNTIFS(Base!$V:$V,A192,Base!$U:$U,TRUE))/(COUNTIFS(Base!$V:$V,A192,Base!$O:$O,"Finalizado")+COUNTIFS(Base!$V:$V,A192,Base!$O:$O,"Concluído")),"-")</f>
        <v>-</v>
      </c>
      <c r="M192" s="292" t="str">
        <f>IF(
  (
    IFERROR(COUNTIF(Base!$W:$W, A192), 0) +
    IFERROR(COUNTIF(Base!$X:$X, A192), 0) +
    IFERROR(COUNTIF(Base!$Y:$Y, A192), 0) +
    IFERROR(COUNTIF(Base!$Z:$Z, A192), 0)
  ) = 0,
  "-",
  IF(
    (
      IFERROR(COUNTIFS(Base!$W:$W, A192, Base!$O:$O, "Finalizado"), 0) +
      IFERROR(COUNTIFS(Base!$W:$W, A192, Base!$O:$O, "Concluído"), 0) +
      IFERROR(COUNTIFS(Base!$X:$X, A192, Base!$O:$O, "Finalizado"), 0) +
      IFERROR(COUNTIFS(Base!$X:$X, A192, Base!$O:$O, "Concluído"), 0) +
      IFERROR(COUNTIFS(Base!$Y:$Y, A192, Base!$O:$O, "Finalizado"), 0) +
      IFERROR(COUNTIFS(Base!$Y:$Y, A192, Base!$O:$O, "Concluído"), 0) +
      IFERROR(COUNTIFS(Base!$Z:$Z, A192, Base!$O:$O, "Finalizado"), 0) +
      IFERROR(COUNTIFS(Base!$Z:$Z, A192, Base!$O:$O, "Concluído"), 0)
    ) = 0,
    "-",
    (
      IFERROR(COUNTIFS(Base!$W:$W, A192, Base!$U:$U, TRUE), 0) +
      IFERROR(COUNTIFS(Base!$X:$X, A192, Base!$U:$U, TRUE), 0) +
      IFERROR(COUNTIFS(Base!$Y:$Y, A192, Base!$U:$U, TRUE), 0) +
      IFERROR(COUNTIFS(Base!$Z:$Z, A192, Base!$U:$U, TRUE), 0)
    ) /
    (
      IFERROR(COUNTIFS(Base!$W:$W, A192, Base!$O:$O, "Finalizado"), 0) +
      IFERROR(COUNTIFS(Base!$W:$W, A192, Base!$O:$O, "Concluído"), 0) +
      IFERROR(COUNTIFS(Base!$X:$X, A192, Base!$O:$O, "Finalizado"), 0) +
      IFERROR(COUNTIFS(Base!$X:$X, A192, Base!$O:$O, "Concluído"), 0) +
      IFERROR(COUNTIFS(Base!$Y:$Y, A192, Base!$O:$O, "Finalizado"), 0) +
      IFERROR(COUNTIFS(Base!$Y:$Y, A192, Base!$O:$O, "Concluído"), 0) +
      IFERROR(COUNTIFS(Base!$Z:$Z, A192, Base!$O:$O, "Finalizado"), 0) +
      IFERROR(COUNTIFS(Base!$Z:$Z, A192, Base!$O:$O, "Concluído"), 0)
    )
  )
)
</f>
        <v>-</v>
      </c>
      <c r="N192" s="120">
        <f>COUNTIF(Base!V:V,$A192)</f>
        <v>0</v>
      </c>
      <c r="O192" s="120"/>
      <c r="P192" s="120"/>
      <c r="Q192" s="120"/>
      <c r="R192" s="120"/>
      <c r="S192" s="120"/>
      <c r="T192" s="120">
        <f t="shared" si="4"/>
        <v>0</v>
      </c>
      <c r="V192" s="293" t="str">
        <f>IF(
  (
    COUNTIF('Acompanhamento quinzenal'!$N:$N, A192) +
    COUNTIF('Acompanhamento quinzenal'!$T:$T, A192) +
    COUNTIF('Acompanhamento quinzenal'!$Z:$Z, A192) +
    COUNTIF('Acompanhamento quinzenal'!$AF:$AF, A192)
  ) = 0,
  "-",
  (
    IFERROR(SUMIFS('Acompanhamento quinzenal'!$S:$S, 'Acompanhamento quinzenal'!$N:$N, A192), 0) +
    IFERROR(SUMIFS('Acompanhamento quinzenal'!$Y:$Y, 'Acompanhamento quinzenal'!$T:$T, A192), 0) +
    IFERROR(SUMIFS('Acompanhamento quinzenal'!$AE:$AE, 'Acompanhamento quinzenal'!$Z:$Z, A192), 0) +
    IFERROR(SUMIFS('Acompanhamento quinzenal'!$AK:$AK, 'Acompanhamento quinzenal'!$AF:$AF, A192), 0)
  ) /
  (
    COUNTIF('Acompanhamento quinzenal'!$N:$N, A192) +
    COUNTIF('Acompanhamento quinzenal'!$T:$T, A192) +
    COUNTIF('Acompanhamento quinzenal'!$Z:$Z, A192) +
    COUNTIF('Acompanhamento quinzenal'!$AF:$AF, A192)
  )
)
</f>
        <v>-</v>
      </c>
      <c r="W192" s="293" t="str">
        <f>IF(
  (
    COUNTIF('Acompanhamento quinzenal'!$N:$N, A192) +
    COUNTIF('Acompanhamento quinzenal'!$T:$T, A192) +
    COUNTIF('Acompanhamento quinzenal'!$Z:$Z, A192) +
    COUNTIF('Acompanhamento quinzenal'!$AF:$AF, A192)
  ) = 0,
  "-",
  (
    IFERROR(SUMIFS('Acompanhamento quinzenal'!$O:$O, 'Acompanhamento quinzenal'!$N:$N, A192), 0) +
    IFERROR(SUMIFS('Acompanhamento quinzenal'!$U:$U, 'Acompanhamento quinzenal'!$T:$T, A192), 0) +
    IFERROR(SUMIFS('Acompanhamento quinzenal'!$AA:$AA, 'Acompanhamento quinzenal'!$Z:$Z, A192), 0) +
    IFERROR(SUMIFS('Acompanhamento quinzenal'!$AG:$AG, 'Acompanhamento quinzenal'!$AF:$AF, A192), 0)
  ) /
  (
    COUNTIF('Acompanhamento quinzenal'!$N:$N, A192) +
    COUNTIF('Acompanhamento quinzenal'!$T:$T, A192) +
    COUNTIF('Acompanhamento quinzenal'!$Z:$Z, A192) +
    COUNTIF('Acompanhamento quinzenal'!$AF:$AF, A192)
  )
)
</f>
        <v>-</v>
      </c>
      <c r="X192" s="294" t="str">
        <f>IF(
  (
    COUNTIF('Acompanhamento quinzenal'!$N:$N, A192) +
    COUNTIF('Acompanhamento quinzenal'!$T:$T, A192) +
    COUNTIF('Acompanhamento quinzenal'!$Z:$Z, A192) +
    COUNTIF('Acompanhamento quinzenal'!$AF:$AF, A192)
  ) = 0,
  "-",
  (
    IFERROR(SUMIFS('Acompanhamento quinzenal'!$P:$P, 'Acompanhamento quinzenal'!$N:$N, A192), 0) +
    IFERROR(SUMIFS('Acompanhamento quinzenal'!$V:$V, 'Acompanhamento quinzenal'!$T:$T, A192), 0) +
    IFERROR(SUMIFS('Acompanhamento quinzenal'!$AB:$AB, 'Acompanhamento quinzenal'!$Z:$Z, A192), 0) +
    IFERROR(SUMIFS('Acompanhamento quinzenal'!$AH:$AH, 'Acompanhamento quinzenal'!$AF:$AF, A192), 0)
  ) /
  (
    COUNTIF('Acompanhamento quinzenal'!$N:$N, A192) +
    COUNTIF('Acompanhamento quinzenal'!$T:$T, A192) +
    COUNTIF('Acompanhamento quinzenal'!$Z:$Z, A192) +
    COUNTIF('Acompanhamento quinzenal'!$AF:$AF, A192)
  )
)
</f>
        <v>-</v>
      </c>
      <c r="Y192" s="293" t="str">
        <f>IF(
  (
    COUNTIF('Acompanhamento quinzenal'!$N:$N, A192) +
    COUNTIF('Acompanhamento quinzenal'!$T:$T, A192) +
    COUNTIF('Acompanhamento quinzenal'!$Z:$Z, A192) +
    COUNTIF('Acompanhamento quinzenal'!$AF:$AF, A192)
  ) = 0,
  "-",
  (
    IFERROR(SUMIFS('Acompanhamento quinzenal'!$Q:$Q, 'Acompanhamento quinzenal'!$N:$N, A192), 0) +
    IFERROR(SUMIFS('Acompanhamento quinzenal'!$W:$W, 'Acompanhamento quinzenal'!$T:$T, A192), 0) +
    IFERROR(SUMIFS('Acompanhamento quinzenal'!$AC:$AC, 'Acompanhamento quinzenal'!$Z:$Z, A192), 0) +
    IFERROR(SUMIFS('Acompanhamento quinzenal'!$AI:$AI, 'Acompanhamento quinzenal'!$AF:$AF, A192), 0)
  ) /
  (
    COUNTIF('Acompanhamento quinzenal'!$N:$N, A192) +
    COUNTIF('Acompanhamento quinzenal'!$T:$T, A192) +
    COUNTIF('Acompanhamento quinzenal'!$Z:$Z, A192) +
    COUNTIF('Acompanhamento quinzenal'!$AF:$AF, A192)
  )
)
</f>
        <v>-</v>
      </c>
    </row>
    <row r="193" hidden="1">
      <c r="A193" s="291"/>
      <c r="B193" s="120"/>
      <c r="C193" s="120"/>
      <c r="D193" s="292" t="str">
        <f>IFERROR((COUNTIFS(Base!$V:$V,A193,Base!$S:$S,"&gt;8") - COUNTIFS(Base!$V:$V,A193,Base!$S:$S,"&lt;7"))/COUNTIFS(Base!$V:$V,A193,Base!$S:$S,"&lt;&gt;"),"-")</f>
        <v>-</v>
      </c>
      <c r="E193" s="292" t="str">
        <f>IF(
  (
    COUNTIFS(Base!$W:$W, A193, Base!$S:$S, "&lt;&gt;") +
    COUNTIFS(Base!$X:$X, A193, Base!$S:$S, "&lt;&gt;") +
    COUNTIFS(Base!$Y:$Y, A193, Base!$S:$S, "&lt;&gt;") +
    COUNTIFS(Base!$Z:$Z, A193, Base!$S:$S, "&lt;&gt;")
  ) = 0,
  "-",
  (
    COUNTIFS(Base!$W:$W, A193, Base!$S:$S, "&gt;8") - COUNTIFS(Base!$W:$W, A193, Base!$S:$S, "&lt;7") +
    COUNTIFS(Base!$X:$X, A193, Base!$S:$S, "&gt;8") - COUNTIFS(Base!$X:$X, A193, Base!$S:$S, "&lt;7") +
    COUNTIFS(Base!$Y:$Y, A193, Base!$S:$S, "&gt;8") - COUNTIFS(Base!$Y:$Y, A193, Base!$S:$S, "&lt;7") +
    COUNTIFS(Base!$Z:$Z, A193, Base!$S:$S, "&gt;8") - COUNTIFS(Base!$Z:$Z, A193, Base!$S:$S, "&lt;7")
  ) /
  (
    COUNTIFS(Base!$W:$W, A193, Base!$S:$S, "&lt;&gt;") +
    COUNTIFS(Base!$X:$X, A193, Base!$S:$S, "&lt;&gt;") +
    COUNTIFS(Base!$Y:$Y, A193, Base!$S:$S, "&lt;&gt;") +
    COUNTIFS(Base!$Z:$Z, A193, Base!$S:$S, "&lt;&gt;")
  )
)
</f>
        <v>-</v>
      </c>
      <c r="F193" s="120"/>
      <c r="G193" s="120"/>
      <c r="J193" s="292" t="str">
        <f t="shared" ref="J193:K193" si="194">IFERROR(F193/H193,"-")</f>
        <v>-</v>
      </c>
      <c r="K193" s="292" t="str">
        <f t="shared" si="194"/>
        <v>-</v>
      </c>
      <c r="L193" s="292" t="str">
        <f>IFERROR((COUNTIFS(Base!$V:$V,A193,Base!$U:$U,TRUE))/(COUNTIFS(Base!$V:$V,A193,Base!$O:$O,"Finalizado")+COUNTIFS(Base!$V:$V,A193,Base!$O:$O,"Concluído")),"-")</f>
        <v>-</v>
      </c>
      <c r="M193" s="292" t="str">
        <f>IF(
  (
    IFERROR(COUNTIF(Base!$W:$W, A193), 0) +
    IFERROR(COUNTIF(Base!$X:$X, A193), 0) +
    IFERROR(COUNTIF(Base!$Y:$Y, A193), 0) +
    IFERROR(COUNTIF(Base!$Z:$Z, A193), 0)
  ) = 0,
  "-",
  IF(
    (
      IFERROR(COUNTIFS(Base!$W:$W, A193, Base!$O:$O, "Finalizado"), 0) +
      IFERROR(COUNTIFS(Base!$W:$W, A193, Base!$O:$O, "Concluído"), 0) +
      IFERROR(COUNTIFS(Base!$X:$X, A193, Base!$O:$O, "Finalizado"), 0) +
      IFERROR(COUNTIFS(Base!$X:$X, A193, Base!$O:$O, "Concluído"), 0) +
      IFERROR(COUNTIFS(Base!$Y:$Y, A193, Base!$O:$O, "Finalizado"), 0) +
      IFERROR(COUNTIFS(Base!$Y:$Y, A193, Base!$O:$O, "Concluído"), 0) +
      IFERROR(COUNTIFS(Base!$Z:$Z, A193, Base!$O:$O, "Finalizado"), 0) +
      IFERROR(COUNTIFS(Base!$Z:$Z, A193, Base!$O:$O, "Concluído"), 0)
    ) = 0,
    "-",
    (
      IFERROR(COUNTIFS(Base!$W:$W, A193, Base!$U:$U, TRUE), 0) +
      IFERROR(COUNTIFS(Base!$X:$X, A193, Base!$U:$U, TRUE), 0) +
      IFERROR(COUNTIFS(Base!$Y:$Y, A193, Base!$U:$U, TRUE), 0) +
      IFERROR(COUNTIFS(Base!$Z:$Z, A193, Base!$U:$U, TRUE), 0)
    ) /
    (
      IFERROR(COUNTIFS(Base!$W:$W, A193, Base!$O:$O, "Finalizado"), 0) +
      IFERROR(COUNTIFS(Base!$W:$W, A193, Base!$O:$O, "Concluído"), 0) +
      IFERROR(COUNTIFS(Base!$X:$X, A193, Base!$O:$O, "Finalizado"), 0) +
      IFERROR(COUNTIFS(Base!$X:$X, A193, Base!$O:$O, "Concluído"), 0) +
      IFERROR(COUNTIFS(Base!$Y:$Y, A193, Base!$O:$O, "Finalizado"), 0) +
      IFERROR(COUNTIFS(Base!$Y:$Y, A193, Base!$O:$O, "Concluído"), 0) +
      IFERROR(COUNTIFS(Base!$Z:$Z, A193, Base!$O:$O, "Finalizado"), 0) +
      IFERROR(COUNTIFS(Base!$Z:$Z, A193, Base!$O:$O, "Concluído"), 0)
    )
  )
)
</f>
        <v>-</v>
      </c>
      <c r="N193" s="120">
        <f>COUNTIF(Base!V:V,$A193)</f>
        <v>0</v>
      </c>
      <c r="O193" s="120"/>
      <c r="P193" s="120"/>
      <c r="Q193" s="120"/>
      <c r="R193" s="120"/>
      <c r="S193" s="120"/>
      <c r="T193" s="120">
        <f t="shared" si="4"/>
        <v>0</v>
      </c>
      <c r="V193" s="293" t="str">
        <f>IF(
  (
    COUNTIF('Acompanhamento quinzenal'!$N:$N, A193) +
    COUNTIF('Acompanhamento quinzenal'!$T:$T, A193) +
    COUNTIF('Acompanhamento quinzenal'!$Z:$Z, A193) +
    COUNTIF('Acompanhamento quinzenal'!$AF:$AF, A193)
  ) = 0,
  "-",
  (
    IFERROR(SUMIFS('Acompanhamento quinzenal'!$S:$S, 'Acompanhamento quinzenal'!$N:$N, A193), 0) +
    IFERROR(SUMIFS('Acompanhamento quinzenal'!$Y:$Y, 'Acompanhamento quinzenal'!$T:$T, A193), 0) +
    IFERROR(SUMIFS('Acompanhamento quinzenal'!$AE:$AE, 'Acompanhamento quinzenal'!$Z:$Z, A193), 0) +
    IFERROR(SUMIFS('Acompanhamento quinzenal'!$AK:$AK, 'Acompanhamento quinzenal'!$AF:$AF, A193), 0)
  ) /
  (
    COUNTIF('Acompanhamento quinzenal'!$N:$N, A193) +
    COUNTIF('Acompanhamento quinzenal'!$T:$T, A193) +
    COUNTIF('Acompanhamento quinzenal'!$Z:$Z, A193) +
    COUNTIF('Acompanhamento quinzenal'!$AF:$AF, A193)
  )
)
</f>
        <v>-</v>
      </c>
      <c r="W193" s="293" t="str">
        <f>IF(
  (
    COUNTIF('Acompanhamento quinzenal'!$N:$N, A193) +
    COUNTIF('Acompanhamento quinzenal'!$T:$T, A193) +
    COUNTIF('Acompanhamento quinzenal'!$Z:$Z, A193) +
    COUNTIF('Acompanhamento quinzenal'!$AF:$AF, A193)
  ) = 0,
  "-",
  (
    IFERROR(SUMIFS('Acompanhamento quinzenal'!$O:$O, 'Acompanhamento quinzenal'!$N:$N, A193), 0) +
    IFERROR(SUMIFS('Acompanhamento quinzenal'!$U:$U, 'Acompanhamento quinzenal'!$T:$T, A193), 0) +
    IFERROR(SUMIFS('Acompanhamento quinzenal'!$AA:$AA, 'Acompanhamento quinzenal'!$Z:$Z, A193), 0) +
    IFERROR(SUMIFS('Acompanhamento quinzenal'!$AG:$AG, 'Acompanhamento quinzenal'!$AF:$AF, A193), 0)
  ) /
  (
    COUNTIF('Acompanhamento quinzenal'!$N:$N, A193) +
    COUNTIF('Acompanhamento quinzenal'!$T:$T, A193) +
    COUNTIF('Acompanhamento quinzenal'!$Z:$Z, A193) +
    COUNTIF('Acompanhamento quinzenal'!$AF:$AF, A193)
  )
)
</f>
        <v>-</v>
      </c>
      <c r="X193" s="294" t="str">
        <f>IF(
  (
    COUNTIF('Acompanhamento quinzenal'!$N:$N, A193) +
    COUNTIF('Acompanhamento quinzenal'!$T:$T, A193) +
    COUNTIF('Acompanhamento quinzenal'!$Z:$Z, A193) +
    COUNTIF('Acompanhamento quinzenal'!$AF:$AF, A193)
  ) = 0,
  "-",
  (
    IFERROR(SUMIFS('Acompanhamento quinzenal'!$P:$P, 'Acompanhamento quinzenal'!$N:$N, A193), 0) +
    IFERROR(SUMIFS('Acompanhamento quinzenal'!$V:$V, 'Acompanhamento quinzenal'!$T:$T, A193), 0) +
    IFERROR(SUMIFS('Acompanhamento quinzenal'!$AB:$AB, 'Acompanhamento quinzenal'!$Z:$Z, A193), 0) +
    IFERROR(SUMIFS('Acompanhamento quinzenal'!$AH:$AH, 'Acompanhamento quinzenal'!$AF:$AF, A193), 0)
  ) /
  (
    COUNTIF('Acompanhamento quinzenal'!$N:$N, A193) +
    COUNTIF('Acompanhamento quinzenal'!$T:$T, A193) +
    COUNTIF('Acompanhamento quinzenal'!$Z:$Z, A193) +
    COUNTIF('Acompanhamento quinzenal'!$AF:$AF, A193)
  )
)
</f>
        <v>-</v>
      </c>
      <c r="Y193" s="293" t="str">
        <f>IF(
  (
    COUNTIF('Acompanhamento quinzenal'!$N:$N, A193) +
    COUNTIF('Acompanhamento quinzenal'!$T:$T, A193) +
    COUNTIF('Acompanhamento quinzenal'!$Z:$Z, A193) +
    COUNTIF('Acompanhamento quinzenal'!$AF:$AF, A193)
  ) = 0,
  "-",
  (
    IFERROR(SUMIFS('Acompanhamento quinzenal'!$Q:$Q, 'Acompanhamento quinzenal'!$N:$N, A193), 0) +
    IFERROR(SUMIFS('Acompanhamento quinzenal'!$W:$W, 'Acompanhamento quinzenal'!$T:$T, A193), 0) +
    IFERROR(SUMIFS('Acompanhamento quinzenal'!$AC:$AC, 'Acompanhamento quinzenal'!$Z:$Z, A193), 0) +
    IFERROR(SUMIFS('Acompanhamento quinzenal'!$AI:$AI, 'Acompanhamento quinzenal'!$AF:$AF, A193), 0)
  ) /
  (
    COUNTIF('Acompanhamento quinzenal'!$N:$N, A193) +
    COUNTIF('Acompanhamento quinzenal'!$T:$T, A193) +
    COUNTIF('Acompanhamento quinzenal'!$Z:$Z, A193) +
    COUNTIF('Acompanhamento quinzenal'!$AF:$AF, A193)
  )
)
</f>
        <v>-</v>
      </c>
    </row>
    <row r="194" hidden="1">
      <c r="A194" s="291"/>
      <c r="B194" s="120"/>
      <c r="C194" s="120"/>
      <c r="D194" s="292" t="str">
        <f>IFERROR((COUNTIFS(Base!$V:$V,A194,Base!$S:$S,"&gt;8") - COUNTIFS(Base!$V:$V,A194,Base!$S:$S,"&lt;7"))/COUNTIFS(Base!$V:$V,A194,Base!$S:$S,"&lt;&gt;"),"-")</f>
        <v>-</v>
      </c>
      <c r="E194" s="292" t="str">
        <f>IF(
  (
    COUNTIFS(Base!$W:$W, A194, Base!$S:$S, "&lt;&gt;") +
    COUNTIFS(Base!$X:$X, A194, Base!$S:$S, "&lt;&gt;") +
    COUNTIFS(Base!$Y:$Y, A194, Base!$S:$S, "&lt;&gt;") +
    COUNTIFS(Base!$Z:$Z, A194, Base!$S:$S, "&lt;&gt;")
  ) = 0,
  "-",
  (
    COUNTIFS(Base!$W:$W, A194, Base!$S:$S, "&gt;8") - COUNTIFS(Base!$W:$W, A194, Base!$S:$S, "&lt;7") +
    COUNTIFS(Base!$X:$X, A194, Base!$S:$S, "&gt;8") - COUNTIFS(Base!$X:$X, A194, Base!$S:$S, "&lt;7") +
    COUNTIFS(Base!$Y:$Y, A194, Base!$S:$S, "&gt;8") - COUNTIFS(Base!$Y:$Y, A194, Base!$S:$S, "&lt;7") +
    COUNTIFS(Base!$Z:$Z, A194, Base!$S:$S, "&gt;8") - COUNTIFS(Base!$Z:$Z, A194, Base!$S:$S, "&lt;7")
  ) /
  (
    COUNTIFS(Base!$W:$W, A194, Base!$S:$S, "&lt;&gt;") +
    COUNTIFS(Base!$X:$X, A194, Base!$S:$S, "&lt;&gt;") +
    COUNTIFS(Base!$Y:$Y, A194, Base!$S:$S, "&lt;&gt;") +
    COUNTIFS(Base!$Z:$Z, A194, Base!$S:$S, "&lt;&gt;")
  )
)
</f>
        <v>-</v>
      </c>
      <c r="F194" s="120"/>
      <c r="G194" s="120"/>
      <c r="J194" s="292" t="str">
        <f t="shared" ref="J194:K194" si="195">IFERROR(F194/H194,"-")</f>
        <v>-</v>
      </c>
      <c r="K194" s="292" t="str">
        <f t="shared" si="195"/>
        <v>-</v>
      </c>
      <c r="L194" s="292" t="str">
        <f>IFERROR((COUNTIFS(Base!$V:$V,A194,Base!$U:$U,TRUE))/(COUNTIFS(Base!$V:$V,A194,Base!$O:$O,"Finalizado")+COUNTIFS(Base!$V:$V,A194,Base!$O:$O,"Concluído")),"-")</f>
        <v>-</v>
      </c>
      <c r="M194" s="292" t="str">
        <f>IF(
  (
    IFERROR(COUNTIF(Base!$W:$W, A194), 0) +
    IFERROR(COUNTIF(Base!$X:$X, A194), 0) +
    IFERROR(COUNTIF(Base!$Y:$Y, A194), 0) +
    IFERROR(COUNTIF(Base!$Z:$Z, A194), 0)
  ) = 0,
  "-",
  IF(
    (
      IFERROR(COUNTIFS(Base!$W:$W, A194, Base!$O:$O, "Finalizado"), 0) +
      IFERROR(COUNTIFS(Base!$W:$W, A194, Base!$O:$O, "Concluído"), 0) +
      IFERROR(COUNTIFS(Base!$X:$X, A194, Base!$O:$O, "Finalizado"), 0) +
      IFERROR(COUNTIFS(Base!$X:$X, A194, Base!$O:$O, "Concluído"), 0) +
      IFERROR(COUNTIFS(Base!$Y:$Y, A194, Base!$O:$O, "Finalizado"), 0) +
      IFERROR(COUNTIFS(Base!$Y:$Y, A194, Base!$O:$O, "Concluído"), 0) +
      IFERROR(COUNTIFS(Base!$Z:$Z, A194, Base!$O:$O, "Finalizado"), 0) +
      IFERROR(COUNTIFS(Base!$Z:$Z, A194, Base!$O:$O, "Concluído"), 0)
    ) = 0,
    "-",
    (
      IFERROR(COUNTIFS(Base!$W:$W, A194, Base!$U:$U, TRUE), 0) +
      IFERROR(COUNTIFS(Base!$X:$X, A194, Base!$U:$U, TRUE), 0) +
      IFERROR(COUNTIFS(Base!$Y:$Y, A194, Base!$U:$U, TRUE), 0) +
      IFERROR(COUNTIFS(Base!$Z:$Z, A194, Base!$U:$U, TRUE), 0)
    ) /
    (
      IFERROR(COUNTIFS(Base!$W:$W, A194, Base!$O:$O, "Finalizado"), 0) +
      IFERROR(COUNTIFS(Base!$W:$W, A194, Base!$O:$O, "Concluído"), 0) +
      IFERROR(COUNTIFS(Base!$X:$X, A194, Base!$O:$O, "Finalizado"), 0) +
      IFERROR(COUNTIFS(Base!$X:$X, A194, Base!$O:$O, "Concluído"), 0) +
      IFERROR(COUNTIFS(Base!$Y:$Y, A194, Base!$O:$O, "Finalizado"), 0) +
      IFERROR(COUNTIFS(Base!$Y:$Y, A194, Base!$O:$O, "Concluído"), 0) +
      IFERROR(COUNTIFS(Base!$Z:$Z, A194, Base!$O:$O, "Finalizado"), 0) +
      IFERROR(COUNTIFS(Base!$Z:$Z, A194, Base!$O:$O, "Concluído"), 0)
    )
  )
)
</f>
        <v>-</v>
      </c>
      <c r="N194" s="120">
        <f>COUNTIF(Base!V:V,$A194)</f>
        <v>0</v>
      </c>
      <c r="O194" s="120"/>
      <c r="P194" s="120"/>
      <c r="Q194" s="120"/>
      <c r="R194" s="120"/>
      <c r="S194" s="120"/>
      <c r="T194" s="120">
        <f t="shared" si="4"/>
        <v>0</v>
      </c>
      <c r="V194" s="293" t="str">
        <f>IF(
  (
    COUNTIF('Acompanhamento quinzenal'!$N:$N, A194) +
    COUNTIF('Acompanhamento quinzenal'!$T:$T, A194) +
    COUNTIF('Acompanhamento quinzenal'!$Z:$Z, A194) +
    COUNTIF('Acompanhamento quinzenal'!$AF:$AF, A194)
  ) = 0,
  "-",
  (
    IFERROR(SUMIFS('Acompanhamento quinzenal'!$S:$S, 'Acompanhamento quinzenal'!$N:$N, A194), 0) +
    IFERROR(SUMIFS('Acompanhamento quinzenal'!$Y:$Y, 'Acompanhamento quinzenal'!$T:$T, A194), 0) +
    IFERROR(SUMIFS('Acompanhamento quinzenal'!$AE:$AE, 'Acompanhamento quinzenal'!$Z:$Z, A194), 0) +
    IFERROR(SUMIFS('Acompanhamento quinzenal'!$AK:$AK, 'Acompanhamento quinzenal'!$AF:$AF, A194), 0)
  ) /
  (
    COUNTIF('Acompanhamento quinzenal'!$N:$N, A194) +
    COUNTIF('Acompanhamento quinzenal'!$T:$T, A194) +
    COUNTIF('Acompanhamento quinzenal'!$Z:$Z, A194) +
    COUNTIF('Acompanhamento quinzenal'!$AF:$AF, A194)
  )
)
</f>
        <v>-</v>
      </c>
      <c r="W194" s="293" t="str">
        <f>IF(
  (
    COUNTIF('Acompanhamento quinzenal'!$N:$N, A194) +
    COUNTIF('Acompanhamento quinzenal'!$T:$T, A194) +
    COUNTIF('Acompanhamento quinzenal'!$Z:$Z, A194) +
    COUNTIF('Acompanhamento quinzenal'!$AF:$AF, A194)
  ) = 0,
  "-",
  (
    IFERROR(SUMIFS('Acompanhamento quinzenal'!$O:$O, 'Acompanhamento quinzenal'!$N:$N, A194), 0) +
    IFERROR(SUMIFS('Acompanhamento quinzenal'!$U:$U, 'Acompanhamento quinzenal'!$T:$T, A194), 0) +
    IFERROR(SUMIFS('Acompanhamento quinzenal'!$AA:$AA, 'Acompanhamento quinzenal'!$Z:$Z, A194), 0) +
    IFERROR(SUMIFS('Acompanhamento quinzenal'!$AG:$AG, 'Acompanhamento quinzenal'!$AF:$AF, A194), 0)
  ) /
  (
    COUNTIF('Acompanhamento quinzenal'!$N:$N, A194) +
    COUNTIF('Acompanhamento quinzenal'!$T:$T, A194) +
    COUNTIF('Acompanhamento quinzenal'!$Z:$Z, A194) +
    COUNTIF('Acompanhamento quinzenal'!$AF:$AF, A194)
  )
)
</f>
        <v>-</v>
      </c>
      <c r="X194" s="294" t="str">
        <f>IF(
  (
    COUNTIF('Acompanhamento quinzenal'!$N:$N, A194) +
    COUNTIF('Acompanhamento quinzenal'!$T:$T, A194) +
    COUNTIF('Acompanhamento quinzenal'!$Z:$Z, A194) +
    COUNTIF('Acompanhamento quinzenal'!$AF:$AF, A194)
  ) = 0,
  "-",
  (
    IFERROR(SUMIFS('Acompanhamento quinzenal'!$P:$P, 'Acompanhamento quinzenal'!$N:$N, A194), 0) +
    IFERROR(SUMIFS('Acompanhamento quinzenal'!$V:$V, 'Acompanhamento quinzenal'!$T:$T, A194), 0) +
    IFERROR(SUMIFS('Acompanhamento quinzenal'!$AB:$AB, 'Acompanhamento quinzenal'!$Z:$Z, A194), 0) +
    IFERROR(SUMIFS('Acompanhamento quinzenal'!$AH:$AH, 'Acompanhamento quinzenal'!$AF:$AF, A194), 0)
  ) /
  (
    COUNTIF('Acompanhamento quinzenal'!$N:$N, A194) +
    COUNTIF('Acompanhamento quinzenal'!$T:$T, A194) +
    COUNTIF('Acompanhamento quinzenal'!$Z:$Z, A194) +
    COUNTIF('Acompanhamento quinzenal'!$AF:$AF, A194)
  )
)
</f>
        <v>-</v>
      </c>
      <c r="Y194" s="293" t="str">
        <f>IF(
  (
    COUNTIF('Acompanhamento quinzenal'!$N:$N, A194) +
    COUNTIF('Acompanhamento quinzenal'!$T:$T, A194) +
    COUNTIF('Acompanhamento quinzenal'!$Z:$Z, A194) +
    COUNTIF('Acompanhamento quinzenal'!$AF:$AF, A194)
  ) = 0,
  "-",
  (
    IFERROR(SUMIFS('Acompanhamento quinzenal'!$Q:$Q, 'Acompanhamento quinzenal'!$N:$N, A194), 0) +
    IFERROR(SUMIFS('Acompanhamento quinzenal'!$W:$W, 'Acompanhamento quinzenal'!$T:$T, A194), 0) +
    IFERROR(SUMIFS('Acompanhamento quinzenal'!$AC:$AC, 'Acompanhamento quinzenal'!$Z:$Z, A194), 0) +
    IFERROR(SUMIFS('Acompanhamento quinzenal'!$AI:$AI, 'Acompanhamento quinzenal'!$AF:$AF, A194), 0)
  ) /
  (
    COUNTIF('Acompanhamento quinzenal'!$N:$N, A194) +
    COUNTIF('Acompanhamento quinzenal'!$T:$T, A194) +
    COUNTIF('Acompanhamento quinzenal'!$Z:$Z, A194) +
    COUNTIF('Acompanhamento quinzenal'!$AF:$AF, A194)
  )
)
</f>
        <v>-</v>
      </c>
    </row>
    <row r="195" hidden="1">
      <c r="A195" s="291"/>
      <c r="B195" s="120"/>
      <c r="C195" s="120"/>
      <c r="D195" s="292" t="str">
        <f>IFERROR((COUNTIFS(Base!$V:$V,A195,Base!$S:$S,"&gt;8") - COUNTIFS(Base!$V:$V,A195,Base!$S:$S,"&lt;7"))/COUNTIFS(Base!$V:$V,A195,Base!$S:$S,"&lt;&gt;"),"-")</f>
        <v>-</v>
      </c>
      <c r="E195" s="292" t="str">
        <f>IF(
  (
    COUNTIFS(Base!$W:$W, A195, Base!$S:$S, "&lt;&gt;") +
    COUNTIFS(Base!$X:$X, A195, Base!$S:$S, "&lt;&gt;") +
    COUNTIFS(Base!$Y:$Y, A195, Base!$S:$S, "&lt;&gt;") +
    COUNTIFS(Base!$Z:$Z, A195, Base!$S:$S, "&lt;&gt;")
  ) = 0,
  "-",
  (
    COUNTIFS(Base!$W:$W, A195, Base!$S:$S, "&gt;8") - COUNTIFS(Base!$W:$W, A195, Base!$S:$S, "&lt;7") +
    COUNTIFS(Base!$X:$X, A195, Base!$S:$S, "&gt;8") - COUNTIFS(Base!$X:$X, A195, Base!$S:$S, "&lt;7") +
    COUNTIFS(Base!$Y:$Y, A195, Base!$S:$S, "&gt;8") - COUNTIFS(Base!$Y:$Y, A195, Base!$S:$S, "&lt;7") +
    COUNTIFS(Base!$Z:$Z, A195, Base!$S:$S, "&gt;8") - COUNTIFS(Base!$Z:$Z, A195, Base!$S:$S, "&lt;7")
  ) /
  (
    COUNTIFS(Base!$W:$W, A195, Base!$S:$S, "&lt;&gt;") +
    COUNTIFS(Base!$X:$X, A195, Base!$S:$S, "&lt;&gt;") +
    COUNTIFS(Base!$Y:$Y, A195, Base!$S:$S, "&lt;&gt;") +
    COUNTIFS(Base!$Z:$Z, A195, Base!$S:$S, "&lt;&gt;")
  )
)
</f>
        <v>-</v>
      </c>
      <c r="F195" s="120"/>
      <c r="G195" s="120"/>
      <c r="J195" s="292" t="str">
        <f t="shared" ref="J195:K195" si="196">IFERROR(F195/H195,"-")</f>
        <v>-</v>
      </c>
      <c r="K195" s="292" t="str">
        <f t="shared" si="196"/>
        <v>-</v>
      </c>
      <c r="L195" s="292" t="str">
        <f>IFERROR((COUNTIFS(Base!$V:$V,A195,Base!$U:$U,TRUE))/(COUNTIFS(Base!$V:$V,A195,Base!$O:$O,"Finalizado")+COUNTIFS(Base!$V:$V,A195,Base!$O:$O,"Concluído")),"-")</f>
        <v>-</v>
      </c>
      <c r="M195" s="292" t="str">
        <f>IF(
  (
    IFERROR(COUNTIF(Base!$W:$W, A195), 0) +
    IFERROR(COUNTIF(Base!$X:$X, A195), 0) +
    IFERROR(COUNTIF(Base!$Y:$Y, A195), 0) +
    IFERROR(COUNTIF(Base!$Z:$Z, A195), 0)
  ) = 0,
  "-",
  IF(
    (
      IFERROR(COUNTIFS(Base!$W:$W, A195, Base!$O:$O, "Finalizado"), 0) +
      IFERROR(COUNTIFS(Base!$W:$W, A195, Base!$O:$O, "Concluído"), 0) +
      IFERROR(COUNTIFS(Base!$X:$X, A195, Base!$O:$O, "Finalizado"), 0) +
      IFERROR(COUNTIFS(Base!$X:$X, A195, Base!$O:$O, "Concluído"), 0) +
      IFERROR(COUNTIFS(Base!$Y:$Y, A195, Base!$O:$O, "Finalizado"), 0) +
      IFERROR(COUNTIFS(Base!$Y:$Y, A195, Base!$O:$O, "Concluído"), 0) +
      IFERROR(COUNTIFS(Base!$Z:$Z, A195, Base!$O:$O, "Finalizado"), 0) +
      IFERROR(COUNTIFS(Base!$Z:$Z, A195, Base!$O:$O, "Concluído"), 0)
    ) = 0,
    "-",
    (
      IFERROR(COUNTIFS(Base!$W:$W, A195, Base!$U:$U, TRUE), 0) +
      IFERROR(COUNTIFS(Base!$X:$X, A195, Base!$U:$U, TRUE), 0) +
      IFERROR(COUNTIFS(Base!$Y:$Y, A195, Base!$U:$U, TRUE), 0) +
      IFERROR(COUNTIFS(Base!$Z:$Z, A195, Base!$U:$U, TRUE), 0)
    ) /
    (
      IFERROR(COUNTIFS(Base!$W:$W, A195, Base!$O:$O, "Finalizado"), 0) +
      IFERROR(COUNTIFS(Base!$W:$W, A195, Base!$O:$O, "Concluído"), 0) +
      IFERROR(COUNTIFS(Base!$X:$X, A195, Base!$O:$O, "Finalizado"), 0) +
      IFERROR(COUNTIFS(Base!$X:$X, A195, Base!$O:$O, "Concluído"), 0) +
      IFERROR(COUNTIFS(Base!$Y:$Y, A195, Base!$O:$O, "Finalizado"), 0) +
      IFERROR(COUNTIFS(Base!$Y:$Y, A195, Base!$O:$O, "Concluído"), 0) +
      IFERROR(COUNTIFS(Base!$Z:$Z, A195, Base!$O:$O, "Finalizado"), 0) +
      IFERROR(COUNTIFS(Base!$Z:$Z, A195, Base!$O:$O, "Concluído"), 0)
    )
  )
)
</f>
        <v>-</v>
      </c>
      <c r="N195" s="120">
        <f>COUNTIF(Base!V:V,$A195)</f>
        <v>0</v>
      </c>
      <c r="O195" s="120"/>
      <c r="P195" s="120"/>
      <c r="Q195" s="120"/>
      <c r="R195" s="120"/>
      <c r="S195" s="120"/>
      <c r="T195" s="120">
        <f t="shared" si="4"/>
        <v>0</v>
      </c>
      <c r="V195" s="293" t="str">
        <f>IF(
  (
    COUNTIF('Acompanhamento quinzenal'!$N:$N, A195) +
    COUNTIF('Acompanhamento quinzenal'!$T:$T, A195) +
    COUNTIF('Acompanhamento quinzenal'!$Z:$Z, A195) +
    COUNTIF('Acompanhamento quinzenal'!$AF:$AF, A195)
  ) = 0,
  "-",
  (
    IFERROR(SUMIFS('Acompanhamento quinzenal'!$S:$S, 'Acompanhamento quinzenal'!$N:$N, A195), 0) +
    IFERROR(SUMIFS('Acompanhamento quinzenal'!$Y:$Y, 'Acompanhamento quinzenal'!$T:$T, A195), 0) +
    IFERROR(SUMIFS('Acompanhamento quinzenal'!$AE:$AE, 'Acompanhamento quinzenal'!$Z:$Z, A195), 0) +
    IFERROR(SUMIFS('Acompanhamento quinzenal'!$AK:$AK, 'Acompanhamento quinzenal'!$AF:$AF, A195), 0)
  ) /
  (
    COUNTIF('Acompanhamento quinzenal'!$N:$N, A195) +
    COUNTIF('Acompanhamento quinzenal'!$T:$T, A195) +
    COUNTIF('Acompanhamento quinzenal'!$Z:$Z, A195) +
    COUNTIF('Acompanhamento quinzenal'!$AF:$AF, A195)
  )
)
</f>
        <v>-</v>
      </c>
      <c r="W195" s="293" t="str">
        <f>IF(
  (
    COUNTIF('Acompanhamento quinzenal'!$N:$N, A195) +
    COUNTIF('Acompanhamento quinzenal'!$T:$T, A195) +
    COUNTIF('Acompanhamento quinzenal'!$Z:$Z, A195) +
    COUNTIF('Acompanhamento quinzenal'!$AF:$AF, A195)
  ) = 0,
  "-",
  (
    IFERROR(SUMIFS('Acompanhamento quinzenal'!$O:$O, 'Acompanhamento quinzenal'!$N:$N, A195), 0) +
    IFERROR(SUMIFS('Acompanhamento quinzenal'!$U:$U, 'Acompanhamento quinzenal'!$T:$T, A195), 0) +
    IFERROR(SUMIFS('Acompanhamento quinzenal'!$AA:$AA, 'Acompanhamento quinzenal'!$Z:$Z, A195), 0) +
    IFERROR(SUMIFS('Acompanhamento quinzenal'!$AG:$AG, 'Acompanhamento quinzenal'!$AF:$AF, A195), 0)
  ) /
  (
    COUNTIF('Acompanhamento quinzenal'!$N:$N, A195) +
    COUNTIF('Acompanhamento quinzenal'!$T:$T, A195) +
    COUNTIF('Acompanhamento quinzenal'!$Z:$Z, A195) +
    COUNTIF('Acompanhamento quinzenal'!$AF:$AF, A195)
  )
)
</f>
        <v>-</v>
      </c>
      <c r="X195" s="294" t="str">
        <f>IF(
  (
    COUNTIF('Acompanhamento quinzenal'!$N:$N, A195) +
    COUNTIF('Acompanhamento quinzenal'!$T:$T, A195) +
    COUNTIF('Acompanhamento quinzenal'!$Z:$Z, A195) +
    COUNTIF('Acompanhamento quinzenal'!$AF:$AF, A195)
  ) = 0,
  "-",
  (
    IFERROR(SUMIFS('Acompanhamento quinzenal'!$P:$P, 'Acompanhamento quinzenal'!$N:$N, A195), 0) +
    IFERROR(SUMIFS('Acompanhamento quinzenal'!$V:$V, 'Acompanhamento quinzenal'!$T:$T, A195), 0) +
    IFERROR(SUMIFS('Acompanhamento quinzenal'!$AB:$AB, 'Acompanhamento quinzenal'!$Z:$Z, A195), 0) +
    IFERROR(SUMIFS('Acompanhamento quinzenal'!$AH:$AH, 'Acompanhamento quinzenal'!$AF:$AF, A195), 0)
  ) /
  (
    COUNTIF('Acompanhamento quinzenal'!$N:$N, A195) +
    COUNTIF('Acompanhamento quinzenal'!$T:$T, A195) +
    COUNTIF('Acompanhamento quinzenal'!$Z:$Z, A195) +
    COUNTIF('Acompanhamento quinzenal'!$AF:$AF, A195)
  )
)
</f>
        <v>-</v>
      </c>
      <c r="Y195" s="293" t="str">
        <f>IF(
  (
    COUNTIF('Acompanhamento quinzenal'!$N:$N, A195) +
    COUNTIF('Acompanhamento quinzenal'!$T:$T, A195) +
    COUNTIF('Acompanhamento quinzenal'!$Z:$Z, A195) +
    COUNTIF('Acompanhamento quinzenal'!$AF:$AF, A195)
  ) = 0,
  "-",
  (
    IFERROR(SUMIFS('Acompanhamento quinzenal'!$Q:$Q, 'Acompanhamento quinzenal'!$N:$N, A195), 0) +
    IFERROR(SUMIFS('Acompanhamento quinzenal'!$W:$W, 'Acompanhamento quinzenal'!$T:$T, A195), 0) +
    IFERROR(SUMIFS('Acompanhamento quinzenal'!$AC:$AC, 'Acompanhamento quinzenal'!$Z:$Z, A195), 0) +
    IFERROR(SUMIFS('Acompanhamento quinzenal'!$AI:$AI, 'Acompanhamento quinzenal'!$AF:$AF, A195), 0)
  ) /
  (
    COUNTIF('Acompanhamento quinzenal'!$N:$N, A195) +
    COUNTIF('Acompanhamento quinzenal'!$T:$T, A195) +
    COUNTIF('Acompanhamento quinzenal'!$Z:$Z, A195) +
    COUNTIF('Acompanhamento quinzenal'!$AF:$AF, A195)
  )
)
</f>
        <v>-</v>
      </c>
    </row>
    <row r="196" hidden="1">
      <c r="A196" s="291"/>
      <c r="B196" s="120"/>
      <c r="C196" s="120"/>
      <c r="D196" s="292" t="str">
        <f>IFERROR((COUNTIFS(Base!$V:$V,A196,Base!$S:$S,"&gt;8") - COUNTIFS(Base!$V:$V,A196,Base!$S:$S,"&lt;7"))/COUNTIFS(Base!$V:$V,A196,Base!$S:$S,"&lt;&gt;"),"-")</f>
        <v>-</v>
      </c>
      <c r="E196" s="292" t="str">
        <f>IF(
  (
    COUNTIFS(Base!$W:$W, A196, Base!$S:$S, "&lt;&gt;") +
    COUNTIFS(Base!$X:$X, A196, Base!$S:$S, "&lt;&gt;") +
    COUNTIFS(Base!$Y:$Y, A196, Base!$S:$S, "&lt;&gt;") +
    COUNTIFS(Base!$Z:$Z, A196, Base!$S:$S, "&lt;&gt;")
  ) = 0,
  "-",
  (
    COUNTIFS(Base!$W:$W, A196, Base!$S:$S, "&gt;8") - COUNTIFS(Base!$W:$W, A196, Base!$S:$S, "&lt;7") +
    COUNTIFS(Base!$X:$X, A196, Base!$S:$S, "&gt;8") - COUNTIFS(Base!$X:$X, A196, Base!$S:$S, "&lt;7") +
    COUNTIFS(Base!$Y:$Y, A196, Base!$S:$S, "&gt;8") - COUNTIFS(Base!$Y:$Y, A196, Base!$S:$S, "&lt;7") +
    COUNTIFS(Base!$Z:$Z, A196, Base!$S:$S, "&gt;8") - COUNTIFS(Base!$Z:$Z, A196, Base!$S:$S, "&lt;7")
  ) /
  (
    COUNTIFS(Base!$W:$W, A196, Base!$S:$S, "&lt;&gt;") +
    COUNTIFS(Base!$X:$X, A196, Base!$S:$S, "&lt;&gt;") +
    COUNTIFS(Base!$Y:$Y, A196, Base!$S:$S, "&lt;&gt;") +
    COUNTIFS(Base!$Z:$Z, A196, Base!$S:$S, "&lt;&gt;")
  )
)
</f>
        <v>-</v>
      </c>
      <c r="F196" s="120"/>
      <c r="G196" s="120"/>
      <c r="J196" s="292" t="str">
        <f t="shared" ref="J196:K196" si="197">IFERROR(F196/H196,"-")</f>
        <v>-</v>
      </c>
      <c r="K196" s="292" t="str">
        <f t="shared" si="197"/>
        <v>-</v>
      </c>
      <c r="L196" s="292" t="str">
        <f>IFERROR((COUNTIFS(Base!$V:$V,A196,Base!$U:$U,TRUE))/(COUNTIFS(Base!$V:$V,A196,Base!$O:$O,"Finalizado")+COUNTIFS(Base!$V:$V,A196,Base!$O:$O,"Concluído")),"-")</f>
        <v>-</v>
      </c>
      <c r="M196" s="292" t="str">
        <f>IF(
  (
    IFERROR(COUNTIF(Base!$W:$W, A196), 0) +
    IFERROR(COUNTIF(Base!$X:$X, A196), 0) +
    IFERROR(COUNTIF(Base!$Y:$Y, A196), 0) +
    IFERROR(COUNTIF(Base!$Z:$Z, A196), 0)
  ) = 0,
  "-",
  IF(
    (
      IFERROR(COUNTIFS(Base!$W:$W, A196, Base!$O:$O, "Finalizado"), 0) +
      IFERROR(COUNTIFS(Base!$W:$W, A196, Base!$O:$O, "Concluído"), 0) +
      IFERROR(COUNTIFS(Base!$X:$X, A196, Base!$O:$O, "Finalizado"), 0) +
      IFERROR(COUNTIFS(Base!$X:$X, A196, Base!$O:$O, "Concluído"), 0) +
      IFERROR(COUNTIFS(Base!$Y:$Y, A196, Base!$O:$O, "Finalizado"), 0) +
      IFERROR(COUNTIFS(Base!$Y:$Y, A196, Base!$O:$O, "Concluído"), 0) +
      IFERROR(COUNTIFS(Base!$Z:$Z, A196, Base!$O:$O, "Finalizado"), 0) +
      IFERROR(COUNTIFS(Base!$Z:$Z, A196, Base!$O:$O, "Concluído"), 0)
    ) = 0,
    "-",
    (
      IFERROR(COUNTIFS(Base!$W:$W, A196, Base!$U:$U, TRUE), 0) +
      IFERROR(COUNTIFS(Base!$X:$X, A196, Base!$U:$U, TRUE), 0) +
      IFERROR(COUNTIFS(Base!$Y:$Y, A196, Base!$U:$U, TRUE), 0) +
      IFERROR(COUNTIFS(Base!$Z:$Z, A196, Base!$U:$U, TRUE), 0)
    ) /
    (
      IFERROR(COUNTIFS(Base!$W:$W, A196, Base!$O:$O, "Finalizado"), 0) +
      IFERROR(COUNTIFS(Base!$W:$W, A196, Base!$O:$O, "Concluído"), 0) +
      IFERROR(COUNTIFS(Base!$X:$X, A196, Base!$O:$O, "Finalizado"), 0) +
      IFERROR(COUNTIFS(Base!$X:$X, A196, Base!$O:$O, "Concluído"), 0) +
      IFERROR(COUNTIFS(Base!$Y:$Y, A196, Base!$O:$O, "Finalizado"), 0) +
      IFERROR(COUNTIFS(Base!$Y:$Y, A196, Base!$O:$O, "Concluído"), 0) +
      IFERROR(COUNTIFS(Base!$Z:$Z, A196, Base!$O:$O, "Finalizado"), 0) +
      IFERROR(COUNTIFS(Base!$Z:$Z, A196, Base!$O:$O, "Concluído"), 0)
    )
  )
)
</f>
        <v>-</v>
      </c>
      <c r="N196" s="120">
        <f>COUNTIF(Base!V:V,$A196)</f>
        <v>0</v>
      </c>
      <c r="O196" s="120"/>
      <c r="P196" s="120"/>
      <c r="Q196" s="120"/>
      <c r="R196" s="120"/>
      <c r="S196" s="120"/>
      <c r="T196" s="120">
        <f t="shared" si="4"/>
        <v>0</v>
      </c>
      <c r="V196" s="293" t="str">
        <f>IF(
  (
    COUNTIF('Acompanhamento quinzenal'!$N:$N, A196) +
    COUNTIF('Acompanhamento quinzenal'!$T:$T, A196) +
    COUNTIF('Acompanhamento quinzenal'!$Z:$Z, A196) +
    COUNTIF('Acompanhamento quinzenal'!$AF:$AF, A196)
  ) = 0,
  "-",
  (
    IFERROR(SUMIFS('Acompanhamento quinzenal'!$S:$S, 'Acompanhamento quinzenal'!$N:$N, A196), 0) +
    IFERROR(SUMIFS('Acompanhamento quinzenal'!$Y:$Y, 'Acompanhamento quinzenal'!$T:$T, A196), 0) +
    IFERROR(SUMIFS('Acompanhamento quinzenal'!$AE:$AE, 'Acompanhamento quinzenal'!$Z:$Z, A196), 0) +
    IFERROR(SUMIFS('Acompanhamento quinzenal'!$AK:$AK, 'Acompanhamento quinzenal'!$AF:$AF, A196), 0)
  ) /
  (
    COUNTIF('Acompanhamento quinzenal'!$N:$N, A196) +
    COUNTIF('Acompanhamento quinzenal'!$T:$T, A196) +
    COUNTIF('Acompanhamento quinzenal'!$Z:$Z, A196) +
    COUNTIF('Acompanhamento quinzenal'!$AF:$AF, A196)
  )
)
</f>
        <v>-</v>
      </c>
      <c r="W196" s="293" t="str">
        <f>IF(
  (
    COUNTIF('Acompanhamento quinzenal'!$N:$N, A196) +
    COUNTIF('Acompanhamento quinzenal'!$T:$T, A196) +
    COUNTIF('Acompanhamento quinzenal'!$Z:$Z, A196) +
    COUNTIF('Acompanhamento quinzenal'!$AF:$AF, A196)
  ) = 0,
  "-",
  (
    IFERROR(SUMIFS('Acompanhamento quinzenal'!$O:$O, 'Acompanhamento quinzenal'!$N:$N, A196), 0) +
    IFERROR(SUMIFS('Acompanhamento quinzenal'!$U:$U, 'Acompanhamento quinzenal'!$T:$T, A196), 0) +
    IFERROR(SUMIFS('Acompanhamento quinzenal'!$AA:$AA, 'Acompanhamento quinzenal'!$Z:$Z, A196), 0) +
    IFERROR(SUMIFS('Acompanhamento quinzenal'!$AG:$AG, 'Acompanhamento quinzenal'!$AF:$AF, A196), 0)
  ) /
  (
    COUNTIF('Acompanhamento quinzenal'!$N:$N, A196) +
    COUNTIF('Acompanhamento quinzenal'!$T:$T, A196) +
    COUNTIF('Acompanhamento quinzenal'!$Z:$Z, A196) +
    COUNTIF('Acompanhamento quinzenal'!$AF:$AF, A196)
  )
)
</f>
        <v>-</v>
      </c>
      <c r="X196" s="294" t="str">
        <f>IF(
  (
    COUNTIF('Acompanhamento quinzenal'!$N:$N, A196) +
    COUNTIF('Acompanhamento quinzenal'!$T:$T, A196) +
    COUNTIF('Acompanhamento quinzenal'!$Z:$Z, A196) +
    COUNTIF('Acompanhamento quinzenal'!$AF:$AF, A196)
  ) = 0,
  "-",
  (
    IFERROR(SUMIFS('Acompanhamento quinzenal'!$P:$P, 'Acompanhamento quinzenal'!$N:$N, A196), 0) +
    IFERROR(SUMIFS('Acompanhamento quinzenal'!$V:$V, 'Acompanhamento quinzenal'!$T:$T, A196), 0) +
    IFERROR(SUMIFS('Acompanhamento quinzenal'!$AB:$AB, 'Acompanhamento quinzenal'!$Z:$Z, A196), 0) +
    IFERROR(SUMIFS('Acompanhamento quinzenal'!$AH:$AH, 'Acompanhamento quinzenal'!$AF:$AF, A196), 0)
  ) /
  (
    COUNTIF('Acompanhamento quinzenal'!$N:$N, A196) +
    COUNTIF('Acompanhamento quinzenal'!$T:$T, A196) +
    COUNTIF('Acompanhamento quinzenal'!$Z:$Z, A196) +
    COUNTIF('Acompanhamento quinzenal'!$AF:$AF, A196)
  )
)
</f>
        <v>-</v>
      </c>
      <c r="Y196" s="293" t="str">
        <f>IF(
  (
    COUNTIF('Acompanhamento quinzenal'!$N:$N, A196) +
    COUNTIF('Acompanhamento quinzenal'!$T:$T, A196) +
    COUNTIF('Acompanhamento quinzenal'!$Z:$Z, A196) +
    COUNTIF('Acompanhamento quinzenal'!$AF:$AF, A196)
  ) = 0,
  "-",
  (
    IFERROR(SUMIFS('Acompanhamento quinzenal'!$Q:$Q, 'Acompanhamento quinzenal'!$N:$N, A196), 0) +
    IFERROR(SUMIFS('Acompanhamento quinzenal'!$W:$W, 'Acompanhamento quinzenal'!$T:$T, A196), 0) +
    IFERROR(SUMIFS('Acompanhamento quinzenal'!$AC:$AC, 'Acompanhamento quinzenal'!$Z:$Z, A196), 0) +
    IFERROR(SUMIFS('Acompanhamento quinzenal'!$AI:$AI, 'Acompanhamento quinzenal'!$AF:$AF, A196), 0)
  ) /
  (
    COUNTIF('Acompanhamento quinzenal'!$N:$N, A196) +
    COUNTIF('Acompanhamento quinzenal'!$T:$T, A196) +
    COUNTIF('Acompanhamento quinzenal'!$Z:$Z, A196) +
    COUNTIF('Acompanhamento quinzenal'!$AF:$AF, A196)
  )
)
</f>
        <v>-</v>
      </c>
    </row>
    <row r="197" hidden="1">
      <c r="A197" s="291"/>
      <c r="B197" s="120"/>
      <c r="C197" s="120"/>
      <c r="D197" s="292" t="str">
        <f>IFERROR((COUNTIFS(Base!$V:$V,A197,Base!$S:$S,"&gt;8") - COUNTIFS(Base!$V:$V,A197,Base!$S:$S,"&lt;7"))/COUNTIFS(Base!$V:$V,A197,Base!$S:$S,"&lt;&gt;"),"-")</f>
        <v>-</v>
      </c>
      <c r="E197" s="292" t="str">
        <f>IF(
  (
    COUNTIFS(Base!$W:$W, A197, Base!$S:$S, "&lt;&gt;") +
    COUNTIFS(Base!$X:$X, A197, Base!$S:$S, "&lt;&gt;") +
    COUNTIFS(Base!$Y:$Y, A197, Base!$S:$S, "&lt;&gt;") +
    COUNTIFS(Base!$Z:$Z, A197, Base!$S:$S, "&lt;&gt;")
  ) = 0,
  "-",
  (
    COUNTIFS(Base!$W:$W, A197, Base!$S:$S, "&gt;8") - COUNTIFS(Base!$W:$W, A197, Base!$S:$S, "&lt;7") +
    COUNTIFS(Base!$X:$X, A197, Base!$S:$S, "&gt;8") - COUNTIFS(Base!$X:$X, A197, Base!$S:$S, "&lt;7") +
    COUNTIFS(Base!$Y:$Y, A197, Base!$S:$S, "&gt;8") - COUNTIFS(Base!$Y:$Y, A197, Base!$S:$S, "&lt;7") +
    COUNTIFS(Base!$Z:$Z, A197, Base!$S:$S, "&gt;8") - COUNTIFS(Base!$Z:$Z, A197, Base!$S:$S, "&lt;7")
  ) /
  (
    COUNTIFS(Base!$W:$W, A197, Base!$S:$S, "&lt;&gt;") +
    COUNTIFS(Base!$X:$X, A197, Base!$S:$S, "&lt;&gt;") +
    COUNTIFS(Base!$Y:$Y, A197, Base!$S:$S, "&lt;&gt;") +
    COUNTIFS(Base!$Z:$Z, A197, Base!$S:$S, "&lt;&gt;")
  )
)
</f>
        <v>-</v>
      </c>
      <c r="F197" s="120"/>
      <c r="G197" s="120"/>
      <c r="J197" s="292" t="str">
        <f t="shared" ref="J197:K197" si="198">IFERROR(F197/H197,"-")</f>
        <v>-</v>
      </c>
      <c r="K197" s="292" t="str">
        <f t="shared" si="198"/>
        <v>-</v>
      </c>
      <c r="L197" s="292" t="str">
        <f>IFERROR((COUNTIFS(Base!$V:$V,A197,Base!$U:$U,TRUE))/(COUNTIFS(Base!$V:$V,A197,Base!$O:$O,"Finalizado")+COUNTIFS(Base!$V:$V,A197,Base!$O:$O,"Concluído")),"-")</f>
        <v>-</v>
      </c>
      <c r="M197" s="292" t="str">
        <f>IF(
  (
    IFERROR(COUNTIF(Base!$W:$W, A197), 0) +
    IFERROR(COUNTIF(Base!$X:$X, A197), 0) +
    IFERROR(COUNTIF(Base!$Y:$Y, A197), 0) +
    IFERROR(COUNTIF(Base!$Z:$Z, A197), 0)
  ) = 0,
  "-",
  IF(
    (
      IFERROR(COUNTIFS(Base!$W:$W, A197, Base!$O:$O, "Finalizado"), 0) +
      IFERROR(COUNTIFS(Base!$W:$W, A197, Base!$O:$O, "Concluído"), 0) +
      IFERROR(COUNTIFS(Base!$X:$X, A197, Base!$O:$O, "Finalizado"), 0) +
      IFERROR(COUNTIFS(Base!$X:$X, A197, Base!$O:$O, "Concluído"), 0) +
      IFERROR(COUNTIFS(Base!$Y:$Y, A197, Base!$O:$O, "Finalizado"), 0) +
      IFERROR(COUNTIFS(Base!$Y:$Y, A197, Base!$O:$O, "Concluído"), 0) +
      IFERROR(COUNTIFS(Base!$Z:$Z, A197, Base!$O:$O, "Finalizado"), 0) +
      IFERROR(COUNTIFS(Base!$Z:$Z, A197, Base!$O:$O, "Concluído"), 0)
    ) = 0,
    "-",
    (
      IFERROR(COUNTIFS(Base!$W:$W, A197, Base!$U:$U, TRUE), 0) +
      IFERROR(COUNTIFS(Base!$X:$X, A197, Base!$U:$U, TRUE), 0) +
      IFERROR(COUNTIFS(Base!$Y:$Y, A197, Base!$U:$U, TRUE), 0) +
      IFERROR(COUNTIFS(Base!$Z:$Z, A197, Base!$U:$U, TRUE), 0)
    ) /
    (
      IFERROR(COUNTIFS(Base!$W:$W, A197, Base!$O:$O, "Finalizado"), 0) +
      IFERROR(COUNTIFS(Base!$W:$W, A197, Base!$O:$O, "Concluído"), 0) +
      IFERROR(COUNTIFS(Base!$X:$X, A197, Base!$O:$O, "Finalizado"), 0) +
      IFERROR(COUNTIFS(Base!$X:$X, A197, Base!$O:$O, "Concluído"), 0) +
      IFERROR(COUNTIFS(Base!$Y:$Y, A197, Base!$O:$O, "Finalizado"), 0) +
      IFERROR(COUNTIFS(Base!$Y:$Y, A197, Base!$O:$O, "Concluído"), 0) +
      IFERROR(COUNTIFS(Base!$Z:$Z, A197, Base!$O:$O, "Finalizado"), 0) +
      IFERROR(COUNTIFS(Base!$Z:$Z, A197, Base!$O:$O, "Concluído"), 0)
    )
  )
)
</f>
        <v>-</v>
      </c>
      <c r="N197" s="120">
        <f>COUNTIF(Base!V:V,$A197)</f>
        <v>0</v>
      </c>
      <c r="O197" s="120"/>
      <c r="P197" s="120"/>
      <c r="Q197" s="120"/>
      <c r="R197" s="120"/>
      <c r="S197" s="120"/>
      <c r="T197" s="120">
        <f t="shared" si="4"/>
        <v>0</v>
      </c>
      <c r="V197" s="293" t="str">
        <f>IF(
  (
    COUNTIF('Acompanhamento quinzenal'!$N:$N, A197) +
    COUNTIF('Acompanhamento quinzenal'!$T:$T, A197) +
    COUNTIF('Acompanhamento quinzenal'!$Z:$Z, A197) +
    COUNTIF('Acompanhamento quinzenal'!$AF:$AF, A197)
  ) = 0,
  "-",
  (
    IFERROR(SUMIFS('Acompanhamento quinzenal'!$S:$S, 'Acompanhamento quinzenal'!$N:$N, A197), 0) +
    IFERROR(SUMIFS('Acompanhamento quinzenal'!$Y:$Y, 'Acompanhamento quinzenal'!$T:$T, A197), 0) +
    IFERROR(SUMIFS('Acompanhamento quinzenal'!$AE:$AE, 'Acompanhamento quinzenal'!$Z:$Z, A197), 0) +
    IFERROR(SUMIFS('Acompanhamento quinzenal'!$AK:$AK, 'Acompanhamento quinzenal'!$AF:$AF, A197), 0)
  ) /
  (
    COUNTIF('Acompanhamento quinzenal'!$N:$N, A197) +
    COUNTIF('Acompanhamento quinzenal'!$T:$T, A197) +
    COUNTIF('Acompanhamento quinzenal'!$Z:$Z, A197) +
    COUNTIF('Acompanhamento quinzenal'!$AF:$AF, A197)
  )
)
</f>
        <v>-</v>
      </c>
      <c r="W197" s="293" t="str">
        <f>IF(
  (
    COUNTIF('Acompanhamento quinzenal'!$N:$N, A197) +
    COUNTIF('Acompanhamento quinzenal'!$T:$T, A197) +
    COUNTIF('Acompanhamento quinzenal'!$Z:$Z, A197) +
    COUNTIF('Acompanhamento quinzenal'!$AF:$AF, A197)
  ) = 0,
  "-",
  (
    IFERROR(SUMIFS('Acompanhamento quinzenal'!$O:$O, 'Acompanhamento quinzenal'!$N:$N, A197), 0) +
    IFERROR(SUMIFS('Acompanhamento quinzenal'!$U:$U, 'Acompanhamento quinzenal'!$T:$T, A197), 0) +
    IFERROR(SUMIFS('Acompanhamento quinzenal'!$AA:$AA, 'Acompanhamento quinzenal'!$Z:$Z, A197), 0) +
    IFERROR(SUMIFS('Acompanhamento quinzenal'!$AG:$AG, 'Acompanhamento quinzenal'!$AF:$AF, A197), 0)
  ) /
  (
    COUNTIF('Acompanhamento quinzenal'!$N:$N, A197) +
    COUNTIF('Acompanhamento quinzenal'!$T:$T, A197) +
    COUNTIF('Acompanhamento quinzenal'!$Z:$Z, A197) +
    COUNTIF('Acompanhamento quinzenal'!$AF:$AF, A197)
  )
)
</f>
        <v>-</v>
      </c>
      <c r="X197" s="294" t="str">
        <f>IF(
  (
    COUNTIF('Acompanhamento quinzenal'!$N:$N, A197) +
    COUNTIF('Acompanhamento quinzenal'!$T:$T, A197) +
    COUNTIF('Acompanhamento quinzenal'!$Z:$Z, A197) +
    COUNTIF('Acompanhamento quinzenal'!$AF:$AF, A197)
  ) = 0,
  "-",
  (
    IFERROR(SUMIFS('Acompanhamento quinzenal'!$P:$P, 'Acompanhamento quinzenal'!$N:$N, A197), 0) +
    IFERROR(SUMIFS('Acompanhamento quinzenal'!$V:$V, 'Acompanhamento quinzenal'!$T:$T, A197), 0) +
    IFERROR(SUMIFS('Acompanhamento quinzenal'!$AB:$AB, 'Acompanhamento quinzenal'!$Z:$Z, A197), 0) +
    IFERROR(SUMIFS('Acompanhamento quinzenal'!$AH:$AH, 'Acompanhamento quinzenal'!$AF:$AF, A197), 0)
  ) /
  (
    COUNTIF('Acompanhamento quinzenal'!$N:$N, A197) +
    COUNTIF('Acompanhamento quinzenal'!$T:$T, A197) +
    COUNTIF('Acompanhamento quinzenal'!$Z:$Z, A197) +
    COUNTIF('Acompanhamento quinzenal'!$AF:$AF, A197)
  )
)
</f>
        <v>-</v>
      </c>
      <c r="Y197" s="293" t="str">
        <f>IF(
  (
    COUNTIF('Acompanhamento quinzenal'!$N:$N, A197) +
    COUNTIF('Acompanhamento quinzenal'!$T:$T, A197) +
    COUNTIF('Acompanhamento quinzenal'!$Z:$Z, A197) +
    COUNTIF('Acompanhamento quinzenal'!$AF:$AF, A197)
  ) = 0,
  "-",
  (
    IFERROR(SUMIFS('Acompanhamento quinzenal'!$Q:$Q, 'Acompanhamento quinzenal'!$N:$N, A197), 0) +
    IFERROR(SUMIFS('Acompanhamento quinzenal'!$W:$W, 'Acompanhamento quinzenal'!$T:$T, A197), 0) +
    IFERROR(SUMIFS('Acompanhamento quinzenal'!$AC:$AC, 'Acompanhamento quinzenal'!$Z:$Z, A197), 0) +
    IFERROR(SUMIFS('Acompanhamento quinzenal'!$AI:$AI, 'Acompanhamento quinzenal'!$AF:$AF, A197), 0)
  ) /
  (
    COUNTIF('Acompanhamento quinzenal'!$N:$N, A197) +
    COUNTIF('Acompanhamento quinzenal'!$T:$T, A197) +
    COUNTIF('Acompanhamento quinzenal'!$Z:$Z, A197) +
    COUNTIF('Acompanhamento quinzenal'!$AF:$AF, A197)
  )
)
</f>
        <v>-</v>
      </c>
    </row>
    <row r="198" hidden="1">
      <c r="A198" s="291"/>
      <c r="B198" s="120"/>
      <c r="C198" s="120"/>
      <c r="D198" s="292" t="str">
        <f>IFERROR((COUNTIFS(Base!$V:$V,A198,Base!$S:$S,"&gt;8") - COUNTIFS(Base!$V:$V,A198,Base!$S:$S,"&lt;7"))/COUNTIFS(Base!$V:$V,A198,Base!$S:$S,"&lt;&gt;"),"-")</f>
        <v>-</v>
      </c>
      <c r="E198" s="292" t="str">
        <f>IF(
  (
    COUNTIFS(Base!$W:$W, A198, Base!$S:$S, "&lt;&gt;") +
    COUNTIFS(Base!$X:$X, A198, Base!$S:$S, "&lt;&gt;") +
    COUNTIFS(Base!$Y:$Y, A198, Base!$S:$S, "&lt;&gt;") +
    COUNTIFS(Base!$Z:$Z, A198, Base!$S:$S, "&lt;&gt;")
  ) = 0,
  "-",
  (
    COUNTIFS(Base!$W:$W, A198, Base!$S:$S, "&gt;8") - COUNTIFS(Base!$W:$W, A198, Base!$S:$S, "&lt;7") +
    COUNTIFS(Base!$X:$X, A198, Base!$S:$S, "&gt;8") - COUNTIFS(Base!$X:$X, A198, Base!$S:$S, "&lt;7") +
    COUNTIFS(Base!$Y:$Y, A198, Base!$S:$S, "&gt;8") - COUNTIFS(Base!$Y:$Y, A198, Base!$S:$S, "&lt;7") +
    COUNTIFS(Base!$Z:$Z, A198, Base!$S:$S, "&gt;8") - COUNTIFS(Base!$Z:$Z, A198, Base!$S:$S, "&lt;7")
  ) /
  (
    COUNTIFS(Base!$W:$W, A198, Base!$S:$S, "&lt;&gt;") +
    COUNTIFS(Base!$X:$X, A198, Base!$S:$S, "&lt;&gt;") +
    COUNTIFS(Base!$Y:$Y, A198, Base!$S:$S, "&lt;&gt;") +
    COUNTIFS(Base!$Z:$Z, A198, Base!$S:$S, "&lt;&gt;")
  )
)
</f>
        <v>-</v>
      </c>
      <c r="F198" s="120"/>
      <c r="G198" s="120"/>
      <c r="J198" s="292" t="str">
        <f t="shared" ref="J198:K198" si="199">IFERROR(F198/H198,"-")</f>
        <v>-</v>
      </c>
      <c r="K198" s="292" t="str">
        <f t="shared" si="199"/>
        <v>-</v>
      </c>
      <c r="L198" s="292" t="str">
        <f>IFERROR((COUNTIFS(Base!$V:$V,A198,Base!$U:$U,TRUE))/(COUNTIFS(Base!$V:$V,A198,Base!$O:$O,"Finalizado")+COUNTIFS(Base!$V:$V,A198,Base!$O:$O,"Concluído")),"-")</f>
        <v>-</v>
      </c>
      <c r="M198" s="292" t="str">
        <f>IF(
  (
    IFERROR(COUNTIF(Base!$W:$W, A198), 0) +
    IFERROR(COUNTIF(Base!$X:$X, A198), 0) +
    IFERROR(COUNTIF(Base!$Y:$Y, A198), 0) +
    IFERROR(COUNTIF(Base!$Z:$Z, A198), 0)
  ) = 0,
  "-",
  IF(
    (
      IFERROR(COUNTIFS(Base!$W:$W, A198, Base!$O:$O, "Finalizado"), 0) +
      IFERROR(COUNTIFS(Base!$W:$W, A198, Base!$O:$O, "Concluído"), 0) +
      IFERROR(COUNTIFS(Base!$X:$X, A198, Base!$O:$O, "Finalizado"), 0) +
      IFERROR(COUNTIFS(Base!$X:$X, A198, Base!$O:$O, "Concluído"), 0) +
      IFERROR(COUNTIFS(Base!$Y:$Y, A198, Base!$O:$O, "Finalizado"), 0) +
      IFERROR(COUNTIFS(Base!$Y:$Y, A198, Base!$O:$O, "Concluído"), 0) +
      IFERROR(COUNTIFS(Base!$Z:$Z, A198, Base!$O:$O, "Finalizado"), 0) +
      IFERROR(COUNTIFS(Base!$Z:$Z, A198, Base!$O:$O, "Concluído"), 0)
    ) = 0,
    "-",
    (
      IFERROR(COUNTIFS(Base!$W:$W, A198, Base!$U:$U, TRUE), 0) +
      IFERROR(COUNTIFS(Base!$X:$X, A198, Base!$U:$U, TRUE), 0) +
      IFERROR(COUNTIFS(Base!$Y:$Y, A198, Base!$U:$U, TRUE), 0) +
      IFERROR(COUNTIFS(Base!$Z:$Z, A198, Base!$U:$U, TRUE), 0)
    ) /
    (
      IFERROR(COUNTIFS(Base!$W:$W, A198, Base!$O:$O, "Finalizado"), 0) +
      IFERROR(COUNTIFS(Base!$W:$W, A198, Base!$O:$O, "Concluído"), 0) +
      IFERROR(COUNTIFS(Base!$X:$X, A198, Base!$O:$O, "Finalizado"), 0) +
      IFERROR(COUNTIFS(Base!$X:$X, A198, Base!$O:$O, "Concluído"), 0) +
      IFERROR(COUNTIFS(Base!$Y:$Y, A198, Base!$O:$O, "Finalizado"), 0) +
      IFERROR(COUNTIFS(Base!$Y:$Y, A198, Base!$O:$O, "Concluído"), 0) +
      IFERROR(COUNTIFS(Base!$Z:$Z, A198, Base!$O:$O, "Finalizado"), 0) +
      IFERROR(COUNTIFS(Base!$Z:$Z, A198, Base!$O:$O, "Concluído"), 0)
    )
  )
)
</f>
        <v>-</v>
      </c>
      <c r="N198" s="120">
        <f>COUNTIF(Base!V:V,$A198)</f>
        <v>0</v>
      </c>
      <c r="O198" s="120"/>
      <c r="P198" s="120"/>
      <c r="Q198" s="120"/>
      <c r="R198" s="120"/>
      <c r="S198" s="120"/>
      <c r="T198" s="120">
        <f t="shared" si="4"/>
        <v>0</v>
      </c>
      <c r="V198" s="293" t="str">
        <f>IF(
  (
    COUNTIF('Acompanhamento quinzenal'!$N:$N, A198) +
    COUNTIF('Acompanhamento quinzenal'!$T:$T, A198) +
    COUNTIF('Acompanhamento quinzenal'!$Z:$Z, A198) +
    COUNTIF('Acompanhamento quinzenal'!$AF:$AF, A198)
  ) = 0,
  "-",
  (
    IFERROR(SUMIFS('Acompanhamento quinzenal'!$S:$S, 'Acompanhamento quinzenal'!$N:$N, A198), 0) +
    IFERROR(SUMIFS('Acompanhamento quinzenal'!$Y:$Y, 'Acompanhamento quinzenal'!$T:$T, A198), 0) +
    IFERROR(SUMIFS('Acompanhamento quinzenal'!$AE:$AE, 'Acompanhamento quinzenal'!$Z:$Z, A198), 0) +
    IFERROR(SUMIFS('Acompanhamento quinzenal'!$AK:$AK, 'Acompanhamento quinzenal'!$AF:$AF, A198), 0)
  ) /
  (
    COUNTIF('Acompanhamento quinzenal'!$N:$N, A198) +
    COUNTIF('Acompanhamento quinzenal'!$T:$T, A198) +
    COUNTIF('Acompanhamento quinzenal'!$Z:$Z, A198) +
    COUNTIF('Acompanhamento quinzenal'!$AF:$AF, A198)
  )
)
</f>
        <v>-</v>
      </c>
      <c r="W198" s="293" t="str">
        <f>IF(
  (
    COUNTIF('Acompanhamento quinzenal'!$N:$N, A198) +
    COUNTIF('Acompanhamento quinzenal'!$T:$T, A198) +
    COUNTIF('Acompanhamento quinzenal'!$Z:$Z, A198) +
    COUNTIF('Acompanhamento quinzenal'!$AF:$AF, A198)
  ) = 0,
  "-",
  (
    IFERROR(SUMIFS('Acompanhamento quinzenal'!$O:$O, 'Acompanhamento quinzenal'!$N:$N, A198), 0) +
    IFERROR(SUMIFS('Acompanhamento quinzenal'!$U:$U, 'Acompanhamento quinzenal'!$T:$T, A198), 0) +
    IFERROR(SUMIFS('Acompanhamento quinzenal'!$AA:$AA, 'Acompanhamento quinzenal'!$Z:$Z, A198), 0) +
    IFERROR(SUMIFS('Acompanhamento quinzenal'!$AG:$AG, 'Acompanhamento quinzenal'!$AF:$AF, A198), 0)
  ) /
  (
    COUNTIF('Acompanhamento quinzenal'!$N:$N, A198) +
    COUNTIF('Acompanhamento quinzenal'!$T:$T, A198) +
    COUNTIF('Acompanhamento quinzenal'!$Z:$Z, A198) +
    COUNTIF('Acompanhamento quinzenal'!$AF:$AF, A198)
  )
)
</f>
        <v>-</v>
      </c>
      <c r="X198" s="294" t="str">
        <f>IF(
  (
    COUNTIF('Acompanhamento quinzenal'!$N:$N, A198) +
    COUNTIF('Acompanhamento quinzenal'!$T:$T, A198) +
    COUNTIF('Acompanhamento quinzenal'!$Z:$Z, A198) +
    COUNTIF('Acompanhamento quinzenal'!$AF:$AF, A198)
  ) = 0,
  "-",
  (
    IFERROR(SUMIFS('Acompanhamento quinzenal'!$P:$P, 'Acompanhamento quinzenal'!$N:$N, A198), 0) +
    IFERROR(SUMIFS('Acompanhamento quinzenal'!$V:$V, 'Acompanhamento quinzenal'!$T:$T, A198), 0) +
    IFERROR(SUMIFS('Acompanhamento quinzenal'!$AB:$AB, 'Acompanhamento quinzenal'!$Z:$Z, A198), 0) +
    IFERROR(SUMIFS('Acompanhamento quinzenal'!$AH:$AH, 'Acompanhamento quinzenal'!$AF:$AF, A198), 0)
  ) /
  (
    COUNTIF('Acompanhamento quinzenal'!$N:$N, A198) +
    COUNTIF('Acompanhamento quinzenal'!$T:$T, A198) +
    COUNTIF('Acompanhamento quinzenal'!$Z:$Z, A198) +
    COUNTIF('Acompanhamento quinzenal'!$AF:$AF, A198)
  )
)
</f>
        <v>-</v>
      </c>
      <c r="Y198" s="293" t="str">
        <f>IF(
  (
    COUNTIF('Acompanhamento quinzenal'!$N:$N, A198) +
    COUNTIF('Acompanhamento quinzenal'!$T:$T, A198) +
    COUNTIF('Acompanhamento quinzenal'!$Z:$Z, A198) +
    COUNTIF('Acompanhamento quinzenal'!$AF:$AF, A198)
  ) = 0,
  "-",
  (
    IFERROR(SUMIFS('Acompanhamento quinzenal'!$Q:$Q, 'Acompanhamento quinzenal'!$N:$N, A198), 0) +
    IFERROR(SUMIFS('Acompanhamento quinzenal'!$W:$W, 'Acompanhamento quinzenal'!$T:$T, A198), 0) +
    IFERROR(SUMIFS('Acompanhamento quinzenal'!$AC:$AC, 'Acompanhamento quinzenal'!$Z:$Z, A198), 0) +
    IFERROR(SUMIFS('Acompanhamento quinzenal'!$AI:$AI, 'Acompanhamento quinzenal'!$AF:$AF, A198), 0)
  ) /
  (
    COUNTIF('Acompanhamento quinzenal'!$N:$N, A198) +
    COUNTIF('Acompanhamento quinzenal'!$T:$T, A198) +
    COUNTIF('Acompanhamento quinzenal'!$Z:$Z, A198) +
    COUNTIF('Acompanhamento quinzenal'!$AF:$AF, A198)
  )
)
</f>
        <v>-</v>
      </c>
    </row>
    <row r="199" hidden="1">
      <c r="A199" s="291"/>
      <c r="B199" s="120"/>
      <c r="C199" s="120"/>
      <c r="D199" s="292" t="str">
        <f>IFERROR((COUNTIFS(Base!$V:$V,A199,Base!$S:$S,"&gt;8") - COUNTIFS(Base!$V:$V,A199,Base!$S:$S,"&lt;7"))/COUNTIFS(Base!$V:$V,A199,Base!$S:$S,"&lt;&gt;"),"-")</f>
        <v>-</v>
      </c>
      <c r="E199" s="292" t="str">
        <f>IF(
  (
    COUNTIFS(Base!$W:$W, A199, Base!$S:$S, "&lt;&gt;") +
    COUNTIFS(Base!$X:$X, A199, Base!$S:$S, "&lt;&gt;") +
    COUNTIFS(Base!$Y:$Y, A199, Base!$S:$S, "&lt;&gt;") +
    COUNTIFS(Base!$Z:$Z, A199, Base!$S:$S, "&lt;&gt;")
  ) = 0,
  "-",
  (
    COUNTIFS(Base!$W:$W, A199, Base!$S:$S, "&gt;8") - COUNTIFS(Base!$W:$W, A199, Base!$S:$S, "&lt;7") +
    COUNTIFS(Base!$X:$X, A199, Base!$S:$S, "&gt;8") - COUNTIFS(Base!$X:$X, A199, Base!$S:$S, "&lt;7") +
    COUNTIFS(Base!$Y:$Y, A199, Base!$S:$S, "&gt;8") - COUNTIFS(Base!$Y:$Y, A199, Base!$S:$S, "&lt;7") +
    COUNTIFS(Base!$Z:$Z, A199, Base!$S:$S, "&gt;8") - COUNTIFS(Base!$Z:$Z, A199, Base!$S:$S, "&lt;7")
  ) /
  (
    COUNTIFS(Base!$W:$W, A199, Base!$S:$S, "&lt;&gt;") +
    COUNTIFS(Base!$X:$X, A199, Base!$S:$S, "&lt;&gt;") +
    COUNTIFS(Base!$Y:$Y, A199, Base!$S:$S, "&lt;&gt;") +
    COUNTIFS(Base!$Z:$Z, A199, Base!$S:$S, "&lt;&gt;")
  )
)
</f>
        <v>-</v>
      </c>
      <c r="F199" s="120"/>
      <c r="G199" s="120"/>
      <c r="J199" s="292" t="str">
        <f t="shared" ref="J199:K199" si="200">IFERROR(F199/H199,"-")</f>
        <v>-</v>
      </c>
      <c r="K199" s="292" t="str">
        <f t="shared" si="200"/>
        <v>-</v>
      </c>
      <c r="L199" s="292" t="str">
        <f>IFERROR((COUNTIFS(Base!$V:$V,A199,Base!$U:$U,TRUE))/(COUNTIFS(Base!$V:$V,A199,Base!$O:$O,"Finalizado")+COUNTIFS(Base!$V:$V,A199,Base!$O:$O,"Concluído")),"-")</f>
        <v>-</v>
      </c>
      <c r="M199" s="292" t="str">
        <f>IF(
  (
    IFERROR(COUNTIF(Base!$W:$W, A199), 0) +
    IFERROR(COUNTIF(Base!$X:$X, A199), 0) +
    IFERROR(COUNTIF(Base!$Y:$Y, A199), 0) +
    IFERROR(COUNTIF(Base!$Z:$Z, A199), 0)
  ) = 0,
  "-",
  IF(
    (
      IFERROR(COUNTIFS(Base!$W:$W, A199, Base!$O:$O, "Finalizado"), 0) +
      IFERROR(COUNTIFS(Base!$W:$W, A199, Base!$O:$O, "Concluído"), 0) +
      IFERROR(COUNTIFS(Base!$X:$X, A199, Base!$O:$O, "Finalizado"), 0) +
      IFERROR(COUNTIFS(Base!$X:$X, A199, Base!$O:$O, "Concluído"), 0) +
      IFERROR(COUNTIFS(Base!$Y:$Y, A199, Base!$O:$O, "Finalizado"), 0) +
      IFERROR(COUNTIFS(Base!$Y:$Y, A199, Base!$O:$O, "Concluído"), 0) +
      IFERROR(COUNTIFS(Base!$Z:$Z, A199, Base!$O:$O, "Finalizado"), 0) +
      IFERROR(COUNTIFS(Base!$Z:$Z, A199, Base!$O:$O, "Concluído"), 0)
    ) = 0,
    "-",
    (
      IFERROR(COUNTIFS(Base!$W:$W, A199, Base!$U:$U, TRUE), 0) +
      IFERROR(COUNTIFS(Base!$X:$X, A199, Base!$U:$U, TRUE), 0) +
      IFERROR(COUNTIFS(Base!$Y:$Y, A199, Base!$U:$U, TRUE), 0) +
      IFERROR(COUNTIFS(Base!$Z:$Z, A199, Base!$U:$U, TRUE), 0)
    ) /
    (
      IFERROR(COUNTIFS(Base!$W:$W, A199, Base!$O:$O, "Finalizado"), 0) +
      IFERROR(COUNTIFS(Base!$W:$W, A199, Base!$O:$O, "Concluído"), 0) +
      IFERROR(COUNTIFS(Base!$X:$X, A199, Base!$O:$O, "Finalizado"), 0) +
      IFERROR(COUNTIFS(Base!$X:$X, A199, Base!$O:$O, "Concluído"), 0) +
      IFERROR(COUNTIFS(Base!$Y:$Y, A199, Base!$O:$O, "Finalizado"), 0) +
      IFERROR(COUNTIFS(Base!$Y:$Y, A199, Base!$O:$O, "Concluído"), 0) +
      IFERROR(COUNTIFS(Base!$Z:$Z, A199, Base!$O:$O, "Finalizado"), 0) +
      IFERROR(COUNTIFS(Base!$Z:$Z, A199, Base!$O:$O, "Concluído"), 0)
    )
  )
)
</f>
        <v>-</v>
      </c>
      <c r="N199" s="120">
        <f>COUNTIF(Base!V:V,$A199)</f>
        <v>0</v>
      </c>
      <c r="O199" s="120"/>
      <c r="P199" s="120"/>
      <c r="Q199" s="120"/>
      <c r="R199" s="120"/>
      <c r="S199" s="120"/>
      <c r="T199" s="120">
        <f t="shared" si="4"/>
        <v>0</v>
      </c>
      <c r="V199" s="293" t="str">
        <f>IF(
  (
    COUNTIF('Acompanhamento quinzenal'!$N:$N, A199) +
    COUNTIF('Acompanhamento quinzenal'!$T:$T, A199) +
    COUNTIF('Acompanhamento quinzenal'!$Z:$Z, A199) +
    COUNTIF('Acompanhamento quinzenal'!$AF:$AF, A199)
  ) = 0,
  "-",
  (
    IFERROR(SUMIFS('Acompanhamento quinzenal'!$S:$S, 'Acompanhamento quinzenal'!$N:$N, A199), 0) +
    IFERROR(SUMIFS('Acompanhamento quinzenal'!$Y:$Y, 'Acompanhamento quinzenal'!$T:$T, A199), 0) +
    IFERROR(SUMIFS('Acompanhamento quinzenal'!$AE:$AE, 'Acompanhamento quinzenal'!$Z:$Z, A199), 0) +
    IFERROR(SUMIFS('Acompanhamento quinzenal'!$AK:$AK, 'Acompanhamento quinzenal'!$AF:$AF, A199), 0)
  ) /
  (
    COUNTIF('Acompanhamento quinzenal'!$N:$N, A199) +
    COUNTIF('Acompanhamento quinzenal'!$T:$T, A199) +
    COUNTIF('Acompanhamento quinzenal'!$Z:$Z, A199) +
    COUNTIF('Acompanhamento quinzenal'!$AF:$AF, A199)
  )
)
</f>
        <v>-</v>
      </c>
      <c r="W199" s="293" t="str">
        <f>IF(
  (
    COUNTIF('Acompanhamento quinzenal'!$N:$N, A199) +
    COUNTIF('Acompanhamento quinzenal'!$T:$T, A199) +
    COUNTIF('Acompanhamento quinzenal'!$Z:$Z, A199) +
    COUNTIF('Acompanhamento quinzenal'!$AF:$AF, A199)
  ) = 0,
  "-",
  (
    IFERROR(SUMIFS('Acompanhamento quinzenal'!$O:$O, 'Acompanhamento quinzenal'!$N:$N, A199), 0) +
    IFERROR(SUMIFS('Acompanhamento quinzenal'!$U:$U, 'Acompanhamento quinzenal'!$T:$T, A199), 0) +
    IFERROR(SUMIFS('Acompanhamento quinzenal'!$AA:$AA, 'Acompanhamento quinzenal'!$Z:$Z, A199), 0) +
    IFERROR(SUMIFS('Acompanhamento quinzenal'!$AG:$AG, 'Acompanhamento quinzenal'!$AF:$AF, A199), 0)
  ) /
  (
    COUNTIF('Acompanhamento quinzenal'!$N:$N, A199) +
    COUNTIF('Acompanhamento quinzenal'!$T:$T, A199) +
    COUNTIF('Acompanhamento quinzenal'!$Z:$Z, A199) +
    COUNTIF('Acompanhamento quinzenal'!$AF:$AF, A199)
  )
)
</f>
        <v>-</v>
      </c>
      <c r="X199" s="294" t="str">
        <f>IF(
  (
    COUNTIF('Acompanhamento quinzenal'!$N:$N, A199) +
    COUNTIF('Acompanhamento quinzenal'!$T:$T, A199) +
    COUNTIF('Acompanhamento quinzenal'!$Z:$Z, A199) +
    COUNTIF('Acompanhamento quinzenal'!$AF:$AF, A199)
  ) = 0,
  "-",
  (
    IFERROR(SUMIFS('Acompanhamento quinzenal'!$P:$P, 'Acompanhamento quinzenal'!$N:$N, A199), 0) +
    IFERROR(SUMIFS('Acompanhamento quinzenal'!$V:$V, 'Acompanhamento quinzenal'!$T:$T, A199), 0) +
    IFERROR(SUMIFS('Acompanhamento quinzenal'!$AB:$AB, 'Acompanhamento quinzenal'!$Z:$Z, A199), 0) +
    IFERROR(SUMIFS('Acompanhamento quinzenal'!$AH:$AH, 'Acompanhamento quinzenal'!$AF:$AF, A199), 0)
  ) /
  (
    COUNTIF('Acompanhamento quinzenal'!$N:$N, A199) +
    COUNTIF('Acompanhamento quinzenal'!$T:$T, A199) +
    COUNTIF('Acompanhamento quinzenal'!$Z:$Z, A199) +
    COUNTIF('Acompanhamento quinzenal'!$AF:$AF, A199)
  )
)
</f>
        <v>-</v>
      </c>
      <c r="Y199" s="293" t="str">
        <f>IF(
  (
    COUNTIF('Acompanhamento quinzenal'!$N:$N, A199) +
    COUNTIF('Acompanhamento quinzenal'!$T:$T, A199) +
    COUNTIF('Acompanhamento quinzenal'!$Z:$Z, A199) +
    COUNTIF('Acompanhamento quinzenal'!$AF:$AF, A199)
  ) = 0,
  "-",
  (
    IFERROR(SUMIFS('Acompanhamento quinzenal'!$Q:$Q, 'Acompanhamento quinzenal'!$N:$N, A199), 0) +
    IFERROR(SUMIFS('Acompanhamento quinzenal'!$W:$W, 'Acompanhamento quinzenal'!$T:$T, A199), 0) +
    IFERROR(SUMIFS('Acompanhamento quinzenal'!$AC:$AC, 'Acompanhamento quinzenal'!$Z:$Z, A199), 0) +
    IFERROR(SUMIFS('Acompanhamento quinzenal'!$AI:$AI, 'Acompanhamento quinzenal'!$AF:$AF, A199), 0)
  ) /
  (
    COUNTIF('Acompanhamento quinzenal'!$N:$N, A199) +
    COUNTIF('Acompanhamento quinzenal'!$T:$T, A199) +
    COUNTIF('Acompanhamento quinzenal'!$Z:$Z, A199) +
    COUNTIF('Acompanhamento quinzenal'!$AF:$AF, A199)
  )
)
</f>
        <v>-</v>
      </c>
    </row>
    <row r="200" hidden="1">
      <c r="A200" s="291"/>
      <c r="B200" s="120"/>
      <c r="C200" s="120"/>
      <c r="D200" s="292" t="str">
        <f>IFERROR((COUNTIFS(Base!$V:$V,A200,Base!$S:$S,"&gt;8") - COUNTIFS(Base!$V:$V,A200,Base!$S:$S,"&lt;7"))/COUNTIFS(Base!$V:$V,A200,Base!$S:$S,"&lt;&gt;"),"-")</f>
        <v>-</v>
      </c>
      <c r="E200" s="292" t="str">
        <f>IF(
  (
    COUNTIFS(Base!$W:$W, A200, Base!$S:$S, "&lt;&gt;") +
    COUNTIFS(Base!$X:$X, A200, Base!$S:$S, "&lt;&gt;") +
    COUNTIFS(Base!$Y:$Y, A200, Base!$S:$S, "&lt;&gt;") +
    COUNTIFS(Base!$Z:$Z, A200, Base!$S:$S, "&lt;&gt;")
  ) = 0,
  "-",
  (
    COUNTIFS(Base!$W:$W, A200, Base!$S:$S, "&gt;8") - COUNTIFS(Base!$W:$W, A200, Base!$S:$S, "&lt;7") +
    COUNTIFS(Base!$X:$X, A200, Base!$S:$S, "&gt;8") - COUNTIFS(Base!$X:$X, A200, Base!$S:$S, "&lt;7") +
    COUNTIFS(Base!$Y:$Y, A200, Base!$S:$S, "&gt;8") - COUNTIFS(Base!$Y:$Y, A200, Base!$S:$S, "&lt;7") +
    COUNTIFS(Base!$Z:$Z, A200, Base!$S:$S, "&gt;8") - COUNTIFS(Base!$Z:$Z, A200, Base!$S:$S, "&lt;7")
  ) /
  (
    COUNTIFS(Base!$W:$W, A200, Base!$S:$S, "&lt;&gt;") +
    COUNTIFS(Base!$X:$X, A200, Base!$S:$S, "&lt;&gt;") +
    COUNTIFS(Base!$Y:$Y, A200, Base!$S:$S, "&lt;&gt;") +
    COUNTIFS(Base!$Z:$Z, A200, Base!$S:$S, "&lt;&gt;")
  )
)
</f>
        <v>-</v>
      </c>
      <c r="F200" s="120"/>
      <c r="G200" s="120"/>
      <c r="J200" s="292" t="str">
        <f t="shared" ref="J200:K200" si="201">IFERROR(F200/H200,"-")</f>
        <v>-</v>
      </c>
      <c r="K200" s="292" t="str">
        <f t="shared" si="201"/>
        <v>-</v>
      </c>
      <c r="L200" s="292" t="str">
        <f>IFERROR((COUNTIFS(Base!$V:$V,A200,Base!$U:$U,TRUE))/(COUNTIFS(Base!$V:$V,A200,Base!$O:$O,"Finalizado")+COUNTIFS(Base!$V:$V,A200,Base!$O:$O,"Concluído")),"-")</f>
        <v>-</v>
      </c>
      <c r="M200" s="292" t="str">
        <f>IF(
  (
    IFERROR(COUNTIF(Base!$W:$W, A200), 0) +
    IFERROR(COUNTIF(Base!$X:$X, A200), 0) +
    IFERROR(COUNTIF(Base!$Y:$Y, A200), 0) +
    IFERROR(COUNTIF(Base!$Z:$Z, A200), 0)
  ) = 0,
  "-",
  IF(
    (
      IFERROR(COUNTIFS(Base!$W:$W, A200, Base!$O:$O, "Finalizado"), 0) +
      IFERROR(COUNTIFS(Base!$W:$W, A200, Base!$O:$O, "Concluído"), 0) +
      IFERROR(COUNTIFS(Base!$X:$X, A200, Base!$O:$O, "Finalizado"), 0) +
      IFERROR(COUNTIFS(Base!$X:$X, A200, Base!$O:$O, "Concluído"), 0) +
      IFERROR(COUNTIFS(Base!$Y:$Y, A200, Base!$O:$O, "Finalizado"), 0) +
      IFERROR(COUNTIFS(Base!$Y:$Y, A200, Base!$O:$O, "Concluído"), 0) +
      IFERROR(COUNTIFS(Base!$Z:$Z, A200, Base!$O:$O, "Finalizado"), 0) +
      IFERROR(COUNTIFS(Base!$Z:$Z, A200, Base!$O:$O, "Concluído"), 0)
    ) = 0,
    "-",
    (
      IFERROR(COUNTIFS(Base!$W:$W, A200, Base!$U:$U, TRUE), 0) +
      IFERROR(COUNTIFS(Base!$X:$X, A200, Base!$U:$U, TRUE), 0) +
      IFERROR(COUNTIFS(Base!$Y:$Y, A200, Base!$U:$U, TRUE), 0) +
      IFERROR(COUNTIFS(Base!$Z:$Z, A200, Base!$U:$U, TRUE), 0)
    ) /
    (
      IFERROR(COUNTIFS(Base!$W:$W, A200, Base!$O:$O, "Finalizado"), 0) +
      IFERROR(COUNTIFS(Base!$W:$W, A200, Base!$O:$O, "Concluído"), 0) +
      IFERROR(COUNTIFS(Base!$X:$X, A200, Base!$O:$O, "Finalizado"), 0) +
      IFERROR(COUNTIFS(Base!$X:$X, A200, Base!$O:$O, "Concluído"), 0) +
      IFERROR(COUNTIFS(Base!$Y:$Y, A200, Base!$O:$O, "Finalizado"), 0) +
      IFERROR(COUNTIFS(Base!$Y:$Y, A200, Base!$O:$O, "Concluído"), 0) +
      IFERROR(COUNTIFS(Base!$Z:$Z, A200, Base!$O:$O, "Finalizado"), 0) +
      IFERROR(COUNTIFS(Base!$Z:$Z, A200, Base!$O:$O, "Concluído"), 0)
    )
  )
)
</f>
        <v>-</v>
      </c>
      <c r="N200" s="120">
        <f>COUNTIF(Base!V:V,$A200)</f>
        <v>0</v>
      </c>
      <c r="O200" s="120"/>
      <c r="P200" s="120"/>
      <c r="Q200" s="120"/>
      <c r="R200" s="120"/>
      <c r="S200" s="120"/>
      <c r="T200" s="120">
        <f t="shared" si="4"/>
        <v>0</v>
      </c>
      <c r="V200" s="293" t="str">
        <f>IF(
  (
    COUNTIF('Acompanhamento quinzenal'!$N:$N, A200) +
    COUNTIF('Acompanhamento quinzenal'!$T:$T, A200) +
    COUNTIF('Acompanhamento quinzenal'!$Z:$Z, A200) +
    COUNTIF('Acompanhamento quinzenal'!$AF:$AF, A200)
  ) = 0,
  "-",
  (
    IFERROR(SUMIFS('Acompanhamento quinzenal'!$S:$S, 'Acompanhamento quinzenal'!$N:$N, A200), 0) +
    IFERROR(SUMIFS('Acompanhamento quinzenal'!$Y:$Y, 'Acompanhamento quinzenal'!$T:$T, A200), 0) +
    IFERROR(SUMIFS('Acompanhamento quinzenal'!$AE:$AE, 'Acompanhamento quinzenal'!$Z:$Z, A200), 0) +
    IFERROR(SUMIFS('Acompanhamento quinzenal'!$AK:$AK, 'Acompanhamento quinzenal'!$AF:$AF, A200), 0)
  ) /
  (
    COUNTIF('Acompanhamento quinzenal'!$N:$N, A200) +
    COUNTIF('Acompanhamento quinzenal'!$T:$T, A200) +
    COUNTIF('Acompanhamento quinzenal'!$Z:$Z, A200) +
    COUNTIF('Acompanhamento quinzenal'!$AF:$AF, A200)
  )
)
</f>
        <v>-</v>
      </c>
      <c r="W200" s="293" t="str">
        <f>IF(
  (
    COUNTIF('Acompanhamento quinzenal'!$N:$N, A200) +
    COUNTIF('Acompanhamento quinzenal'!$T:$T, A200) +
    COUNTIF('Acompanhamento quinzenal'!$Z:$Z, A200) +
    COUNTIF('Acompanhamento quinzenal'!$AF:$AF, A200)
  ) = 0,
  "-",
  (
    IFERROR(SUMIFS('Acompanhamento quinzenal'!$O:$O, 'Acompanhamento quinzenal'!$N:$N, A200), 0) +
    IFERROR(SUMIFS('Acompanhamento quinzenal'!$U:$U, 'Acompanhamento quinzenal'!$T:$T, A200), 0) +
    IFERROR(SUMIFS('Acompanhamento quinzenal'!$AA:$AA, 'Acompanhamento quinzenal'!$Z:$Z, A200), 0) +
    IFERROR(SUMIFS('Acompanhamento quinzenal'!$AG:$AG, 'Acompanhamento quinzenal'!$AF:$AF, A200), 0)
  ) /
  (
    COUNTIF('Acompanhamento quinzenal'!$N:$N, A200) +
    COUNTIF('Acompanhamento quinzenal'!$T:$T, A200) +
    COUNTIF('Acompanhamento quinzenal'!$Z:$Z, A200) +
    COUNTIF('Acompanhamento quinzenal'!$AF:$AF, A200)
  )
)
</f>
        <v>-</v>
      </c>
      <c r="X200" s="294" t="str">
        <f>IF(
  (
    COUNTIF('Acompanhamento quinzenal'!$N:$N, A200) +
    COUNTIF('Acompanhamento quinzenal'!$T:$T, A200) +
    COUNTIF('Acompanhamento quinzenal'!$Z:$Z, A200) +
    COUNTIF('Acompanhamento quinzenal'!$AF:$AF, A200)
  ) = 0,
  "-",
  (
    IFERROR(SUMIFS('Acompanhamento quinzenal'!$P:$P, 'Acompanhamento quinzenal'!$N:$N, A200), 0) +
    IFERROR(SUMIFS('Acompanhamento quinzenal'!$V:$V, 'Acompanhamento quinzenal'!$T:$T, A200), 0) +
    IFERROR(SUMIFS('Acompanhamento quinzenal'!$AB:$AB, 'Acompanhamento quinzenal'!$Z:$Z, A200), 0) +
    IFERROR(SUMIFS('Acompanhamento quinzenal'!$AH:$AH, 'Acompanhamento quinzenal'!$AF:$AF, A200), 0)
  ) /
  (
    COUNTIF('Acompanhamento quinzenal'!$N:$N, A200) +
    COUNTIF('Acompanhamento quinzenal'!$T:$T, A200) +
    COUNTIF('Acompanhamento quinzenal'!$Z:$Z, A200) +
    COUNTIF('Acompanhamento quinzenal'!$AF:$AF, A200)
  )
)
</f>
        <v>-</v>
      </c>
      <c r="Y200" s="293" t="str">
        <f>IF(
  (
    COUNTIF('Acompanhamento quinzenal'!$N:$N, A200) +
    COUNTIF('Acompanhamento quinzenal'!$T:$T, A200) +
    COUNTIF('Acompanhamento quinzenal'!$Z:$Z, A200) +
    COUNTIF('Acompanhamento quinzenal'!$AF:$AF, A200)
  ) = 0,
  "-",
  (
    IFERROR(SUMIFS('Acompanhamento quinzenal'!$Q:$Q, 'Acompanhamento quinzenal'!$N:$N, A200), 0) +
    IFERROR(SUMIFS('Acompanhamento quinzenal'!$W:$W, 'Acompanhamento quinzenal'!$T:$T, A200), 0) +
    IFERROR(SUMIFS('Acompanhamento quinzenal'!$AC:$AC, 'Acompanhamento quinzenal'!$Z:$Z, A200), 0) +
    IFERROR(SUMIFS('Acompanhamento quinzenal'!$AI:$AI, 'Acompanhamento quinzenal'!$AF:$AF, A200), 0)
  ) /
  (
    COUNTIF('Acompanhamento quinzenal'!$N:$N, A200) +
    COUNTIF('Acompanhamento quinzenal'!$T:$T, A200) +
    COUNTIF('Acompanhamento quinzenal'!$Z:$Z, A200) +
    COUNTIF('Acompanhamento quinzenal'!$AF:$AF, A200)
  )
)
</f>
        <v>-</v>
      </c>
    </row>
    <row r="201" hidden="1">
      <c r="A201" s="291"/>
      <c r="B201" s="120"/>
      <c r="C201" s="120"/>
      <c r="D201" s="292" t="str">
        <f>IFERROR((COUNTIFS(Base!$V:$V,A201,Base!$S:$S,"&gt;8") - COUNTIFS(Base!$V:$V,A201,Base!$S:$S,"&lt;7"))/COUNTIFS(Base!$V:$V,A201,Base!$S:$S,"&lt;&gt;"),"-")</f>
        <v>-</v>
      </c>
      <c r="E201" s="292" t="str">
        <f>IF(
  (
    COUNTIFS(Base!$W:$W, A201, Base!$S:$S, "&lt;&gt;") +
    COUNTIFS(Base!$X:$X, A201, Base!$S:$S, "&lt;&gt;") +
    COUNTIFS(Base!$Y:$Y, A201, Base!$S:$S, "&lt;&gt;") +
    COUNTIFS(Base!$Z:$Z, A201, Base!$S:$S, "&lt;&gt;")
  ) = 0,
  "-",
  (
    COUNTIFS(Base!$W:$W, A201, Base!$S:$S, "&gt;8") - COUNTIFS(Base!$W:$W, A201, Base!$S:$S, "&lt;7") +
    COUNTIFS(Base!$X:$X, A201, Base!$S:$S, "&gt;8") - COUNTIFS(Base!$X:$X, A201, Base!$S:$S, "&lt;7") +
    COUNTIFS(Base!$Y:$Y, A201, Base!$S:$S, "&gt;8") - COUNTIFS(Base!$Y:$Y, A201, Base!$S:$S, "&lt;7") +
    COUNTIFS(Base!$Z:$Z, A201, Base!$S:$S, "&gt;8") - COUNTIFS(Base!$Z:$Z, A201, Base!$S:$S, "&lt;7")
  ) /
  (
    COUNTIFS(Base!$W:$W, A201, Base!$S:$S, "&lt;&gt;") +
    COUNTIFS(Base!$X:$X, A201, Base!$S:$S, "&lt;&gt;") +
    COUNTIFS(Base!$Y:$Y, A201, Base!$S:$S, "&lt;&gt;") +
    COUNTIFS(Base!$Z:$Z, A201, Base!$S:$S, "&lt;&gt;")
  )
)
</f>
        <v>-</v>
      </c>
      <c r="F201" s="120"/>
      <c r="G201" s="120"/>
      <c r="J201" s="292" t="str">
        <f t="shared" ref="J201:K201" si="202">IFERROR(F201/H201,"-")</f>
        <v>-</v>
      </c>
      <c r="K201" s="292" t="str">
        <f t="shared" si="202"/>
        <v>-</v>
      </c>
      <c r="L201" s="292" t="str">
        <f>IFERROR((COUNTIFS(Base!$V:$V,A201,Base!$U:$U,TRUE))/(COUNTIFS(Base!$V:$V,A201,Base!$O:$O,"Finalizado")+COUNTIFS(Base!$V:$V,A201,Base!$O:$O,"Concluído")),"-")</f>
        <v>-</v>
      </c>
      <c r="M201" s="292" t="str">
        <f>IF(
  (
    IFERROR(COUNTIF(Base!$W:$W, A201), 0) +
    IFERROR(COUNTIF(Base!$X:$X, A201), 0) +
    IFERROR(COUNTIF(Base!$Y:$Y, A201), 0) +
    IFERROR(COUNTIF(Base!$Z:$Z, A201), 0)
  ) = 0,
  "-",
  IF(
    (
      IFERROR(COUNTIFS(Base!$W:$W, A201, Base!$O:$O, "Finalizado"), 0) +
      IFERROR(COUNTIFS(Base!$W:$W, A201, Base!$O:$O, "Concluído"), 0) +
      IFERROR(COUNTIFS(Base!$X:$X, A201, Base!$O:$O, "Finalizado"), 0) +
      IFERROR(COUNTIFS(Base!$X:$X, A201, Base!$O:$O, "Concluído"), 0) +
      IFERROR(COUNTIFS(Base!$Y:$Y, A201, Base!$O:$O, "Finalizado"), 0) +
      IFERROR(COUNTIFS(Base!$Y:$Y, A201, Base!$O:$O, "Concluído"), 0) +
      IFERROR(COUNTIFS(Base!$Z:$Z, A201, Base!$O:$O, "Finalizado"), 0) +
      IFERROR(COUNTIFS(Base!$Z:$Z, A201, Base!$O:$O, "Concluído"), 0)
    ) = 0,
    "-",
    (
      IFERROR(COUNTIFS(Base!$W:$W, A201, Base!$U:$U, TRUE), 0) +
      IFERROR(COUNTIFS(Base!$X:$X, A201, Base!$U:$U, TRUE), 0) +
      IFERROR(COUNTIFS(Base!$Y:$Y, A201, Base!$U:$U, TRUE), 0) +
      IFERROR(COUNTIFS(Base!$Z:$Z, A201, Base!$U:$U, TRUE), 0)
    ) /
    (
      IFERROR(COUNTIFS(Base!$W:$W, A201, Base!$O:$O, "Finalizado"), 0) +
      IFERROR(COUNTIFS(Base!$W:$W, A201, Base!$O:$O, "Concluído"), 0) +
      IFERROR(COUNTIFS(Base!$X:$X, A201, Base!$O:$O, "Finalizado"), 0) +
      IFERROR(COUNTIFS(Base!$X:$X, A201, Base!$O:$O, "Concluído"), 0) +
      IFERROR(COUNTIFS(Base!$Y:$Y, A201, Base!$O:$O, "Finalizado"), 0) +
      IFERROR(COUNTIFS(Base!$Y:$Y, A201, Base!$O:$O, "Concluído"), 0) +
      IFERROR(COUNTIFS(Base!$Z:$Z, A201, Base!$O:$O, "Finalizado"), 0) +
      IFERROR(COUNTIFS(Base!$Z:$Z, A201, Base!$O:$O, "Concluído"), 0)
    )
  )
)
</f>
        <v>-</v>
      </c>
      <c r="N201" s="120">
        <f>COUNTIF(Base!V:V,$A201)</f>
        <v>0</v>
      </c>
      <c r="O201" s="120"/>
      <c r="P201" s="120"/>
      <c r="Q201" s="120"/>
      <c r="R201" s="120"/>
      <c r="S201" s="120"/>
      <c r="T201" s="120">
        <f t="shared" si="4"/>
        <v>0</v>
      </c>
      <c r="V201" s="293" t="str">
        <f>IF(
  (
    COUNTIF('Acompanhamento quinzenal'!$N:$N, A201) +
    COUNTIF('Acompanhamento quinzenal'!$T:$T, A201) +
    COUNTIF('Acompanhamento quinzenal'!$Z:$Z, A201) +
    COUNTIF('Acompanhamento quinzenal'!$AF:$AF, A201)
  ) = 0,
  "-",
  (
    IFERROR(SUMIFS('Acompanhamento quinzenal'!$S:$S, 'Acompanhamento quinzenal'!$N:$N, A201), 0) +
    IFERROR(SUMIFS('Acompanhamento quinzenal'!$Y:$Y, 'Acompanhamento quinzenal'!$T:$T, A201), 0) +
    IFERROR(SUMIFS('Acompanhamento quinzenal'!$AE:$AE, 'Acompanhamento quinzenal'!$Z:$Z, A201), 0) +
    IFERROR(SUMIFS('Acompanhamento quinzenal'!$AK:$AK, 'Acompanhamento quinzenal'!$AF:$AF, A201), 0)
  ) /
  (
    COUNTIF('Acompanhamento quinzenal'!$N:$N, A201) +
    COUNTIF('Acompanhamento quinzenal'!$T:$T, A201) +
    COUNTIF('Acompanhamento quinzenal'!$Z:$Z, A201) +
    COUNTIF('Acompanhamento quinzenal'!$AF:$AF, A201)
  )
)
</f>
        <v>-</v>
      </c>
      <c r="W201" s="293" t="str">
        <f>IF(
  (
    COUNTIF('Acompanhamento quinzenal'!$N:$N, A201) +
    COUNTIF('Acompanhamento quinzenal'!$T:$T, A201) +
    COUNTIF('Acompanhamento quinzenal'!$Z:$Z, A201) +
    COUNTIF('Acompanhamento quinzenal'!$AF:$AF, A201)
  ) = 0,
  "-",
  (
    IFERROR(SUMIFS('Acompanhamento quinzenal'!$O:$O, 'Acompanhamento quinzenal'!$N:$N, A201), 0) +
    IFERROR(SUMIFS('Acompanhamento quinzenal'!$U:$U, 'Acompanhamento quinzenal'!$T:$T, A201), 0) +
    IFERROR(SUMIFS('Acompanhamento quinzenal'!$AA:$AA, 'Acompanhamento quinzenal'!$Z:$Z, A201), 0) +
    IFERROR(SUMIFS('Acompanhamento quinzenal'!$AG:$AG, 'Acompanhamento quinzenal'!$AF:$AF, A201), 0)
  ) /
  (
    COUNTIF('Acompanhamento quinzenal'!$N:$N, A201) +
    COUNTIF('Acompanhamento quinzenal'!$T:$T, A201) +
    COUNTIF('Acompanhamento quinzenal'!$Z:$Z, A201) +
    COUNTIF('Acompanhamento quinzenal'!$AF:$AF, A201)
  )
)
</f>
        <v>-</v>
      </c>
      <c r="X201" s="294" t="str">
        <f>IF(
  (
    COUNTIF('Acompanhamento quinzenal'!$N:$N, A201) +
    COUNTIF('Acompanhamento quinzenal'!$T:$T, A201) +
    COUNTIF('Acompanhamento quinzenal'!$Z:$Z, A201) +
    COUNTIF('Acompanhamento quinzenal'!$AF:$AF, A201)
  ) = 0,
  "-",
  (
    IFERROR(SUMIFS('Acompanhamento quinzenal'!$P:$P, 'Acompanhamento quinzenal'!$N:$N, A201), 0) +
    IFERROR(SUMIFS('Acompanhamento quinzenal'!$V:$V, 'Acompanhamento quinzenal'!$T:$T, A201), 0) +
    IFERROR(SUMIFS('Acompanhamento quinzenal'!$AB:$AB, 'Acompanhamento quinzenal'!$Z:$Z, A201), 0) +
    IFERROR(SUMIFS('Acompanhamento quinzenal'!$AH:$AH, 'Acompanhamento quinzenal'!$AF:$AF, A201), 0)
  ) /
  (
    COUNTIF('Acompanhamento quinzenal'!$N:$N, A201) +
    COUNTIF('Acompanhamento quinzenal'!$T:$T, A201) +
    COUNTIF('Acompanhamento quinzenal'!$Z:$Z, A201) +
    COUNTIF('Acompanhamento quinzenal'!$AF:$AF, A201)
  )
)
</f>
        <v>-</v>
      </c>
      <c r="Y201" s="293" t="str">
        <f>IF(
  (
    COUNTIF('Acompanhamento quinzenal'!$N:$N, A201) +
    COUNTIF('Acompanhamento quinzenal'!$T:$T, A201) +
    COUNTIF('Acompanhamento quinzenal'!$Z:$Z, A201) +
    COUNTIF('Acompanhamento quinzenal'!$AF:$AF, A201)
  ) = 0,
  "-",
  (
    IFERROR(SUMIFS('Acompanhamento quinzenal'!$Q:$Q, 'Acompanhamento quinzenal'!$N:$N, A201), 0) +
    IFERROR(SUMIFS('Acompanhamento quinzenal'!$W:$W, 'Acompanhamento quinzenal'!$T:$T, A201), 0) +
    IFERROR(SUMIFS('Acompanhamento quinzenal'!$AC:$AC, 'Acompanhamento quinzenal'!$Z:$Z, A201), 0) +
    IFERROR(SUMIFS('Acompanhamento quinzenal'!$AI:$AI, 'Acompanhamento quinzenal'!$AF:$AF, A201), 0)
  ) /
  (
    COUNTIF('Acompanhamento quinzenal'!$N:$N, A201) +
    COUNTIF('Acompanhamento quinzenal'!$T:$T, A201) +
    COUNTIF('Acompanhamento quinzenal'!$Z:$Z, A201) +
    COUNTIF('Acompanhamento quinzenal'!$AF:$AF, A201)
  )
)
</f>
        <v>-</v>
      </c>
    </row>
    <row r="202" hidden="1">
      <c r="A202" s="291"/>
      <c r="B202" s="120"/>
      <c r="C202" s="120"/>
      <c r="D202" s="292" t="str">
        <f>IFERROR((COUNTIFS(Base!$V:$V,A202,Base!$S:$S,"&gt;8") - COUNTIFS(Base!$V:$V,A202,Base!$S:$S,"&lt;7"))/COUNTIFS(Base!$V:$V,A202,Base!$S:$S,"&lt;&gt;"),"-")</f>
        <v>-</v>
      </c>
      <c r="E202" s="292" t="str">
        <f>IF(
  (
    COUNTIFS(Base!$W:$W, A202, Base!$S:$S, "&lt;&gt;") +
    COUNTIFS(Base!$X:$X, A202, Base!$S:$S, "&lt;&gt;") +
    COUNTIFS(Base!$Y:$Y, A202, Base!$S:$S, "&lt;&gt;") +
    COUNTIFS(Base!$Z:$Z, A202, Base!$S:$S, "&lt;&gt;")
  ) = 0,
  "-",
  (
    COUNTIFS(Base!$W:$W, A202, Base!$S:$S, "&gt;8") - COUNTIFS(Base!$W:$W, A202, Base!$S:$S, "&lt;7") +
    COUNTIFS(Base!$X:$X, A202, Base!$S:$S, "&gt;8") - COUNTIFS(Base!$X:$X, A202, Base!$S:$S, "&lt;7") +
    COUNTIFS(Base!$Y:$Y, A202, Base!$S:$S, "&gt;8") - COUNTIFS(Base!$Y:$Y, A202, Base!$S:$S, "&lt;7") +
    COUNTIFS(Base!$Z:$Z, A202, Base!$S:$S, "&gt;8") - COUNTIFS(Base!$Z:$Z, A202, Base!$S:$S, "&lt;7")
  ) /
  (
    COUNTIFS(Base!$W:$W, A202, Base!$S:$S, "&lt;&gt;") +
    COUNTIFS(Base!$X:$X, A202, Base!$S:$S, "&lt;&gt;") +
    COUNTIFS(Base!$Y:$Y, A202, Base!$S:$S, "&lt;&gt;") +
    COUNTIFS(Base!$Z:$Z, A202, Base!$S:$S, "&lt;&gt;")
  )
)
</f>
        <v>-</v>
      </c>
      <c r="F202" s="120"/>
      <c r="G202" s="120"/>
      <c r="J202" s="292" t="str">
        <f t="shared" ref="J202:K202" si="203">IFERROR(F202/H202,"-")</f>
        <v>-</v>
      </c>
      <c r="K202" s="292" t="str">
        <f t="shared" si="203"/>
        <v>-</v>
      </c>
      <c r="L202" s="292" t="str">
        <f>IFERROR((COUNTIFS(Base!$V:$V,A202,Base!$U:$U,TRUE))/(COUNTIFS(Base!$V:$V,A202,Base!$O:$O,"Finalizado")+COUNTIFS(Base!$V:$V,A202,Base!$O:$O,"Concluído")),"-")</f>
        <v>-</v>
      </c>
      <c r="M202" s="292" t="str">
        <f>IF(
  (
    IFERROR(COUNTIF(Base!$W:$W, A202), 0) +
    IFERROR(COUNTIF(Base!$X:$X, A202), 0) +
    IFERROR(COUNTIF(Base!$Y:$Y, A202), 0) +
    IFERROR(COUNTIF(Base!$Z:$Z, A202), 0)
  ) = 0,
  "-",
  IF(
    (
      IFERROR(COUNTIFS(Base!$W:$W, A202, Base!$O:$O, "Finalizado"), 0) +
      IFERROR(COUNTIFS(Base!$W:$W, A202, Base!$O:$O, "Concluído"), 0) +
      IFERROR(COUNTIFS(Base!$X:$X, A202, Base!$O:$O, "Finalizado"), 0) +
      IFERROR(COUNTIFS(Base!$X:$X, A202, Base!$O:$O, "Concluído"), 0) +
      IFERROR(COUNTIFS(Base!$Y:$Y, A202, Base!$O:$O, "Finalizado"), 0) +
      IFERROR(COUNTIFS(Base!$Y:$Y, A202, Base!$O:$O, "Concluído"), 0) +
      IFERROR(COUNTIFS(Base!$Z:$Z, A202, Base!$O:$O, "Finalizado"), 0) +
      IFERROR(COUNTIFS(Base!$Z:$Z, A202, Base!$O:$O, "Concluído"), 0)
    ) = 0,
    "-",
    (
      IFERROR(COUNTIFS(Base!$W:$W, A202, Base!$U:$U, TRUE), 0) +
      IFERROR(COUNTIFS(Base!$X:$X, A202, Base!$U:$U, TRUE), 0) +
      IFERROR(COUNTIFS(Base!$Y:$Y, A202, Base!$U:$U, TRUE), 0) +
      IFERROR(COUNTIFS(Base!$Z:$Z, A202, Base!$U:$U, TRUE), 0)
    ) /
    (
      IFERROR(COUNTIFS(Base!$W:$W, A202, Base!$O:$O, "Finalizado"), 0) +
      IFERROR(COUNTIFS(Base!$W:$W, A202, Base!$O:$O, "Concluído"), 0) +
      IFERROR(COUNTIFS(Base!$X:$X, A202, Base!$O:$O, "Finalizado"), 0) +
      IFERROR(COUNTIFS(Base!$X:$X, A202, Base!$O:$O, "Concluído"), 0) +
      IFERROR(COUNTIFS(Base!$Y:$Y, A202, Base!$O:$O, "Finalizado"), 0) +
      IFERROR(COUNTIFS(Base!$Y:$Y, A202, Base!$O:$O, "Concluído"), 0) +
      IFERROR(COUNTIFS(Base!$Z:$Z, A202, Base!$O:$O, "Finalizado"), 0) +
      IFERROR(COUNTIFS(Base!$Z:$Z, A202, Base!$O:$O, "Concluído"), 0)
    )
  )
)
</f>
        <v>-</v>
      </c>
      <c r="N202" s="120">
        <f>COUNTIF(Base!V:V,$A202)</f>
        <v>0</v>
      </c>
      <c r="O202" s="120"/>
      <c r="P202" s="120"/>
      <c r="Q202" s="120"/>
      <c r="R202" s="120"/>
      <c r="S202" s="120"/>
      <c r="T202" s="120">
        <f t="shared" si="4"/>
        <v>0</v>
      </c>
      <c r="V202" s="293" t="str">
        <f>IF(
  (
    COUNTIF('Acompanhamento quinzenal'!$N:$N, A202) +
    COUNTIF('Acompanhamento quinzenal'!$T:$T, A202) +
    COUNTIF('Acompanhamento quinzenal'!$Z:$Z, A202) +
    COUNTIF('Acompanhamento quinzenal'!$AF:$AF, A202)
  ) = 0,
  "-",
  (
    IFERROR(SUMIFS('Acompanhamento quinzenal'!$S:$S, 'Acompanhamento quinzenal'!$N:$N, A202), 0) +
    IFERROR(SUMIFS('Acompanhamento quinzenal'!$Y:$Y, 'Acompanhamento quinzenal'!$T:$T, A202), 0) +
    IFERROR(SUMIFS('Acompanhamento quinzenal'!$AE:$AE, 'Acompanhamento quinzenal'!$Z:$Z, A202), 0) +
    IFERROR(SUMIFS('Acompanhamento quinzenal'!$AK:$AK, 'Acompanhamento quinzenal'!$AF:$AF, A202), 0)
  ) /
  (
    COUNTIF('Acompanhamento quinzenal'!$N:$N, A202) +
    COUNTIF('Acompanhamento quinzenal'!$T:$T, A202) +
    COUNTIF('Acompanhamento quinzenal'!$Z:$Z, A202) +
    COUNTIF('Acompanhamento quinzenal'!$AF:$AF, A202)
  )
)
</f>
        <v>-</v>
      </c>
      <c r="W202" s="293" t="str">
        <f>IF(
  (
    COUNTIF('Acompanhamento quinzenal'!$N:$N, A202) +
    COUNTIF('Acompanhamento quinzenal'!$T:$T, A202) +
    COUNTIF('Acompanhamento quinzenal'!$Z:$Z, A202) +
    COUNTIF('Acompanhamento quinzenal'!$AF:$AF, A202)
  ) = 0,
  "-",
  (
    IFERROR(SUMIFS('Acompanhamento quinzenal'!$O:$O, 'Acompanhamento quinzenal'!$N:$N, A202), 0) +
    IFERROR(SUMIFS('Acompanhamento quinzenal'!$U:$U, 'Acompanhamento quinzenal'!$T:$T, A202), 0) +
    IFERROR(SUMIFS('Acompanhamento quinzenal'!$AA:$AA, 'Acompanhamento quinzenal'!$Z:$Z, A202), 0) +
    IFERROR(SUMIFS('Acompanhamento quinzenal'!$AG:$AG, 'Acompanhamento quinzenal'!$AF:$AF, A202), 0)
  ) /
  (
    COUNTIF('Acompanhamento quinzenal'!$N:$N, A202) +
    COUNTIF('Acompanhamento quinzenal'!$T:$T, A202) +
    COUNTIF('Acompanhamento quinzenal'!$Z:$Z, A202) +
    COUNTIF('Acompanhamento quinzenal'!$AF:$AF, A202)
  )
)
</f>
        <v>-</v>
      </c>
      <c r="X202" s="294" t="str">
        <f>IF(
  (
    COUNTIF('Acompanhamento quinzenal'!$N:$N, A202) +
    COUNTIF('Acompanhamento quinzenal'!$T:$T, A202) +
    COUNTIF('Acompanhamento quinzenal'!$Z:$Z, A202) +
    COUNTIF('Acompanhamento quinzenal'!$AF:$AF, A202)
  ) = 0,
  "-",
  (
    IFERROR(SUMIFS('Acompanhamento quinzenal'!$P:$P, 'Acompanhamento quinzenal'!$N:$N, A202), 0) +
    IFERROR(SUMIFS('Acompanhamento quinzenal'!$V:$V, 'Acompanhamento quinzenal'!$T:$T, A202), 0) +
    IFERROR(SUMIFS('Acompanhamento quinzenal'!$AB:$AB, 'Acompanhamento quinzenal'!$Z:$Z, A202), 0) +
    IFERROR(SUMIFS('Acompanhamento quinzenal'!$AH:$AH, 'Acompanhamento quinzenal'!$AF:$AF, A202), 0)
  ) /
  (
    COUNTIF('Acompanhamento quinzenal'!$N:$N, A202) +
    COUNTIF('Acompanhamento quinzenal'!$T:$T, A202) +
    COUNTIF('Acompanhamento quinzenal'!$Z:$Z, A202) +
    COUNTIF('Acompanhamento quinzenal'!$AF:$AF, A202)
  )
)
</f>
        <v>-</v>
      </c>
      <c r="Y202" s="293" t="str">
        <f>IF(
  (
    COUNTIF('Acompanhamento quinzenal'!$N:$N, A202) +
    COUNTIF('Acompanhamento quinzenal'!$T:$T, A202) +
    COUNTIF('Acompanhamento quinzenal'!$Z:$Z, A202) +
    COUNTIF('Acompanhamento quinzenal'!$AF:$AF, A202)
  ) = 0,
  "-",
  (
    IFERROR(SUMIFS('Acompanhamento quinzenal'!$Q:$Q, 'Acompanhamento quinzenal'!$N:$N, A202), 0) +
    IFERROR(SUMIFS('Acompanhamento quinzenal'!$W:$W, 'Acompanhamento quinzenal'!$T:$T, A202), 0) +
    IFERROR(SUMIFS('Acompanhamento quinzenal'!$AC:$AC, 'Acompanhamento quinzenal'!$Z:$Z, A202), 0) +
    IFERROR(SUMIFS('Acompanhamento quinzenal'!$AI:$AI, 'Acompanhamento quinzenal'!$AF:$AF, A202), 0)
  ) /
  (
    COUNTIF('Acompanhamento quinzenal'!$N:$N, A202) +
    COUNTIF('Acompanhamento quinzenal'!$T:$T, A202) +
    COUNTIF('Acompanhamento quinzenal'!$Z:$Z, A202) +
    COUNTIF('Acompanhamento quinzenal'!$AF:$AF, A202)
  )
)
</f>
        <v>-</v>
      </c>
    </row>
    <row r="203" hidden="1">
      <c r="A203" s="291"/>
      <c r="B203" s="120"/>
      <c r="C203" s="120"/>
      <c r="D203" s="292" t="str">
        <f>IFERROR((COUNTIFS(Base!$V:$V,A203,Base!$S:$S,"&gt;8") - COUNTIFS(Base!$V:$V,A203,Base!$S:$S,"&lt;7"))/COUNTIFS(Base!$V:$V,A203,Base!$S:$S,"&lt;&gt;"),"-")</f>
        <v>-</v>
      </c>
      <c r="E203" s="292" t="str">
        <f>IF(
  (
    COUNTIFS(Base!$W:$W, A203, Base!$S:$S, "&lt;&gt;") +
    COUNTIFS(Base!$X:$X, A203, Base!$S:$S, "&lt;&gt;") +
    COUNTIFS(Base!$Y:$Y, A203, Base!$S:$S, "&lt;&gt;") +
    COUNTIFS(Base!$Z:$Z, A203, Base!$S:$S, "&lt;&gt;")
  ) = 0,
  "-",
  (
    COUNTIFS(Base!$W:$W, A203, Base!$S:$S, "&gt;8") - COUNTIFS(Base!$W:$W, A203, Base!$S:$S, "&lt;7") +
    COUNTIFS(Base!$X:$X, A203, Base!$S:$S, "&gt;8") - COUNTIFS(Base!$X:$X, A203, Base!$S:$S, "&lt;7") +
    COUNTIFS(Base!$Y:$Y, A203, Base!$S:$S, "&gt;8") - COUNTIFS(Base!$Y:$Y, A203, Base!$S:$S, "&lt;7") +
    COUNTIFS(Base!$Z:$Z, A203, Base!$S:$S, "&gt;8") - COUNTIFS(Base!$Z:$Z, A203, Base!$S:$S, "&lt;7")
  ) /
  (
    COUNTIFS(Base!$W:$W, A203, Base!$S:$S, "&lt;&gt;") +
    COUNTIFS(Base!$X:$X, A203, Base!$S:$S, "&lt;&gt;") +
    COUNTIFS(Base!$Y:$Y, A203, Base!$S:$S, "&lt;&gt;") +
    COUNTIFS(Base!$Z:$Z, A203, Base!$S:$S, "&lt;&gt;")
  )
)
</f>
        <v>-</v>
      </c>
      <c r="F203" s="120"/>
      <c r="G203" s="120"/>
      <c r="J203" s="292" t="str">
        <f t="shared" ref="J203:K203" si="204">IFERROR(F203/H203,"-")</f>
        <v>-</v>
      </c>
      <c r="K203" s="292" t="str">
        <f t="shared" si="204"/>
        <v>-</v>
      </c>
      <c r="L203" s="292" t="str">
        <f>IFERROR((COUNTIFS(Base!$V:$V,A203,Base!$U:$U,TRUE))/(COUNTIFS(Base!$V:$V,A203,Base!$O:$O,"Finalizado")+COUNTIFS(Base!$V:$V,A203,Base!$O:$O,"Concluído")),"-")</f>
        <v>-</v>
      </c>
      <c r="M203" s="292" t="str">
        <f>IF(
  (
    IFERROR(COUNTIF(Base!$W:$W, A203), 0) +
    IFERROR(COUNTIF(Base!$X:$X, A203), 0) +
    IFERROR(COUNTIF(Base!$Y:$Y, A203), 0) +
    IFERROR(COUNTIF(Base!$Z:$Z, A203), 0)
  ) = 0,
  "-",
  IF(
    (
      IFERROR(COUNTIFS(Base!$W:$W, A203, Base!$O:$O, "Finalizado"), 0) +
      IFERROR(COUNTIFS(Base!$W:$W, A203, Base!$O:$O, "Concluído"), 0) +
      IFERROR(COUNTIFS(Base!$X:$X, A203, Base!$O:$O, "Finalizado"), 0) +
      IFERROR(COUNTIFS(Base!$X:$X, A203, Base!$O:$O, "Concluído"), 0) +
      IFERROR(COUNTIFS(Base!$Y:$Y, A203, Base!$O:$O, "Finalizado"), 0) +
      IFERROR(COUNTIFS(Base!$Y:$Y, A203, Base!$O:$O, "Concluído"), 0) +
      IFERROR(COUNTIFS(Base!$Z:$Z, A203, Base!$O:$O, "Finalizado"), 0) +
      IFERROR(COUNTIFS(Base!$Z:$Z, A203, Base!$O:$O, "Concluído"), 0)
    ) = 0,
    "-",
    (
      IFERROR(COUNTIFS(Base!$W:$W, A203, Base!$U:$U, TRUE), 0) +
      IFERROR(COUNTIFS(Base!$X:$X, A203, Base!$U:$U, TRUE), 0) +
      IFERROR(COUNTIFS(Base!$Y:$Y, A203, Base!$U:$U, TRUE), 0) +
      IFERROR(COUNTIFS(Base!$Z:$Z, A203, Base!$U:$U, TRUE), 0)
    ) /
    (
      IFERROR(COUNTIFS(Base!$W:$W, A203, Base!$O:$O, "Finalizado"), 0) +
      IFERROR(COUNTIFS(Base!$W:$W, A203, Base!$O:$O, "Concluído"), 0) +
      IFERROR(COUNTIFS(Base!$X:$X, A203, Base!$O:$O, "Finalizado"), 0) +
      IFERROR(COUNTIFS(Base!$X:$X, A203, Base!$O:$O, "Concluído"), 0) +
      IFERROR(COUNTIFS(Base!$Y:$Y, A203, Base!$O:$O, "Finalizado"), 0) +
      IFERROR(COUNTIFS(Base!$Y:$Y, A203, Base!$O:$O, "Concluído"), 0) +
      IFERROR(COUNTIFS(Base!$Z:$Z, A203, Base!$O:$O, "Finalizado"), 0) +
      IFERROR(COUNTIFS(Base!$Z:$Z, A203, Base!$O:$O, "Concluído"), 0)
    )
  )
)
</f>
        <v>-</v>
      </c>
      <c r="N203" s="120">
        <f>COUNTIF(Base!V:V,$A203)</f>
        <v>0</v>
      </c>
      <c r="O203" s="120"/>
      <c r="P203" s="120"/>
      <c r="Q203" s="120"/>
      <c r="R203" s="120"/>
      <c r="S203" s="120"/>
      <c r="T203" s="120">
        <f t="shared" si="4"/>
        <v>0</v>
      </c>
      <c r="V203" s="293" t="str">
        <f>IF(
  (
    COUNTIF('Acompanhamento quinzenal'!$N:$N, A203) +
    COUNTIF('Acompanhamento quinzenal'!$T:$T, A203) +
    COUNTIF('Acompanhamento quinzenal'!$Z:$Z, A203) +
    COUNTIF('Acompanhamento quinzenal'!$AF:$AF, A203)
  ) = 0,
  "-",
  (
    IFERROR(SUMIFS('Acompanhamento quinzenal'!$S:$S, 'Acompanhamento quinzenal'!$N:$N, A203), 0) +
    IFERROR(SUMIFS('Acompanhamento quinzenal'!$Y:$Y, 'Acompanhamento quinzenal'!$T:$T, A203), 0) +
    IFERROR(SUMIFS('Acompanhamento quinzenal'!$AE:$AE, 'Acompanhamento quinzenal'!$Z:$Z, A203), 0) +
    IFERROR(SUMIFS('Acompanhamento quinzenal'!$AK:$AK, 'Acompanhamento quinzenal'!$AF:$AF, A203), 0)
  ) /
  (
    COUNTIF('Acompanhamento quinzenal'!$N:$N, A203) +
    COUNTIF('Acompanhamento quinzenal'!$T:$T, A203) +
    COUNTIF('Acompanhamento quinzenal'!$Z:$Z, A203) +
    COUNTIF('Acompanhamento quinzenal'!$AF:$AF, A203)
  )
)
</f>
        <v>-</v>
      </c>
      <c r="W203" s="293" t="str">
        <f>IF(
  (
    COUNTIF('Acompanhamento quinzenal'!$N:$N, A203) +
    COUNTIF('Acompanhamento quinzenal'!$T:$T, A203) +
    COUNTIF('Acompanhamento quinzenal'!$Z:$Z, A203) +
    COUNTIF('Acompanhamento quinzenal'!$AF:$AF, A203)
  ) = 0,
  "-",
  (
    IFERROR(SUMIFS('Acompanhamento quinzenal'!$O:$O, 'Acompanhamento quinzenal'!$N:$N, A203), 0) +
    IFERROR(SUMIFS('Acompanhamento quinzenal'!$U:$U, 'Acompanhamento quinzenal'!$T:$T, A203), 0) +
    IFERROR(SUMIFS('Acompanhamento quinzenal'!$AA:$AA, 'Acompanhamento quinzenal'!$Z:$Z, A203), 0) +
    IFERROR(SUMIFS('Acompanhamento quinzenal'!$AG:$AG, 'Acompanhamento quinzenal'!$AF:$AF, A203), 0)
  ) /
  (
    COUNTIF('Acompanhamento quinzenal'!$N:$N, A203) +
    COUNTIF('Acompanhamento quinzenal'!$T:$T, A203) +
    COUNTIF('Acompanhamento quinzenal'!$Z:$Z, A203) +
    COUNTIF('Acompanhamento quinzenal'!$AF:$AF, A203)
  )
)
</f>
        <v>-</v>
      </c>
      <c r="X203" s="294" t="str">
        <f>IF(
  (
    COUNTIF('Acompanhamento quinzenal'!$N:$N, A203) +
    COUNTIF('Acompanhamento quinzenal'!$T:$T, A203) +
    COUNTIF('Acompanhamento quinzenal'!$Z:$Z, A203) +
    COUNTIF('Acompanhamento quinzenal'!$AF:$AF, A203)
  ) = 0,
  "-",
  (
    IFERROR(SUMIFS('Acompanhamento quinzenal'!$P:$P, 'Acompanhamento quinzenal'!$N:$N, A203), 0) +
    IFERROR(SUMIFS('Acompanhamento quinzenal'!$V:$V, 'Acompanhamento quinzenal'!$T:$T, A203), 0) +
    IFERROR(SUMIFS('Acompanhamento quinzenal'!$AB:$AB, 'Acompanhamento quinzenal'!$Z:$Z, A203), 0) +
    IFERROR(SUMIFS('Acompanhamento quinzenal'!$AH:$AH, 'Acompanhamento quinzenal'!$AF:$AF, A203), 0)
  ) /
  (
    COUNTIF('Acompanhamento quinzenal'!$N:$N, A203) +
    COUNTIF('Acompanhamento quinzenal'!$T:$T, A203) +
    COUNTIF('Acompanhamento quinzenal'!$Z:$Z, A203) +
    COUNTIF('Acompanhamento quinzenal'!$AF:$AF, A203)
  )
)
</f>
        <v>-</v>
      </c>
      <c r="Y203" s="293" t="str">
        <f>IF(
  (
    COUNTIF('Acompanhamento quinzenal'!$N:$N, A203) +
    COUNTIF('Acompanhamento quinzenal'!$T:$T, A203) +
    COUNTIF('Acompanhamento quinzenal'!$Z:$Z, A203) +
    COUNTIF('Acompanhamento quinzenal'!$AF:$AF, A203)
  ) = 0,
  "-",
  (
    IFERROR(SUMIFS('Acompanhamento quinzenal'!$Q:$Q, 'Acompanhamento quinzenal'!$N:$N, A203), 0) +
    IFERROR(SUMIFS('Acompanhamento quinzenal'!$W:$W, 'Acompanhamento quinzenal'!$T:$T, A203), 0) +
    IFERROR(SUMIFS('Acompanhamento quinzenal'!$AC:$AC, 'Acompanhamento quinzenal'!$Z:$Z, A203), 0) +
    IFERROR(SUMIFS('Acompanhamento quinzenal'!$AI:$AI, 'Acompanhamento quinzenal'!$AF:$AF, A203), 0)
  ) /
  (
    COUNTIF('Acompanhamento quinzenal'!$N:$N, A203) +
    COUNTIF('Acompanhamento quinzenal'!$T:$T, A203) +
    COUNTIF('Acompanhamento quinzenal'!$Z:$Z, A203) +
    COUNTIF('Acompanhamento quinzenal'!$AF:$AF, A203)
  )
)
</f>
        <v>-</v>
      </c>
    </row>
    <row r="204" hidden="1">
      <c r="A204" s="291"/>
      <c r="B204" s="120"/>
      <c r="C204" s="120"/>
      <c r="D204" s="292" t="str">
        <f>IFERROR((COUNTIFS(Base!$V:$V,A204,Base!$S:$S,"&gt;8") - COUNTIFS(Base!$V:$V,A204,Base!$S:$S,"&lt;7"))/COUNTIFS(Base!$V:$V,A204,Base!$S:$S,"&lt;&gt;"),"-")</f>
        <v>-</v>
      </c>
      <c r="E204" s="292" t="str">
        <f>IF(
  (
    COUNTIFS(Base!$W:$W, A204, Base!$S:$S, "&lt;&gt;") +
    COUNTIFS(Base!$X:$X, A204, Base!$S:$S, "&lt;&gt;") +
    COUNTIFS(Base!$Y:$Y, A204, Base!$S:$S, "&lt;&gt;") +
    COUNTIFS(Base!$Z:$Z, A204, Base!$S:$S, "&lt;&gt;")
  ) = 0,
  "-",
  (
    COUNTIFS(Base!$W:$W, A204, Base!$S:$S, "&gt;8") - COUNTIFS(Base!$W:$W, A204, Base!$S:$S, "&lt;7") +
    COUNTIFS(Base!$X:$X, A204, Base!$S:$S, "&gt;8") - COUNTIFS(Base!$X:$X, A204, Base!$S:$S, "&lt;7") +
    COUNTIFS(Base!$Y:$Y, A204, Base!$S:$S, "&gt;8") - COUNTIFS(Base!$Y:$Y, A204, Base!$S:$S, "&lt;7") +
    COUNTIFS(Base!$Z:$Z, A204, Base!$S:$S, "&gt;8") - COUNTIFS(Base!$Z:$Z, A204, Base!$S:$S, "&lt;7")
  ) /
  (
    COUNTIFS(Base!$W:$W, A204, Base!$S:$S, "&lt;&gt;") +
    COUNTIFS(Base!$X:$X, A204, Base!$S:$S, "&lt;&gt;") +
    COUNTIFS(Base!$Y:$Y, A204, Base!$S:$S, "&lt;&gt;") +
    COUNTIFS(Base!$Z:$Z, A204, Base!$S:$S, "&lt;&gt;")
  )
)
</f>
        <v>-</v>
      </c>
      <c r="F204" s="120"/>
      <c r="G204" s="120"/>
      <c r="J204" s="292" t="str">
        <f t="shared" ref="J204:K204" si="205">IFERROR(F204/H204,"-")</f>
        <v>-</v>
      </c>
      <c r="K204" s="292" t="str">
        <f t="shared" si="205"/>
        <v>-</v>
      </c>
      <c r="L204" s="292" t="str">
        <f>IFERROR((COUNTIFS(Base!$V:$V,A204,Base!$U:$U,TRUE))/(COUNTIFS(Base!$V:$V,A204,Base!$O:$O,"Finalizado")+COUNTIFS(Base!$V:$V,A204,Base!$O:$O,"Concluído")),"-")</f>
        <v>-</v>
      </c>
      <c r="M204" s="292" t="str">
        <f>IF(
  (
    IFERROR(COUNTIF(Base!$W:$W, A204), 0) +
    IFERROR(COUNTIF(Base!$X:$X, A204), 0) +
    IFERROR(COUNTIF(Base!$Y:$Y, A204), 0) +
    IFERROR(COUNTIF(Base!$Z:$Z, A204), 0)
  ) = 0,
  "-",
  IF(
    (
      IFERROR(COUNTIFS(Base!$W:$W, A204, Base!$O:$O, "Finalizado"), 0) +
      IFERROR(COUNTIFS(Base!$W:$W, A204, Base!$O:$O, "Concluído"), 0) +
      IFERROR(COUNTIFS(Base!$X:$X, A204, Base!$O:$O, "Finalizado"), 0) +
      IFERROR(COUNTIFS(Base!$X:$X, A204, Base!$O:$O, "Concluído"), 0) +
      IFERROR(COUNTIFS(Base!$Y:$Y, A204, Base!$O:$O, "Finalizado"), 0) +
      IFERROR(COUNTIFS(Base!$Y:$Y, A204, Base!$O:$O, "Concluído"), 0) +
      IFERROR(COUNTIFS(Base!$Z:$Z, A204, Base!$O:$O, "Finalizado"), 0) +
      IFERROR(COUNTIFS(Base!$Z:$Z, A204, Base!$O:$O, "Concluído"), 0)
    ) = 0,
    "-",
    (
      IFERROR(COUNTIFS(Base!$W:$W, A204, Base!$U:$U, TRUE), 0) +
      IFERROR(COUNTIFS(Base!$X:$X, A204, Base!$U:$U, TRUE), 0) +
      IFERROR(COUNTIFS(Base!$Y:$Y, A204, Base!$U:$U, TRUE), 0) +
      IFERROR(COUNTIFS(Base!$Z:$Z, A204, Base!$U:$U, TRUE), 0)
    ) /
    (
      IFERROR(COUNTIFS(Base!$W:$W, A204, Base!$O:$O, "Finalizado"), 0) +
      IFERROR(COUNTIFS(Base!$W:$W, A204, Base!$O:$O, "Concluído"), 0) +
      IFERROR(COUNTIFS(Base!$X:$X, A204, Base!$O:$O, "Finalizado"), 0) +
      IFERROR(COUNTIFS(Base!$X:$X, A204, Base!$O:$O, "Concluído"), 0) +
      IFERROR(COUNTIFS(Base!$Y:$Y, A204, Base!$O:$O, "Finalizado"), 0) +
      IFERROR(COUNTIFS(Base!$Y:$Y, A204, Base!$O:$O, "Concluído"), 0) +
      IFERROR(COUNTIFS(Base!$Z:$Z, A204, Base!$O:$O, "Finalizado"), 0) +
      IFERROR(COUNTIFS(Base!$Z:$Z, A204, Base!$O:$O, "Concluído"), 0)
    )
  )
)
</f>
        <v>-</v>
      </c>
      <c r="N204" s="120">
        <f>COUNTIF(Base!V:V,$A204)</f>
        <v>0</v>
      </c>
      <c r="O204" s="120"/>
      <c r="P204" s="120"/>
      <c r="Q204" s="120"/>
      <c r="R204" s="120"/>
      <c r="S204" s="120"/>
      <c r="T204" s="120">
        <f t="shared" si="4"/>
        <v>0</v>
      </c>
      <c r="V204" s="293" t="str">
        <f>IF(
  (
    COUNTIF('Acompanhamento quinzenal'!$N:$N, A204) +
    COUNTIF('Acompanhamento quinzenal'!$T:$T, A204) +
    COUNTIF('Acompanhamento quinzenal'!$Z:$Z, A204) +
    COUNTIF('Acompanhamento quinzenal'!$AF:$AF, A204)
  ) = 0,
  "-",
  (
    IFERROR(SUMIFS('Acompanhamento quinzenal'!$S:$S, 'Acompanhamento quinzenal'!$N:$N, A204), 0) +
    IFERROR(SUMIFS('Acompanhamento quinzenal'!$Y:$Y, 'Acompanhamento quinzenal'!$T:$T, A204), 0) +
    IFERROR(SUMIFS('Acompanhamento quinzenal'!$AE:$AE, 'Acompanhamento quinzenal'!$Z:$Z, A204), 0) +
    IFERROR(SUMIFS('Acompanhamento quinzenal'!$AK:$AK, 'Acompanhamento quinzenal'!$AF:$AF, A204), 0)
  ) /
  (
    COUNTIF('Acompanhamento quinzenal'!$N:$N, A204) +
    COUNTIF('Acompanhamento quinzenal'!$T:$T, A204) +
    COUNTIF('Acompanhamento quinzenal'!$Z:$Z, A204) +
    COUNTIF('Acompanhamento quinzenal'!$AF:$AF, A204)
  )
)
</f>
        <v>-</v>
      </c>
      <c r="W204" s="293" t="str">
        <f>IF(
  (
    COUNTIF('Acompanhamento quinzenal'!$N:$N, A204) +
    COUNTIF('Acompanhamento quinzenal'!$T:$T, A204) +
    COUNTIF('Acompanhamento quinzenal'!$Z:$Z, A204) +
    COUNTIF('Acompanhamento quinzenal'!$AF:$AF, A204)
  ) = 0,
  "-",
  (
    IFERROR(SUMIFS('Acompanhamento quinzenal'!$O:$O, 'Acompanhamento quinzenal'!$N:$N, A204), 0) +
    IFERROR(SUMIFS('Acompanhamento quinzenal'!$U:$U, 'Acompanhamento quinzenal'!$T:$T, A204), 0) +
    IFERROR(SUMIFS('Acompanhamento quinzenal'!$AA:$AA, 'Acompanhamento quinzenal'!$Z:$Z, A204), 0) +
    IFERROR(SUMIFS('Acompanhamento quinzenal'!$AG:$AG, 'Acompanhamento quinzenal'!$AF:$AF, A204), 0)
  ) /
  (
    COUNTIF('Acompanhamento quinzenal'!$N:$N, A204) +
    COUNTIF('Acompanhamento quinzenal'!$T:$T, A204) +
    COUNTIF('Acompanhamento quinzenal'!$Z:$Z, A204) +
    COUNTIF('Acompanhamento quinzenal'!$AF:$AF, A204)
  )
)
</f>
        <v>-</v>
      </c>
      <c r="X204" s="294" t="str">
        <f>IF(
  (
    COUNTIF('Acompanhamento quinzenal'!$N:$N, A204) +
    COUNTIF('Acompanhamento quinzenal'!$T:$T, A204) +
    COUNTIF('Acompanhamento quinzenal'!$Z:$Z, A204) +
    COUNTIF('Acompanhamento quinzenal'!$AF:$AF, A204)
  ) = 0,
  "-",
  (
    IFERROR(SUMIFS('Acompanhamento quinzenal'!$P:$P, 'Acompanhamento quinzenal'!$N:$N, A204), 0) +
    IFERROR(SUMIFS('Acompanhamento quinzenal'!$V:$V, 'Acompanhamento quinzenal'!$T:$T, A204), 0) +
    IFERROR(SUMIFS('Acompanhamento quinzenal'!$AB:$AB, 'Acompanhamento quinzenal'!$Z:$Z, A204), 0) +
    IFERROR(SUMIFS('Acompanhamento quinzenal'!$AH:$AH, 'Acompanhamento quinzenal'!$AF:$AF, A204), 0)
  ) /
  (
    COUNTIF('Acompanhamento quinzenal'!$N:$N, A204) +
    COUNTIF('Acompanhamento quinzenal'!$T:$T, A204) +
    COUNTIF('Acompanhamento quinzenal'!$Z:$Z, A204) +
    COUNTIF('Acompanhamento quinzenal'!$AF:$AF, A204)
  )
)
</f>
        <v>-</v>
      </c>
      <c r="Y204" s="293" t="str">
        <f>IF(
  (
    COUNTIF('Acompanhamento quinzenal'!$N:$N, A204) +
    COUNTIF('Acompanhamento quinzenal'!$T:$T, A204) +
    COUNTIF('Acompanhamento quinzenal'!$Z:$Z, A204) +
    COUNTIF('Acompanhamento quinzenal'!$AF:$AF, A204)
  ) = 0,
  "-",
  (
    IFERROR(SUMIFS('Acompanhamento quinzenal'!$Q:$Q, 'Acompanhamento quinzenal'!$N:$N, A204), 0) +
    IFERROR(SUMIFS('Acompanhamento quinzenal'!$W:$W, 'Acompanhamento quinzenal'!$T:$T, A204), 0) +
    IFERROR(SUMIFS('Acompanhamento quinzenal'!$AC:$AC, 'Acompanhamento quinzenal'!$Z:$Z, A204), 0) +
    IFERROR(SUMIFS('Acompanhamento quinzenal'!$AI:$AI, 'Acompanhamento quinzenal'!$AF:$AF, A204), 0)
  ) /
  (
    COUNTIF('Acompanhamento quinzenal'!$N:$N, A204) +
    COUNTIF('Acompanhamento quinzenal'!$T:$T, A204) +
    COUNTIF('Acompanhamento quinzenal'!$Z:$Z, A204) +
    COUNTIF('Acompanhamento quinzenal'!$AF:$AF, A204)
  )
)
</f>
        <v>-</v>
      </c>
    </row>
    <row r="205" hidden="1">
      <c r="A205" s="291"/>
      <c r="B205" s="120"/>
      <c r="C205" s="120"/>
      <c r="D205" s="292" t="str">
        <f>IFERROR((COUNTIFS(Base!$V:$V,A205,Base!$S:$S,"&gt;8") - COUNTIFS(Base!$V:$V,A205,Base!$S:$S,"&lt;7"))/COUNTIFS(Base!$V:$V,A205,Base!$S:$S,"&lt;&gt;"),"-")</f>
        <v>-</v>
      </c>
      <c r="E205" s="292" t="str">
        <f>IF(
  (
    COUNTIFS(Base!$W:$W, A205, Base!$S:$S, "&lt;&gt;") +
    COUNTIFS(Base!$X:$X, A205, Base!$S:$S, "&lt;&gt;") +
    COUNTIFS(Base!$Y:$Y, A205, Base!$S:$S, "&lt;&gt;") +
    COUNTIFS(Base!$Z:$Z, A205, Base!$S:$S, "&lt;&gt;")
  ) = 0,
  "-",
  (
    COUNTIFS(Base!$W:$W, A205, Base!$S:$S, "&gt;8") - COUNTIFS(Base!$W:$W, A205, Base!$S:$S, "&lt;7") +
    COUNTIFS(Base!$X:$X, A205, Base!$S:$S, "&gt;8") - COUNTIFS(Base!$X:$X, A205, Base!$S:$S, "&lt;7") +
    COUNTIFS(Base!$Y:$Y, A205, Base!$S:$S, "&gt;8") - COUNTIFS(Base!$Y:$Y, A205, Base!$S:$S, "&lt;7") +
    COUNTIFS(Base!$Z:$Z, A205, Base!$S:$S, "&gt;8") - COUNTIFS(Base!$Z:$Z, A205, Base!$S:$S, "&lt;7")
  ) /
  (
    COUNTIFS(Base!$W:$W, A205, Base!$S:$S, "&lt;&gt;") +
    COUNTIFS(Base!$X:$X, A205, Base!$S:$S, "&lt;&gt;") +
    COUNTIFS(Base!$Y:$Y, A205, Base!$S:$S, "&lt;&gt;") +
    COUNTIFS(Base!$Z:$Z, A205, Base!$S:$S, "&lt;&gt;")
  )
)
</f>
        <v>-</v>
      </c>
      <c r="F205" s="120"/>
      <c r="G205" s="120"/>
      <c r="J205" s="292" t="str">
        <f t="shared" ref="J205:K205" si="206">IFERROR(F205/H205,"-")</f>
        <v>-</v>
      </c>
      <c r="K205" s="292" t="str">
        <f t="shared" si="206"/>
        <v>-</v>
      </c>
      <c r="L205" s="292" t="str">
        <f>IFERROR((COUNTIFS(Base!$V:$V,A205,Base!$U:$U,TRUE))/(COUNTIFS(Base!$V:$V,A205,Base!$O:$O,"Finalizado")+COUNTIFS(Base!$V:$V,A205,Base!$O:$O,"Concluído")),"-")</f>
        <v>-</v>
      </c>
      <c r="M205" s="292" t="str">
        <f>IF(
  (
    IFERROR(COUNTIF(Base!$W:$W, A205), 0) +
    IFERROR(COUNTIF(Base!$X:$X, A205), 0) +
    IFERROR(COUNTIF(Base!$Y:$Y, A205), 0) +
    IFERROR(COUNTIF(Base!$Z:$Z, A205), 0)
  ) = 0,
  "-",
  IF(
    (
      IFERROR(COUNTIFS(Base!$W:$W, A205, Base!$O:$O, "Finalizado"), 0) +
      IFERROR(COUNTIFS(Base!$W:$W, A205, Base!$O:$O, "Concluído"), 0) +
      IFERROR(COUNTIFS(Base!$X:$X, A205, Base!$O:$O, "Finalizado"), 0) +
      IFERROR(COUNTIFS(Base!$X:$X, A205, Base!$O:$O, "Concluído"), 0) +
      IFERROR(COUNTIFS(Base!$Y:$Y, A205, Base!$O:$O, "Finalizado"), 0) +
      IFERROR(COUNTIFS(Base!$Y:$Y, A205, Base!$O:$O, "Concluído"), 0) +
      IFERROR(COUNTIFS(Base!$Z:$Z, A205, Base!$O:$O, "Finalizado"), 0) +
      IFERROR(COUNTIFS(Base!$Z:$Z, A205, Base!$O:$O, "Concluído"), 0)
    ) = 0,
    "-",
    (
      IFERROR(COUNTIFS(Base!$W:$W, A205, Base!$U:$U, TRUE), 0) +
      IFERROR(COUNTIFS(Base!$X:$X, A205, Base!$U:$U, TRUE), 0) +
      IFERROR(COUNTIFS(Base!$Y:$Y, A205, Base!$U:$U, TRUE), 0) +
      IFERROR(COUNTIFS(Base!$Z:$Z, A205, Base!$U:$U, TRUE), 0)
    ) /
    (
      IFERROR(COUNTIFS(Base!$W:$W, A205, Base!$O:$O, "Finalizado"), 0) +
      IFERROR(COUNTIFS(Base!$W:$W, A205, Base!$O:$O, "Concluído"), 0) +
      IFERROR(COUNTIFS(Base!$X:$X, A205, Base!$O:$O, "Finalizado"), 0) +
      IFERROR(COUNTIFS(Base!$X:$X, A205, Base!$O:$O, "Concluído"), 0) +
      IFERROR(COUNTIFS(Base!$Y:$Y, A205, Base!$O:$O, "Finalizado"), 0) +
      IFERROR(COUNTIFS(Base!$Y:$Y, A205, Base!$O:$O, "Concluído"), 0) +
      IFERROR(COUNTIFS(Base!$Z:$Z, A205, Base!$O:$O, "Finalizado"), 0) +
      IFERROR(COUNTIFS(Base!$Z:$Z, A205, Base!$O:$O, "Concluído"), 0)
    )
  )
)
</f>
        <v>-</v>
      </c>
      <c r="N205" s="120">
        <f>COUNTIF(Base!V:V,$A205)</f>
        <v>0</v>
      </c>
      <c r="O205" s="120"/>
      <c r="P205" s="120"/>
      <c r="Q205" s="120"/>
      <c r="R205" s="120"/>
      <c r="S205" s="120"/>
      <c r="T205" s="120">
        <f t="shared" si="4"/>
        <v>0</v>
      </c>
      <c r="V205" s="293" t="str">
        <f>IF(
  (
    COUNTIF('Acompanhamento quinzenal'!$N:$N, A205) +
    COUNTIF('Acompanhamento quinzenal'!$T:$T, A205) +
    COUNTIF('Acompanhamento quinzenal'!$Z:$Z, A205) +
    COUNTIF('Acompanhamento quinzenal'!$AF:$AF, A205)
  ) = 0,
  "-",
  (
    IFERROR(SUMIFS('Acompanhamento quinzenal'!$S:$S, 'Acompanhamento quinzenal'!$N:$N, A205), 0) +
    IFERROR(SUMIFS('Acompanhamento quinzenal'!$Y:$Y, 'Acompanhamento quinzenal'!$T:$T, A205), 0) +
    IFERROR(SUMIFS('Acompanhamento quinzenal'!$AE:$AE, 'Acompanhamento quinzenal'!$Z:$Z, A205), 0) +
    IFERROR(SUMIFS('Acompanhamento quinzenal'!$AK:$AK, 'Acompanhamento quinzenal'!$AF:$AF, A205), 0)
  ) /
  (
    COUNTIF('Acompanhamento quinzenal'!$N:$N, A205) +
    COUNTIF('Acompanhamento quinzenal'!$T:$T, A205) +
    COUNTIF('Acompanhamento quinzenal'!$Z:$Z, A205) +
    COUNTIF('Acompanhamento quinzenal'!$AF:$AF, A205)
  )
)
</f>
        <v>-</v>
      </c>
      <c r="W205" s="293" t="str">
        <f>IF(
  (
    COUNTIF('Acompanhamento quinzenal'!$N:$N, A205) +
    COUNTIF('Acompanhamento quinzenal'!$T:$T, A205) +
    COUNTIF('Acompanhamento quinzenal'!$Z:$Z, A205) +
    COUNTIF('Acompanhamento quinzenal'!$AF:$AF, A205)
  ) = 0,
  "-",
  (
    IFERROR(SUMIFS('Acompanhamento quinzenal'!$O:$O, 'Acompanhamento quinzenal'!$N:$N, A205), 0) +
    IFERROR(SUMIFS('Acompanhamento quinzenal'!$U:$U, 'Acompanhamento quinzenal'!$T:$T, A205), 0) +
    IFERROR(SUMIFS('Acompanhamento quinzenal'!$AA:$AA, 'Acompanhamento quinzenal'!$Z:$Z, A205), 0) +
    IFERROR(SUMIFS('Acompanhamento quinzenal'!$AG:$AG, 'Acompanhamento quinzenal'!$AF:$AF, A205), 0)
  ) /
  (
    COUNTIF('Acompanhamento quinzenal'!$N:$N, A205) +
    COUNTIF('Acompanhamento quinzenal'!$T:$T, A205) +
    COUNTIF('Acompanhamento quinzenal'!$Z:$Z, A205) +
    COUNTIF('Acompanhamento quinzenal'!$AF:$AF, A205)
  )
)
</f>
        <v>-</v>
      </c>
      <c r="X205" s="294" t="str">
        <f>IF(
  (
    COUNTIF('Acompanhamento quinzenal'!$N:$N, A205) +
    COUNTIF('Acompanhamento quinzenal'!$T:$T, A205) +
    COUNTIF('Acompanhamento quinzenal'!$Z:$Z, A205) +
    COUNTIF('Acompanhamento quinzenal'!$AF:$AF, A205)
  ) = 0,
  "-",
  (
    IFERROR(SUMIFS('Acompanhamento quinzenal'!$P:$P, 'Acompanhamento quinzenal'!$N:$N, A205), 0) +
    IFERROR(SUMIFS('Acompanhamento quinzenal'!$V:$V, 'Acompanhamento quinzenal'!$T:$T, A205), 0) +
    IFERROR(SUMIFS('Acompanhamento quinzenal'!$AB:$AB, 'Acompanhamento quinzenal'!$Z:$Z, A205), 0) +
    IFERROR(SUMIFS('Acompanhamento quinzenal'!$AH:$AH, 'Acompanhamento quinzenal'!$AF:$AF, A205), 0)
  ) /
  (
    COUNTIF('Acompanhamento quinzenal'!$N:$N, A205) +
    COUNTIF('Acompanhamento quinzenal'!$T:$T, A205) +
    COUNTIF('Acompanhamento quinzenal'!$Z:$Z, A205) +
    COUNTIF('Acompanhamento quinzenal'!$AF:$AF, A205)
  )
)
</f>
        <v>-</v>
      </c>
      <c r="Y205" s="293" t="str">
        <f>IF(
  (
    COUNTIF('Acompanhamento quinzenal'!$N:$N, A205) +
    COUNTIF('Acompanhamento quinzenal'!$T:$T, A205) +
    COUNTIF('Acompanhamento quinzenal'!$Z:$Z, A205) +
    COUNTIF('Acompanhamento quinzenal'!$AF:$AF, A205)
  ) = 0,
  "-",
  (
    IFERROR(SUMIFS('Acompanhamento quinzenal'!$Q:$Q, 'Acompanhamento quinzenal'!$N:$N, A205), 0) +
    IFERROR(SUMIFS('Acompanhamento quinzenal'!$W:$W, 'Acompanhamento quinzenal'!$T:$T, A205), 0) +
    IFERROR(SUMIFS('Acompanhamento quinzenal'!$AC:$AC, 'Acompanhamento quinzenal'!$Z:$Z, A205), 0) +
    IFERROR(SUMIFS('Acompanhamento quinzenal'!$AI:$AI, 'Acompanhamento quinzenal'!$AF:$AF, A205), 0)
  ) /
  (
    COUNTIF('Acompanhamento quinzenal'!$N:$N, A205) +
    COUNTIF('Acompanhamento quinzenal'!$T:$T, A205) +
    COUNTIF('Acompanhamento quinzenal'!$Z:$Z, A205) +
    COUNTIF('Acompanhamento quinzenal'!$AF:$AF, A205)
  )
)
</f>
        <v>-</v>
      </c>
    </row>
    <row r="206" hidden="1">
      <c r="A206" s="291"/>
      <c r="B206" s="120"/>
      <c r="C206" s="120"/>
      <c r="D206" s="292" t="str">
        <f>IFERROR((COUNTIFS(Base!$V:$V,A206,Base!$S:$S,"&gt;8") - COUNTIFS(Base!$V:$V,A206,Base!$S:$S,"&lt;7"))/COUNTIFS(Base!$V:$V,A206,Base!$S:$S,"&lt;&gt;"),"-")</f>
        <v>-</v>
      </c>
      <c r="E206" s="292" t="str">
        <f>IF(
  (
    COUNTIFS(Base!$W:$W, A206, Base!$S:$S, "&lt;&gt;") +
    COUNTIFS(Base!$X:$X, A206, Base!$S:$S, "&lt;&gt;") +
    COUNTIFS(Base!$Y:$Y, A206, Base!$S:$S, "&lt;&gt;") +
    COUNTIFS(Base!$Z:$Z, A206, Base!$S:$S, "&lt;&gt;")
  ) = 0,
  "-",
  (
    COUNTIFS(Base!$W:$W, A206, Base!$S:$S, "&gt;8") - COUNTIFS(Base!$W:$W, A206, Base!$S:$S, "&lt;7") +
    COUNTIFS(Base!$X:$X, A206, Base!$S:$S, "&gt;8") - COUNTIFS(Base!$X:$X, A206, Base!$S:$S, "&lt;7") +
    COUNTIFS(Base!$Y:$Y, A206, Base!$S:$S, "&gt;8") - COUNTIFS(Base!$Y:$Y, A206, Base!$S:$S, "&lt;7") +
    COUNTIFS(Base!$Z:$Z, A206, Base!$S:$S, "&gt;8") - COUNTIFS(Base!$Z:$Z, A206, Base!$S:$S, "&lt;7")
  ) /
  (
    COUNTIFS(Base!$W:$W, A206, Base!$S:$S, "&lt;&gt;") +
    COUNTIFS(Base!$X:$X, A206, Base!$S:$S, "&lt;&gt;") +
    COUNTIFS(Base!$Y:$Y, A206, Base!$S:$S, "&lt;&gt;") +
    COUNTIFS(Base!$Z:$Z, A206, Base!$S:$S, "&lt;&gt;")
  )
)
</f>
        <v>-</v>
      </c>
      <c r="F206" s="120"/>
      <c r="G206" s="120"/>
      <c r="J206" s="292" t="str">
        <f t="shared" ref="J206:K206" si="207">IFERROR(F206/H206,"-")</f>
        <v>-</v>
      </c>
      <c r="K206" s="292" t="str">
        <f t="shared" si="207"/>
        <v>-</v>
      </c>
      <c r="L206" s="292" t="str">
        <f>IFERROR((COUNTIFS(Base!$V:$V,A206,Base!$U:$U,TRUE))/(COUNTIFS(Base!$V:$V,A206,Base!$O:$O,"Finalizado")+COUNTIFS(Base!$V:$V,A206,Base!$O:$O,"Concluído")),"-")</f>
        <v>-</v>
      </c>
      <c r="M206" s="292" t="str">
        <f>IF(
  (
    IFERROR(COUNTIF(Base!$W:$W, A206), 0) +
    IFERROR(COUNTIF(Base!$X:$X, A206), 0) +
    IFERROR(COUNTIF(Base!$Y:$Y, A206), 0) +
    IFERROR(COUNTIF(Base!$Z:$Z, A206), 0)
  ) = 0,
  "-",
  IF(
    (
      IFERROR(COUNTIFS(Base!$W:$W, A206, Base!$O:$O, "Finalizado"), 0) +
      IFERROR(COUNTIFS(Base!$W:$W, A206, Base!$O:$O, "Concluído"), 0) +
      IFERROR(COUNTIFS(Base!$X:$X, A206, Base!$O:$O, "Finalizado"), 0) +
      IFERROR(COUNTIFS(Base!$X:$X, A206, Base!$O:$O, "Concluído"), 0) +
      IFERROR(COUNTIFS(Base!$Y:$Y, A206, Base!$O:$O, "Finalizado"), 0) +
      IFERROR(COUNTIFS(Base!$Y:$Y, A206, Base!$O:$O, "Concluído"), 0) +
      IFERROR(COUNTIFS(Base!$Z:$Z, A206, Base!$O:$O, "Finalizado"), 0) +
      IFERROR(COUNTIFS(Base!$Z:$Z, A206, Base!$O:$O, "Concluído"), 0)
    ) = 0,
    "-",
    (
      IFERROR(COUNTIFS(Base!$W:$W, A206, Base!$U:$U, TRUE), 0) +
      IFERROR(COUNTIFS(Base!$X:$X, A206, Base!$U:$U, TRUE), 0) +
      IFERROR(COUNTIFS(Base!$Y:$Y, A206, Base!$U:$U, TRUE), 0) +
      IFERROR(COUNTIFS(Base!$Z:$Z, A206, Base!$U:$U, TRUE), 0)
    ) /
    (
      IFERROR(COUNTIFS(Base!$W:$W, A206, Base!$O:$O, "Finalizado"), 0) +
      IFERROR(COUNTIFS(Base!$W:$W, A206, Base!$O:$O, "Concluído"), 0) +
      IFERROR(COUNTIFS(Base!$X:$X, A206, Base!$O:$O, "Finalizado"), 0) +
      IFERROR(COUNTIFS(Base!$X:$X, A206, Base!$O:$O, "Concluído"), 0) +
      IFERROR(COUNTIFS(Base!$Y:$Y, A206, Base!$O:$O, "Finalizado"), 0) +
      IFERROR(COUNTIFS(Base!$Y:$Y, A206, Base!$O:$O, "Concluído"), 0) +
      IFERROR(COUNTIFS(Base!$Z:$Z, A206, Base!$O:$O, "Finalizado"), 0) +
      IFERROR(COUNTIFS(Base!$Z:$Z, A206, Base!$O:$O, "Concluído"), 0)
    )
  )
)
</f>
        <v>-</v>
      </c>
      <c r="N206" s="120">
        <f>COUNTIF(Base!V:V,$A206)</f>
        <v>0</v>
      </c>
      <c r="O206" s="120"/>
      <c r="P206" s="120"/>
      <c r="Q206" s="120"/>
      <c r="R206" s="120"/>
      <c r="S206" s="120"/>
      <c r="T206" s="120">
        <f t="shared" si="4"/>
        <v>0</v>
      </c>
      <c r="V206" s="293" t="str">
        <f>IF(
  (
    COUNTIF('Acompanhamento quinzenal'!$N:$N, A206) +
    COUNTIF('Acompanhamento quinzenal'!$T:$T, A206) +
    COUNTIF('Acompanhamento quinzenal'!$Z:$Z, A206) +
    COUNTIF('Acompanhamento quinzenal'!$AF:$AF, A206)
  ) = 0,
  "-",
  (
    IFERROR(SUMIFS('Acompanhamento quinzenal'!$S:$S, 'Acompanhamento quinzenal'!$N:$N, A206), 0) +
    IFERROR(SUMIFS('Acompanhamento quinzenal'!$Y:$Y, 'Acompanhamento quinzenal'!$T:$T, A206), 0) +
    IFERROR(SUMIFS('Acompanhamento quinzenal'!$AE:$AE, 'Acompanhamento quinzenal'!$Z:$Z, A206), 0) +
    IFERROR(SUMIFS('Acompanhamento quinzenal'!$AK:$AK, 'Acompanhamento quinzenal'!$AF:$AF, A206), 0)
  ) /
  (
    COUNTIF('Acompanhamento quinzenal'!$N:$N, A206) +
    COUNTIF('Acompanhamento quinzenal'!$T:$T, A206) +
    COUNTIF('Acompanhamento quinzenal'!$Z:$Z, A206) +
    COUNTIF('Acompanhamento quinzenal'!$AF:$AF, A206)
  )
)
</f>
        <v>-</v>
      </c>
      <c r="W206" s="293" t="str">
        <f>IF(
  (
    COUNTIF('Acompanhamento quinzenal'!$N:$N, A206) +
    COUNTIF('Acompanhamento quinzenal'!$T:$T, A206) +
    COUNTIF('Acompanhamento quinzenal'!$Z:$Z, A206) +
    COUNTIF('Acompanhamento quinzenal'!$AF:$AF, A206)
  ) = 0,
  "-",
  (
    IFERROR(SUMIFS('Acompanhamento quinzenal'!$O:$O, 'Acompanhamento quinzenal'!$N:$N, A206), 0) +
    IFERROR(SUMIFS('Acompanhamento quinzenal'!$U:$U, 'Acompanhamento quinzenal'!$T:$T, A206), 0) +
    IFERROR(SUMIFS('Acompanhamento quinzenal'!$AA:$AA, 'Acompanhamento quinzenal'!$Z:$Z, A206), 0) +
    IFERROR(SUMIFS('Acompanhamento quinzenal'!$AG:$AG, 'Acompanhamento quinzenal'!$AF:$AF, A206), 0)
  ) /
  (
    COUNTIF('Acompanhamento quinzenal'!$N:$N, A206) +
    COUNTIF('Acompanhamento quinzenal'!$T:$T, A206) +
    COUNTIF('Acompanhamento quinzenal'!$Z:$Z, A206) +
    COUNTIF('Acompanhamento quinzenal'!$AF:$AF, A206)
  )
)
</f>
        <v>-</v>
      </c>
      <c r="X206" s="294" t="str">
        <f>IF(
  (
    COUNTIF('Acompanhamento quinzenal'!$N:$N, A206) +
    COUNTIF('Acompanhamento quinzenal'!$T:$T, A206) +
    COUNTIF('Acompanhamento quinzenal'!$Z:$Z, A206) +
    COUNTIF('Acompanhamento quinzenal'!$AF:$AF, A206)
  ) = 0,
  "-",
  (
    IFERROR(SUMIFS('Acompanhamento quinzenal'!$P:$P, 'Acompanhamento quinzenal'!$N:$N, A206), 0) +
    IFERROR(SUMIFS('Acompanhamento quinzenal'!$V:$V, 'Acompanhamento quinzenal'!$T:$T, A206), 0) +
    IFERROR(SUMIFS('Acompanhamento quinzenal'!$AB:$AB, 'Acompanhamento quinzenal'!$Z:$Z, A206), 0) +
    IFERROR(SUMIFS('Acompanhamento quinzenal'!$AH:$AH, 'Acompanhamento quinzenal'!$AF:$AF, A206), 0)
  ) /
  (
    COUNTIF('Acompanhamento quinzenal'!$N:$N, A206) +
    COUNTIF('Acompanhamento quinzenal'!$T:$T, A206) +
    COUNTIF('Acompanhamento quinzenal'!$Z:$Z, A206) +
    COUNTIF('Acompanhamento quinzenal'!$AF:$AF, A206)
  )
)
</f>
        <v>-</v>
      </c>
      <c r="Y206" s="293" t="str">
        <f>IF(
  (
    COUNTIF('Acompanhamento quinzenal'!$N:$N, A206) +
    COUNTIF('Acompanhamento quinzenal'!$T:$T, A206) +
    COUNTIF('Acompanhamento quinzenal'!$Z:$Z, A206) +
    COUNTIF('Acompanhamento quinzenal'!$AF:$AF, A206)
  ) = 0,
  "-",
  (
    IFERROR(SUMIFS('Acompanhamento quinzenal'!$Q:$Q, 'Acompanhamento quinzenal'!$N:$N, A206), 0) +
    IFERROR(SUMIFS('Acompanhamento quinzenal'!$W:$W, 'Acompanhamento quinzenal'!$T:$T, A206), 0) +
    IFERROR(SUMIFS('Acompanhamento quinzenal'!$AC:$AC, 'Acompanhamento quinzenal'!$Z:$Z, A206), 0) +
    IFERROR(SUMIFS('Acompanhamento quinzenal'!$AI:$AI, 'Acompanhamento quinzenal'!$AF:$AF, A206), 0)
  ) /
  (
    COUNTIF('Acompanhamento quinzenal'!$N:$N, A206) +
    COUNTIF('Acompanhamento quinzenal'!$T:$T, A206) +
    COUNTIF('Acompanhamento quinzenal'!$Z:$Z, A206) +
    COUNTIF('Acompanhamento quinzenal'!$AF:$AF, A206)
  )
)
</f>
        <v>-</v>
      </c>
    </row>
    <row r="207" hidden="1">
      <c r="A207" s="291"/>
      <c r="B207" s="120"/>
      <c r="C207" s="120"/>
      <c r="D207" s="292" t="str">
        <f>IFERROR((COUNTIFS(Base!$V:$V,A207,Base!$S:$S,"&gt;8") - COUNTIFS(Base!$V:$V,A207,Base!$S:$S,"&lt;7"))/COUNTIFS(Base!$V:$V,A207,Base!$S:$S,"&lt;&gt;"),"-")</f>
        <v>-</v>
      </c>
      <c r="E207" s="292" t="str">
        <f>IF(
  (
    COUNTIFS(Base!$W:$W, A207, Base!$S:$S, "&lt;&gt;") +
    COUNTIFS(Base!$X:$X, A207, Base!$S:$S, "&lt;&gt;") +
    COUNTIFS(Base!$Y:$Y, A207, Base!$S:$S, "&lt;&gt;") +
    COUNTIFS(Base!$Z:$Z, A207, Base!$S:$S, "&lt;&gt;")
  ) = 0,
  "-",
  (
    COUNTIFS(Base!$W:$W, A207, Base!$S:$S, "&gt;8") - COUNTIFS(Base!$W:$W, A207, Base!$S:$S, "&lt;7") +
    COUNTIFS(Base!$X:$X, A207, Base!$S:$S, "&gt;8") - COUNTIFS(Base!$X:$X, A207, Base!$S:$S, "&lt;7") +
    COUNTIFS(Base!$Y:$Y, A207, Base!$S:$S, "&gt;8") - COUNTIFS(Base!$Y:$Y, A207, Base!$S:$S, "&lt;7") +
    COUNTIFS(Base!$Z:$Z, A207, Base!$S:$S, "&gt;8") - COUNTIFS(Base!$Z:$Z, A207, Base!$S:$S, "&lt;7")
  ) /
  (
    COUNTIFS(Base!$W:$W, A207, Base!$S:$S, "&lt;&gt;") +
    COUNTIFS(Base!$X:$X, A207, Base!$S:$S, "&lt;&gt;") +
    COUNTIFS(Base!$Y:$Y, A207, Base!$S:$S, "&lt;&gt;") +
    COUNTIFS(Base!$Z:$Z, A207, Base!$S:$S, "&lt;&gt;")
  )
)
</f>
        <v>-</v>
      </c>
      <c r="F207" s="120"/>
      <c r="G207" s="120"/>
      <c r="J207" s="292" t="str">
        <f t="shared" ref="J207:K207" si="208">IFERROR(F207/H207,"-")</f>
        <v>-</v>
      </c>
      <c r="K207" s="292" t="str">
        <f t="shared" si="208"/>
        <v>-</v>
      </c>
      <c r="L207" s="292" t="str">
        <f>IFERROR((COUNTIFS(Base!$V:$V,A207,Base!$U:$U,TRUE))/(COUNTIFS(Base!$V:$V,A207,Base!$O:$O,"Finalizado")+COUNTIFS(Base!$V:$V,A207,Base!$O:$O,"Concluído")),"-")</f>
        <v>-</v>
      </c>
      <c r="M207" s="292" t="str">
        <f>IF(
  (
    IFERROR(COUNTIF(Base!$W:$W, A207), 0) +
    IFERROR(COUNTIF(Base!$X:$X, A207), 0) +
    IFERROR(COUNTIF(Base!$Y:$Y, A207), 0) +
    IFERROR(COUNTIF(Base!$Z:$Z, A207), 0)
  ) = 0,
  "-",
  IF(
    (
      IFERROR(COUNTIFS(Base!$W:$W, A207, Base!$O:$O, "Finalizado"), 0) +
      IFERROR(COUNTIFS(Base!$W:$W, A207, Base!$O:$O, "Concluído"), 0) +
      IFERROR(COUNTIFS(Base!$X:$X, A207, Base!$O:$O, "Finalizado"), 0) +
      IFERROR(COUNTIFS(Base!$X:$X, A207, Base!$O:$O, "Concluído"), 0) +
      IFERROR(COUNTIFS(Base!$Y:$Y, A207, Base!$O:$O, "Finalizado"), 0) +
      IFERROR(COUNTIFS(Base!$Y:$Y, A207, Base!$O:$O, "Concluído"), 0) +
      IFERROR(COUNTIFS(Base!$Z:$Z, A207, Base!$O:$O, "Finalizado"), 0) +
      IFERROR(COUNTIFS(Base!$Z:$Z, A207, Base!$O:$O, "Concluído"), 0)
    ) = 0,
    "-",
    (
      IFERROR(COUNTIFS(Base!$W:$W, A207, Base!$U:$U, TRUE), 0) +
      IFERROR(COUNTIFS(Base!$X:$X, A207, Base!$U:$U, TRUE), 0) +
      IFERROR(COUNTIFS(Base!$Y:$Y, A207, Base!$U:$U, TRUE), 0) +
      IFERROR(COUNTIFS(Base!$Z:$Z, A207, Base!$U:$U, TRUE), 0)
    ) /
    (
      IFERROR(COUNTIFS(Base!$W:$W, A207, Base!$O:$O, "Finalizado"), 0) +
      IFERROR(COUNTIFS(Base!$W:$W, A207, Base!$O:$O, "Concluído"), 0) +
      IFERROR(COUNTIFS(Base!$X:$X, A207, Base!$O:$O, "Finalizado"), 0) +
      IFERROR(COUNTIFS(Base!$X:$X, A207, Base!$O:$O, "Concluído"), 0) +
      IFERROR(COUNTIFS(Base!$Y:$Y, A207, Base!$O:$O, "Finalizado"), 0) +
      IFERROR(COUNTIFS(Base!$Y:$Y, A207, Base!$O:$O, "Concluído"), 0) +
      IFERROR(COUNTIFS(Base!$Z:$Z, A207, Base!$O:$O, "Finalizado"), 0) +
      IFERROR(COUNTIFS(Base!$Z:$Z, A207, Base!$O:$O, "Concluído"), 0)
    )
  )
)
</f>
        <v>-</v>
      </c>
      <c r="N207" s="120">
        <f>COUNTIF(Base!V:V,$A207)</f>
        <v>0</v>
      </c>
      <c r="O207" s="120"/>
      <c r="P207" s="120"/>
      <c r="Q207" s="120"/>
      <c r="R207" s="120"/>
      <c r="S207" s="120"/>
      <c r="T207" s="120">
        <f t="shared" si="4"/>
        <v>0</v>
      </c>
      <c r="V207" s="293" t="str">
        <f>IF(
  (
    COUNTIF('Acompanhamento quinzenal'!$N:$N, A207) +
    COUNTIF('Acompanhamento quinzenal'!$T:$T, A207) +
    COUNTIF('Acompanhamento quinzenal'!$Z:$Z, A207) +
    COUNTIF('Acompanhamento quinzenal'!$AF:$AF, A207)
  ) = 0,
  "-",
  (
    IFERROR(SUMIFS('Acompanhamento quinzenal'!$S:$S, 'Acompanhamento quinzenal'!$N:$N, A207), 0) +
    IFERROR(SUMIFS('Acompanhamento quinzenal'!$Y:$Y, 'Acompanhamento quinzenal'!$T:$T, A207), 0) +
    IFERROR(SUMIFS('Acompanhamento quinzenal'!$AE:$AE, 'Acompanhamento quinzenal'!$Z:$Z, A207), 0) +
    IFERROR(SUMIFS('Acompanhamento quinzenal'!$AK:$AK, 'Acompanhamento quinzenal'!$AF:$AF, A207), 0)
  ) /
  (
    COUNTIF('Acompanhamento quinzenal'!$N:$N, A207) +
    COUNTIF('Acompanhamento quinzenal'!$T:$T, A207) +
    COUNTIF('Acompanhamento quinzenal'!$Z:$Z, A207) +
    COUNTIF('Acompanhamento quinzenal'!$AF:$AF, A207)
  )
)
</f>
        <v>-</v>
      </c>
      <c r="W207" s="293" t="str">
        <f>IF(
  (
    COUNTIF('Acompanhamento quinzenal'!$N:$N, A207) +
    COUNTIF('Acompanhamento quinzenal'!$T:$T, A207) +
    COUNTIF('Acompanhamento quinzenal'!$Z:$Z, A207) +
    COUNTIF('Acompanhamento quinzenal'!$AF:$AF, A207)
  ) = 0,
  "-",
  (
    IFERROR(SUMIFS('Acompanhamento quinzenal'!$O:$O, 'Acompanhamento quinzenal'!$N:$N, A207), 0) +
    IFERROR(SUMIFS('Acompanhamento quinzenal'!$U:$U, 'Acompanhamento quinzenal'!$T:$T, A207), 0) +
    IFERROR(SUMIFS('Acompanhamento quinzenal'!$AA:$AA, 'Acompanhamento quinzenal'!$Z:$Z, A207), 0) +
    IFERROR(SUMIFS('Acompanhamento quinzenal'!$AG:$AG, 'Acompanhamento quinzenal'!$AF:$AF, A207), 0)
  ) /
  (
    COUNTIF('Acompanhamento quinzenal'!$N:$N, A207) +
    COUNTIF('Acompanhamento quinzenal'!$T:$T, A207) +
    COUNTIF('Acompanhamento quinzenal'!$Z:$Z, A207) +
    COUNTIF('Acompanhamento quinzenal'!$AF:$AF, A207)
  )
)
</f>
        <v>-</v>
      </c>
      <c r="X207" s="294" t="str">
        <f>IF(
  (
    COUNTIF('Acompanhamento quinzenal'!$N:$N, A207) +
    COUNTIF('Acompanhamento quinzenal'!$T:$T, A207) +
    COUNTIF('Acompanhamento quinzenal'!$Z:$Z, A207) +
    COUNTIF('Acompanhamento quinzenal'!$AF:$AF, A207)
  ) = 0,
  "-",
  (
    IFERROR(SUMIFS('Acompanhamento quinzenal'!$P:$P, 'Acompanhamento quinzenal'!$N:$N, A207), 0) +
    IFERROR(SUMIFS('Acompanhamento quinzenal'!$V:$V, 'Acompanhamento quinzenal'!$T:$T, A207), 0) +
    IFERROR(SUMIFS('Acompanhamento quinzenal'!$AB:$AB, 'Acompanhamento quinzenal'!$Z:$Z, A207), 0) +
    IFERROR(SUMIFS('Acompanhamento quinzenal'!$AH:$AH, 'Acompanhamento quinzenal'!$AF:$AF, A207), 0)
  ) /
  (
    COUNTIF('Acompanhamento quinzenal'!$N:$N, A207) +
    COUNTIF('Acompanhamento quinzenal'!$T:$T, A207) +
    COUNTIF('Acompanhamento quinzenal'!$Z:$Z, A207) +
    COUNTIF('Acompanhamento quinzenal'!$AF:$AF, A207)
  )
)
</f>
        <v>-</v>
      </c>
      <c r="Y207" s="293" t="str">
        <f>IF(
  (
    COUNTIF('Acompanhamento quinzenal'!$N:$N, A207) +
    COUNTIF('Acompanhamento quinzenal'!$T:$T, A207) +
    COUNTIF('Acompanhamento quinzenal'!$Z:$Z, A207) +
    COUNTIF('Acompanhamento quinzenal'!$AF:$AF, A207)
  ) = 0,
  "-",
  (
    IFERROR(SUMIFS('Acompanhamento quinzenal'!$Q:$Q, 'Acompanhamento quinzenal'!$N:$N, A207), 0) +
    IFERROR(SUMIFS('Acompanhamento quinzenal'!$W:$W, 'Acompanhamento quinzenal'!$T:$T, A207), 0) +
    IFERROR(SUMIFS('Acompanhamento quinzenal'!$AC:$AC, 'Acompanhamento quinzenal'!$Z:$Z, A207), 0) +
    IFERROR(SUMIFS('Acompanhamento quinzenal'!$AI:$AI, 'Acompanhamento quinzenal'!$AF:$AF, A207), 0)
  ) /
  (
    COUNTIF('Acompanhamento quinzenal'!$N:$N, A207) +
    COUNTIF('Acompanhamento quinzenal'!$T:$T, A207) +
    COUNTIF('Acompanhamento quinzenal'!$Z:$Z, A207) +
    COUNTIF('Acompanhamento quinzenal'!$AF:$AF, A207)
  )
)
</f>
        <v>-</v>
      </c>
    </row>
    <row r="208" hidden="1">
      <c r="A208" s="291"/>
      <c r="B208" s="120"/>
      <c r="C208" s="120"/>
      <c r="D208" s="292" t="str">
        <f>IFERROR((COUNTIFS(Base!$V:$V,A208,Base!$S:$S,"&gt;8") - COUNTIFS(Base!$V:$V,A208,Base!$S:$S,"&lt;7"))/COUNTIFS(Base!$V:$V,A208,Base!$S:$S,"&lt;&gt;"),"-")</f>
        <v>-</v>
      </c>
      <c r="E208" s="292" t="str">
        <f>IF(
  (
    COUNTIFS(Base!$W:$W, A208, Base!$S:$S, "&lt;&gt;") +
    COUNTIFS(Base!$X:$X, A208, Base!$S:$S, "&lt;&gt;") +
    COUNTIFS(Base!$Y:$Y, A208, Base!$S:$S, "&lt;&gt;") +
    COUNTIFS(Base!$Z:$Z, A208, Base!$S:$S, "&lt;&gt;")
  ) = 0,
  "-",
  (
    COUNTIFS(Base!$W:$W, A208, Base!$S:$S, "&gt;8") - COUNTIFS(Base!$W:$W, A208, Base!$S:$S, "&lt;7") +
    COUNTIFS(Base!$X:$X, A208, Base!$S:$S, "&gt;8") - COUNTIFS(Base!$X:$X, A208, Base!$S:$S, "&lt;7") +
    COUNTIFS(Base!$Y:$Y, A208, Base!$S:$S, "&gt;8") - COUNTIFS(Base!$Y:$Y, A208, Base!$S:$S, "&lt;7") +
    COUNTIFS(Base!$Z:$Z, A208, Base!$S:$S, "&gt;8") - COUNTIFS(Base!$Z:$Z, A208, Base!$S:$S, "&lt;7")
  ) /
  (
    COUNTIFS(Base!$W:$W, A208, Base!$S:$S, "&lt;&gt;") +
    COUNTIFS(Base!$X:$X, A208, Base!$S:$S, "&lt;&gt;") +
    COUNTIFS(Base!$Y:$Y, A208, Base!$S:$S, "&lt;&gt;") +
    COUNTIFS(Base!$Z:$Z, A208, Base!$S:$S, "&lt;&gt;")
  )
)
</f>
        <v>-</v>
      </c>
      <c r="F208" s="120"/>
      <c r="G208" s="120"/>
      <c r="J208" s="292" t="str">
        <f t="shared" ref="J208:K208" si="209">IFERROR(F208/H208,"-")</f>
        <v>-</v>
      </c>
      <c r="K208" s="292" t="str">
        <f t="shared" si="209"/>
        <v>-</v>
      </c>
      <c r="L208" s="292" t="str">
        <f>IFERROR((COUNTIFS(Base!$V:$V,A208,Base!$U:$U,TRUE))/(COUNTIFS(Base!$V:$V,A208,Base!$O:$O,"Finalizado")+COUNTIFS(Base!$V:$V,A208,Base!$O:$O,"Concluído")),"-")</f>
        <v>-</v>
      </c>
      <c r="M208" s="292" t="str">
        <f>IF(
  (
    IFERROR(COUNTIF(Base!$W:$W, A208), 0) +
    IFERROR(COUNTIF(Base!$X:$X, A208), 0) +
    IFERROR(COUNTIF(Base!$Y:$Y, A208), 0) +
    IFERROR(COUNTIF(Base!$Z:$Z, A208), 0)
  ) = 0,
  "-",
  IF(
    (
      IFERROR(COUNTIFS(Base!$W:$W, A208, Base!$O:$O, "Finalizado"), 0) +
      IFERROR(COUNTIFS(Base!$W:$W, A208, Base!$O:$O, "Concluído"), 0) +
      IFERROR(COUNTIFS(Base!$X:$X, A208, Base!$O:$O, "Finalizado"), 0) +
      IFERROR(COUNTIFS(Base!$X:$X, A208, Base!$O:$O, "Concluído"), 0) +
      IFERROR(COUNTIFS(Base!$Y:$Y, A208, Base!$O:$O, "Finalizado"), 0) +
      IFERROR(COUNTIFS(Base!$Y:$Y, A208, Base!$O:$O, "Concluído"), 0) +
      IFERROR(COUNTIFS(Base!$Z:$Z, A208, Base!$O:$O, "Finalizado"), 0) +
      IFERROR(COUNTIFS(Base!$Z:$Z, A208, Base!$O:$O, "Concluído"), 0)
    ) = 0,
    "-",
    (
      IFERROR(COUNTIFS(Base!$W:$W, A208, Base!$U:$U, TRUE), 0) +
      IFERROR(COUNTIFS(Base!$X:$X, A208, Base!$U:$U, TRUE), 0) +
      IFERROR(COUNTIFS(Base!$Y:$Y, A208, Base!$U:$U, TRUE), 0) +
      IFERROR(COUNTIFS(Base!$Z:$Z, A208, Base!$U:$U, TRUE), 0)
    ) /
    (
      IFERROR(COUNTIFS(Base!$W:$W, A208, Base!$O:$O, "Finalizado"), 0) +
      IFERROR(COUNTIFS(Base!$W:$W, A208, Base!$O:$O, "Concluído"), 0) +
      IFERROR(COUNTIFS(Base!$X:$X, A208, Base!$O:$O, "Finalizado"), 0) +
      IFERROR(COUNTIFS(Base!$X:$X, A208, Base!$O:$O, "Concluído"), 0) +
      IFERROR(COUNTIFS(Base!$Y:$Y, A208, Base!$O:$O, "Finalizado"), 0) +
      IFERROR(COUNTIFS(Base!$Y:$Y, A208, Base!$O:$O, "Concluído"), 0) +
      IFERROR(COUNTIFS(Base!$Z:$Z, A208, Base!$O:$O, "Finalizado"), 0) +
      IFERROR(COUNTIFS(Base!$Z:$Z, A208, Base!$O:$O, "Concluído"), 0)
    )
  )
)
</f>
        <v>-</v>
      </c>
      <c r="N208" s="120">
        <f>COUNTIF(Base!V:V,$A208)</f>
        <v>0</v>
      </c>
      <c r="O208" s="120"/>
      <c r="P208" s="120"/>
      <c r="Q208" s="120"/>
      <c r="R208" s="120"/>
      <c r="S208" s="120"/>
      <c r="T208" s="120">
        <f t="shared" si="4"/>
        <v>0</v>
      </c>
      <c r="V208" s="293" t="str">
        <f>IF(
  (
    COUNTIF('Acompanhamento quinzenal'!$N:$N, A208) +
    COUNTIF('Acompanhamento quinzenal'!$T:$T, A208) +
    COUNTIF('Acompanhamento quinzenal'!$Z:$Z, A208) +
    COUNTIF('Acompanhamento quinzenal'!$AF:$AF, A208)
  ) = 0,
  "-",
  (
    IFERROR(SUMIFS('Acompanhamento quinzenal'!$S:$S, 'Acompanhamento quinzenal'!$N:$N, A208), 0) +
    IFERROR(SUMIFS('Acompanhamento quinzenal'!$Y:$Y, 'Acompanhamento quinzenal'!$T:$T, A208), 0) +
    IFERROR(SUMIFS('Acompanhamento quinzenal'!$AE:$AE, 'Acompanhamento quinzenal'!$Z:$Z, A208), 0) +
    IFERROR(SUMIFS('Acompanhamento quinzenal'!$AK:$AK, 'Acompanhamento quinzenal'!$AF:$AF, A208), 0)
  ) /
  (
    COUNTIF('Acompanhamento quinzenal'!$N:$N, A208) +
    COUNTIF('Acompanhamento quinzenal'!$T:$T, A208) +
    COUNTIF('Acompanhamento quinzenal'!$Z:$Z, A208) +
    COUNTIF('Acompanhamento quinzenal'!$AF:$AF, A208)
  )
)
</f>
        <v>-</v>
      </c>
      <c r="W208" s="293" t="str">
        <f>IF(
  (
    COUNTIF('Acompanhamento quinzenal'!$N:$N, A208) +
    COUNTIF('Acompanhamento quinzenal'!$T:$T, A208) +
    COUNTIF('Acompanhamento quinzenal'!$Z:$Z, A208) +
    COUNTIF('Acompanhamento quinzenal'!$AF:$AF, A208)
  ) = 0,
  "-",
  (
    IFERROR(SUMIFS('Acompanhamento quinzenal'!$O:$O, 'Acompanhamento quinzenal'!$N:$N, A208), 0) +
    IFERROR(SUMIFS('Acompanhamento quinzenal'!$U:$U, 'Acompanhamento quinzenal'!$T:$T, A208), 0) +
    IFERROR(SUMIFS('Acompanhamento quinzenal'!$AA:$AA, 'Acompanhamento quinzenal'!$Z:$Z, A208), 0) +
    IFERROR(SUMIFS('Acompanhamento quinzenal'!$AG:$AG, 'Acompanhamento quinzenal'!$AF:$AF, A208), 0)
  ) /
  (
    COUNTIF('Acompanhamento quinzenal'!$N:$N, A208) +
    COUNTIF('Acompanhamento quinzenal'!$T:$T, A208) +
    COUNTIF('Acompanhamento quinzenal'!$Z:$Z, A208) +
    COUNTIF('Acompanhamento quinzenal'!$AF:$AF, A208)
  )
)
</f>
        <v>-</v>
      </c>
      <c r="X208" s="294" t="str">
        <f>IF(
  (
    COUNTIF('Acompanhamento quinzenal'!$N:$N, A208) +
    COUNTIF('Acompanhamento quinzenal'!$T:$T, A208) +
    COUNTIF('Acompanhamento quinzenal'!$Z:$Z, A208) +
    COUNTIF('Acompanhamento quinzenal'!$AF:$AF, A208)
  ) = 0,
  "-",
  (
    IFERROR(SUMIFS('Acompanhamento quinzenal'!$P:$P, 'Acompanhamento quinzenal'!$N:$N, A208), 0) +
    IFERROR(SUMIFS('Acompanhamento quinzenal'!$V:$V, 'Acompanhamento quinzenal'!$T:$T, A208), 0) +
    IFERROR(SUMIFS('Acompanhamento quinzenal'!$AB:$AB, 'Acompanhamento quinzenal'!$Z:$Z, A208), 0) +
    IFERROR(SUMIFS('Acompanhamento quinzenal'!$AH:$AH, 'Acompanhamento quinzenal'!$AF:$AF, A208), 0)
  ) /
  (
    COUNTIF('Acompanhamento quinzenal'!$N:$N, A208) +
    COUNTIF('Acompanhamento quinzenal'!$T:$T, A208) +
    COUNTIF('Acompanhamento quinzenal'!$Z:$Z, A208) +
    COUNTIF('Acompanhamento quinzenal'!$AF:$AF, A208)
  )
)
</f>
        <v>-</v>
      </c>
      <c r="Y208" s="293" t="str">
        <f>IF(
  (
    COUNTIF('Acompanhamento quinzenal'!$N:$N, A208) +
    COUNTIF('Acompanhamento quinzenal'!$T:$T, A208) +
    COUNTIF('Acompanhamento quinzenal'!$Z:$Z, A208) +
    COUNTIF('Acompanhamento quinzenal'!$AF:$AF, A208)
  ) = 0,
  "-",
  (
    IFERROR(SUMIFS('Acompanhamento quinzenal'!$Q:$Q, 'Acompanhamento quinzenal'!$N:$N, A208), 0) +
    IFERROR(SUMIFS('Acompanhamento quinzenal'!$W:$W, 'Acompanhamento quinzenal'!$T:$T, A208), 0) +
    IFERROR(SUMIFS('Acompanhamento quinzenal'!$AC:$AC, 'Acompanhamento quinzenal'!$Z:$Z, A208), 0) +
    IFERROR(SUMIFS('Acompanhamento quinzenal'!$AI:$AI, 'Acompanhamento quinzenal'!$AF:$AF, A208), 0)
  ) /
  (
    COUNTIF('Acompanhamento quinzenal'!$N:$N, A208) +
    COUNTIF('Acompanhamento quinzenal'!$T:$T, A208) +
    COUNTIF('Acompanhamento quinzenal'!$Z:$Z, A208) +
    COUNTIF('Acompanhamento quinzenal'!$AF:$AF, A208)
  )
)
</f>
        <v>-</v>
      </c>
    </row>
    <row r="209" hidden="1">
      <c r="A209" s="291"/>
      <c r="B209" s="120"/>
      <c r="C209" s="120"/>
      <c r="D209" s="292" t="str">
        <f>IFERROR((COUNTIFS(Base!$V:$V,A209,Base!$S:$S,"&gt;8") - COUNTIFS(Base!$V:$V,A209,Base!$S:$S,"&lt;7"))/COUNTIFS(Base!$V:$V,A209,Base!$S:$S,"&lt;&gt;"),"-")</f>
        <v>-</v>
      </c>
      <c r="E209" s="292" t="str">
        <f>IF(
  (
    COUNTIFS(Base!$W:$W, A209, Base!$S:$S, "&lt;&gt;") +
    COUNTIFS(Base!$X:$X, A209, Base!$S:$S, "&lt;&gt;") +
    COUNTIFS(Base!$Y:$Y, A209, Base!$S:$S, "&lt;&gt;") +
    COUNTIFS(Base!$Z:$Z, A209, Base!$S:$S, "&lt;&gt;")
  ) = 0,
  "-",
  (
    COUNTIFS(Base!$W:$W, A209, Base!$S:$S, "&gt;8") - COUNTIFS(Base!$W:$W, A209, Base!$S:$S, "&lt;7") +
    COUNTIFS(Base!$X:$X, A209, Base!$S:$S, "&gt;8") - COUNTIFS(Base!$X:$X, A209, Base!$S:$S, "&lt;7") +
    COUNTIFS(Base!$Y:$Y, A209, Base!$S:$S, "&gt;8") - COUNTIFS(Base!$Y:$Y, A209, Base!$S:$S, "&lt;7") +
    COUNTIFS(Base!$Z:$Z, A209, Base!$S:$S, "&gt;8") - COUNTIFS(Base!$Z:$Z, A209, Base!$S:$S, "&lt;7")
  ) /
  (
    COUNTIFS(Base!$W:$W, A209, Base!$S:$S, "&lt;&gt;") +
    COUNTIFS(Base!$X:$X, A209, Base!$S:$S, "&lt;&gt;") +
    COUNTIFS(Base!$Y:$Y, A209, Base!$S:$S, "&lt;&gt;") +
    COUNTIFS(Base!$Z:$Z, A209, Base!$S:$S, "&lt;&gt;")
  )
)
</f>
        <v>-</v>
      </c>
      <c r="F209" s="120"/>
      <c r="G209" s="120"/>
      <c r="J209" s="292" t="str">
        <f t="shared" ref="J209:K209" si="210">IFERROR(F209/H209,"-")</f>
        <v>-</v>
      </c>
      <c r="K209" s="292" t="str">
        <f t="shared" si="210"/>
        <v>-</v>
      </c>
      <c r="L209" s="292" t="str">
        <f>IFERROR((COUNTIFS(Base!$V:$V,A209,Base!$U:$U,TRUE))/(COUNTIFS(Base!$V:$V,A209,Base!$O:$O,"Finalizado")+COUNTIFS(Base!$V:$V,A209,Base!$O:$O,"Concluído")),"-")</f>
        <v>-</v>
      </c>
      <c r="M209" s="292" t="str">
        <f>IF(
  (
    IFERROR(COUNTIF(Base!$W:$W, A209), 0) +
    IFERROR(COUNTIF(Base!$X:$X, A209), 0) +
    IFERROR(COUNTIF(Base!$Y:$Y, A209), 0) +
    IFERROR(COUNTIF(Base!$Z:$Z, A209), 0)
  ) = 0,
  "-",
  IF(
    (
      IFERROR(COUNTIFS(Base!$W:$W, A209, Base!$O:$O, "Finalizado"), 0) +
      IFERROR(COUNTIFS(Base!$W:$W, A209, Base!$O:$O, "Concluído"), 0) +
      IFERROR(COUNTIFS(Base!$X:$X, A209, Base!$O:$O, "Finalizado"), 0) +
      IFERROR(COUNTIFS(Base!$X:$X, A209, Base!$O:$O, "Concluído"), 0) +
      IFERROR(COUNTIFS(Base!$Y:$Y, A209, Base!$O:$O, "Finalizado"), 0) +
      IFERROR(COUNTIFS(Base!$Y:$Y, A209, Base!$O:$O, "Concluído"), 0) +
      IFERROR(COUNTIFS(Base!$Z:$Z, A209, Base!$O:$O, "Finalizado"), 0) +
      IFERROR(COUNTIFS(Base!$Z:$Z, A209, Base!$O:$O, "Concluído"), 0)
    ) = 0,
    "-",
    (
      IFERROR(COUNTIFS(Base!$W:$W, A209, Base!$U:$U, TRUE), 0) +
      IFERROR(COUNTIFS(Base!$X:$X, A209, Base!$U:$U, TRUE), 0) +
      IFERROR(COUNTIFS(Base!$Y:$Y, A209, Base!$U:$U, TRUE), 0) +
      IFERROR(COUNTIFS(Base!$Z:$Z, A209, Base!$U:$U, TRUE), 0)
    ) /
    (
      IFERROR(COUNTIFS(Base!$W:$W, A209, Base!$O:$O, "Finalizado"), 0) +
      IFERROR(COUNTIFS(Base!$W:$W, A209, Base!$O:$O, "Concluído"), 0) +
      IFERROR(COUNTIFS(Base!$X:$X, A209, Base!$O:$O, "Finalizado"), 0) +
      IFERROR(COUNTIFS(Base!$X:$X, A209, Base!$O:$O, "Concluído"), 0) +
      IFERROR(COUNTIFS(Base!$Y:$Y, A209, Base!$O:$O, "Finalizado"), 0) +
      IFERROR(COUNTIFS(Base!$Y:$Y, A209, Base!$O:$O, "Concluído"), 0) +
      IFERROR(COUNTIFS(Base!$Z:$Z, A209, Base!$O:$O, "Finalizado"), 0) +
      IFERROR(COUNTIFS(Base!$Z:$Z, A209, Base!$O:$O, "Concluído"), 0)
    )
  )
)
</f>
        <v>-</v>
      </c>
      <c r="N209" s="120">
        <f>COUNTIF(Base!V:V,$A209)</f>
        <v>0</v>
      </c>
      <c r="O209" s="120"/>
      <c r="P209" s="120"/>
      <c r="Q209" s="120"/>
      <c r="R209" s="120"/>
      <c r="S209" s="120"/>
      <c r="T209" s="120">
        <f t="shared" si="4"/>
        <v>0</v>
      </c>
      <c r="V209" s="293" t="str">
        <f>IF(
  (
    COUNTIF('Acompanhamento quinzenal'!$N:$N, A209) +
    COUNTIF('Acompanhamento quinzenal'!$T:$T, A209) +
    COUNTIF('Acompanhamento quinzenal'!$Z:$Z, A209) +
    COUNTIF('Acompanhamento quinzenal'!$AF:$AF, A209)
  ) = 0,
  "-",
  (
    IFERROR(SUMIFS('Acompanhamento quinzenal'!$S:$S, 'Acompanhamento quinzenal'!$N:$N, A209), 0) +
    IFERROR(SUMIFS('Acompanhamento quinzenal'!$Y:$Y, 'Acompanhamento quinzenal'!$T:$T, A209), 0) +
    IFERROR(SUMIFS('Acompanhamento quinzenal'!$AE:$AE, 'Acompanhamento quinzenal'!$Z:$Z, A209), 0) +
    IFERROR(SUMIFS('Acompanhamento quinzenal'!$AK:$AK, 'Acompanhamento quinzenal'!$AF:$AF, A209), 0)
  ) /
  (
    COUNTIF('Acompanhamento quinzenal'!$N:$N, A209) +
    COUNTIF('Acompanhamento quinzenal'!$T:$T, A209) +
    COUNTIF('Acompanhamento quinzenal'!$Z:$Z, A209) +
    COUNTIF('Acompanhamento quinzenal'!$AF:$AF, A209)
  )
)
</f>
        <v>-</v>
      </c>
      <c r="W209" s="293" t="str">
        <f>IF(
  (
    COUNTIF('Acompanhamento quinzenal'!$N:$N, A209) +
    COUNTIF('Acompanhamento quinzenal'!$T:$T, A209) +
    COUNTIF('Acompanhamento quinzenal'!$Z:$Z, A209) +
    COUNTIF('Acompanhamento quinzenal'!$AF:$AF, A209)
  ) = 0,
  "-",
  (
    IFERROR(SUMIFS('Acompanhamento quinzenal'!$O:$O, 'Acompanhamento quinzenal'!$N:$N, A209), 0) +
    IFERROR(SUMIFS('Acompanhamento quinzenal'!$U:$U, 'Acompanhamento quinzenal'!$T:$T, A209), 0) +
    IFERROR(SUMIFS('Acompanhamento quinzenal'!$AA:$AA, 'Acompanhamento quinzenal'!$Z:$Z, A209), 0) +
    IFERROR(SUMIFS('Acompanhamento quinzenal'!$AG:$AG, 'Acompanhamento quinzenal'!$AF:$AF, A209), 0)
  ) /
  (
    COUNTIF('Acompanhamento quinzenal'!$N:$N, A209) +
    COUNTIF('Acompanhamento quinzenal'!$T:$T, A209) +
    COUNTIF('Acompanhamento quinzenal'!$Z:$Z, A209) +
    COUNTIF('Acompanhamento quinzenal'!$AF:$AF, A209)
  )
)
</f>
        <v>-</v>
      </c>
      <c r="X209" s="294" t="str">
        <f>IF(
  (
    COUNTIF('Acompanhamento quinzenal'!$N:$N, A209) +
    COUNTIF('Acompanhamento quinzenal'!$T:$T, A209) +
    COUNTIF('Acompanhamento quinzenal'!$Z:$Z, A209) +
    COUNTIF('Acompanhamento quinzenal'!$AF:$AF, A209)
  ) = 0,
  "-",
  (
    IFERROR(SUMIFS('Acompanhamento quinzenal'!$P:$P, 'Acompanhamento quinzenal'!$N:$N, A209), 0) +
    IFERROR(SUMIFS('Acompanhamento quinzenal'!$V:$V, 'Acompanhamento quinzenal'!$T:$T, A209), 0) +
    IFERROR(SUMIFS('Acompanhamento quinzenal'!$AB:$AB, 'Acompanhamento quinzenal'!$Z:$Z, A209), 0) +
    IFERROR(SUMIFS('Acompanhamento quinzenal'!$AH:$AH, 'Acompanhamento quinzenal'!$AF:$AF, A209), 0)
  ) /
  (
    COUNTIF('Acompanhamento quinzenal'!$N:$N, A209) +
    COUNTIF('Acompanhamento quinzenal'!$T:$T, A209) +
    COUNTIF('Acompanhamento quinzenal'!$Z:$Z, A209) +
    COUNTIF('Acompanhamento quinzenal'!$AF:$AF, A209)
  )
)
</f>
        <v>-</v>
      </c>
      <c r="Y209" s="293" t="str">
        <f>IF(
  (
    COUNTIF('Acompanhamento quinzenal'!$N:$N, A209) +
    COUNTIF('Acompanhamento quinzenal'!$T:$T, A209) +
    COUNTIF('Acompanhamento quinzenal'!$Z:$Z, A209) +
    COUNTIF('Acompanhamento quinzenal'!$AF:$AF, A209)
  ) = 0,
  "-",
  (
    IFERROR(SUMIFS('Acompanhamento quinzenal'!$Q:$Q, 'Acompanhamento quinzenal'!$N:$N, A209), 0) +
    IFERROR(SUMIFS('Acompanhamento quinzenal'!$W:$W, 'Acompanhamento quinzenal'!$T:$T, A209), 0) +
    IFERROR(SUMIFS('Acompanhamento quinzenal'!$AC:$AC, 'Acompanhamento quinzenal'!$Z:$Z, A209), 0) +
    IFERROR(SUMIFS('Acompanhamento quinzenal'!$AI:$AI, 'Acompanhamento quinzenal'!$AF:$AF, A209), 0)
  ) /
  (
    COUNTIF('Acompanhamento quinzenal'!$N:$N, A209) +
    COUNTIF('Acompanhamento quinzenal'!$T:$T, A209) +
    COUNTIF('Acompanhamento quinzenal'!$Z:$Z, A209) +
    COUNTIF('Acompanhamento quinzenal'!$AF:$AF, A209)
  )
)
</f>
        <v>-</v>
      </c>
    </row>
    <row r="210" hidden="1">
      <c r="A210" s="291"/>
      <c r="B210" s="120"/>
      <c r="C210" s="120"/>
      <c r="D210" s="292" t="str">
        <f>IFERROR((COUNTIFS(Base!$V:$V,A210,Base!$S:$S,"&gt;8") - COUNTIFS(Base!$V:$V,A210,Base!$S:$S,"&lt;7"))/COUNTIFS(Base!$V:$V,A210,Base!$S:$S,"&lt;&gt;"),"-")</f>
        <v>-</v>
      </c>
      <c r="E210" s="292" t="str">
        <f>IF(
  (
    COUNTIFS(Base!$W:$W, A210, Base!$S:$S, "&lt;&gt;") +
    COUNTIFS(Base!$X:$X, A210, Base!$S:$S, "&lt;&gt;") +
    COUNTIFS(Base!$Y:$Y, A210, Base!$S:$S, "&lt;&gt;") +
    COUNTIFS(Base!$Z:$Z, A210, Base!$S:$S, "&lt;&gt;")
  ) = 0,
  "-",
  (
    COUNTIFS(Base!$W:$W, A210, Base!$S:$S, "&gt;8") - COUNTIFS(Base!$W:$W, A210, Base!$S:$S, "&lt;7") +
    COUNTIFS(Base!$X:$X, A210, Base!$S:$S, "&gt;8") - COUNTIFS(Base!$X:$X, A210, Base!$S:$S, "&lt;7") +
    COUNTIFS(Base!$Y:$Y, A210, Base!$S:$S, "&gt;8") - COUNTIFS(Base!$Y:$Y, A210, Base!$S:$S, "&lt;7") +
    COUNTIFS(Base!$Z:$Z, A210, Base!$S:$S, "&gt;8") - COUNTIFS(Base!$Z:$Z, A210, Base!$S:$S, "&lt;7")
  ) /
  (
    COUNTIFS(Base!$W:$W, A210, Base!$S:$S, "&lt;&gt;") +
    COUNTIFS(Base!$X:$X, A210, Base!$S:$S, "&lt;&gt;") +
    COUNTIFS(Base!$Y:$Y, A210, Base!$S:$S, "&lt;&gt;") +
    COUNTIFS(Base!$Z:$Z, A210, Base!$S:$S, "&lt;&gt;")
  )
)
</f>
        <v>-</v>
      </c>
      <c r="F210" s="120"/>
      <c r="G210" s="120"/>
      <c r="J210" s="292" t="str">
        <f t="shared" ref="J210:K210" si="211">IFERROR(F210/H210,"-")</f>
        <v>-</v>
      </c>
      <c r="K210" s="292" t="str">
        <f t="shared" si="211"/>
        <v>-</v>
      </c>
      <c r="L210" s="292" t="str">
        <f>IFERROR((COUNTIFS(Base!$V:$V,A210,Base!$U:$U,TRUE))/(COUNTIFS(Base!$V:$V,A210,Base!$O:$O,"Finalizado")+COUNTIFS(Base!$V:$V,A210,Base!$O:$O,"Concluído")),"-")</f>
        <v>-</v>
      </c>
      <c r="M210" s="292" t="str">
        <f>IF(
  (
    IFERROR(COUNTIF(Base!$W:$W, A210), 0) +
    IFERROR(COUNTIF(Base!$X:$X, A210), 0) +
    IFERROR(COUNTIF(Base!$Y:$Y, A210), 0) +
    IFERROR(COUNTIF(Base!$Z:$Z, A210), 0)
  ) = 0,
  "-",
  IF(
    (
      IFERROR(COUNTIFS(Base!$W:$W, A210, Base!$O:$O, "Finalizado"), 0) +
      IFERROR(COUNTIFS(Base!$W:$W, A210, Base!$O:$O, "Concluído"), 0) +
      IFERROR(COUNTIFS(Base!$X:$X, A210, Base!$O:$O, "Finalizado"), 0) +
      IFERROR(COUNTIFS(Base!$X:$X, A210, Base!$O:$O, "Concluído"), 0) +
      IFERROR(COUNTIFS(Base!$Y:$Y, A210, Base!$O:$O, "Finalizado"), 0) +
      IFERROR(COUNTIFS(Base!$Y:$Y, A210, Base!$O:$O, "Concluído"), 0) +
      IFERROR(COUNTIFS(Base!$Z:$Z, A210, Base!$O:$O, "Finalizado"), 0) +
      IFERROR(COUNTIFS(Base!$Z:$Z, A210, Base!$O:$O, "Concluído"), 0)
    ) = 0,
    "-",
    (
      IFERROR(COUNTIFS(Base!$W:$W, A210, Base!$U:$U, TRUE), 0) +
      IFERROR(COUNTIFS(Base!$X:$X, A210, Base!$U:$U, TRUE), 0) +
      IFERROR(COUNTIFS(Base!$Y:$Y, A210, Base!$U:$U, TRUE), 0) +
      IFERROR(COUNTIFS(Base!$Z:$Z, A210, Base!$U:$U, TRUE), 0)
    ) /
    (
      IFERROR(COUNTIFS(Base!$W:$W, A210, Base!$O:$O, "Finalizado"), 0) +
      IFERROR(COUNTIFS(Base!$W:$W, A210, Base!$O:$O, "Concluído"), 0) +
      IFERROR(COUNTIFS(Base!$X:$X, A210, Base!$O:$O, "Finalizado"), 0) +
      IFERROR(COUNTIFS(Base!$X:$X, A210, Base!$O:$O, "Concluído"), 0) +
      IFERROR(COUNTIFS(Base!$Y:$Y, A210, Base!$O:$O, "Finalizado"), 0) +
      IFERROR(COUNTIFS(Base!$Y:$Y, A210, Base!$O:$O, "Concluído"), 0) +
      IFERROR(COUNTIFS(Base!$Z:$Z, A210, Base!$O:$O, "Finalizado"), 0) +
      IFERROR(COUNTIFS(Base!$Z:$Z, A210, Base!$O:$O, "Concluído"), 0)
    )
  )
)
</f>
        <v>-</v>
      </c>
      <c r="N210" s="120">
        <f>COUNTIF(Base!V:V,$A210)</f>
        <v>0</v>
      </c>
      <c r="O210" s="120"/>
      <c r="P210" s="120"/>
      <c r="Q210" s="120"/>
      <c r="R210" s="120"/>
      <c r="S210" s="120"/>
      <c r="T210" s="120">
        <f t="shared" si="4"/>
        <v>0</v>
      </c>
      <c r="V210" s="293" t="str">
        <f>IF(
  (
    COUNTIF('Acompanhamento quinzenal'!$N:$N, A210) +
    COUNTIF('Acompanhamento quinzenal'!$T:$T, A210) +
    COUNTIF('Acompanhamento quinzenal'!$Z:$Z, A210) +
    COUNTIF('Acompanhamento quinzenal'!$AF:$AF, A210)
  ) = 0,
  "-",
  (
    IFERROR(SUMIFS('Acompanhamento quinzenal'!$S:$S, 'Acompanhamento quinzenal'!$N:$N, A210), 0) +
    IFERROR(SUMIFS('Acompanhamento quinzenal'!$Y:$Y, 'Acompanhamento quinzenal'!$T:$T, A210), 0) +
    IFERROR(SUMIFS('Acompanhamento quinzenal'!$AE:$AE, 'Acompanhamento quinzenal'!$Z:$Z, A210), 0) +
    IFERROR(SUMIFS('Acompanhamento quinzenal'!$AK:$AK, 'Acompanhamento quinzenal'!$AF:$AF, A210), 0)
  ) /
  (
    COUNTIF('Acompanhamento quinzenal'!$N:$N, A210) +
    COUNTIF('Acompanhamento quinzenal'!$T:$T, A210) +
    COUNTIF('Acompanhamento quinzenal'!$Z:$Z, A210) +
    COUNTIF('Acompanhamento quinzenal'!$AF:$AF, A210)
  )
)
</f>
        <v>-</v>
      </c>
      <c r="W210" s="293" t="str">
        <f>IF(
  (
    COUNTIF('Acompanhamento quinzenal'!$N:$N, A210) +
    COUNTIF('Acompanhamento quinzenal'!$T:$T, A210) +
    COUNTIF('Acompanhamento quinzenal'!$Z:$Z, A210) +
    COUNTIF('Acompanhamento quinzenal'!$AF:$AF, A210)
  ) = 0,
  "-",
  (
    IFERROR(SUMIFS('Acompanhamento quinzenal'!$O:$O, 'Acompanhamento quinzenal'!$N:$N, A210), 0) +
    IFERROR(SUMIFS('Acompanhamento quinzenal'!$U:$U, 'Acompanhamento quinzenal'!$T:$T, A210), 0) +
    IFERROR(SUMIFS('Acompanhamento quinzenal'!$AA:$AA, 'Acompanhamento quinzenal'!$Z:$Z, A210), 0) +
    IFERROR(SUMIFS('Acompanhamento quinzenal'!$AG:$AG, 'Acompanhamento quinzenal'!$AF:$AF, A210), 0)
  ) /
  (
    COUNTIF('Acompanhamento quinzenal'!$N:$N, A210) +
    COUNTIF('Acompanhamento quinzenal'!$T:$T, A210) +
    COUNTIF('Acompanhamento quinzenal'!$Z:$Z, A210) +
    COUNTIF('Acompanhamento quinzenal'!$AF:$AF, A210)
  )
)
</f>
        <v>-</v>
      </c>
      <c r="X210" s="294" t="str">
        <f>IF(
  (
    COUNTIF('Acompanhamento quinzenal'!$N:$N, A210) +
    COUNTIF('Acompanhamento quinzenal'!$T:$T, A210) +
    COUNTIF('Acompanhamento quinzenal'!$Z:$Z, A210) +
    COUNTIF('Acompanhamento quinzenal'!$AF:$AF, A210)
  ) = 0,
  "-",
  (
    IFERROR(SUMIFS('Acompanhamento quinzenal'!$P:$P, 'Acompanhamento quinzenal'!$N:$N, A210), 0) +
    IFERROR(SUMIFS('Acompanhamento quinzenal'!$V:$V, 'Acompanhamento quinzenal'!$T:$T, A210), 0) +
    IFERROR(SUMIFS('Acompanhamento quinzenal'!$AB:$AB, 'Acompanhamento quinzenal'!$Z:$Z, A210), 0) +
    IFERROR(SUMIFS('Acompanhamento quinzenal'!$AH:$AH, 'Acompanhamento quinzenal'!$AF:$AF, A210), 0)
  ) /
  (
    COUNTIF('Acompanhamento quinzenal'!$N:$N, A210) +
    COUNTIF('Acompanhamento quinzenal'!$T:$T, A210) +
    COUNTIF('Acompanhamento quinzenal'!$Z:$Z, A210) +
    COUNTIF('Acompanhamento quinzenal'!$AF:$AF, A210)
  )
)
</f>
        <v>-</v>
      </c>
      <c r="Y210" s="293" t="str">
        <f>IF(
  (
    COUNTIF('Acompanhamento quinzenal'!$N:$N, A210) +
    COUNTIF('Acompanhamento quinzenal'!$T:$T, A210) +
    COUNTIF('Acompanhamento quinzenal'!$Z:$Z, A210) +
    COUNTIF('Acompanhamento quinzenal'!$AF:$AF, A210)
  ) = 0,
  "-",
  (
    IFERROR(SUMIFS('Acompanhamento quinzenal'!$Q:$Q, 'Acompanhamento quinzenal'!$N:$N, A210), 0) +
    IFERROR(SUMIFS('Acompanhamento quinzenal'!$W:$W, 'Acompanhamento quinzenal'!$T:$T, A210), 0) +
    IFERROR(SUMIFS('Acompanhamento quinzenal'!$AC:$AC, 'Acompanhamento quinzenal'!$Z:$Z, A210), 0) +
    IFERROR(SUMIFS('Acompanhamento quinzenal'!$AI:$AI, 'Acompanhamento quinzenal'!$AF:$AF, A210), 0)
  ) /
  (
    COUNTIF('Acompanhamento quinzenal'!$N:$N, A210) +
    COUNTIF('Acompanhamento quinzenal'!$T:$T, A210) +
    COUNTIF('Acompanhamento quinzenal'!$Z:$Z, A210) +
    COUNTIF('Acompanhamento quinzenal'!$AF:$AF, A210)
  )
)
</f>
        <v>-</v>
      </c>
    </row>
    <row r="211" hidden="1">
      <c r="A211" s="291"/>
      <c r="B211" s="120"/>
      <c r="C211" s="120"/>
      <c r="D211" s="292" t="str">
        <f>IFERROR((COUNTIFS(Base!$V:$V,A211,Base!$S:$S,"&gt;8") - COUNTIFS(Base!$V:$V,A211,Base!$S:$S,"&lt;7"))/COUNTIFS(Base!$V:$V,A211,Base!$S:$S,"&lt;&gt;"),"-")</f>
        <v>-</v>
      </c>
      <c r="E211" s="292" t="str">
        <f>IF(
  (
    COUNTIFS(Base!$W:$W, A211, Base!$S:$S, "&lt;&gt;") +
    COUNTIFS(Base!$X:$X, A211, Base!$S:$S, "&lt;&gt;") +
    COUNTIFS(Base!$Y:$Y, A211, Base!$S:$S, "&lt;&gt;") +
    COUNTIFS(Base!$Z:$Z, A211, Base!$S:$S, "&lt;&gt;")
  ) = 0,
  "-",
  (
    COUNTIFS(Base!$W:$W, A211, Base!$S:$S, "&gt;8") - COUNTIFS(Base!$W:$W, A211, Base!$S:$S, "&lt;7") +
    COUNTIFS(Base!$X:$X, A211, Base!$S:$S, "&gt;8") - COUNTIFS(Base!$X:$X, A211, Base!$S:$S, "&lt;7") +
    COUNTIFS(Base!$Y:$Y, A211, Base!$S:$S, "&gt;8") - COUNTIFS(Base!$Y:$Y, A211, Base!$S:$S, "&lt;7") +
    COUNTIFS(Base!$Z:$Z, A211, Base!$S:$S, "&gt;8") - COUNTIFS(Base!$Z:$Z, A211, Base!$S:$S, "&lt;7")
  ) /
  (
    COUNTIFS(Base!$W:$W, A211, Base!$S:$S, "&lt;&gt;") +
    COUNTIFS(Base!$X:$X, A211, Base!$S:$S, "&lt;&gt;") +
    COUNTIFS(Base!$Y:$Y, A211, Base!$S:$S, "&lt;&gt;") +
    COUNTIFS(Base!$Z:$Z, A211, Base!$S:$S, "&lt;&gt;")
  )
)
</f>
        <v>-</v>
      </c>
      <c r="F211" s="120"/>
      <c r="G211" s="120"/>
      <c r="J211" s="292" t="str">
        <f t="shared" ref="J211:K211" si="212">IFERROR(F211/H211,"-")</f>
        <v>-</v>
      </c>
      <c r="K211" s="292" t="str">
        <f t="shared" si="212"/>
        <v>-</v>
      </c>
      <c r="L211" s="292" t="str">
        <f>IFERROR((COUNTIFS(Base!$V:$V,A211,Base!$U:$U,TRUE))/(COUNTIFS(Base!$V:$V,A211,Base!$O:$O,"Finalizado")+COUNTIFS(Base!$V:$V,A211,Base!$O:$O,"Concluído")),"-")</f>
        <v>-</v>
      </c>
      <c r="M211" s="292" t="str">
        <f>IF(
  (
    IFERROR(COUNTIF(Base!$W:$W, A211), 0) +
    IFERROR(COUNTIF(Base!$X:$X, A211), 0) +
    IFERROR(COUNTIF(Base!$Y:$Y, A211), 0) +
    IFERROR(COUNTIF(Base!$Z:$Z, A211), 0)
  ) = 0,
  "-",
  IF(
    (
      IFERROR(COUNTIFS(Base!$W:$W, A211, Base!$O:$O, "Finalizado"), 0) +
      IFERROR(COUNTIFS(Base!$W:$W, A211, Base!$O:$O, "Concluído"), 0) +
      IFERROR(COUNTIFS(Base!$X:$X, A211, Base!$O:$O, "Finalizado"), 0) +
      IFERROR(COUNTIFS(Base!$X:$X, A211, Base!$O:$O, "Concluído"), 0) +
      IFERROR(COUNTIFS(Base!$Y:$Y, A211, Base!$O:$O, "Finalizado"), 0) +
      IFERROR(COUNTIFS(Base!$Y:$Y, A211, Base!$O:$O, "Concluído"), 0) +
      IFERROR(COUNTIFS(Base!$Z:$Z, A211, Base!$O:$O, "Finalizado"), 0) +
      IFERROR(COUNTIFS(Base!$Z:$Z, A211, Base!$O:$O, "Concluído"), 0)
    ) = 0,
    "-",
    (
      IFERROR(COUNTIFS(Base!$W:$W, A211, Base!$U:$U, TRUE), 0) +
      IFERROR(COUNTIFS(Base!$X:$X, A211, Base!$U:$U, TRUE), 0) +
      IFERROR(COUNTIFS(Base!$Y:$Y, A211, Base!$U:$U, TRUE), 0) +
      IFERROR(COUNTIFS(Base!$Z:$Z, A211, Base!$U:$U, TRUE), 0)
    ) /
    (
      IFERROR(COUNTIFS(Base!$W:$W, A211, Base!$O:$O, "Finalizado"), 0) +
      IFERROR(COUNTIFS(Base!$W:$W, A211, Base!$O:$O, "Concluído"), 0) +
      IFERROR(COUNTIFS(Base!$X:$X, A211, Base!$O:$O, "Finalizado"), 0) +
      IFERROR(COUNTIFS(Base!$X:$X, A211, Base!$O:$O, "Concluído"), 0) +
      IFERROR(COUNTIFS(Base!$Y:$Y, A211, Base!$O:$O, "Finalizado"), 0) +
      IFERROR(COUNTIFS(Base!$Y:$Y, A211, Base!$O:$O, "Concluído"), 0) +
      IFERROR(COUNTIFS(Base!$Z:$Z, A211, Base!$O:$O, "Finalizado"), 0) +
      IFERROR(COUNTIFS(Base!$Z:$Z, A211, Base!$O:$O, "Concluído"), 0)
    )
  )
)
</f>
        <v>-</v>
      </c>
      <c r="N211" s="120">
        <f>COUNTIF(Base!V:V,$A211)</f>
        <v>0</v>
      </c>
      <c r="O211" s="120"/>
      <c r="P211" s="120"/>
      <c r="Q211" s="120"/>
      <c r="R211" s="120"/>
      <c r="S211" s="120"/>
      <c r="T211" s="120">
        <f t="shared" si="4"/>
        <v>0</v>
      </c>
      <c r="V211" s="293" t="str">
        <f>IF(
  (
    COUNTIF('Acompanhamento quinzenal'!$N:$N, A211) +
    COUNTIF('Acompanhamento quinzenal'!$T:$T, A211) +
    COUNTIF('Acompanhamento quinzenal'!$Z:$Z, A211) +
    COUNTIF('Acompanhamento quinzenal'!$AF:$AF, A211)
  ) = 0,
  "-",
  (
    IFERROR(SUMIFS('Acompanhamento quinzenal'!$S:$S, 'Acompanhamento quinzenal'!$N:$N, A211), 0) +
    IFERROR(SUMIFS('Acompanhamento quinzenal'!$Y:$Y, 'Acompanhamento quinzenal'!$T:$T, A211), 0) +
    IFERROR(SUMIFS('Acompanhamento quinzenal'!$AE:$AE, 'Acompanhamento quinzenal'!$Z:$Z, A211), 0) +
    IFERROR(SUMIFS('Acompanhamento quinzenal'!$AK:$AK, 'Acompanhamento quinzenal'!$AF:$AF, A211), 0)
  ) /
  (
    COUNTIF('Acompanhamento quinzenal'!$N:$N, A211) +
    COUNTIF('Acompanhamento quinzenal'!$T:$T, A211) +
    COUNTIF('Acompanhamento quinzenal'!$Z:$Z, A211) +
    COUNTIF('Acompanhamento quinzenal'!$AF:$AF, A211)
  )
)
</f>
        <v>-</v>
      </c>
      <c r="W211" s="293" t="str">
        <f>IF(
  (
    COUNTIF('Acompanhamento quinzenal'!$N:$N, A211) +
    COUNTIF('Acompanhamento quinzenal'!$T:$T, A211) +
    COUNTIF('Acompanhamento quinzenal'!$Z:$Z, A211) +
    COUNTIF('Acompanhamento quinzenal'!$AF:$AF, A211)
  ) = 0,
  "-",
  (
    IFERROR(SUMIFS('Acompanhamento quinzenal'!$O:$O, 'Acompanhamento quinzenal'!$N:$N, A211), 0) +
    IFERROR(SUMIFS('Acompanhamento quinzenal'!$U:$U, 'Acompanhamento quinzenal'!$T:$T, A211), 0) +
    IFERROR(SUMIFS('Acompanhamento quinzenal'!$AA:$AA, 'Acompanhamento quinzenal'!$Z:$Z, A211), 0) +
    IFERROR(SUMIFS('Acompanhamento quinzenal'!$AG:$AG, 'Acompanhamento quinzenal'!$AF:$AF, A211), 0)
  ) /
  (
    COUNTIF('Acompanhamento quinzenal'!$N:$N, A211) +
    COUNTIF('Acompanhamento quinzenal'!$T:$T, A211) +
    COUNTIF('Acompanhamento quinzenal'!$Z:$Z, A211) +
    COUNTIF('Acompanhamento quinzenal'!$AF:$AF, A211)
  )
)
</f>
        <v>-</v>
      </c>
      <c r="X211" s="294" t="str">
        <f>IF(
  (
    COUNTIF('Acompanhamento quinzenal'!$N:$N, A211) +
    COUNTIF('Acompanhamento quinzenal'!$T:$T, A211) +
    COUNTIF('Acompanhamento quinzenal'!$Z:$Z, A211) +
    COUNTIF('Acompanhamento quinzenal'!$AF:$AF, A211)
  ) = 0,
  "-",
  (
    IFERROR(SUMIFS('Acompanhamento quinzenal'!$P:$P, 'Acompanhamento quinzenal'!$N:$N, A211), 0) +
    IFERROR(SUMIFS('Acompanhamento quinzenal'!$V:$V, 'Acompanhamento quinzenal'!$T:$T, A211), 0) +
    IFERROR(SUMIFS('Acompanhamento quinzenal'!$AB:$AB, 'Acompanhamento quinzenal'!$Z:$Z, A211), 0) +
    IFERROR(SUMIFS('Acompanhamento quinzenal'!$AH:$AH, 'Acompanhamento quinzenal'!$AF:$AF, A211), 0)
  ) /
  (
    COUNTIF('Acompanhamento quinzenal'!$N:$N, A211) +
    COUNTIF('Acompanhamento quinzenal'!$T:$T, A211) +
    COUNTIF('Acompanhamento quinzenal'!$Z:$Z, A211) +
    COUNTIF('Acompanhamento quinzenal'!$AF:$AF, A211)
  )
)
</f>
        <v>-</v>
      </c>
      <c r="Y211" s="293" t="str">
        <f>IF(
  (
    COUNTIF('Acompanhamento quinzenal'!$N:$N, A211) +
    COUNTIF('Acompanhamento quinzenal'!$T:$T, A211) +
    COUNTIF('Acompanhamento quinzenal'!$Z:$Z, A211) +
    COUNTIF('Acompanhamento quinzenal'!$AF:$AF, A211)
  ) = 0,
  "-",
  (
    IFERROR(SUMIFS('Acompanhamento quinzenal'!$Q:$Q, 'Acompanhamento quinzenal'!$N:$N, A211), 0) +
    IFERROR(SUMIFS('Acompanhamento quinzenal'!$W:$W, 'Acompanhamento quinzenal'!$T:$T, A211), 0) +
    IFERROR(SUMIFS('Acompanhamento quinzenal'!$AC:$AC, 'Acompanhamento quinzenal'!$Z:$Z, A211), 0) +
    IFERROR(SUMIFS('Acompanhamento quinzenal'!$AI:$AI, 'Acompanhamento quinzenal'!$AF:$AF, A211), 0)
  ) /
  (
    COUNTIF('Acompanhamento quinzenal'!$N:$N, A211) +
    COUNTIF('Acompanhamento quinzenal'!$T:$T, A211) +
    COUNTIF('Acompanhamento quinzenal'!$Z:$Z, A211) +
    COUNTIF('Acompanhamento quinzenal'!$AF:$AF, A211)
  )
)
</f>
        <v>-</v>
      </c>
    </row>
    <row r="212" hidden="1">
      <c r="A212" s="291"/>
      <c r="B212" s="120"/>
      <c r="C212" s="120"/>
      <c r="D212" s="292" t="str">
        <f>IFERROR((COUNTIFS(Base!$V:$V,A212,Base!$S:$S,"&gt;8") - COUNTIFS(Base!$V:$V,A212,Base!$S:$S,"&lt;7"))/COUNTIFS(Base!$V:$V,A212,Base!$S:$S,"&lt;&gt;"),"-")</f>
        <v>-</v>
      </c>
      <c r="E212" s="292" t="str">
        <f>IF(
  (
    COUNTIFS(Base!$W:$W, A212, Base!$S:$S, "&lt;&gt;") +
    COUNTIFS(Base!$X:$X, A212, Base!$S:$S, "&lt;&gt;") +
    COUNTIFS(Base!$Y:$Y, A212, Base!$S:$S, "&lt;&gt;") +
    COUNTIFS(Base!$Z:$Z, A212, Base!$S:$S, "&lt;&gt;")
  ) = 0,
  "-",
  (
    COUNTIFS(Base!$W:$W, A212, Base!$S:$S, "&gt;8") - COUNTIFS(Base!$W:$W, A212, Base!$S:$S, "&lt;7") +
    COUNTIFS(Base!$X:$X, A212, Base!$S:$S, "&gt;8") - COUNTIFS(Base!$X:$X, A212, Base!$S:$S, "&lt;7") +
    COUNTIFS(Base!$Y:$Y, A212, Base!$S:$S, "&gt;8") - COUNTIFS(Base!$Y:$Y, A212, Base!$S:$S, "&lt;7") +
    COUNTIFS(Base!$Z:$Z, A212, Base!$S:$S, "&gt;8") - COUNTIFS(Base!$Z:$Z, A212, Base!$S:$S, "&lt;7")
  ) /
  (
    COUNTIFS(Base!$W:$W, A212, Base!$S:$S, "&lt;&gt;") +
    COUNTIFS(Base!$X:$X, A212, Base!$S:$S, "&lt;&gt;") +
    COUNTIFS(Base!$Y:$Y, A212, Base!$S:$S, "&lt;&gt;") +
    COUNTIFS(Base!$Z:$Z, A212, Base!$S:$S, "&lt;&gt;")
  )
)
</f>
        <v>-</v>
      </c>
      <c r="F212" s="120"/>
      <c r="G212" s="120"/>
      <c r="J212" s="292" t="str">
        <f t="shared" ref="J212:K212" si="213">IFERROR(F212/H212,"-")</f>
        <v>-</v>
      </c>
      <c r="K212" s="292" t="str">
        <f t="shared" si="213"/>
        <v>-</v>
      </c>
      <c r="L212" s="292" t="str">
        <f>IFERROR((COUNTIFS(Base!$V:$V,A212,Base!$U:$U,TRUE))/(COUNTIFS(Base!$V:$V,A212,Base!$O:$O,"Finalizado")+COUNTIFS(Base!$V:$V,A212,Base!$O:$O,"Concluído")),"-")</f>
        <v>-</v>
      </c>
      <c r="M212" s="292" t="str">
        <f>IF(
  (
    IFERROR(COUNTIF(Base!$W:$W, A212), 0) +
    IFERROR(COUNTIF(Base!$X:$X, A212), 0) +
    IFERROR(COUNTIF(Base!$Y:$Y, A212), 0) +
    IFERROR(COUNTIF(Base!$Z:$Z, A212), 0)
  ) = 0,
  "-",
  IF(
    (
      IFERROR(COUNTIFS(Base!$W:$W, A212, Base!$O:$O, "Finalizado"), 0) +
      IFERROR(COUNTIFS(Base!$W:$W, A212, Base!$O:$O, "Concluído"), 0) +
      IFERROR(COUNTIFS(Base!$X:$X, A212, Base!$O:$O, "Finalizado"), 0) +
      IFERROR(COUNTIFS(Base!$X:$X, A212, Base!$O:$O, "Concluído"), 0) +
      IFERROR(COUNTIFS(Base!$Y:$Y, A212, Base!$O:$O, "Finalizado"), 0) +
      IFERROR(COUNTIFS(Base!$Y:$Y, A212, Base!$O:$O, "Concluído"), 0) +
      IFERROR(COUNTIFS(Base!$Z:$Z, A212, Base!$O:$O, "Finalizado"), 0) +
      IFERROR(COUNTIFS(Base!$Z:$Z, A212, Base!$O:$O, "Concluído"), 0)
    ) = 0,
    "-",
    (
      IFERROR(COUNTIFS(Base!$W:$W, A212, Base!$U:$U, TRUE), 0) +
      IFERROR(COUNTIFS(Base!$X:$X, A212, Base!$U:$U, TRUE), 0) +
      IFERROR(COUNTIFS(Base!$Y:$Y, A212, Base!$U:$U, TRUE), 0) +
      IFERROR(COUNTIFS(Base!$Z:$Z, A212, Base!$U:$U, TRUE), 0)
    ) /
    (
      IFERROR(COUNTIFS(Base!$W:$W, A212, Base!$O:$O, "Finalizado"), 0) +
      IFERROR(COUNTIFS(Base!$W:$W, A212, Base!$O:$O, "Concluído"), 0) +
      IFERROR(COUNTIFS(Base!$X:$X, A212, Base!$O:$O, "Finalizado"), 0) +
      IFERROR(COUNTIFS(Base!$X:$X, A212, Base!$O:$O, "Concluído"), 0) +
      IFERROR(COUNTIFS(Base!$Y:$Y, A212, Base!$O:$O, "Finalizado"), 0) +
      IFERROR(COUNTIFS(Base!$Y:$Y, A212, Base!$O:$O, "Concluído"), 0) +
      IFERROR(COUNTIFS(Base!$Z:$Z, A212, Base!$O:$O, "Finalizado"), 0) +
      IFERROR(COUNTIFS(Base!$Z:$Z, A212, Base!$O:$O, "Concluído"), 0)
    )
  )
)
</f>
        <v>-</v>
      </c>
      <c r="N212" s="120">
        <f>COUNTIF(Base!V:V,$A212)</f>
        <v>0</v>
      </c>
      <c r="O212" s="120"/>
      <c r="P212" s="120"/>
      <c r="Q212" s="120"/>
      <c r="R212" s="120"/>
      <c r="S212" s="120"/>
      <c r="T212" s="120">
        <f t="shared" si="4"/>
        <v>0</v>
      </c>
      <c r="V212" s="293" t="str">
        <f>IF(
  (
    COUNTIF('Acompanhamento quinzenal'!$N:$N, A212) +
    COUNTIF('Acompanhamento quinzenal'!$T:$T, A212) +
    COUNTIF('Acompanhamento quinzenal'!$Z:$Z, A212) +
    COUNTIF('Acompanhamento quinzenal'!$AF:$AF, A212)
  ) = 0,
  "-",
  (
    IFERROR(SUMIFS('Acompanhamento quinzenal'!$S:$S, 'Acompanhamento quinzenal'!$N:$N, A212), 0) +
    IFERROR(SUMIFS('Acompanhamento quinzenal'!$Y:$Y, 'Acompanhamento quinzenal'!$T:$T, A212), 0) +
    IFERROR(SUMIFS('Acompanhamento quinzenal'!$AE:$AE, 'Acompanhamento quinzenal'!$Z:$Z, A212), 0) +
    IFERROR(SUMIFS('Acompanhamento quinzenal'!$AK:$AK, 'Acompanhamento quinzenal'!$AF:$AF, A212), 0)
  ) /
  (
    COUNTIF('Acompanhamento quinzenal'!$N:$N, A212) +
    COUNTIF('Acompanhamento quinzenal'!$T:$T, A212) +
    COUNTIF('Acompanhamento quinzenal'!$Z:$Z, A212) +
    COUNTIF('Acompanhamento quinzenal'!$AF:$AF, A212)
  )
)
</f>
        <v>-</v>
      </c>
      <c r="W212" s="293" t="str">
        <f>IF(
  (
    COUNTIF('Acompanhamento quinzenal'!$N:$N, A212) +
    COUNTIF('Acompanhamento quinzenal'!$T:$T, A212) +
    COUNTIF('Acompanhamento quinzenal'!$Z:$Z, A212) +
    COUNTIF('Acompanhamento quinzenal'!$AF:$AF, A212)
  ) = 0,
  "-",
  (
    IFERROR(SUMIFS('Acompanhamento quinzenal'!$O:$O, 'Acompanhamento quinzenal'!$N:$N, A212), 0) +
    IFERROR(SUMIFS('Acompanhamento quinzenal'!$U:$U, 'Acompanhamento quinzenal'!$T:$T, A212), 0) +
    IFERROR(SUMIFS('Acompanhamento quinzenal'!$AA:$AA, 'Acompanhamento quinzenal'!$Z:$Z, A212), 0) +
    IFERROR(SUMIFS('Acompanhamento quinzenal'!$AG:$AG, 'Acompanhamento quinzenal'!$AF:$AF, A212), 0)
  ) /
  (
    COUNTIF('Acompanhamento quinzenal'!$N:$N, A212) +
    COUNTIF('Acompanhamento quinzenal'!$T:$T, A212) +
    COUNTIF('Acompanhamento quinzenal'!$Z:$Z, A212) +
    COUNTIF('Acompanhamento quinzenal'!$AF:$AF, A212)
  )
)
</f>
        <v>-</v>
      </c>
      <c r="X212" s="294" t="str">
        <f>IF(
  (
    COUNTIF('Acompanhamento quinzenal'!$N:$N, A212) +
    COUNTIF('Acompanhamento quinzenal'!$T:$T, A212) +
    COUNTIF('Acompanhamento quinzenal'!$Z:$Z, A212) +
    COUNTIF('Acompanhamento quinzenal'!$AF:$AF, A212)
  ) = 0,
  "-",
  (
    IFERROR(SUMIFS('Acompanhamento quinzenal'!$P:$P, 'Acompanhamento quinzenal'!$N:$N, A212), 0) +
    IFERROR(SUMIFS('Acompanhamento quinzenal'!$V:$V, 'Acompanhamento quinzenal'!$T:$T, A212), 0) +
    IFERROR(SUMIFS('Acompanhamento quinzenal'!$AB:$AB, 'Acompanhamento quinzenal'!$Z:$Z, A212), 0) +
    IFERROR(SUMIFS('Acompanhamento quinzenal'!$AH:$AH, 'Acompanhamento quinzenal'!$AF:$AF, A212), 0)
  ) /
  (
    COUNTIF('Acompanhamento quinzenal'!$N:$N, A212) +
    COUNTIF('Acompanhamento quinzenal'!$T:$T, A212) +
    COUNTIF('Acompanhamento quinzenal'!$Z:$Z, A212) +
    COUNTIF('Acompanhamento quinzenal'!$AF:$AF, A212)
  )
)
</f>
        <v>-</v>
      </c>
      <c r="Y212" s="293" t="str">
        <f>IF(
  (
    COUNTIF('Acompanhamento quinzenal'!$N:$N, A212) +
    COUNTIF('Acompanhamento quinzenal'!$T:$T, A212) +
    COUNTIF('Acompanhamento quinzenal'!$Z:$Z, A212) +
    COUNTIF('Acompanhamento quinzenal'!$AF:$AF, A212)
  ) = 0,
  "-",
  (
    IFERROR(SUMIFS('Acompanhamento quinzenal'!$Q:$Q, 'Acompanhamento quinzenal'!$N:$N, A212), 0) +
    IFERROR(SUMIFS('Acompanhamento quinzenal'!$W:$W, 'Acompanhamento quinzenal'!$T:$T, A212), 0) +
    IFERROR(SUMIFS('Acompanhamento quinzenal'!$AC:$AC, 'Acompanhamento quinzenal'!$Z:$Z, A212), 0) +
    IFERROR(SUMIFS('Acompanhamento quinzenal'!$AI:$AI, 'Acompanhamento quinzenal'!$AF:$AF, A212), 0)
  ) /
  (
    COUNTIF('Acompanhamento quinzenal'!$N:$N, A212) +
    COUNTIF('Acompanhamento quinzenal'!$T:$T, A212) +
    COUNTIF('Acompanhamento quinzenal'!$Z:$Z, A212) +
    COUNTIF('Acompanhamento quinzenal'!$AF:$AF, A212)
  )
)
</f>
        <v>-</v>
      </c>
    </row>
    <row r="213" hidden="1">
      <c r="A213" s="291"/>
      <c r="B213" s="120"/>
      <c r="C213" s="120"/>
      <c r="D213" s="292" t="str">
        <f>IFERROR((COUNTIFS(Base!$V:$V,A213,Base!$S:$S,"&gt;8") - COUNTIFS(Base!$V:$V,A213,Base!$S:$S,"&lt;7"))/COUNTIFS(Base!$V:$V,A213,Base!$S:$S,"&lt;&gt;"),"-")</f>
        <v>-</v>
      </c>
      <c r="E213" s="292" t="str">
        <f>IF(
  (
    COUNTIFS(Base!$W:$W, A213, Base!$S:$S, "&lt;&gt;") +
    COUNTIFS(Base!$X:$X, A213, Base!$S:$S, "&lt;&gt;") +
    COUNTIFS(Base!$Y:$Y, A213, Base!$S:$S, "&lt;&gt;") +
    COUNTIFS(Base!$Z:$Z, A213, Base!$S:$S, "&lt;&gt;")
  ) = 0,
  "-",
  (
    COUNTIFS(Base!$W:$W, A213, Base!$S:$S, "&gt;8") - COUNTIFS(Base!$W:$W, A213, Base!$S:$S, "&lt;7") +
    COUNTIFS(Base!$X:$X, A213, Base!$S:$S, "&gt;8") - COUNTIFS(Base!$X:$X, A213, Base!$S:$S, "&lt;7") +
    COUNTIFS(Base!$Y:$Y, A213, Base!$S:$S, "&gt;8") - COUNTIFS(Base!$Y:$Y, A213, Base!$S:$S, "&lt;7") +
    COUNTIFS(Base!$Z:$Z, A213, Base!$S:$S, "&gt;8") - COUNTIFS(Base!$Z:$Z, A213, Base!$S:$S, "&lt;7")
  ) /
  (
    COUNTIFS(Base!$W:$W, A213, Base!$S:$S, "&lt;&gt;") +
    COUNTIFS(Base!$X:$X, A213, Base!$S:$S, "&lt;&gt;") +
    COUNTIFS(Base!$Y:$Y, A213, Base!$S:$S, "&lt;&gt;") +
    COUNTIFS(Base!$Z:$Z, A213, Base!$S:$S, "&lt;&gt;")
  )
)
</f>
        <v>-</v>
      </c>
      <c r="F213" s="120"/>
      <c r="G213" s="120"/>
      <c r="J213" s="292" t="str">
        <f t="shared" ref="J213:K213" si="214">IFERROR(F213/H213,"-")</f>
        <v>-</v>
      </c>
      <c r="K213" s="292" t="str">
        <f t="shared" si="214"/>
        <v>-</v>
      </c>
      <c r="L213" s="292" t="str">
        <f>IFERROR((COUNTIFS(Base!$V:$V,A213,Base!$U:$U,TRUE))/(COUNTIFS(Base!$V:$V,A213,Base!$O:$O,"Finalizado")+COUNTIFS(Base!$V:$V,A213,Base!$O:$O,"Concluído")),"-")</f>
        <v>-</v>
      </c>
      <c r="M213" s="292" t="str">
        <f>IF(
  (
    IFERROR(COUNTIF(Base!$W:$W, A213), 0) +
    IFERROR(COUNTIF(Base!$X:$X, A213), 0) +
    IFERROR(COUNTIF(Base!$Y:$Y, A213), 0) +
    IFERROR(COUNTIF(Base!$Z:$Z, A213), 0)
  ) = 0,
  "-",
  IF(
    (
      IFERROR(COUNTIFS(Base!$W:$W, A213, Base!$O:$O, "Finalizado"), 0) +
      IFERROR(COUNTIFS(Base!$W:$W, A213, Base!$O:$O, "Concluído"), 0) +
      IFERROR(COUNTIFS(Base!$X:$X, A213, Base!$O:$O, "Finalizado"), 0) +
      IFERROR(COUNTIFS(Base!$X:$X, A213, Base!$O:$O, "Concluído"), 0) +
      IFERROR(COUNTIFS(Base!$Y:$Y, A213, Base!$O:$O, "Finalizado"), 0) +
      IFERROR(COUNTIFS(Base!$Y:$Y, A213, Base!$O:$O, "Concluído"), 0) +
      IFERROR(COUNTIFS(Base!$Z:$Z, A213, Base!$O:$O, "Finalizado"), 0) +
      IFERROR(COUNTIFS(Base!$Z:$Z, A213, Base!$O:$O, "Concluído"), 0)
    ) = 0,
    "-",
    (
      IFERROR(COUNTIFS(Base!$W:$W, A213, Base!$U:$U, TRUE), 0) +
      IFERROR(COUNTIFS(Base!$X:$X, A213, Base!$U:$U, TRUE), 0) +
      IFERROR(COUNTIFS(Base!$Y:$Y, A213, Base!$U:$U, TRUE), 0) +
      IFERROR(COUNTIFS(Base!$Z:$Z, A213, Base!$U:$U, TRUE), 0)
    ) /
    (
      IFERROR(COUNTIFS(Base!$W:$W, A213, Base!$O:$O, "Finalizado"), 0) +
      IFERROR(COUNTIFS(Base!$W:$W, A213, Base!$O:$O, "Concluído"), 0) +
      IFERROR(COUNTIFS(Base!$X:$X, A213, Base!$O:$O, "Finalizado"), 0) +
      IFERROR(COUNTIFS(Base!$X:$X, A213, Base!$O:$O, "Concluído"), 0) +
      IFERROR(COUNTIFS(Base!$Y:$Y, A213, Base!$O:$O, "Finalizado"), 0) +
      IFERROR(COUNTIFS(Base!$Y:$Y, A213, Base!$O:$O, "Concluído"), 0) +
      IFERROR(COUNTIFS(Base!$Z:$Z, A213, Base!$O:$O, "Finalizado"), 0) +
      IFERROR(COUNTIFS(Base!$Z:$Z, A213, Base!$O:$O, "Concluído"), 0)
    )
  )
)
</f>
        <v>-</v>
      </c>
      <c r="N213" s="120">
        <f>COUNTIF(Base!V:V,$A213)</f>
        <v>0</v>
      </c>
      <c r="O213" s="120"/>
      <c r="P213" s="120"/>
      <c r="Q213" s="120"/>
      <c r="R213" s="120"/>
      <c r="S213" s="120"/>
      <c r="T213" s="120">
        <f t="shared" si="4"/>
        <v>0</v>
      </c>
      <c r="V213" s="293" t="str">
        <f>IF(
  (
    COUNTIF('Acompanhamento quinzenal'!$N:$N, A213) +
    COUNTIF('Acompanhamento quinzenal'!$T:$T, A213) +
    COUNTIF('Acompanhamento quinzenal'!$Z:$Z, A213) +
    COUNTIF('Acompanhamento quinzenal'!$AF:$AF, A213)
  ) = 0,
  "-",
  (
    IFERROR(SUMIFS('Acompanhamento quinzenal'!$S:$S, 'Acompanhamento quinzenal'!$N:$N, A213), 0) +
    IFERROR(SUMIFS('Acompanhamento quinzenal'!$Y:$Y, 'Acompanhamento quinzenal'!$T:$T, A213), 0) +
    IFERROR(SUMIFS('Acompanhamento quinzenal'!$AE:$AE, 'Acompanhamento quinzenal'!$Z:$Z, A213), 0) +
    IFERROR(SUMIFS('Acompanhamento quinzenal'!$AK:$AK, 'Acompanhamento quinzenal'!$AF:$AF, A213), 0)
  ) /
  (
    COUNTIF('Acompanhamento quinzenal'!$N:$N, A213) +
    COUNTIF('Acompanhamento quinzenal'!$T:$T, A213) +
    COUNTIF('Acompanhamento quinzenal'!$Z:$Z, A213) +
    COUNTIF('Acompanhamento quinzenal'!$AF:$AF, A213)
  )
)
</f>
        <v>-</v>
      </c>
      <c r="W213" s="293" t="str">
        <f>IF(
  (
    COUNTIF('Acompanhamento quinzenal'!$N:$N, A213) +
    COUNTIF('Acompanhamento quinzenal'!$T:$T, A213) +
    COUNTIF('Acompanhamento quinzenal'!$Z:$Z, A213) +
    COUNTIF('Acompanhamento quinzenal'!$AF:$AF, A213)
  ) = 0,
  "-",
  (
    IFERROR(SUMIFS('Acompanhamento quinzenal'!$O:$O, 'Acompanhamento quinzenal'!$N:$N, A213), 0) +
    IFERROR(SUMIFS('Acompanhamento quinzenal'!$U:$U, 'Acompanhamento quinzenal'!$T:$T, A213), 0) +
    IFERROR(SUMIFS('Acompanhamento quinzenal'!$AA:$AA, 'Acompanhamento quinzenal'!$Z:$Z, A213), 0) +
    IFERROR(SUMIFS('Acompanhamento quinzenal'!$AG:$AG, 'Acompanhamento quinzenal'!$AF:$AF, A213), 0)
  ) /
  (
    COUNTIF('Acompanhamento quinzenal'!$N:$N, A213) +
    COUNTIF('Acompanhamento quinzenal'!$T:$T, A213) +
    COUNTIF('Acompanhamento quinzenal'!$Z:$Z, A213) +
    COUNTIF('Acompanhamento quinzenal'!$AF:$AF, A213)
  )
)
</f>
        <v>-</v>
      </c>
      <c r="X213" s="294" t="str">
        <f>IF(
  (
    COUNTIF('Acompanhamento quinzenal'!$N:$N, A213) +
    COUNTIF('Acompanhamento quinzenal'!$T:$T, A213) +
    COUNTIF('Acompanhamento quinzenal'!$Z:$Z, A213) +
    COUNTIF('Acompanhamento quinzenal'!$AF:$AF, A213)
  ) = 0,
  "-",
  (
    IFERROR(SUMIFS('Acompanhamento quinzenal'!$P:$P, 'Acompanhamento quinzenal'!$N:$N, A213), 0) +
    IFERROR(SUMIFS('Acompanhamento quinzenal'!$V:$V, 'Acompanhamento quinzenal'!$T:$T, A213), 0) +
    IFERROR(SUMIFS('Acompanhamento quinzenal'!$AB:$AB, 'Acompanhamento quinzenal'!$Z:$Z, A213), 0) +
    IFERROR(SUMIFS('Acompanhamento quinzenal'!$AH:$AH, 'Acompanhamento quinzenal'!$AF:$AF, A213), 0)
  ) /
  (
    COUNTIF('Acompanhamento quinzenal'!$N:$N, A213) +
    COUNTIF('Acompanhamento quinzenal'!$T:$T, A213) +
    COUNTIF('Acompanhamento quinzenal'!$Z:$Z, A213) +
    COUNTIF('Acompanhamento quinzenal'!$AF:$AF, A213)
  )
)
</f>
        <v>-</v>
      </c>
      <c r="Y213" s="293" t="str">
        <f>IF(
  (
    COUNTIF('Acompanhamento quinzenal'!$N:$N, A213) +
    COUNTIF('Acompanhamento quinzenal'!$T:$T, A213) +
    COUNTIF('Acompanhamento quinzenal'!$Z:$Z, A213) +
    COUNTIF('Acompanhamento quinzenal'!$AF:$AF, A213)
  ) = 0,
  "-",
  (
    IFERROR(SUMIFS('Acompanhamento quinzenal'!$Q:$Q, 'Acompanhamento quinzenal'!$N:$N, A213), 0) +
    IFERROR(SUMIFS('Acompanhamento quinzenal'!$W:$W, 'Acompanhamento quinzenal'!$T:$T, A213), 0) +
    IFERROR(SUMIFS('Acompanhamento quinzenal'!$AC:$AC, 'Acompanhamento quinzenal'!$Z:$Z, A213), 0) +
    IFERROR(SUMIFS('Acompanhamento quinzenal'!$AI:$AI, 'Acompanhamento quinzenal'!$AF:$AF, A213), 0)
  ) /
  (
    COUNTIF('Acompanhamento quinzenal'!$N:$N, A213) +
    COUNTIF('Acompanhamento quinzenal'!$T:$T, A213) +
    COUNTIF('Acompanhamento quinzenal'!$Z:$Z, A213) +
    COUNTIF('Acompanhamento quinzenal'!$AF:$AF, A213)
  )
)
</f>
        <v>-</v>
      </c>
    </row>
    <row r="214" hidden="1">
      <c r="A214" s="291"/>
      <c r="B214" s="120"/>
      <c r="C214" s="120"/>
      <c r="D214" s="292" t="str">
        <f>IFERROR((COUNTIFS(Base!$V:$V,A214,Base!$S:$S,"&gt;8") - COUNTIFS(Base!$V:$V,A214,Base!$S:$S,"&lt;7"))/COUNTIFS(Base!$V:$V,A214,Base!$S:$S,"&lt;&gt;"),"-")</f>
        <v>-</v>
      </c>
      <c r="E214" s="292" t="str">
        <f>IF(
  (
    COUNTIFS(Base!$W:$W, A214, Base!$S:$S, "&lt;&gt;") +
    COUNTIFS(Base!$X:$X, A214, Base!$S:$S, "&lt;&gt;") +
    COUNTIFS(Base!$Y:$Y, A214, Base!$S:$S, "&lt;&gt;") +
    COUNTIFS(Base!$Z:$Z, A214, Base!$S:$S, "&lt;&gt;")
  ) = 0,
  "-",
  (
    COUNTIFS(Base!$W:$W, A214, Base!$S:$S, "&gt;8") - COUNTIFS(Base!$W:$W, A214, Base!$S:$S, "&lt;7") +
    COUNTIFS(Base!$X:$X, A214, Base!$S:$S, "&gt;8") - COUNTIFS(Base!$X:$X, A214, Base!$S:$S, "&lt;7") +
    COUNTIFS(Base!$Y:$Y, A214, Base!$S:$S, "&gt;8") - COUNTIFS(Base!$Y:$Y, A214, Base!$S:$S, "&lt;7") +
    COUNTIFS(Base!$Z:$Z, A214, Base!$S:$S, "&gt;8") - COUNTIFS(Base!$Z:$Z, A214, Base!$S:$S, "&lt;7")
  ) /
  (
    COUNTIFS(Base!$W:$W, A214, Base!$S:$S, "&lt;&gt;") +
    COUNTIFS(Base!$X:$X, A214, Base!$S:$S, "&lt;&gt;") +
    COUNTIFS(Base!$Y:$Y, A214, Base!$S:$S, "&lt;&gt;") +
    COUNTIFS(Base!$Z:$Z, A214, Base!$S:$S, "&lt;&gt;")
  )
)
</f>
        <v>-</v>
      </c>
      <c r="F214" s="120"/>
      <c r="G214" s="120"/>
      <c r="J214" s="292" t="str">
        <f t="shared" ref="J214:K214" si="215">IFERROR(F214/H214,"-")</f>
        <v>-</v>
      </c>
      <c r="K214" s="292" t="str">
        <f t="shared" si="215"/>
        <v>-</v>
      </c>
      <c r="L214" s="292" t="str">
        <f>IFERROR((COUNTIFS(Base!$V:$V,A214,Base!$U:$U,TRUE))/(COUNTIFS(Base!$V:$V,A214,Base!$O:$O,"Finalizado")+COUNTIFS(Base!$V:$V,A214,Base!$O:$O,"Concluído")),"-")</f>
        <v>-</v>
      </c>
      <c r="M214" s="292" t="str">
        <f>IF(
  (
    IFERROR(COUNTIF(Base!$W:$W, A214), 0) +
    IFERROR(COUNTIF(Base!$X:$X, A214), 0) +
    IFERROR(COUNTIF(Base!$Y:$Y, A214), 0) +
    IFERROR(COUNTIF(Base!$Z:$Z, A214), 0)
  ) = 0,
  "-",
  IF(
    (
      IFERROR(COUNTIFS(Base!$W:$W, A214, Base!$O:$O, "Finalizado"), 0) +
      IFERROR(COUNTIFS(Base!$W:$W, A214, Base!$O:$O, "Concluído"), 0) +
      IFERROR(COUNTIFS(Base!$X:$X, A214, Base!$O:$O, "Finalizado"), 0) +
      IFERROR(COUNTIFS(Base!$X:$X, A214, Base!$O:$O, "Concluído"), 0) +
      IFERROR(COUNTIFS(Base!$Y:$Y, A214, Base!$O:$O, "Finalizado"), 0) +
      IFERROR(COUNTIFS(Base!$Y:$Y, A214, Base!$O:$O, "Concluído"), 0) +
      IFERROR(COUNTIFS(Base!$Z:$Z, A214, Base!$O:$O, "Finalizado"), 0) +
      IFERROR(COUNTIFS(Base!$Z:$Z, A214, Base!$O:$O, "Concluído"), 0)
    ) = 0,
    "-",
    (
      IFERROR(COUNTIFS(Base!$W:$W, A214, Base!$U:$U, TRUE), 0) +
      IFERROR(COUNTIFS(Base!$X:$X, A214, Base!$U:$U, TRUE), 0) +
      IFERROR(COUNTIFS(Base!$Y:$Y, A214, Base!$U:$U, TRUE), 0) +
      IFERROR(COUNTIFS(Base!$Z:$Z, A214, Base!$U:$U, TRUE), 0)
    ) /
    (
      IFERROR(COUNTIFS(Base!$W:$W, A214, Base!$O:$O, "Finalizado"), 0) +
      IFERROR(COUNTIFS(Base!$W:$W, A214, Base!$O:$O, "Concluído"), 0) +
      IFERROR(COUNTIFS(Base!$X:$X, A214, Base!$O:$O, "Finalizado"), 0) +
      IFERROR(COUNTIFS(Base!$X:$X, A214, Base!$O:$O, "Concluído"), 0) +
      IFERROR(COUNTIFS(Base!$Y:$Y, A214, Base!$O:$O, "Finalizado"), 0) +
      IFERROR(COUNTIFS(Base!$Y:$Y, A214, Base!$O:$O, "Concluído"), 0) +
      IFERROR(COUNTIFS(Base!$Z:$Z, A214, Base!$O:$O, "Finalizado"), 0) +
      IFERROR(COUNTIFS(Base!$Z:$Z, A214, Base!$O:$O, "Concluído"), 0)
    )
  )
)
</f>
        <v>-</v>
      </c>
      <c r="N214" s="120">
        <f>COUNTIF(Base!V:V,$A214)</f>
        <v>0</v>
      </c>
      <c r="O214" s="120"/>
      <c r="P214" s="120"/>
      <c r="Q214" s="120"/>
      <c r="R214" s="120"/>
      <c r="S214" s="120"/>
      <c r="T214" s="120">
        <f t="shared" si="4"/>
        <v>0</v>
      </c>
      <c r="V214" s="293" t="str">
        <f>IF(
  (
    COUNTIF('Acompanhamento quinzenal'!$N:$N, A214) +
    COUNTIF('Acompanhamento quinzenal'!$T:$T, A214) +
    COUNTIF('Acompanhamento quinzenal'!$Z:$Z, A214) +
    COUNTIF('Acompanhamento quinzenal'!$AF:$AF, A214)
  ) = 0,
  "-",
  (
    IFERROR(SUMIFS('Acompanhamento quinzenal'!$S:$S, 'Acompanhamento quinzenal'!$N:$N, A214), 0) +
    IFERROR(SUMIFS('Acompanhamento quinzenal'!$Y:$Y, 'Acompanhamento quinzenal'!$T:$T, A214), 0) +
    IFERROR(SUMIFS('Acompanhamento quinzenal'!$AE:$AE, 'Acompanhamento quinzenal'!$Z:$Z, A214), 0) +
    IFERROR(SUMIFS('Acompanhamento quinzenal'!$AK:$AK, 'Acompanhamento quinzenal'!$AF:$AF, A214), 0)
  ) /
  (
    COUNTIF('Acompanhamento quinzenal'!$N:$N, A214) +
    COUNTIF('Acompanhamento quinzenal'!$T:$T, A214) +
    COUNTIF('Acompanhamento quinzenal'!$Z:$Z, A214) +
    COUNTIF('Acompanhamento quinzenal'!$AF:$AF, A214)
  )
)
</f>
        <v>-</v>
      </c>
      <c r="W214" s="293" t="str">
        <f>IF(
  (
    COUNTIF('Acompanhamento quinzenal'!$N:$N, A214) +
    COUNTIF('Acompanhamento quinzenal'!$T:$T, A214) +
    COUNTIF('Acompanhamento quinzenal'!$Z:$Z, A214) +
    COUNTIF('Acompanhamento quinzenal'!$AF:$AF, A214)
  ) = 0,
  "-",
  (
    IFERROR(SUMIFS('Acompanhamento quinzenal'!$O:$O, 'Acompanhamento quinzenal'!$N:$N, A214), 0) +
    IFERROR(SUMIFS('Acompanhamento quinzenal'!$U:$U, 'Acompanhamento quinzenal'!$T:$T, A214), 0) +
    IFERROR(SUMIFS('Acompanhamento quinzenal'!$AA:$AA, 'Acompanhamento quinzenal'!$Z:$Z, A214), 0) +
    IFERROR(SUMIFS('Acompanhamento quinzenal'!$AG:$AG, 'Acompanhamento quinzenal'!$AF:$AF, A214), 0)
  ) /
  (
    COUNTIF('Acompanhamento quinzenal'!$N:$N, A214) +
    COUNTIF('Acompanhamento quinzenal'!$T:$T, A214) +
    COUNTIF('Acompanhamento quinzenal'!$Z:$Z, A214) +
    COUNTIF('Acompanhamento quinzenal'!$AF:$AF, A214)
  )
)
</f>
        <v>-</v>
      </c>
      <c r="X214" s="294" t="str">
        <f>IF(
  (
    COUNTIF('Acompanhamento quinzenal'!$N:$N, A214) +
    COUNTIF('Acompanhamento quinzenal'!$T:$T, A214) +
    COUNTIF('Acompanhamento quinzenal'!$Z:$Z, A214) +
    COUNTIF('Acompanhamento quinzenal'!$AF:$AF, A214)
  ) = 0,
  "-",
  (
    IFERROR(SUMIFS('Acompanhamento quinzenal'!$P:$P, 'Acompanhamento quinzenal'!$N:$N, A214), 0) +
    IFERROR(SUMIFS('Acompanhamento quinzenal'!$V:$V, 'Acompanhamento quinzenal'!$T:$T, A214), 0) +
    IFERROR(SUMIFS('Acompanhamento quinzenal'!$AB:$AB, 'Acompanhamento quinzenal'!$Z:$Z, A214), 0) +
    IFERROR(SUMIFS('Acompanhamento quinzenal'!$AH:$AH, 'Acompanhamento quinzenal'!$AF:$AF, A214), 0)
  ) /
  (
    COUNTIF('Acompanhamento quinzenal'!$N:$N, A214) +
    COUNTIF('Acompanhamento quinzenal'!$T:$T, A214) +
    COUNTIF('Acompanhamento quinzenal'!$Z:$Z, A214) +
    COUNTIF('Acompanhamento quinzenal'!$AF:$AF, A214)
  )
)
</f>
        <v>-</v>
      </c>
      <c r="Y214" s="293" t="str">
        <f>IF(
  (
    COUNTIF('Acompanhamento quinzenal'!$N:$N, A214) +
    COUNTIF('Acompanhamento quinzenal'!$T:$T, A214) +
    COUNTIF('Acompanhamento quinzenal'!$Z:$Z, A214) +
    COUNTIF('Acompanhamento quinzenal'!$AF:$AF, A214)
  ) = 0,
  "-",
  (
    IFERROR(SUMIFS('Acompanhamento quinzenal'!$Q:$Q, 'Acompanhamento quinzenal'!$N:$N, A214), 0) +
    IFERROR(SUMIFS('Acompanhamento quinzenal'!$W:$W, 'Acompanhamento quinzenal'!$T:$T, A214), 0) +
    IFERROR(SUMIFS('Acompanhamento quinzenal'!$AC:$AC, 'Acompanhamento quinzenal'!$Z:$Z, A214), 0) +
    IFERROR(SUMIFS('Acompanhamento quinzenal'!$AI:$AI, 'Acompanhamento quinzenal'!$AF:$AF, A214), 0)
  ) /
  (
    COUNTIF('Acompanhamento quinzenal'!$N:$N, A214) +
    COUNTIF('Acompanhamento quinzenal'!$T:$T, A214) +
    COUNTIF('Acompanhamento quinzenal'!$Z:$Z, A214) +
    COUNTIF('Acompanhamento quinzenal'!$AF:$AF, A214)
  )
)
</f>
        <v>-</v>
      </c>
    </row>
    <row r="215" hidden="1">
      <c r="A215" s="291"/>
      <c r="B215" s="120"/>
      <c r="C215" s="120"/>
      <c r="D215" s="292" t="str">
        <f>IFERROR((COUNTIFS(Base!$V:$V,A215,Base!$S:$S,"&gt;8") - COUNTIFS(Base!$V:$V,A215,Base!$S:$S,"&lt;7"))/COUNTIFS(Base!$V:$V,A215,Base!$S:$S,"&lt;&gt;"),"-")</f>
        <v>-</v>
      </c>
      <c r="E215" s="292" t="str">
        <f>IF(
  (
    COUNTIFS(Base!$W:$W, A215, Base!$S:$S, "&lt;&gt;") +
    COUNTIFS(Base!$X:$X, A215, Base!$S:$S, "&lt;&gt;") +
    COUNTIFS(Base!$Y:$Y, A215, Base!$S:$S, "&lt;&gt;") +
    COUNTIFS(Base!$Z:$Z, A215, Base!$S:$S, "&lt;&gt;")
  ) = 0,
  "-",
  (
    COUNTIFS(Base!$W:$W, A215, Base!$S:$S, "&gt;8") - COUNTIFS(Base!$W:$W, A215, Base!$S:$S, "&lt;7") +
    COUNTIFS(Base!$X:$X, A215, Base!$S:$S, "&gt;8") - COUNTIFS(Base!$X:$X, A215, Base!$S:$S, "&lt;7") +
    COUNTIFS(Base!$Y:$Y, A215, Base!$S:$S, "&gt;8") - COUNTIFS(Base!$Y:$Y, A215, Base!$S:$S, "&lt;7") +
    COUNTIFS(Base!$Z:$Z, A215, Base!$S:$S, "&gt;8") - COUNTIFS(Base!$Z:$Z, A215, Base!$S:$S, "&lt;7")
  ) /
  (
    COUNTIFS(Base!$W:$W, A215, Base!$S:$S, "&lt;&gt;") +
    COUNTIFS(Base!$X:$X, A215, Base!$S:$S, "&lt;&gt;") +
    COUNTIFS(Base!$Y:$Y, A215, Base!$S:$S, "&lt;&gt;") +
    COUNTIFS(Base!$Z:$Z, A215, Base!$S:$S, "&lt;&gt;")
  )
)
</f>
        <v>-</v>
      </c>
      <c r="F215" s="120"/>
      <c r="G215" s="120"/>
      <c r="J215" s="292" t="str">
        <f t="shared" ref="J215:K215" si="216">IFERROR(F215/H215,"-")</f>
        <v>-</v>
      </c>
      <c r="K215" s="292" t="str">
        <f t="shared" si="216"/>
        <v>-</v>
      </c>
      <c r="L215" s="292" t="str">
        <f>IFERROR((COUNTIFS(Base!$V:$V,A215,Base!$U:$U,TRUE))/(COUNTIFS(Base!$V:$V,A215,Base!$O:$O,"Finalizado")+COUNTIFS(Base!$V:$V,A215,Base!$O:$O,"Concluído")),"-")</f>
        <v>-</v>
      </c>
      <c r="M215" s="292" t="str">
        <f>IF(
  (
    IFERROR(COUNTIF(Base!$W:$W, A215), 0) +
    IFERROR(COUNTIF(Base!$X:$X, A215), 0) +
    IFERROR(COUNTIF(Base!$Y:$Y, A215), 0) +
    IFERROR(COUNTIF(Base!$Z:$Z, A215), 0)
  ) = 0,
  "-",
  IF(
    (
      IFERROR(COUNTIFS(Base!$W:$W, A215, Base!$O:$O, "Finalizado"), 0) +
      IFERROR(COUNTIFS(Base!$W:$W, A215, Base!$O:$O, "Concluído"), 0) +
      IFERROR(COUNTIFS(Base!$X:$X, A215, Base!$O:$O, "Finalizado"), 0) +
      IFERROR(COUNTIFS(Base!$X:$X, A215, Base!$O:$O, "Concluído"), 0) +
      IFERROR(COUNTIFS(Base!$Y:$Y, A215, Base!$O:$O, "Finalizado"), 0) +
      IFERROR(COUNTIFS(Base!$Y:$Y, A215, Base!$O:$O, "Concluído"), 0) +
      IFERROR(COUNTIFS(Base!$Z:$Z, A215, Base!$O:$O, "Finalizado"), 0) +
      IFERROR(COUNTIFS(Base!$Z:$Z, A215, Base!$O:$O, "Concluído"), 0)
    ) = 0,
    "-",
    (
      IFERROR(COUNTIFS(Base!$W:$W, A215, Base!$U:$U, TRUE), 0) +
      IFERROR(COUNTIFS(Base!$X:$X, A215, Base!$U:$U, TRUE), 0) +
      IFERROR(COUNTIFS(Base!$Y:$Y, A215, Base!$U:$U, TRUE), 0) +
      IFERROR(COUNTIFS(Base!$Z:$Z, A215, Base!$U:$U, TRUE), 0)
    ) /
    (
      IFERROR(COUNTIFS(Base!$W:$W, A215, Base!$O:$O, "Finalizado"), 0) +
      IFERROR(COUNTIFS(Base!$W:$W, A215, Base!$O:$O, "Concluído"), 0) +
      IFERROR(COUNTIFS(Base!$X:$X, A215, Base!$O:$O, "Finalizado"), 0) +
      IFERROR(COUNTIFS(Base!$X:$X, A215, Base!$O:$O, "Concluído"), 0) +
      IFERROR(COUNTIFS(Base!$Y:$Y, A215, Base!$O:$O, "Finalizado"), 0) +
      IFERROR(COUNTIFS(Base!$Y:$Y, A215, Base!$O:$O, "Concluído"), 0) +
      IFERROR(COUNTIFS(Base!$Z:$Z, A215, Base!$O:$O, "Finalizado"), 0) +
      IFERROR(COUNTIFS(Base!$Z:$Z, A215, Base!$O:$O, "Concluído"), 0)
    )
  )
)
</f>
        <v>-</v>
      </c>
      <c r="N215" s="120">
        <f>COUNTIF(Base!V:V,$A215)</f>
        <v>0</v>
      </c>
      <c r="O215" s="120"/>
      <c r="P215" s="120"/>
      <c r="Q215" s="120"/>
      <c r="R215" s="120"/>
      <c r="S215" s="120"/>
      <c r="T215" s="120">
        <f t="shared" si="4"/>
        <v>0</v>
      </c>
      <c r="V215" s="293" t="str">
        <f>IF(
  (
    COUNTIF('Acompanhamento quinzenal'!$N:$N, A215) +
    COUNTIF('Acompanhamento quinzenal'!$T:$T, A215) +
    COUNTIF('Acompanhamento quinzenal'!$Z:$Z, A215) +
    COUNTIF('Acompanhamento quinzenal'!$AF:$AF, A215)
  ) = 0,
  "-",
  (
    IFERROR(SUMIFS('Acompanhamento quinzenal'!$S:$S, 'Acompanhamento quinzenal'!$N:$N, A215), 0) +
    IFERROR(SUMIFS('Acompanhamento quinzenal'!$Y:$Y, 'Acompanhamento quinzenal'!$T:$T, A215), 0) +
    IFERROR(SUMIFS('Acompanhamento quinzenal'!$AE:$AE, 'Acompanhamento quinzenal'!$Z:$Z, A215), 0) +
    IFERROR(SUMIFS('Acompanhamento quinzenal'!$AK:$AK, 'Acompanhamento quinzenal'!$AF:$AF, A215), 0)
  ) /
  (
    COUNTIF('Acompanhamento quinzenal'!$N:$N, A215) +
    COUNTIF('Acompanhamento quinzenal'!$T:$T, A215) +
    COUNTIF('Acompanhamento quinzenal'!$Z:$Z, A215) +
    COUNTIF('Acompanhamento quinzenal'!$AF:$AF, A215)
  )
)
</f>
        <v>-</v>
      </c>
      <c r="W215" s="293" t="str">
        <f>IF(
  (
    COUNTIF('Acompanhamento quinzenal'!$N:$N, A215) +
    COUNTIF('Acompanhamento quinzenal'!$T:$T, A215) +
    COUNTIF('Acompanhamento quinzenal'!$Z:$Z, A215) +
    COUNTIF('Acompanhamento quinzenal'!$AF:$AF, A215)
  ) = 0,
  "-",
  (
    IFERROR(SUMIFS('Acompanhamento quinzenal'!$O:$O, 'Acompanhamento quinzenal'!$N:$N, A215), 0) +
    IFERROR(SUMIFS('Acompanhamento quinzenal'!$U:$U, 'Acompanhamento quinzenal'!$T:$T, A215), 0) +
    IFERROR(SUMIFS('Acompanhamento quinzenal'!$AA:$AA, 'Acompanhamento quinzenal'!$Z:$Z, A215), 0) +
    IFERROR(SUMIFS('Acompanhamento quinzenal'!$AG:$AG, 'Acompanhamento quinzenal'!$AF:$AF, A215), 0)
  ) /
  (
    COUNTIF('Acompanhamento quinzenal'!$N:$N, A215) +
    COUNTIF('Acompanhamento quinzenal'!$T:$T, A215) +
    COUNTIF('Acompanhamento quinzenal'!$Z:$Z, A215) +
    COUNTIF('Acompanhamento quinzenal'!$AF:$AF, A215)
  )
)
</f>
        <v>-</v>
      </c>
      <c r="X215" s="294" t="str">
        <f>IF(
  (
    COUNTIF('Acompanhamento quinzenal'!$N:$N, A215) +
    COUNTIF('Acompanhamento quinzenal'!$T:$T, A215) +
    COUNTIF('Acompanhamento quinzenal'!$Z:$Z, A215) +
    COUNTIF('Acompanhamento quinzenal'!$AF:$AF, A215)
  ) = 0,
  "-",
  (
    IFERROR(SUMIFS('Acompanhamento quinzenal'!$P:$P, 'Acompanhamento quinzenal'!$N:$N, A215), 0) +
    IFERROR(SUMIFS('Acompanhamento quinzenal'!$V:$V, 'Acompanhamento quinzenal'!$T:$T, A215), 0) +
    IFERROR(SUMIFS('Acompanhamento quinzenal'!$AB:$AB, 'Acompanhamento quinzenal'!$Z:$Z, A215), 0) +
    IFERROR(SUMIFS('Acompanhamento quinzenal'!$AH:$AH, 'Acompanhamento quinzenal'!$AF:$AF, A215), 0)
  ) /
  (
    COUNTIF('Acompanhamento quinzenal'!$N:$N, A215) +
    COUNTIF('Acompanhamento quinzenal'!$T:$T, A215) +
    COUNTIF('Acompanhamento quinzenal'!$Z:$Z, A215) +
    COUNTIF('Acompanhamento quinzenal'!$AF:$AF, A215)
  )
)
</f>
        <v>-</v>
      </c>
      <c r="Y215" s="293" t="str">
        <f>IF(
  (
    COUNTIF('Acompanhamento quinzenal'!$N:$N, A215) +
    COUNTIF('Acompanhamento quinzenal'!$T:$T, A215) +
    COUNTIF('Acompanhamento quinzenal'!$Z:$Z, A215) +
    COUNTIF('Acompanhamento quinzenal'!$AF:$AF, A215)
  ) = 0,
  "-",
  (
    IFERROR(SUMIFS('Acompanhamento quinzenal'!$Q:$Q, 'Acompanhamento quinzenal'!$N:$N, A215), 0) +
    IFERROR(SUMIFS('Acompanhamento quinzenal'!$W:$W, 'Acompanhamento quinzenal'!$T:$T, A215), 0) +
    IFERROR(SUMIFS('Acompanhamento quinzenal'!$AC:$AC, 'Acompanhamento quinzenal'!$Z:$Z, A215), 0) +
    IFERROR(SUMIFS('Acompanhamento quinzenal'!$AI:$AI, 'Acompanhamento quinzenal'!$AF:$AF, A215), 0)
  ) /
  (
    COUNTIF('Acompanhamento quinzenal'!$N:$N, A215) +
    COUNTIF('Acompanhamento quinzenal'!$T:$T, A215) +
    COUNTIF('Acompanhamento quinzenal'!$Z:$Z, A215) +
    COUNTIF('Acompanhamento quinzenal'!$AF:$AF, A215)
  )
)
</f>
        <v>-</v>
      </c>
    </row>
    <row r="216" hidden="1">
      <c r="A216" s="291"/>
      <c r="B216" s="120"/>
      <c r="C216" s="120"/>
      <c r="D216" s="292" t="str">
        <f>IFERROR((COUNTIFS(Base!$V:$V,A216,Base!$S:$S,"&gt;8") - COUNTIFS(Base!$V:$V,A216,Base!$S:$S,"&lt;7"))/COUNTIFS(Base!$V:$V,A216,Base!$S:$S,"&lt;&gt;"),"-")</f>
        <v>-</v>
      </c>
      <c r="E216" s="292" t="str">
        <f>IF(
  (
    COUNTIFS(Base!$W:$W, A216, Base!$S:$S, "&lt;&gt;") +
    COUNTIFS(Base!$X:$X, A216, Base!$S:$S, "&lt;&gt;") +
    COUNTIFS(Base!$Y:$Y, A216, Base!$S:$S, "&lt;&gt;") +
    COUNTIFS(Base!$Z:$Z, A216, Base!$S:$S, "&lt;&gt;")
  ) = 0,
  "-",
  (
    COUNTIFS(Base!$W:$W, A216, Base!$S:$S, "&gt;8") - COUNTIFS(Base!$W:$W, A216, Base!$S:$S, "&lt;7") +
    COUNTIFS(Base!$X:$X, A216, Base!$S:$S, "&gt;8") - COUNTIFS(Base!$X:$X, A216, Base!$S:$S, "&lt;7") +
    COUNTIFS(Base!$Y:$Y, A216, Base!$S:$S, "&gt;8") - COUNTIFS(Base!$Y:$Y, A216, Base!$S:$S, "&lt;7") +
    COUNTIFS(Base!$Z:$Z, A216, Base!$S:$S, "&gt;8") - COUNTIFS(Base!$Z:$Z, A216, Base!$S:$S, "&lt;7")
  ) /
  (
    COUNTIFS(Base!$W:$W, A216, Base!$S:$S, "&lt;&gt;") +
    COUNTIFS(Base!$X:$X, A216, Base!$S:$S, "&lt;&gt;") +
    COUNTIFS(Base!$Y:$Y, A216, Base!$S:$S, "&lt;&gt;") +
    COUNTIFS(Base!$Z:$Z, A216, Base!$S:$S, "&lt;&gt;")
  )
)
</f>
        <v>-</v>
      </c>
      <c r="F216" s="120"/>
      <c r="G216" s="120"/>
      <c r="J216" s="292" t="str">
        <f t="shared" ref="J216:K216" si="217">IFERROR(F216/H216,"-")</f>
        <v>-</v>
      </c>
      <c r="K216" s="292" t="str">
        <f t="shared" si="217"/>
        <v>-</v>
      </c>
      <c r="L216" s="292" t="str">
        <f>IFERROR((COUNTIFS(Base!$V:$V,A216,Base!$U:$U,TRUE))/(COUNTIFS(Base!$V:$V,A216,Base!$O:$O,"Finalizado")+COUNTIFS(Base!$V:$V,A216,Base!$O:$O,"Concluído")),"-")</f>
        <v>-</v>
      </c>
      <c r="M216" s="292" t="str">
        <f>IF(
  (
    IFERROR(COUNTIF(Base!$W:$W, A216), 0) +
    IFERROR(COUNTIF(Base!$X:$X, A216), 0) +
    IFERROR(COUNTIF(Base!$Y:$Y, A216), 0) +
    IFERROR(COUNTIF(Base!$Z:$Z, A216), 0)
  ) = 0,
  "-",
  IF(
    (
      IFERROR(COUNTIFS(Base!$W:$W, A216, Base!$O:$O, "Finalizado"), 0) +
      IFERROR(COUNTIFS(Base!$W:$W, A216, Base!$O:$O, "Concluído"), 0) +
      IFERROR(COUNTIFS(Base!$X:$X, A216, Base!$O:$O, "Finalizado"), 0) +
      IFERROR(COUNTIFS(Base!$X:$X, A216, Base!$O:$O, "Concluído"), 0) +
      IFERROR(COUNTIFS(Base!$Y:$Y, A216, Base!$O:$O, "Finalizado"), 0) +
      IFERROR(COUNTIFS(Base!$Y:$Y, A216, Base!$O:$O, "Concluído"), 0) +
      IFERROR(COUNTIFS(Base!$Z:$Z, A216, Base!$O:$O, "Finalizado"), 0) +
      IFERROR(COUNTIFS(Base!$Z:$Z, A216, Base!$O:$O, "Concluído"), 0)
    ) = 0,
    "-",
    (
      IFERROR(COUNTIFS(Base!$W:$W, A216, Base!$U:$U, TRUE), 0) +
      IFERROR(COUNTIFS(Base!$X:$X, A216, Base!$U:$U, TRUE), 0) +
      IFERROR(COUNTIFS(Base!$Y:$Y, A216, Base!$U:$U, TRUE), 0) +
      IFERROR(COUNTIFS(Base!$Z:$Z, A216, Base!$U:$U, TRUE), 0)
    ) /
    (
      IFERROR(COUNTIFS(Base!$W:$W, A216, Base!$O:$O, "Finalizado"), 0) +
      IFERROR(COUNTIFS(Base!$W:$W, A216, Base!$O:$O, "Concluído"), 0) +
      IFERROR(COUNTIFS(Base!$X:$X, A216, Base!$O:$O, "Finalizado"), 0) +
      IFERROR(COUNTIFS(Base!$X:$X, A216, Base!$O:$O, "Concluído"), 0) +
      IFERROR(COUNTIFS(Base!$Y:$Y, A216, Base!$O:$O, "Finalizado"), 0) +
      IFERROR(COUNTIFS(Base!$Y:$Y, A216, Base!$O:$O, "Concluído"), 0) +
      IFERROR(COUNTIFS(Base!$Z:$Z, A216, Base!$O:$O, "Finalizado"), 0) +
      IFERROR(COUNTIFS(Base!$Z:$Z, A216, Base!$O:$O, "Concluído"), 0)
    )
  )
)
</f>
        <v>-</v>
      </c>
      <c r="N216" s="120">
        <f>COUNTIF(Base!V:V,$A216)</f>
        <v>0</v>
      </c>
      <c r="O216" s="120"/>
      <c r="P216" s="120"/>
      <c r="Q216" s="120"/>
      <c r="R216" s="120"/>
      <c r="S216" s="120"/>
      <c r="T216" s="120">
        <f t="shared" si="4"/>
        <v>0</v>
      </c>
      <c r="V216" s="293" t="str">
        <f>IF(
  (
    COUNTIF('Acompanhamento quinzenal'!$N:$N, A216) +
    COUNTIF('Acompanhamento quinzenal'!$T:$T, A216) +
    COUNTIF('Acompanhamento quinzenal'!$Z:$Z, A216) +
    COUNTIF('Acompanhamento quinzenal'!$AF:$AF, A216)
  ) = 0,
  "-",
  (
    IFERROR(SUMIFS('Acompanhamento quinzenal'!$S:$S, 'Acompanhamento quinzenal'!$N:$N, A216), 0) +
    IFERROR(SUMIFS('Acompanhamento quinzenal'!$Y:$Y, 'Acompanhamento quinzenal'!$T:$T, A216), 0) +
    IFERROR(SUMIFS('Acompanhamento quinzenal'!$AE:$AE, 'Acompanhamento quinzenal'!$Z:$Z, A216), 0) +
    IFERROR(SUMIFS('Acompanhamento quinzenal'!$AK:$AK, 'Acompanhamento quinzenal'!$AF:$AF, A216), 0)
  ) /
  (
    COUNTIF('Acompanhamento quinzenal'!$N:$N, A216) +
    COUNTIF('Acompanhamento quinzenal'!$T:$T, A216) +
    COUNTIF('Acompanhamento quinzenal'!$Z:$Z, A216) +
    COUNTIF('Acompanhamento quinzenal'!$AF:$AF, A216)
  )
)
</f>
        <v>-</v>
      </c>
      <c r="W216" s="293" t="str">
        <f>IF(
  (
    COUNTIF('Acompanhamento quinzenal'!$N:$N, A216) +
    COUNTIF('Acompanhamento quinzenal'!$T:$T, A216) +
    COUNTIF('Acompanhamento quinzenal'!$Z:$Z, A216) +
    COUNTIF('Acompanhamento quinzenal'!$AF:$AF, A216)
  ) = 0,
  "-",
  (
    IFERROR(SUMIFS('Acompanhamento quinzenal'!$O:$O, 'Acompanhamento quinzenal'!$N:$N, A216), 0) +
    IFERROR(SUMIFS('Acompanhamento quinzenal'!$U:$U, 'Acompanhamento quinzenal'!$T:$T, A216), 0) +
    IFERROR(SUMIFS('Acompanhamento quinzenal'!$AA:$AA, 'Acompanhamento quinzenal'!$Z:$Z, A216), 0) +
    IFERROR(SUMIFS('Acompanhamento quinzenal'!$AG:$AG, 'Acompanhamento quinzenal'!$AF:$AF, A216), 0)
  ) /
  (
    COUNTIF('Acompanhamento quinzenal'!$N:$N, A216) +
    COUNTIF('Acompanhamento quinzenal'!$T:$T, A216) +
    COUNTIF('Acompanhamento quinzenal'!$Z:$Z, A216) +
    COUNTIF('Acompanhamento quinzenal'!$AF:$AF, A216)
  )
)
</f>
        <v>-</v>
      </c>
      <c r="X216" s="294" t="str">
        <f>IF(
  (
    COUNTIF('Acompanhamento quinzenal'!$N:$N, A216) +
    COUNTIF('Acompanhamento quinzenal'!$T:$T, A216) +
    COUNTIF('Acompanhamento quinzenal'!$Z:$Z, A216) +
    COUNTIF('Acompanhamento quinzenal'!$AF:$AF, A216)
  ) = 0,
  "-",
  (
    IFERROR(SUMIFS('Acompanhamento quinzenal'!$P:$P, 'Acompanhamento quinzenal'!$N:$N, A216), 0) +
    IFERROR(SUMIFS('Acompanhamento quinzenal'!$V:$V, 'Acompanhamento quinzenal'!$T:$T, A216), 0) +
    IFERROR(SUMIFS('Acompanhamento quinzenal'!$AB:$AB, 'Acompanhamento quinzenal'!$Z:$Z, A216), 0) +
    IFERROR(SUMIFS('Acompanhamento quinzenal'!$AH:$AH, 'Acompanhamento quinzenal'!$AF:$AF, A216), 0)
  ) /
  (
    COUNTIF('Acompanhamento quinzenal'!$N:$N, A216) +
    COUNTIF('Acompanhamento quinzenal'!$T:$T, A216) +
    COUNTIF('Acompanhamento quinzenal'!$Z:$Z, A216) +
    COUNTIF('Acompanhamento quinzenal'!$AF:$AF, A216)
  )
)
</f>
        <v>-</v>
      </c>
      <c r="Y216" s="293" t="str">
        <f>IF(
  (
    COUNTIF('Acompanhamento quinzenal'!$N:$N, A216) +
    COUNTIF('Acompanhamento quinzenal'!$T:$T, A216) +
    COUNTIF('Acompanhamento quinzenal'!$Z:$Z, A216) +
    COUNTIF('Acompanhamento quinzenal'!$AF:$AF, A216)
  ) = 0,
  "-",
  (
    IFERROR(SUMIFS('Acompanhamento quinzenal'!$Q:$Q, 'Acompanhamento quinzenal'!$N:$N, A216), 0) +
    IFERROR(SUMIFS('Acompanhamento quinzenal'!$W:$W, 'Acompanhamento quinzenal'!$T:$T, A216), 0) +
    IFERROR(SUMIFS('Acompanhamento quinzenal'!$AC:$AC, 'Acompanhamento quinzenal'!$Z:$Z, A216), 0) +
    IFERROR(SUMIFS('Acompanhamento quinzenal'!$AI:$AI, 'Acompanhamento quinzenal'!$AF:$AF, A216), 0)
  ) /
  (
    COUNTIF('Acompanhamento quinzenal'!$N:$N, A216) +
    COUNTIF('Acompanhamento quinzenal'!$T:$T, A216) +
    COUNTIF('Acompanhamento quinzenal'!$Z:$Z, A216) +
    COUNTIF('Acompanhamento quinzenal'!$AF:$AF, A216)
  )
)
</f>
        <v>-</v>
      </c>
    </row>
    <row r="217" hidden="1">
      <c r="A217" s="291"/>
      <c r="B217" s="120"/>
      <c r="C217" s="120"/>
      <c r="D217" s="292" t="str">
        <f>IFERROR((COUNTIFS(Base!$V:$V,A217,Base!$S:$S,"&gt;8") - COUNTIFS(Base!$V:$V,A217,Base!$S:$S,"&lt;7"))/COUNTIFS(Base!$V:$V,A217,Base!$S:$S,"&lt;&gt;"),"-")</f>
        <v>-</v>
      </c>
      <c r="E217" s="292" t="str">
        <f>IF(
  (
    COUNTIFS(Base!$W:$W, A217, Base!$S:$S, "&lt;&gt;") +
    COUNTIFS(Base!$X:$X, A217, Base!$S:$S, "&lt;&gt;") +
    COUNTIFS(Base!$Y:$Y, A217, Base!$S:$S, "&lt;&gt;") +
    COUNTIFS(Base!$Z:$Z, A217, Base!$S:$S, "&lt;&gt;")
  ) = 0,
  "-",
  (
    COUNTIFS(Base!$W:$W, A217, Base!$S:$S, "&gt;8") - COUNTIFS(Base!$W:$W, A217, Base!$S:$S, "&lt;7") +
    COUNTIFS(Base!$X:$X, A217, Base!$S:$S, "&gt;8") - COUNTIFS(Base!$X:$X, A217, Base!$S:$S, "&lt;7") +
    COUNTIFS(Base!$Y:$Y, A217, Base!$S:$S, "&gt;8") - COUNTIFS(Base!$Y:$Y, A217, Base!$S:$S, "&lt;7") +
    COUNTIFS(Base!$Z:$Z, A217, Base!$S:$S, "&gt;8") - COUNTIFS(Base!$Z:$Z, A217, Base!$S:$S, "&lt;7")
  ) /
  (
    COUNTIFS(Base!$W:$W, A217, Base!$S:$S, "&lt;&gt;") +
    COUNTIFS(Base!$X:$X, A217, Base!$S:$S, "&lt;&gt;") +
    COUNTIFS(Base!$Y:$Y, A217, Base!$S:$S, "&lt;&gt;") +
    COUNTIFS(Base!$Z:$Z, A217, Base!$S:$S, "&lt;&gt;")
  )
)
</f>
        <v>-</v>
      </c>
      <c r="F217" s="120"/>
      <c r="G217" s="120"/>
      <c r="J217" s="292" t="str">
        <f t="shared" ref="J217:K217" si="218">IFERROR(F217/H217,"-")</f>
        <v>-</v>
      </c>
      <c r="K217" s="292" t="str">
        <f t="shared" si="218"/>
        <v>-</v>
      </c>
      <c r="L217" s="292" t="str">
        <f>IFERROR((COUNTIFS(Base!$V:$V,A217,Base!$U:$U,TRUE))/(COUNTIFS(Base!$V:$V,A217,Base!$O:$O,"Finalizado")+COUNTIFS(Base!$V:$V,A217,Base!$O:$O,"Concluído")),"-")</f>
        <v>-</v>
      </c>
      <c r="M217" s="292" t="str">
        <f>IF(
  (
    IFERROR(COUNTIF(Base!$W:$W, A217), 0) +
    IFERROR(COUNTIF(Base!$X:$X, A217), 0) +
    IFERROR(COUNTIF(Base!$Y:$Y, A217), 0) +
    IFERROR(COUNTIF(Base!$Z:$Z, A217), 0)
  ) = 0,
  "-",
  IF(
    (
      IFERROR(COUNTIFS(Base!$W:$W, A217, Base!$O:$O, "Finalizado"), 0) +
      IFERROR(COUNTIFS(Base!$W:$W, A217, Base!$O:$O, "Concluído"), 0) +
      IFERROR(COUNTIFS(Base!$X:$X, A217, Base!$O:$O, "Finalizado"), 0) +
      IFERROR(COUNTIFS(Base!$X:$X, A217, Base!$O:$O, "Concluído"), 0) +
      IFERROR(COUNTIFS(Base!$Y:$Y, A217, Base!$O:$O, "Finalizado"), 0) +
      IFERROR(COUNTIFS(Base!$Y:$Y, A217, Base!$O:$O, "Concluído"), 0) +
      IFERROR(COUNTIFS(Base!$Z:$Z, A217, Base!$O:$O, "Finalizado"), 0) +
      IFERROR(COUNTIFS(Base!$Z:$Z, A217, Base!$O:$O, "Concluído"), 0)
    ) = 0,
    "-",
    (
      IFERROR(COUNTIFS(Base!$W:$W, A217, Base!$U:$U, TRUE), 0) +
      IFERROR(COUNTIFS(Base!$X:$X, A217, Base!$U:$U, TRUE), 0) +
      IFERROR(COUNTIFS(Base!$Y:$Y, A217, Base!$U:$U, TRUE), 0) +
      IFERROR(COUNTIFS(Base!$Z:$Z, A217, Base!$U:$U, TRUE), 0)
    ) /
    (
      IFERROR(COUNTIFS(Base!$W:$W, A217, Base!$O:$O, "Finalizado"), 0) +
      IFERROR(COUNTIFS(Base!$W:$W, A217, Base!$O:$O, "Concluído"), 0) +
      IFERROR(COUNTIFS(Base!$X:$X, A217, Base!$O:$O, "Finalizado"), 0) +
      IFERROR(COUNTIFS(Base!$X:$X, A217, Base!$O:$O, "Concluído"), 0) +
      IFERROR(COUNTIFS(Base!$Y:$Y, A217, Base!$O:$O, "Finalizado"), 0) +
      IFERROR(COUNTIFS(Base!$Y:$Y, A217, Base!$O:$O, "Concluído"), 0) +
      IFERROR(COUNTIFS(Base!$Z:$Z, A217, Base!$O:$O, "Finalizado"), 0) +
      IFERROR(COUNTIFS(Base!$Z:$Z, A217, Base!$O:$O, "Concluído"), 0)
    )
  )
)
</f>
        <v>-</v>
      </c>
      <c r="N217" s="120">
        <f>COUNTIF(Base!V:V,$A217)</f>
        <v>0</v>
      </c>
      <c r="O217" s="120"/>
      <c r="P217" s="120"/>
      <c r="Q217" s="120"/>
      <c r="R217" s="120"/>
      <c r="S217" s="120"/>
      <c r="T217" s="120">
        <f t="shared" si="4"/>
        <v>0</v>
      </c>
      <c r="V217" s="293" t="str">
        <f>IF(
  (
    COUNTIF('Acompanhamento quinzenal'!$N:$N, A217) +
    COUNTIF('Acompanhamento quinzenal'!$T:$T, A217) +
    COUNTIF('Acompanhamento quinzenal'!$Z:$Z, A217) +
    COUNTIF('Acompanhamento quinzenal'!$AF:$AF, A217)
  ) = 0,
  "-",
  (
    IFERROR(SUMIFS('Acompanhamento quinzenal'!$S:$S, 'Acompanhamento quinzenal'!$N:$N, A217), 0) +
    IFERROR(SUMIFS('Acompanhamento quinzenal'!$Y:$Y, 'Acompanhamento quinzenal'!$T:$T, A217), 0) +
    IFERROR(SUMIFS('Acompanhamento quinzenal'!$AE:$AE, 'Acompanhamento quinzenal'!$Z:$Z, A217), 0) +
    IFERROR(SUMIFS('Acompanhamento quinzenal'!$AK:$AK, 'Acompanhamento quinzenal'!$AF:$AF, A217), 0)
  ) /
  (
    COUNTIF('Acompanhamento quinzenal'!$N:$N, A217) +
    COUNTIF('Acompanhamento quinzenal'!$T:$T, A217) +
    COUNTIF('Acompanhamento quinzenal'!$Z:$Z, A217) +
    COUNTIF('Acompanhamento quinzenal'!$AF:$AF, A217)
  )
)
</f>
        <v>-</v>
      </c>
      <c r="W217" s="293" t="str">
        <f>IF(
  (
    COUNTIF('Acompanhamento quinzenal'!$N:$N, A217) +
    COUNTIF('Acompanhamento quinzenal'!$T:$T, A217) +
    COUNTIF('Acompanhamento quinzenal'!$Z:$Z, A217) +
    COUNTIF('Acompanhamento quinzenal'!$AF:$AF, A217)
  ) = 0,
  "-",
  (
    IFERROR(SUMIFS('Acompanhamento quinzenal'!$O:$O, 'Acompanhamento quinzenal'!$N:$N, A217), 0) +
    IFERROR(SUMIFS('Acompanhamento quinzenal'!$U:$U, 'Acompanhamento quinzenal'!$T:$T, A217), 0) +
    IFERROR(SUMIFS('Acompanhamento quinzenal'!$AA:$AA, 'Acompanhamento quinzenal'!$Z:$Z, A217), 0) +
    IFERROR(SUMIFS('Acompanhamento quinzenal'!$AG:$AG, 'Acompanhamento quinzenal'!$AF:$AF, A217), 0)
  ) /
  (
    COUNTIF('Acompanhamento quinzenal'!$N:$N, A217) +
    COUNTIF('Acompanhamento quinzenal'!$T:$T, A217) +
    COUNTIF('Acompanhamento quinzenal'!$Z:$Z, A217) +
    COUNTIF('Acompanhamento quinzenal'!$AF:$AF, A217)
  )
)
</f>
        <v>-</v>
      </c>
      <c r="X217" s="294" t="str">
        <f>IF(
  (
    COUNTIF('Acompanhamento quinzenal'!$N:$N, A217) +
    COUNTIF('Acompanhamento quinzenal'!$T:$T, A217) +
    COUNTIF('Acompanhamento quinzenal'!$Z:$Z, A217) +
    COUNTIF('Acompanhamento quinzenal'!$AF:$AF, A217)
  ) = 0,
  "-",
  (
    IFERROR(SUMIFS('Acompanhamento quinzenal'!$P:$P, 'Acompanhamento quinzenal'!$N:$N, A217), 0) +
    IFERROR(SUMIFS('Acompanhamento quinzenal'!$V:$V, 'Acompanhamento quinzenal'!$T:$T, A217), 0) +
    IFERROR(SUMIFS('Acompanhamento quinzenal'!$AB:$AB, 'Acompanhamento quinzenal'!$Z:$Z, A217), 0) +
    IFERROR(SUMIFS('Acompanhamento quinzenal'!$AH:$AH, 'Acompanhamento quinzenal'!$AF:$AF, A217), 0)
  ) /
  (
    COUNTIF('Acompanhamento quinzenal'!$N:$N, A217) +
    COUNTIF('Acompanhamento quinzenal'!$T:$T, A217) +
    COUNTIF('Acompanhamento quinzenal'!$Z:$Z, A217) +
    COUNTIF('Acompanhamento quinzenal'!$AF:$AF, A217)
  )
)
</f>
        <v>-</v>
      </c>
      <c r="Y217" s="293" t="str">
        <f>IF(
  (
    COUNTIF('Acompanhamento quinzenal'!$N:$N, A217) +
    COUNTIF('Acompanhamento quinzenal'!$T:$T, A217) +
    COUNTIF('Acompanhamento quinzenal'!$Z:$Z, A217) +
    COUNTIF('Acompanhamento quinzenal'!$AF:$AF, A217)
  ) = 0,
  "-",
  (
    IFERROR(SUMIFS('Acompanhamento quinzenal'!$Q:$Q, 'Acompanhamento quinzenal'!$N:$N, A217), 0) +
    IFERROR(SUMIFS('Acompanhamento quinzenal'!$W:$W, 'Acompanhamento quinzenal'!$T:$T, A217), 0) +
    IFERROR(SUMIFS('Acompanhamento quinzenal'!$AC:$AC, 'Acompanhamento quinzenal'!$Z:$Z, A217), 0) +
    IFERROR(SUMIFS('Acompanhamento quinzenal'!$AI:$AI, 'Acompanhamento quinzenal'!$AF:$AF, A217), 0)
  ) /
  (
    COUNTIF('Acompanhamento quinzenal'!$N:$N, A217) +
    COUNTIF('Acompanhamento quinzenal'!$T:$T, A217) +
    COUNTIF('Acompanhamento quinzenal'!$Z:$Z, A217) +
    COUNTIF('Acompanhamento quinzenal'!$AF:$AF, A217)
  )
)
</f>
        <v>-</v>
      </c>
    </row>
    <row r="218">
      <c r="A218" s="291"/>
      <c r="B218" s="120"/>
      <c r="C218" s="120"/>
      <c r="D218" s="120"/>
      <c r="E218" s="120"/>
      <c r="F218" s="120"/>
      <c r="G218" s="120"/>
      <c r="L218" s="120"/>
      <c r="M218" s="120"/>
      <c r="N218" s="120"/>
      <c r="O218" s="120"/>
      <c r="P218" s="120"/>
      <c r="Q218" s="120"/>
      <c r="R218" s="120"/>
      <c r="S218" s="120"/>
      <c r="T218" s="120"/>
    </row>
    <row r="219">
      <c r="A219" s="291"/>
      <c r="B219" s="120"/>
      <c r="C219" s="120"/>
      <c r="D219" s="120"/>
      <c r="E219" s="120"/>
      <c r="F219" s="120"/>
      <c r="G219" s="120"/>
      <c r="L219" s="120"/>
      <c r="M219" s="120"/>
      <c r="N219" s="120"/>
      <c r="O219" s="120"/>
      <c r="P219" s="120"/>
      <c r="Q219" s="120"/>
      <c r="R219" s="120"/>
      <c r="S219" s="120"/>
      <c r="T219" s="120"/>
    </row>
    <row r="220">
      <c r="A220" s="291"/>
      <c r="B220" s="120"/>
      <c r="C220" s="120"/>
      <c r="D220" s="120"/>
      <c r="E220" s="120"/>
      <c r="F220" s="120"/>
      <c r="G220" s="120"/>
      <c r="L220" s="120"/>
      <c r="M220" s="120"/>
      <c r="N220" s="120"/>
      <c r="O220" s="120"/>
      <c r="P220" s="120"/>
      <c r="Q220" s="120"/>
      <c r="R220" s="120"/>
      <c r="S220" s="120"/>
      <c r="T220" s="120"/>
    </row>
    <row r="221">
      <c r="A221" s="291"/>
      <c r="B221" s="120"/>
      <c r="C221" s="120"/>
      <c r="D221" s="120"/>
      <c r="E221" s="120"/>
      <c r="F221" s="120"/>
      <c r="G221" s="120"/>
      <c r="L221" s="120"/>
      <c r="M221" s="120"/>
      <c r="N221" s="120"/>
      <c r="O221" s="120"/>
      <c r="P221" s="120"/>
      <c r="Q221" s="120"/>
      <c r="R221" s="120"/>
      <c r="S221" s="120"/>
      <c r="T221" s="120"/>
    </row>
    <row r="222">
      <c r="A222" s="291"/>
      <c r="B222" s="120"/>
      <c r="C222" s="120"/>
      <c r="D222" s="120"/>
      <c r="E222" s="120"/>
      <c r="F222" s="120"/>
      <c r="G222" s="120"/>
      <c r="L222" s="120"/>
      <c r="M222" s="120"/>
      <c r="N222" s="120"/>
      <c r="O222" s="120"/>
      <c r="P222" s="120"/>
      <c r="Q222" s="120"/>
      <c r="R222" s="120"/>
      <c r="S222" s="120"/>
      <c r="T222" s="120"/>
    </row>
    <row r="223">
      <c r="A223" s="291"/>
      <c r="B223" s="120"/>
      <c r="C223" s="120"/>
      <c r="D223" s="120"/>
      <c r="E223" s="120"/>
      <c r="F223" s="120"/>
      <c r="G223" s="120"/>
      <c r="L223" s="120"/>
      <c r="M223" s="120"/>
      <c r="N223" s="120"/>
      <c r="O223" s="120"/>
      <c r="P223" s="120"/>
      <c r="Q223" s="120"/>
      <c r="R223" s="120"/>
      <c r="S223" s="120"/>
      <c r="T223" s="120"/>
    </row>
    <row r="224">
      <c r="A224" s="291"/>
      <c r="B224" s="120"/>
      <c r="C224" s="120"/>
      <c r="D224" s="120"/>
      <c r="E224" s="120"/>
      <c r="F224" s="120"/>
      <c r="G224" s="120"/>
      <c r="L224" s="120"/>
      <c r="M224" s="120"/>
      <c r="N224" s="120"/>
      <c r="O224" s="120"/>
      <c r="P224" s="120"/>
      <c r="Q224" s="120"/>
      <c r="R224" s="120"/>
      <c r="S224" s="120"/>
      <c r="T224" s="120"/>
    </row>
    <row r="225">
      <c r="A225" s="291"/>
      <c r="B225" s="120"/>
      <c r="C225" s="120"/>
      <c r="D225" s="120"/>
      <c r="E225" s="120"/>
      <c r="F225" s="120"/>
      <c r="G225" s="120"/>
      <c r="L225" s="120"/>
      <c r="M225" s="120"/>
      <c r="N225" s="120"/>
      <c r="O225" s="120"/>
      <c r="P225" s="120"/>
      <c r="Q225" s="120"/>
      <c r="R225" s="120"/>
      <c r="S225" s="120"/>
      <c r="T225" s="120"/>
    </row>
    <row r="226">
      <c r="A226" s="291"/>
      <c r="B226" s="120"/>
      <c r="C226" s="120"/>
      <c r="D226" s="120"/>
      <c r="E226" s="120"/>
      <c r="F226" s="120"/>
      <c r="G226" s="120"/>
      <c r="L226" s="120"/>
      <c r="M226" s="120"/>
      <c r="N226" s="120"/>
      <c r="O226" s="120"/>
      <c r="P226" s="120"/>
      <c r="Q226" s="120"/>
      <c r="R226" s="120"/>
      <c r="S226" s="120"/>
      <c r="T226" s="120"/>
    </row>
    <row r="227">
      <c r="A227" s="291"/>
      <c r="B227" s="120"/>
      <c r="C227" s="120"/>
      <c r="D227" s="120"/>
      <c r="E227" s="120"/>
      <c r="F227" s="120"/>
      <c r="G227" s="120"/>
      <c r="L227" s="120"/>
      <c r="M227" s="120"/>
      <c r="N227" s="120"/>
      <c r="O227" s="120"/>
      <c r="P227" s="120"/>
      <c r="Q227" s="120"/>
      <c r="R227" s="120"/>
      <c r="S227" s="120"/>
      <c r="T227" s="120"/>
    </row>
    <row r="228">
      <c r="A228" s="291"/>
      <c r="B228" s="120"/>
      <c r="C228" s="120"/>
      <c r="D228" s="120"/>
      <c r="E228" s="120"/>
      <c r="F228" s="120"/>
      <c r="G228" s="120"/>
      <c r="L228" s="120"/>
      <c r="M228" s="120"/>
      <c r="N228" s="120"/>
      <c r="O228" s="120"/>
      <c r="P228" s="120"/>
      <c r="Q228" s="120"/>
      <c r="R228" s="120"/>
      <c r="S228" s="120"/>
      <c r="T228" s="120"/>
    </row>
    <row r="229">
      <c r="A229" s="291"/>
      <c r="B229" s="120"/>
      <c r="C229" s="120"/>
      <c r="D229" s="120"/>
      <c r="E229" s="120"/>
      <c r="F229" s="120"/>
      <c r="G229" s="120"/>
      <c r="L229" s="120"/>
      <c r="M229" s="120"/>
      <c r="N229" s="120"/>
      <c r="O229" s="120"/>
      <c r="P229" s="120"/>
      <c r="Q229" s="120"/>
      <c r="R229" s="120"/>
      <c r="S229" s="120"/>
      <c r="T229" s="120"/>
    </row>
    <row r="230">
      <c r="A230" s="291"/>
      <c r="B230" s="120"/>
      <c r="C230" s="120"/>
      <c r="D230" s="120"/>
      <c r="E230" s="120"/>
      <c r="F230" s="120"/>
      <c r="G230" s="120"/>
      <c r="L230" s="120"/>
      <c r="M230" s="120"/>
      <c r="N230" s="120"/>
      <c r="O230" s="120"/>
      <c r="P230" s="120"/>
      <c r="Q230" s="120"/>
      <c r="R230" s="120"/>
      <c r="S230" s="120"/>
      <c r="T230" s="120"/>
    </row>
    <row r="231">
      <c r="A231" s="291"/>
      <c r="B231" s="120"/>
      <c r="C231" s="120"/>
      <c r="D231" s="120"/>
      <c r="E231" s="120"/>
      <c r="F231" s="120"/>
      <c r="G231" s="120"/>
      <c r="L231" s="120"/>
      <c r="M231" s="120"/>
      <c r="N231" s="120"/>
      <c r="O231" s="120"/>
      <c r="P231" s="120"/>
      <c r="Q231" s="120"/>
      <c r="R231" s="120"/>
      <c r="S231" s="120"/>
      <c r="T231" s="120"/>
    </row>
    <row r="232">
      <c r="A232" s="291"/>
      <c r="B232" s="120"/>
      <c r="C232" s="120"/>
      <c r="D232" s="120"/>
      <c r="E232" s="120"/>
      <c r="F232" s="120"/>
      <c r="G232" s="120"/>
      <c r="L232" s="120"/>
      <c r="M232" s="120"/>
      <c r="N232" s="120"/>
      <c r="O232" s="120"/>
      <c r="P232" s="120"/>
      <c r="Q232" s="120"/>
      <c r="R232" s="120"/>
      <c r="S232" s="120"/>
      <c r="T232" s="120"/>
    </row>
    <row r="233">
      <c r="A233" s="291"/>
      <c r="B233" s="120"/>
      <c r="C233" s="120"/>
      <c r="D233" s="120"/>
      <c r="E233" s="120"/>
      <c r="F233" s="120"/>
      <c r="G233" s="120"/>
      <c r="L233" s="120"/>
      <c r="M233" s="120"/>
      <c r="N233" s="120"/>
      <c r="O233" s="120"/>
      <c r="P233" s="120"/>
      <c r="Q233" s="120"/>
      <c r="R233" s="120"/>
      <c r="S233" s="120"/>
      <c r="T233" s="120"/>
    </row>
    <row r="234">
      <c r="A234" s="291"/>
      <c r="B234" s="120"/>
      <c r="C234" s="120"/>
      <c r="D234" s="120"/>
      <c r="E234" s="120"/>
      <c r="F234" s="120"/>
      <c r="G234" s="120"/>
      <c r="L234" s="120"/>
      <c r="M234" s="120"/>
      <c r="N234" s="120"/>
      <c r="O234" s="120"/>
      <c r="P234" s="120"/>
      <c r="Q234" s="120"/>
      <c r="R234" s="120"/>
      <c r="S234" s="120"/>
      <c r="T234" s="120"/>
    </row>
    <row r="235">
      <c r="A235" s="291"/>
      <c r="B235" s="120"/>
      <c r="C235" s="120"/>
      <c r="D235" s="120"/>
      <c r="E235" s="120"/>
      <c r="F235" s="120"/>
      <c r="G235" s="120"/>
      <c r="L235" s="120"/>
      <c r="M235" s="120"/>
      <c r="N235" s="120"/>
      <c r="O235" s="120"/>
      <c r="P235" s="120"/>
      <c r="Q235" s="120"/>
      <c r="R235" s="120"/>
      <c r="S235" s="120"/>
      <c r="T235" s="120"/>
    </row>
    <row r="236">
      <c r="A236" s="291"/>
      <c r="B236" s="120"/>
      <c r="C236" s="120"/>
      <c r="D236" s="120"/>
      <c r="E236" s="120"/>
      <c r="F236" s="120"/>
      <c r="G236" s="120"/>
      <c r="L236" s="120"/>
      <c r="M236" s="120"/>
      <c r="N236" s="120"/>
      <c r="O236" s="120"/>
      <c r="P236" s="120"/>
      <c r="Q236" s="120"/>
      <c r="R236" s="120"/>
      <c r="S236" s="120"/>
      <c r="T236" s="120"/>
    </row>
    <row r="237">
      <c r="A237" s="291"/>
      <c r="B237" s="120"/>
      <c r="C237" s="120"/>
      <c r="D237" s="120"/>
      <c r="E237" s="120"/>
      <c r="F237" s="120"/>
      <c r="G237" s="120"/>
      <c r="L237" s="120"/>
      <c r="M237" s="120"/>
      <c r="N237" s="120"/>
      <c r="O237" s="120"/>
      <c r="P237" s="120"/>
      <c r="Q237" s="120"/>
      <c r="R237" s="120"/>
      <c r="S237" s="120"/>
      <c r="T237" s="120"/>
    </row>
    <row r="238">
      <c r="A238" s="291"/>
      <c r="B238" s="120"/>
      <c r="C238" s="120"/>
      <c r="D238" s="120"/>
      <c r="E238" s="120"/>
      <c r="F238" s="120"/>
      <c r="G238" s="120"/>
      <c r="L238" s="120"/>
      <c r="M238" s="120"/>
      <c r="N238" s="120"/>
      <c r="O238" s="120"/>
      <c r="P238" s="120"/>
      <c r="Q238" s="120"/>
      <c r="R238" s="120"/>
      <c r="S238" s="120"/>
      <c r="T238" s="120"/>
    </row>
    <row r="239">
      <c r="A239" s="291"/>
      <c r="B239" s="120"/>
      <c r="C239" s="120"/>
      <c r="D239" s="120"/>
      <c r="E239" s="120"/>
      <c r="F239" s="120"/>
      <c r="G239" s="120"/>
      <c r="L239" s="120"/>
      <c r="M239" s="120"/>
      <c r="N239" s="120"/>
      <c r="O239" s="120"/>
      <c r="P239" s="120"/>
      <c r="Q239" s="120"/>
      <c r="R239" s="120"/>
      <c r="S239" s="120"/>
      <c r="T239" s="120"/>
    </row>
    <row r="240">
      <c r="A240" s="291"/>
      <c r="B240" s="120"/>
      <c r="C240" s="120"/>
      <c r="D240" s="120"/>
      <c r="E240" s="120"/>
      <c r="F240" s="120"/>
      <c r="G240" s="120"/>
      <c r="L240" s="120"/>
      <c r="M240" s="120"/>
      <c r="N240" s="120"/>
      <c r="O240" s="120"/>
      <c r="P240" s="120"/>
      <c r="Q240" s="120"/>
      <c r="R240" s="120"/>
      <c r="S240" s="120"/>
      <c r="T240" s="120"/>
    </row>
    <row r="241">
      <c r="A241" s="291"/>
      <c r="B241" s="120"/>
      <c r="C241" s="120"/>
      <c r="D241" s="120"/>
      <c r="E241" s="120"/>
      <c r="F241" s="120"/>
      <c r="G241" s="120"/>
      <c r="L241" s="120"/>
      <c r="M241" s="120"/>
      <c r="N241" s="120"/>
      <c r="O241" s="120"/>
      <c r="P241" s="120"/>
      <c r="Q241" s="120"/>
      <c r="R241" s="120"/>
      <c r="S241" s="120"/>
      <c r="T241" s="120"/>
    </row>
    <row r="242">
      <c r="A242" s="291"/>
      <c r="B242" s="120"/>
      <c r="C242" s="120"/>
      <c r="D242" s="120"/>
      <c r="E242" s="120"/>
      <c r="F242" s="120"/>
      <c r="G242" s="120"/>
      <c r="L242" s="120"/>
      <c r="M242" s="120"/>
      <c r="N242" s="120"/>
      <c r="O242" s="120"/>
      <c r="P242" s="120"/>
      <c r="Q242" s="120"/>
      <c r="R242" s="120"/>
      <c r="S242" s="120"/>
      <c r="T242" s="120"/>
    </row>
    <row r="243">
      <c r="A243" s="291"/>
      <c r="B243" s="120"/>
      <c r="C243" s="120"/>
      <c r="D243" s="120"/>
      <c r="E243" s="120"/>
      <c r="F243" s="120"/>
      <c r="G243" s="120"/>
      <c r="L243" s="120"/>
      <c r="M243" s="120"/>
      <c r="N243" s="120"/>
      <c r="O243" s="120"/>
      <c r="P243" s="120"/>
      <c r="Q243" s="120"/>
      <c r="R243" s="120"/>
      <c r="S243" s="120"/>
      <c r="T243" s="120"/>
    </row>
    <row r="244">
      <c r="A244" s="291"/>
      <c r="B244" s="120"/>
      <c r="C244" s="120"/>
      <c r="D244" s="120"/>
      <c r="E244" s="120"/>
      <c r="F244" s="120"/>
      <c r="G244" s="120"/>
      <c r="L244" s="120"/>
      <c r="M244" s="120"/>
      <c r="N244" s="120"/>
      <c r="O244" s="120"/>
      <c r="P244" s="120"/>
      <c r="Q244" s="120"/>
      <c r="R244" s="120"/>
      <c r="S244" s="120"/>
      <c r="T244" s="120"/>
    </row>
    <row r="245">
      <c r="A245" s="291"/>
      <c r="B245" s="120"/>
      <c r="C245" s="120"/>
      <c r="D245" s="120"/>
      <c r="E245" s="120"/>
      <c r="F245" s="120"/>
      <c r="G245" s="120"/>
      <c r="L245" s="120"/>
      <c r="M245" s="120"/>
      <c r="N245" s="120"/>
      <c r="O245" s="120"/>
      <c r="P245" s="120"/>
      <c r="Q245" s="120"/>
      <c r="R245" s="120"/>
      <c r="S245" s="120"/>
      <c r="T245" s="120"/>
    </row>
    <row r="246">
      <c r="A246" s="291"/>
      <c r="B246" s="120"/>
      <c r="C246" s="120"/>
      <c r="D246" s="120"/>
      <c r="E246" s="120"/>
      <c r="F246" s="120"/>
      <c r="G246" s="120"/>
      <c r="L246" s="120"/>
      <c r="M246" s="120"/>
      <c r="N246" s="120"/>
      <c r="O246" s="120"/>
      <c r="P246" s="120"/>
      <c r="Q246" s="120"/>
      <c r="R246" s="120"/>
      <c r="S246" s="120"/>
      <c r="T246" s="120"/>
    </row>
    <row r="247">
      <c r="A247" s="291"/>
      <c r="B247" s="120"/>
      <c r="C247" s="120"/>
      <c r="D247" s="120"/>
      <c r="E247" s="120"/>
      <c r="F247" s="120"/>
      <c r="G247" s="120"/>
      <c r="L247" s="120"/>
      <c r="M247" s="120"/>
      <c r="N247" s="120"/>
      <c r="O247" s="120"/>
      <c r="P247" s="120"/>
      <c r="Q247" s="120"/>
      <c r="R247" s="120"/>
      <c r="S247" s="120"/>
      <c r="T247" s="120"/>
    </row>
    <row r="248">
      <c r="A248" s="291"/>
      <c r="B248" s="120"/>
      <c r="C248" s="120"/>
      <c r="D248" s="120"/>
      <c r="E248" s="120"/>
      <c r="F248" s="120"/>
      <c r="G248" s="120"/>
      <c r="L248" s="120"/>
      <c r="M248" s="120"/>
      <c r="N248" s="120"/>
      <c r="O248" s="120"/>
      <c r="P248" s="120"/>
      <c r="Q248" s="120"/>
      <c r="R248" s="120"/>
      <c r="S248" s="120"/>
      <c r="T248" s="120"/>
    </row>
    <row r="249">
      <c r="A249" s="291"/>
      <c r="B249" s="120"/>
      <c r="C249" s="120"/>
      <c r="D249" s="120"/>
      <c r="E249" s="120"/>
      <c r="F249" s="120"/>
      <c r="G249" s="120"/>
      <c r="L249" s="120"/>
      <c r="M249" s="120"/>
      <c r="N249" s="120"/>
      <c r="O249" s="120"/>
      <c r="P249" s="120"/>
      <c r="Q249" s="120"/>
      <c r="R249" s="120"/>
      <c r="S249" s="120"/>
      <c r="T249" s="120"/>
    </row>
    <row r="250">
      <c r="A250" s="291"/>
      <c r="B250" s="120"/>
      <c r="C250" s="120"/>
      <c r="D250" s="120"/>
      <c r="E250" s="120"/>
      <c r="F250" s="120"/>
      <c r="G250" s="120"/>
      <c r="L250" s="120"/>
      <c r="M250" s="120"/>
      <c r="N250" s="120"/>
      <c r="O250" s="120"/>
      <c r="P250" s="120"/>
      <c r="Q250" s="120"/>
      <c r="R250" s="120"/>
      <c r="S250" s="120"/>
      <c r="T250" s="120"/>
    </row>
    <row r="251">
      <c r="A251" s="291"/>
      <c r="B251" s="120"/>
      <c r="C251" s="120"/>
      <c r="D251" s="120"/>
      <c r="E251" s="120"/>
      <c r="F251" s="120"/>
      <c r="G251" s="120"/>
      <c r="L251" s="120"/>
      <c r="M251" s="120"/>
      <c r="N251" s="120"/>
      <c r="O251" s="120"/>
      <c r="P251" s="120"/>
      <c r="Q251" s="120"/>
      <c r="R251" s="120"/>
      <c r="S251" s="120"/>
      <c r="T251" s="120"/>
    </row>
    <row r="252">
      <c r="A252" s="291"/>
      <c r="B252" s="120"/>
      <c r="C252" s="120"/>
      <c r="D252" s="120"/>
      <c r="E252" s="120"/>
      <c r="F252" s="120"/>
      <c r="G252" s="120"/>
      <c r="L252" s="120"/>
      <c r="M252" s="120"/>
      <c r="N252" s="120"/>
      <c r="O252" s="120"/>
      <c r="P252" s="120"/>
      <c r="Q252" s="120"/>
      <c r="R252" s="120"/>
      <c r="S252" s="120"/>
      <c r="T252" s="120"/>
    </row>
    <row r="253">
      <c r="A253" s="291"/>
      <c r="B253" s="120"/>
      <c r="C253" s="120"/>
      <c r="D253" s="120"/>
      <c r="E253" s="120"/>
      <c r="F253" s="120"/>
      <c r="G253" s="120"/>
      <c r="L253" s="120"/>
      <c r="M253" s="120"/>
      <c r="N253" s="120"/>
      <c r="O253" s="120"/>
      <c r="P253" s="120"/>
      <c r="Q253" s="120"/>
      <c r="R253" s="120"/>
      <c r="S253" s="120"/>
      <c r="T253" s="120"/>
    </row>
    <row r="254">
      <c r="A254" s="291"/>
      <c r="B254" s="120"/>
      <c r="C254" s="120"/>
      <c r="D254" s="120"/>
      <c r="E254" s="120"/>
      <c r="F254" s="120"/>
      <c r="G254" s="120"/>
      <c r="L254" s="120"/>
      <c r="M254" s="120"/>
      <c r="N254" s="120"/>
      <c r="O254" s="120"/>
      <c r="P254" s="120"/>
      <c r="Q254" s="120"/>
      <c r="R254" s="120"/>
      <c r="S254" s="120"/>
      <c r="T254" s="120"/>
    </row>
    <row r="255">
      <c r="A255" s="291"/>
      <c r="B255" s="120"/>
      <c r="C255" s="120"/>
      <c r="D255" s="120"/>
      <c r="E255" s="120"/>
      <c r="F255" s="120"/>
      <c r="G255" s="120"/>
      <c r="L255" s="120"/>
      <c r="M255" s="120"/>
      <c r="N255" s="120"/>
      <c r="O255" s="120"/>
      <c r="P255" s="120"/>
      <c r="Q255" s="120"/>
      <c r="R255" s="120"/>
      <c r="S255" s="120"/>
      <c r="T255" s="120"/>
    </row>
    <row r="256">
      <c r="A256" s="291"/>
      <c r="B256" s="120"/>
      <c r="C256" s="120"/>
      <c r="D256" s="120"/>
      <c r="E256" s="120"/>
      <c r="F256" s="120"/>
      <c r="G256" s="120"/>
      <c r="L256" s="120"/>
      <c r="M256" s="120"/>
      <c r="N256" s="120"/>
      <c r="O256" s="120"/>
      <c r="P256" s="120"/>
      <c r="Q256" s="120"/>
      <c r="R256" s="120"/>
      <c r="S256" s="120"/>
      <c r="T256" s="120"/>
    </row>
    <row r="257">
      <c r="A257" s="291"/>
      <c r="B257" s="120"/>
      <c r="C257" s="120"/>
      <c r="D257" s="120"/>
      <c r="E257" s="120"/>
      <c r="F257" s="120"/>
      <c r="G257" s="120"/>
      <c r="L257" s="120"/>
      <c r="M257" s="120"/>
      <c r="N257" s="120"/>
      <c r="O257" s="120"/>
      <c r="P257" s="120"/>
      <c r="Q257" s="120"/>
      <c r="R257" s="120"/>
      <c r="S257" s="120"/>
      <c r="T257" s="120"/>
    </row>
    <row r="258">
      <c r="A258" s="291"/>
      <c r="B258" s="120"/>
      <c r="C258" s="120"/>
      <c r="D258" s="120"/>
      <c r="E258" s="120"/>
      <c r="F258" s="120"/>
      <c r="G258" s="120"/>
      <c r="L258" s="120"/>
      <c r="M258" s="120"/>
      <c r="N258" s="120"/>
      <c r="O258" s="120"/>
      <c r="P258" s="120"/>
      <c r="Q258" s="120"/>
      <c r="R258" s="120"/>
      <c r="S258" s="120"/>
      <c r="T258" s="120"/>
    </row>
    <row r="259">
      <c r="A259" s="291"/>
      <c r="B259" s="120"/>
      <c r="C259" s="120"/>
      <c r="D259" s="120"/>
      <c r="E259" s="120"/>
      <c r="F259" s="120"/>
      <c r="G259" s="120"/>
      <c r="L259" s="120"/>
      <c r="M259" s="120"/>
      <c r="N259" s="120"/>
      <c r="O259" s="120"/>
      <c r="P259" s="120"/>
      <c r="Q259" s="120"/>
      <c r="R259" s="120"/>
      <c r="S259" s="120"/>
      <c r="T259" s="120"/>
    </row>
    <row r="260">
      <c r="A260" s="291"/>
      <c r="B260" s="120"/>
      <c r="C260" s="120"/>
      <c r="D260" s="120"/>
      <c r="E260" s="120"/>
      <c r="F260" s="120"/>
      <c r="G260" s="120"/>
      <c r="L260" s="120"/>
      <c r="M260" s="120"/>
      <c r="N260" s="120"/>
      <c r="O260" s="120"/>
      <c r="P260" s="120"/>
      <c r="Q260" s="120"/>
      <c r="R260" s="120"/>
      <c r="S260" s="120"/>
      <c r="T260" s="120"/>
    </row>
    <row r="261">
      <c r="A261" s="291"/>
      <c r="B261" s="120"/>
      <c r="C261" s="120"/>
      <c r="D261" s="120"/>
      <c r="E261" s="120"/>
      <c r="F261" s="120"/>
      <c r="G261" s="120"/>
      <c r="L261" s="120"/>
      <c r="M261" s="120"/>
      <c r="N261" s="120"/>
      <c r="O261" s="120"/>
      <c r="P261" s="120"/>
      <c r="Q261" s="120"/>
      <c r="R261" s="120"/>
      <c r="S261" s="120"/>
      <c r="T261" s="120"/>
    </row>
    <row r="262">
      <c r="A262" s="291"/>
      <c r="B262" s="120"/>
      <c r="C262" s="120"/>
      <c r="D262" s="120"/>
      <c r="E262" s="120"/>
      <c r="F262" s="120"/>
      <c r="G262" s="120"/>
      <c r="L262" s="120"/>
      <c r="M262" s="120"/>
      <c r="N262" s="120"/>
      <c r="O262" s="120"/>
      <c r="P262" s="120"/>
      <c r="Q262" s="120"/>
      <c r="R262" s="120"/>
      <c r="S262" s="120"/>
      <c r="T262" s="120"/>
    </row>
    <row r="263">
      <c r="A263" s="291"/>
      <c r="B263" s="120"/>
      <c r="C263" s="120"/>
      <c r="D263" s="120"/>
      <c r="E263" s="120"/>
      <c r="F263" s="120"/>
      <c r="G263" s="120"/>
      <c r="L263" s="120"/>
      <c r="M263" s="120"/>
      <c r="N263" s="120"/>
      <c r="O263" s="120"/>
      <c r="P263" s="120"/>
      <c r="Q263" s="120"/>
      <c r="R263" s="120"/>
      <c r="S263" s="120"/>
      <c r="T263" s="120"/>
    </row>
    <row r="264">
      <c r="A264" s="291"/>
      <c r="B264" s="120"/>
      <c r="C264" s="120"/>
      <c r="D264" s="120"/>
      <c r="E264" s="120"/>
      <c r="F264" s="120"/>
      <c r="G264" s="120"/>
      <c r="L264" s="120"/>
      <c r="M264" s="120"/>
      <c r="N264" s="120"/>
      <c r="O264" s="120"/>
      <c r="P264" s="120"/>
      <c r="Q264" s="120"/>
      <c r="R264" s="120"/>
      <c r="S264" s="120"/>
      <c r="T264" s="120"/>
    </row>
    <row r="265">
      <c r="A265" s="291"/>
      <c r="B265" s="120"/>
      <c r="C265" s="120"/>
      <c r="D265" s="120"/>
      <c r="E265" s="120"/>
      <c r="F265" s="120"/>
      <c r="G265" s="120"/>
      <c r="L265" s="120"/>
      <c r="M265" s="120"/>
      <c r="N265" s="120"/>
      <c r="O265" s="120"/>
      <c r="P265" s="120"/>
      <c r="Q265" s="120"/>
      <c r="R265" s="120"/>
      <c r="S265" s="120"/>
      <c r="T265" s="120"/>
    </row>
    <row r="266">
      <c r="A266" s="291"/>
      <c r="B266" s="120"/>
      <c r="C266" s="120"/>
      <c r="D266" s="120"/>
      <c r="E266" s="120"/>
      <c r="F266" s="120"/>
      <c r="G266" s="120"/>
      <c r="L266" s="120"/>
      <c r="M266" s="120"/>
      <c r="N266" s="120"/>
      <c r="O266" s="120"/>
      <c r="P266" s="120"/>
      <c r="Q266" s="120"/>
      <c r="R266" s="120"/>
      <c r="S266" s="120"/>
      <c r="T266" s="120"/>
    </row>
    <row r="267">
      <c r="A267" s="291"/>
      <c r="B267" s="120"/>
      <c r="C267" s="120"/>
      <c r="D267" s="120"/>
      <c r="E267" s="120"/>
      <c r="F267" s="120"/>
      <c r="G267" s="120"/>
      <c r="L267" s="120"/>
      <c r="M267" s="120"/>
      <c r="N267" s="120"/>
      <c r="O267" s="120"/>
      <c r="P267" s="120"/>
      <c r="Q267" s="120"/>
      <c r="R267" s="120"/>
      <c r="S267" s="120"/>
      <c r="T267" s="120"/>
    </row>
    <row r="268">
      <c r="A268" s="291"/>
      <c r="B268" s="120"/>
      <c r="C268" s="120"/>
      <c r="D268" s="120"/>
      <c r="E268" s="120"/>
      <c r="F268" s="120"/>
      <c r="G268" s="120"/>
      <c r="L268" s="120"/>
      <c r="M268" s="120"/>
      <c r="N268" s="120"/>
      <c r="O268" s="120"/>
      <c r="P268" s="120"/>
      <c r="Q268" s="120"/>
      <c r="R268" s="120"/>
      <c r="S268" s="120"/>
      <c r="T268" s="120"/>
    </row>
    <row r="269">
      <c r="A269" s="291"/>
      <c r="B269" s="120"/>
      <c r="C269" s="120"/>
      <c r="D269" s="120"/>
      <c r="E269" s="120"/>
      <c r="F269" s="120"/>
      <c r="G269" s="120"/>
      <c r="L269" s="120"/>
      <c r="M269" s="120"/>
      <c r="N269" s="120"/>
      <c r="O269" s="120"/>
      <c r="P269" s="120"/>
      <c r="Q269" s="120"/>
      <c r="R269" s="120"/>
      <c r="S269" s="120"/>
      <c r="T269" s="120"/>
    </row>
    <row r="270">
      <c r="A270" s="291"/>
      <c r="B270" s="120"/>
      <c r="C270" s="120"/>
      <c r="D270" s="120"/>
      <c r="E270" s="120"/>
      <c r="F270" s="120"/>
      <c r="G270" s="120"/>
      <c r="L270" s="120"/>
      <c r="M270" s="120"/>
      <c r="N270" s="120"/>
      <c r="O270" s="120"/>
      <c r="P270" s="120"/>
      <c r="Q270" s="120"/>
      <c r="R270" s="120"/>
      <c r="S270" s="120"/>
      <c r="T270" s="120"/>
    </row>
    <row r="271">
      <c r="A271" s="291"/>
      <c r="B271" s="120"/>
      <c r="C271" s="120"/>
      <c r="D271" s="120"/>
      <c r="E271" s="120"/>
      <c r="F271" s="120"/>
      <c r="G271" s="120"/>
      <c r="L271" s="120"/>
      <c r="M271" s="120"/>
      <c r="N271" s="120"/>
      <c r="O271" s="120"/>
      <c r="P271" s="120"/>
      <c r="Q271" s="120"/>
      <c r="R271" s="120"/>
      <c r="S271" s="120"/>
      <c r="T271" s="120"/>
    </row>
    <row r="272">
      <c r="A272" s="291"/>
      <c r="B272" s="120"/>
      <c r="C272" s="120"/>
      <c r="D272" s="120"/>
      <c r="E272" s="120"/>
      <c r="F272" s="120"/>
      <c r="G272" s="120"/>
      <c r="L272" s="120"/>
      <c r="M272" s="120"/>
      <c r="N272" s="120"/>
      <c r="O272" s="120"/>
      <c r="P272" s="120"/>
      <c r="Q272" s="120"/>
      <c r="R272" s="120"/>
      <c r="S272" s="120"/>
      <c r="T272" s="120"/>
    </row>
    <row r="273">
      <c r="A273" s="291"/>
      <c r="B273" s="120"/>
      <c r="C273" s="120"/>
      <c r="D273" s="120"/>
      <c r="E273" s="120"/>
      <c r="F273" s="120"/>
      <c r="G273" s="120"/>
      <c r="L273" s="120"/>
      <c r="M273" s="120"/>
      <c r="N273" s="120"/>
      <c r="O273" s="120"/>
      <c r="P273" s="120"/>
      <c r="Q273" s="120"/>
      <c r="R273" s="120"/>
      <c r="S273" s="120"/>
      <c r="T273" s="120"/>
    </row>
    <row r="274">
      <c r="A274" s="291"/>
      <c r="B274" s="120"/>
      <c r="C274" s="120"/>
      <c r="D274" s="120"/>
      <c r="E274" s="120"/>
      <c r="F274" s="120"/>
      <c r="G274" s="120"/>
      <c r="L274" s="120"/>
      <c r="M274" s="120"/>
      <c r="N274" s="120"/>
      <c r="O274" s="120"/>
      <c r="P274" s="120"/>
      <c r="Q274" s="120"/>
      <c r="R274" s="120"/>
      <c r="S274" s="120"/>
      <c r="T274" s="120"/>
    </row>
    <row r="275">
      <c r="A275" s="291"/>
      <c r="B275" s="120"/>
      <c r="C275" s="120"/>
      <c r="D275" s="120"/>
      <c r="E275" s="120"/>
      <c r="F275" s="120"/>
      <c r="G275" s="120"/>
      <c r="L275" s="120"/>
      <c r="M275" s="120"/>
      <c r="N275" s="120"/>
      <c r="O275" s="120"/>
      <c r="P275" s="120"/>
      <c r="Q275" s="120"/>
      <c r="R275" s="120"/>
      <c r="S275" s="120"/>
      <c r="T275" s="120"/>
    </row>
    <row r="276">
      <c r="A276" s="291"/>
      <c r="B276" s="120"/>
      <c r="C276" s="120"/>
      <c r="D276" s="120"/>
      <c r="E276" s="120"/>
      <c r="F276" s="120"/>
      <c r="G276" s="120"/>
      <c r="L276" s="120"/>
      <c r="M276" s="120"/>
      <c r="N276" s="120"/>
      <c r="O276" s="120"/>
      <c r="P276" s="120"/>
      <c r="Q276" s="120"/>
      <c r="R276" s="120"/>
      <c r="S276" s="120"/>
      <c r="T276" s="120"/>
    </row>
    <row r="277">
      <c r="A277" s="291"/>
      <c r="B277" s="120"/>
      <c r="C277" s="120"/>
      <c r="D277" s="120"/>
      <c r="E277" s="120"/>
      <c r="F277" s="120"/>
      <c r="G277" s="120"/>
      <c r="L277" s="120"/>
      <c r="M277" s="120"/>
      <c r="N277" s="120"/>
      <c r="O277" s="120"/>
      <c r="P277" s="120"/>
      <c r="Q277" s="120"/>
      <c r="R277" s="120"/>
      <c r="S277" s="120"/>
      <c r="T277" s="120"/>
    </row>
    <row r="278">
      <c r="A278" s="291"/>
      <c r="B278" s="120"/>
      <c r="C278" s="120"/>
      <c r="D278" s="120"/>
      <c r="E278" s="120"/>
      <c r="F278" s="120"/>
      <c r="G278" s="120"/>
      <c r="L278" s="120"/>
      <c r="M278" s="120"/>
      <c r="N278" s="120"/>
      <c r="O278" s="120"/>
      <c r="P278" s="120"/>
      <c r="Q278" s="120"/>
      <c r="R278" s="120"/>
      <c r="S278" s="120"/>
      <c r="T278" s="120"/>
    </row>
    <row r="279">
      <c r="A279" s="291"/>
      <c r="B279" s="120"/>
      <c r="C279" s="120"/>
      <c r="D279" s="120"/>
      <c r="E279" s="120"/>
      <c r="F279" s="120"/>
      <c r="G279" s="120"/>
      <c r="L279" s="120"/>
      <c r="M279" s="120"/>
      <c r="N279" s="120"/>
      <c r="O279" s="120"/>
      <c r="P279" s="120"/>
      <c r="Q279" s="120"/>
      <c r="R279" s="120"/>
      <c r="S279" s="120"/>
      <c r="T279" s="120"/>
    </row>
    <row r="280">
      <c r="A280" s="291"/>
      <c r="B280" s="120"/>
      <c r="C280" s="120"/>
      <c r="D280" s="120"/>
      <c r="E280" s="120"/>
      <c r="F280" s="120"/>
      <c r="G280" s="120"/>
      <c r="L280" s="120"/>
      <c r="M280" s="120"/>
      <c r="N280" s="120"/>
      <c r="O280" s="120"/>
      <c r="P280" s="120"/>
      <c r="Q280" s="120"/>
      <c r="R280" s="120"/>
      <c r="S280" s="120"/>
      <c r="T280" s="120"/>
    </row>
    <row r="281">
      <c r="A281" s="291"/>
      <c r="B281" s="120"/>
      <c r="C281" s="120"/>
      <c r="D281" s="120"/>
      <c r="E281" s="120"/>
      <c r="F281" s="120"/>
      <c r="G281" s="120"/>
      <c r="L281" s="120"/>
      <c r="M281" s="120"/>
      <c r="N281" s="120"/>
      <c r="O281" s="120"/>
      <c r="P281" s="120"/>
      <c r="Q281" s="120"/>
      <c r="R281" s="120"/>
      <c r="S281" s="120"/>
      <c r="T281" s="120"/>
    </row>
    <row r="282">
      <c r="A282" s="291"/>
      <c r="B282" s="120"/>
      <c r="C282" s="120"/>
      <c r="D282" s="120"/>
      <c r="E282" s="120"/>
      <c r="F282" s="120"/>
      <c r="G282" s="120"/>
      <c r="L282" s="120"/>
      <c r="M282" s="120"/>
      <c r="N282" s="120"/>
      <c r="O282" s="120"/>
      <c r="P282" s="120"/>
      <c r="Q282" s="120"/>
      <c r="R282" s="120"/>
      <c r="S282" s="120"/>
      <c r="T282" s="120"/>
    </row>
    <row r="283">
      <c r="A283" s="291"/>
      <c r="B283" s="120"/>
      <c r="C283" s="120"/>
      <c r="D283" s="120"/>
      <c r="E283" s="120"/>
      <c r="F283" s="120"/>
      <c r="G283" s="120"/>
      <c r="L283" s="120"/>
      <c r="M283" s="120"/>
      <c r="N283" s="120"/>
      <c r="O283" s="120"/>
      <c r="P283" s="120"/>
      <c r="Q283" s="120"/>
      <c r="R283" s="120"/>
      <c r="S283" s="120"/>
      <c r="T283" s="120"/>
    </row>
    <row r="284">
      <c r="A284" s="291"/>
      <c r="B284" s="120"/>
      <c r="C284" s="120"/>
      <c r="D284" s="120"/>
      <c r="E284" s="120"/>
      <c r="F284" s="120"/>
      <c r="G284" s="120"/>
      <c r="L284" s="120"/>
      <c r="M284" s="120"/>
      <c r="N284" s="120"/>
      <c r="O284" s="120"/>
      <c r="P284" s="120"/>
      <c r="Q284" s="120"/>
      <c r="R284" s="120"/>
      <c r="S284" s="120"/>
      <c r="T284" s="120"/>
    </row>
    <row r="285">
      <c r="A285" s="291"/>
      <c r="B285" s="120"/>
      <c r="C285" s="120"/>
      <c r="D285" s="120"/>
      <c r="E285" s="120"/>
      <c r="F285" s="120"/>
      <c r="G285" s="120"/>
      <c r="L285" s="120"/>
      <c r="M285" s="120"/>
      <c r="N285" s="120"/>
      <c r="O285" s="120"/>
      <c r="P285" s="120"/>
      <c r="Q285" s="120"/>
      <c r="R285" s="120"/>
      <c r="S285" s="120"/>
      <c r="T285" s="120"/>
    </row>
    <row r="286">
      <c r="A286" s="291"/>
      <c r="B286" s="120"/>
      <c r="C286" s="120"/>
      <c r="D286" s="120"/>
      <c r="E286" s="120"/>
      <c r="F286" s="120"/>
      <c r="G286" s="120"/>
      <c r="L286" s="120"/>
      <c r="M286" s="120"/>
      <c r="N286" s="120"/>
      <c r="O286" s="120"/>
      <c r="P286" s="120"/>
      <c r="Q286" s="120"/>
      <c r="R286" s="120"/>
      <c r="S286" s="120"/>
      <c r="T286" s="120"/>
    </row>
    <row r="287">
      <c r="A287" s="291"/>
      <c r="B287" s="120"/>
      <c r="C287" s="120"/>
      <c r="D287" s="120"/>
      <c r="E287" s="120"/>
      <c r="F287" s="120"/>
      <c r="G287" s="120"/>
      <c r="L287" s="120"/>
      <c r="M287" s="120"/>
      <c r="N287" s="120"/>
      <c r="O287" s="120"/>
      <c r="P287" s="120"/>
      <c r="Q287" s="120"/>
      <c r="R287" s="120"/>
      <c r="S287" s="120"/>
      <c r="T287" s="120"/>
    </row>
    <row r="288">
      <c r="A288" s="291"/>
      <c r="B288" s="120"/>
      <c r="C288" s="120"/>
      <c r="D288" s="120"/>
      <c r="E288" s="120"/>
      <c r="F288" s="120"/>
      <c r="G288" s="120"/>
      <c r="L288" s="120"/>
      <c r="M288" s="120"/>
      <c r="N288" s="120"/>
      <c r="O288" s="120"/>
      <c r="P288" s="120"/>
      <c r="Q288" s="120"/>
      <c r="R288" s="120"/>
      <c r="S288" s="120"/>
      <c r="T288" s="120"/>
    </row>
    <row r="289">
      <c r="A289" s="291"/>
      <c r="B289" s="120"/>
      <c r="C289" s="120"/>
      <c r="D289" s="120"/>
      <c r="E289" s="120"/>
      <c r="F289" s="120"/>
      <c r="G289" s="120"/>
      <c r="L289" s="120"/>
      <c r="M289" s="120"/>
      <c r="N289" s="120"/>
      <c r="O289" s="120"/>
      <c r="P289" s="120"/>
      <c r="Q289" s="120"/>
      <c r="R289" s="120"/>
      <c r="S289" s="120"/>
      <c r="T289" s="120"/>
    </row>
    <row r="290">
      <c r="A290" s="291"/>
      <c r="B290" s="120"/>
      <c r="C290" s="120"/>
      <c r="D290" s="120"/>
      <c r="E290" s="120"/>
      <c r="F290" s="120"/>
      <c r="G290" s="120"/>
      <c r="L290" s="120"/>
      <c r="M290" s="120"/>
      <c r="N290" s="120"/>
      <c r="O290" s="120"/>
      <c r="P290" s="120"/>
      <c r="Q290" s="120"/>
      <c r="R290" s="120"/>
      <c r="S290" s="120"/>
      <c r="T290" s="120"/>
    </row>
    <row r="291">
      <c r="A291" s="291"/>
      <c r="B291" s="120"/>
      <c r="C291" s="120"/>
      <c r="D291" s="120"/>
      <c r="E291" s="120"/>
      <c r="F291" s="120"/>
      <c r="G291" s="120"/>
      <c r="L291" s="120"/>
      <c r="M291" s="120"/>
      <c r="N291" s="120"/>
      <c r="O291" s="120"/>
      <c r="P291" s="120"/>
      <c r="Q291" s="120"/>
      <c r="R291" s="120"/>
      <c r="S291" s="120"/>
      <c r="T291" s="120"/>
    </row>
    <row r="292">
      <c r="A292" s="291"/>
      <c r="B292" s="120"/>
      <c r="C292" s="120"/>
      <c r="D292" s="120"/>
      <c r="E292" s="120"/>
      <c r="F292" s="120"/>
      <c r="G292" s="120"/>
      <c r="L292" s="120"/>
      <c r="M292" s="120"/>
      <c r="N292" s="120"/>
      <c r="O292" s="120"/>
      <c r="P292" s="120"/>
      <c r="Q292" s="120"/>
      <c r="R292" s="120"/>
      <c r="S292" s="120"/>
      <c r="T292" s="120"/>
    </row>
    <row r="293">
      <c r="A293" s="291"/>
      <c r="B293" s="120"/>
      <c r="C293" s="120"/>
      <c r="D293" s="120"/>
      <c r="E293" s="120"/>
      <c r="F293" s="120"/>
      <c r="G293" s="120"/>
      <c r="L293" s="120"/>
      <c r="M293" s="120"/>
      <c r="N293" s="120"/>
      <c r="O293" s="120"/>
      <c r="P293" s="120"/>
      <c r="Q293" s="120"/>
      <c r="R293" s="120"/>
      <c r="S293" s="120"/>
      <c r="T293" s="120"/>
    </row>
    <row r="294">
      <c r="A294" s="291"/>
      <c r="B294" s="120"/>
      <c r="C294" s="120"/>
      <c r="D294" s="120"/>
      <c r="E294" s="120"/>
      <c r="F294" s="120"/>
      <c r="G294" s="120"/>
      <c r="L294" s="120"/>
      <c r="M294" s="120"/>
      <c r="N294" s="120"/>
      <c r="O294" s="120"/>
      <c r="P294" s="120"/>
      <c r="Q294" s="120"/>
      <c r="R294" s="120"/>
      <c r="S294" s="120"/>
      <c r="T294" s="120"/>
    </row>
    <row r="295">
      <c r="A295" s="291"/>
      <c r="B295" s="120"/>
      <c r="C295" s="120"/>
      <c r="D295" s="120"/>
      <c r="E295" s="120"/>
      <c r="F295" s="120"/>
      <c r="G295" s="120"/>
      <c r="L295" s="120"/>
      <c r="M295" s="120"/>
      <c r="N295" s="120"/>
      <c r="O295" s="120"/>
      <c r="P295" s="120"/>
      <c r="Q295" s="120"/>
      <c r="R295" s="120"/>
      <c r="S295" s="120"/>
      <c r="T295" s="120"/>
    </row>
    <row r="296">
      <c r="A296" s="291"/>
      <c r="B296" s="120"/>
      <c r="C296" s="120"/>
      <c r="D296" s="120"/>
      <c r="E296" s="120"/>
      <c r="F296" s="120"/>
      <c r="G296" s="120"/>
      <c r="L296" s="120"/>
      <c r="M296" s="120"/>
      <c r="N296" s="120"/>
      <c r="O296" s="120"/>
      <c r="P296" s="120"/>
      <c r="Q296" s="120"/>
      <c r="R296" s="120"/>
      <c r="S296" s="120"/>
      <c r="T296" s="120"/>
    </row>
    <row r="297">
      <c r="A297" s="291"/>
      <c r="B297" s="120"/>
      <c r="C297" s="120"/>
      <c r="D297" s="120"/>
      <c r="E297" s="120"/>
      <c r="F297" s="120"/>
      <c r="G297" s="120"/>
      <c r="L297" s="120"/>
      <c r="M297" s="120"/>
      <c r="N297" s="120"/>
      <c r="O297" s="120"/>
      <c r="P297" s="120"/>
      <c r="Q297" s="120"/>
      <c r="R297" s="120"/>
      <c r="S297" s="120"/>
      <c r="T297" s="120"/>
    </row>
    <row r="298">
      <c r="A298" s="291"/>
      <c r="B298" s="120"/>
      <c r="C298" s="120"/>
      <c r="D298" s="120"/>
      <c r="E298" s="120"/>
      <c r="F298" s="120"/>
      <c r="G298" s="120"/>
      <c r="L298" s="120"/>
      <c r="M298" s="120"/>
      <c r="N298" s="120"/>
      <c r="O298" s="120"/>
      <c r="P298" s="120"/>
      <c r="Q298" s="120"/>
      <c r="R298" s="120"/>
      <c r="S298" s="120"/>
      <c r="T298" s="120"/>
    </row>
    <row r="299">
      <c r="A299" s="291"/>
      <c r="B299" s="120"/>
      <c r="C299" s="120"/>
      <c r="D299" s="120"/>
      <c r="E299" s="120"/>
      <c r="F299" s="120"/>
      <c r="G299" s="120"/>
      <c r="L299" s="120"/>
      <c r="M299" s="120"/>
      <c r="N299" s="120"/>
      <c r="O299" s="120"/>
      <c r="P299" s="120"/>
      <c r="Q299" s="120"/>
      <c r="R299" s="120"/>
      <c r="S299" s="120"/>
      <c r="T299" s="120"/>
    </row>
    <row r="300">
      <c r="A300" s="291"/>
      <c r="B300" s="120"/>
      <c r="C300" s="120"/>
      <c r="D300" s="120"/>
      <c r="E300" s="120"/>
      <c r="F300" s="120"/>
      <c r="G300" s="120"/>
      <c r="L300" s="120"/>
      <c r="M300" s="120"/>
      <c r="N300" s="120"/>
      <c r="O300" s="120"/>
      <c r="P300" s="120"/>
      <c r="Q300" s="120"/>
      <c r="R300" s="120"/>
      <c r="S300" s="120"/>
      <c r="T300" s="120"/>
    </row>
    <row r="301">
      <c r="A301" s="291"/>
      <c r="B301" s="120"/>
      <c r="C301" s="120"/>
      <c r="D301" s="120"/>
      <c r="E301" s="120"/>
      <c r="F301" s="120"/>
      <c r="G301" s="120"/>
      <c r="L301" s="120"/>
      <c r="M301" s="120"/>
      <c r="N301" s="120"/>
      <c r="O301" s="120"/>
      <c r="P301" s="120"/>
      <c r="Q301" s="120"/>
      <c r="R301" s="120"/>
      <c r="S301" s="120"/>
      <c r="T301" s="120"/>
    </row>
    <row r="302">
      <c r="A302" s="291"/>
      <c r="B302" s="120"/>
      <c r="C302" s="120"/>
      <c r="D302" s="120"/>
      <c r="E302" s="120"/>
      <c r="F302" s="120"/>
      <c r="G302" s="120"/>
      <c r="L302" s="120"/>
      <c r="M302" s="120"/>
      <c r="N302" s="120"/>
      <c r="O302" s="120"/>
      <c r="P302" s="120"/>
      <c r="Q302" s="120"/>
      <c r="R302" s="120"/>
      <c r="S302" s="120"/>
      <c r="T302" s="120"/>
    </row>
    <row r="303">
      <c r="A303" s="291"/>
      <c r="B303" s="120"/>
      <c r="C303" s="120"/>
      <c r="D303" s="120"/>
      <c r="E303" s="120"/>
      <c r="F303" s="120"/>
      <c r="G303" s="120"/>
      <c r="L303" s="120"/>
      <c r="M303" s="120"/>
      <c r="N303" s="120"/>
      <c r="O303" s="120"/>
      <c r="P303" s="120"/>
      <c r="Q303" s="120"/>
      <c r="R303" s="120"/>
      <c r="S303" s="120"/>
      <c r="T303" s="120"/>
    </row>
    <row r="304">
      <c r="A304" s="291"/>
      <c r="B304" s="120"/>
      <c r="C304" s="120"/>
      <c r="D304" s="120"/>
      <c r="E304" s="120"/>
      <c r="F304" s="120"/>
      <c r="G304" s="120"/>
      <c r="L304" s="120"/>
      <c r="M304" s="120"/>
      <c r="N304" s="120"/>
      <c r="O304" s="120"/>
      <c r="P304" s="120"/>
      <c r="Q304" s="120"/>
      <c r="R304" s="120"/>
      <c r="S304" s="120"/>
      <c r="T304" s="120"/>
    </row>
    <row r="305">
      <c r="A305" s="291"/>
      <c r="B305" s="120"/>
      <c r="C305" s="120"/>
      <c r="D305" s="120"/>
      <c r="E305" s="120"/>
      <c r="F305" s="120"/>
      <c r="G305" s="120"/>
      <c r="L305" s="120"/>
      <c r="M305" s="120"/>
      <c r="N305" s="120"/>
      <c r="O305" s="120"/>
      <c r="P305" s="120"/>
      <c r="Q305" s="120"/>
      <c r="R305" s="120"/>
      <c r="S305" s="120"/>
      <c r="T305" s="120"/>
    </row>
    <row r="306">
      <c r="A306" s="291"/>
      <c r="B306" s="120"/>
      <c r="C306" s="120"/>
      <c r="D306" s="120"/>
      <c r="E306" s="120"/>
      <c r="F306" s="120"/>
      <c r="G306" s="120"/>
      <c r="L306" s="120"/>
      <c r="M306" s="120"/>
      <c r="N306" s="120"/>
      <c r="O306" s="120"/>
      <c r="P306" s="120"/>
      <c r="Q306" s="120"/>
      <c r="R306" s="120"/>
      <c r="S306" s="120"/>
      <c r="T306" s="120"/>
    </row>
    <row r="307">
      <c r="A307" s="291"/>
      <c r="B307" s="120"/>
      <c r="C307" s="120"/>
      <c r="D307" s="120"/>
      <c r="E307" s="120"/>
      <c r="F307" s="120"/>
      <c r="G307" s="120"/>
      <c r="L307" s="120"/>
      <c r="M307" s="120"/>
      <c r="N307" s="120"/>
      <c r="O307" s="120"/>
      <c r="P307" s="120"/>
      <c r="Q307" s="120"/>
      <c r="R307" s="120"/>
      <c r="S307" s="120"/>
      <c r="T307" s="120"/>
    </row>
    <row r="308">
      <c r="A308" s="291"/>
      <c r="B308" s="120"/>
      <c r="C308" s="120"/>
      <c r="D308" s="120"/>
      <c r="E308" s="120"/>
      <c r="F308" s="120"/>
      <c r="G308" s="120"/>
      <c r="L308" s="120"/>
      <c r="M308" s="120"/>
      <c r="N308" s="120"/>
      <c r="O308" s="120"/>
      <c r="P308" s="120"/>
      <c r="Q308" s="120"/>
      <c r="R308" s="120"/>
      <c r="S308" s="120"/>
      <c r="T308" s="120"/>
    </row>
    <row r="309">
      <c r="A309" s="291"/>
      <c r="B309" s="120"/>
      <c r="C309" s="120"/>
      <c r="D309" s="120"/>
      <c r="E309" s="120"/>
      <c r="F309" s="120"/>
      <c r="G309" s="120"/>
      <c r="L309" s="120"/>
      <c r="M309" s="120"/>
      <c r="N309" s="120"/>
      <c r="O309" s="120"/>
      <c r="P309" s="120"/>
      <c r="Q309" s="120"/>
      <c r="R309" s="120"/>
      <c r="S309" s="120"/>
      <c r="T309" s="120"/>
    </row>
    <row r="310">
      <c r="A310" s="291"/>
      <c r="B310" s="120"/>
      <c r="C310" s="120"/>
      <c r="D310" s="120"/>
      <c r="E310" s="120"/>
      <c r="F310" s="120"/>
      <c r="G310" s="120"/>
      <c r="L310" s="120"/>
      <c r="M310" s="120"/>
      <c r="N310" s="120"/>
      <c r="O310" s="120"/>
      <c r="P310" s="120"/>
      <c r="Q310" s="120"/>
      <c r="R310" s="120"/>
      <c r="S310" s="120"/>
      <c r="T310" s="120"/>
    </row>
    <row r="311">
      <c r="A311" s="291"/>
      <c r="B311" s="120"/>
      <c r="C311" s="120"/>
      <c r="D311" s="120"/>
      <c r="E311" s="120"/>
      <c r="F311" s="120"/>
      <c r="G311" s="120"/>
      <c r="L311" s="120"/>
      <c r="M311" s="120"/>
      <c r="N311" s="120"/>
      <c r="O311" s="120"/>
      <c r="P311" s="120"/>
      <c r="Q311" s="120"/>
      <c r="R311" s="120"/>
      <c r="S311" s="120"/>
      <c r="T311" s="120"/>
    </row>
    <row r="312">
      <c r="A312" s="291"/>
      <c r="B312" s="120"/>
      <c r="C312" s="120"/>
      <c r="D312" s="120"/>
      <c r="E312" s="120"/>
      <c r="F312" s="120"/>
      <c r="G312" s="120"/>
      <c r="L312" s="120"/>
      <c r="M312" s="120"/>
      <c r="N312" s="120"/>
      <c r="O312" s="120"/>
      <c r="P312" s="120"/>
      <c r="Q312" s="120"/>
      <c r="R312" s="120"/>
      <c r="S312" s="120"/>
      <c r="T312" s="120"/>
    </row>
    <row r="313">
      <c r="A313" s="291"/>
      <c r="B313" s="120"/>
      <c r="C313" s="120"/>
      <c r="D313" s="120"/>
      <c r="E313" s="120"/>
      <c r="F313" s="120"/>
      <c r="G313" s="120"/>
      <c r="L313" s="120"/>
      <c r="M313" s="120"/>
      <c r="N313" s="120"/>
      <c r="O313" s="120"/>
      <c r="P313" s="120"/>
      <c r="Q313" s="120"/>
      <c r="R313" s="120"/>
      <c r="S313" s="120"/>
      <c r="T313" s="120"/>
    </row>
    <row r="314">
      <c r="A314" s="291"/>
      <c r="B314" s="120"/>
      <c r="C314" s="120"/>
      <c r="D314" s="120"/>
      <c r="E314" s="120"/>
      <c r="F314" s="120"/>
      <c r="G314" s="120"/>
      <c r="L314" s="120"/>
      <c r="M314" s="120"/>
      <c r="N314" s="120"/>
      <c r="O314" s="120"/>
      <c r="P314" s="120"/>
      <c r="Q314" s="120"/>
      <c r="R314" s="120"/>
      <c r="S314" s="120"/>
      <c r="T314" s="120"/>
    </row>
    <row r="315">
      <c r="A315" s="291"/>
      <c r="B315" s="120"/>
      <c r="C315" s="120"/>
      <c r="D315" s="120"/>
      <c r="E315" s="120"/>
      <c r="F315" s="120"/>
      <c r="G315" s="120"/>
      <c r="L315" s="120"/>
      <c r="M315" s="120"/>
      <c r="N315" s="120"/>
      <c r="O315" s="120"/>
      <c r="P315" s="120"/>
      <c r="Q315" s="120"/>
      <c r="R315" s="120"/>
      <c r="S315" s="120"/>
      <c r="T315" s="120"/>
    </row>
    <row r="316">
      <c r="A316" s="291"/>
      <c r="B316" s="120"/>
      <c r="C316" s="120"/>
      <c r="D316" s="120"/>
      <c r="E316" s="120"/>
      <c r="F316" s="120"/>
      <c r="G316" s="120"/>
      <c r="L316" s="120"/>
      <c r="M316" s="120"/>
      <c r="N316" s="120"/>
      <c r="O316" s="120"/>
      <c r="P316" s="120"/>
      <c r="Q316" s="120"/>
      <c r="R316" s="120"/>
      <c r="S316" s="120"/>
      <c r="T316" s="120"/>
    </row>
    <row r="317">
      <c r="A317" s="291"/>
      <c r="B317" s="120"/>
      <c r="C317" s="120"/>
      <c r="D317" s="120"/>
      <c r="E317" s="120"/>
      <c r="F317" s="120"/>
      <c r="G317" s="120"/>
      <c r="L317" s="120"/>
      <c r="M317" s="120"/>
      <c r="N317" s="120"/>
      <c r="O317" s="120"/>
      <c r="P317" s="120"/>
      <c r="Q317" s="120"/>
      <c r="R317" s="120"/>
      <c r="S317" s="120"/>
      <c r="T317" s="120"/>
    </row>
    <row r="318">
      <c r="A318" s="291"/>
      <c r="B318" s="120"/>
      <c r="C318" s="120"/>
      <c r="D318" s="120"/>
      <c r="E318" s="120"/>
      <c r="F318" s="120"/>
      <c r="G318" s="120"/>
      <c r="L318" s="120"/>
      <c r="M318" s="120"/>
      <c r="N318" s="120"/>
      <c r="O318" s="120"/>
      <c r="P318" s="120"/>
      <c r="Q318" s="120"/>
      <c r="R318" s="120"/>
      <c r="S318" s="120"/>
      <c r="T318" s="120"/>
    </row>
    <row r="319">
      <c r="A319" s="291"/>
      <c r="B319" s="120"/>
      <c r="C319" s="120"/>
      <c r="D319" s="120"/>
      <c r="E319" s="120"/>
      <c r="F319" s="120"/>
      <c r="G319" s="120"/>
      <c r="L319" s="120"/>
      <c r="M319" s="120"/>
      <c r="N319" s="120"/>
      <c r="O319" s="120"/>
      <c r="P319" s="120"/>
      <c r="Q319" s="120"/>
      <c r="R319" s="120"/>
      <c r="S319" s="120"/>
      <c r="T319" s="120"/>
    </row>
    <row r="320">
      <c r="A320" s="291"/>
      <c r="B320" s="120"/>
      <c r="C320" s="120"/>
      <c r="D320" s="120"/>
      <c r="E320" s="120"/>
      <c r="F320" s="120"/>
      <c r="G320" s="120"/>
      <c r="L320" s="120"/>
      <c r="M320" s="120"/>
      <c r="N320" s="120"/>
      <c r="O320" s="120"/>
      <c r="P320" s="120"/>
      <c r="Q320" s="120"/>
      <c r="R320" s="120"/>
      <c r="S320" s="120"/>
      <c r="T320" s="120"/>
    </row>
    <row r="321">
      <c r="A321" s="291"/>
      <c r="B321" s="120"/>
      <c r="C321" s="120"/>
      <c r="D321" s="120"/>
      <c r="E321" s="120"/>
      <c r="F321" s="120"/>
      <c r="G321" s="120"/>
      <c r="L321" s="120"/>
      <c r="M321" s="120"/>
      <c r="N321" s="120"/>
      <c r="O321" s="120"/>
      <c r="P321" s="120"/>
      <c r="Q321" s="120"/>
      <c r="R321" s="120"/>
      <c r="S321" s="120"/>
      <c r="T321" s="120"/>
    </row>
    <row r="322">
      <c r="A322" s="291"/>
      <c r="B322" s="120"/>
      <c r="C322" s="120"/>
      <c r="D322" s="120"/>
      <c r="E322" s="120"/>
      <c r="F322" s="120"/>
      <c r="G322" s="120"/>
      <c r="L322" s="120"/>
      <c r="M322" s="120"/>
      <c r="N322" s="120"/>
      <c r="O322" s="120"/>
      <c r="P322" s="120"/>
      <c r="Q322" s="120"/>
      <c r="R322" s="120"/>
      <c r="S322" s="120"/>
      <c r="T322" s="120"/>
    </row>
    <row r="323">
      <c r="A323" s="291"/>
      <c r="B323" s="120"/>
      <c r="C323" s="120"/>
      <c r="D323" s="120"/>
      <c r="E323" s="120"/>
      <c r="F323" s="120"/>
      <c r="G323" s="120"/>
      <c r="L323" s="120"/>
      <c r="M323" s="120"/>
      <c r="N323" s="120"/>
      <c r="O323" s="120"/>
      <c r="P323" s="120"/>
      <c r="Q323" s="120"/>
      <c r="R323" s="120"/>
      <c r="S323" s="120"/>
      <c r="T323" s="120"/>
    </row>
    <row r="324">
      <c r="A324" s="291"/>
      <c r="B324" s="120"/>
      <c r="C324" s="120"/>
      <c r="D324" s="120"/>
      <c r="E324" s="120"/>
      <c r="F324" s="120"/>
      <c r="G324" s="120"/>
      <c r="L324" s="120"/>
      <c r="M324" s="120"/>
      <c r="N324" s="120"/>
      <c r="O324" s="120"/>
      <c r="P324" s="120"/>
      <c r="Q324" s="120"/>
      <c r="R324" s="120"/>
      <c r="S324" s="120"/>
      <c r="T324" s="120"/>
    </row>
    <row r="325">
      <c r="A325" s="291"/>
      <c r="B325" s="120"/>
      <c r="C325" s="120"/>
      <c r="D325" s="120"/>
      <c r="E325" s="120"/>
      <c r="F325" s="120"/>
      <c r="G325" s="120"/>
      <c r="L325" s="120"/>
      <c r="M325" s="120"/>
      <c r="N325" s="120"/>
      <c r="O325" s="120"/>
      <c r="P325" s="120"/>
      <c r="Q325" s="120"/>
      <c r="R325" s="120"/>
      <c r="S325" s="120"/>
      <c r="T325" s="120"/>
    </row>
    <row r="326">
      <c r="A326" s="291"/>
      <c r="B326" s="120"/>
      <c r="C326" s="120"/>
      <c r="D326" s="120"/>
      <c r="E326" s="120"/>
      <c r="F326" s="120"/>
      <c r="G326" s="120"/>
      <c r="L326" s="120"/>
      <c r="M326" s="120"/>
      <c r="N326" s="120"/>
      <c r="O326" s="120"/>
      <c r="P326" s="120"/>
      <c r="Q326" s="120"/>
      <c r="R326" s="120"/>
      <c r="S326" s="120"/>
      <c r="T326" s="120"/>
    </row>
    <row r="327">
      <c r="A327" s="291"/>
      <c r="B327" s="120"/>
      <c r="C327" s="120"/>
      <c r="D327" s="120"/>
      <c r="E327" s="120"/>
      <c r="F327" s="120"/>
      <c r="G327" s="120"/>
      <c r="L327" s="120"/>
      <c r="M327" s="120"/>
      <c r="N327" s="120"/>
      <c r="O327" s="120"/>
      <c r="P327" s="120"/>
      <c r="Q327" s="120"/>
      <c r="R327" s="120"/>
      <c r="S327" s="120"/>
      <c r="T327" s="120"/>
    </row>
    <row r="328">
      <c r="A328" s="291"/>
      <c r="B328" s="120"/>
      <c r="C328" s="120"/>
      <c r="D328" s="120"/>
      <c r="E328" s="120"/>
      <c r="F328" s="120"/>
      <c r="G328" s="120"/>
      <c r="L328" s="120"/>
      <c r="M328" s="120"/>
      <c r="N328" s="120"/>
      <c r="O328" s="120"/>
      <c r="P328" s="120"/>
      <c r="Q328" s="120"/>
      <c r="R328" s="120"/>
      <c r="S328" s="120"/>
      <c r="T328" s="120"/>
    </row>
    <row r="329">
      <c r="A329" s="291"/>
      <c r="B329" s="120"/>
      <c r="C329" s="120"/>
      <c r="D329" s="120"/>
      <c r="E329" s="120"/>
      <c r="F329" s="120"/>
      <c r="G329" s="120"/>
      <c r="L329" s="120"/>
      <c r="M329" s="120"/>
      <c r="N329" s="120"/>
      <c r="O329" s="120"/>
      <c r="P329" s="120"/>
      <c r="Q329" s="120"/>
      <c r="R329" s="120"/>
      <c r="S329" s="120"/>
      <c r="T329" s="120"/>
    </row>
    <row r="330">
      <c r="A330" s="291"/>
      <c r="B330" s="120"/>
      <c r="C330" s="120"/>
      <c r="D330" s="120"/>
      <c r="E330" s="120"/>
      <c r="F330" s="120"/>
      <c r="G330" s="120"/>
      <c r="L330" s="120"/>
      <c r="M330" s="120"/>
      <c r="N330" s="120"/>
      <c r="O330" s="120"/>
      <c r="P330" s="120"/>
      <c r="Q330" s="120"/>
      <c r="R330" s="120"/>
      <c r="S330" s="120"/>
      <c r="T330" s="120"/>
    </row>
    <row r="331">
      <c r="A331" s="291"/>
      <c r="B331" s="120"/>
      <c r="C331" s="120"/>
      <c r="D331" s="120"/>
      <c r="E331" s="120"/>
      <c r="F331" s="120"/>
      <c r="G331" s="120"/>
      <c r="L331" s="120"/>
      <c r="M331" s="120"/>
      <c r="N331" s="120"/>
      <c r="O331" s="120"/>
      <c r="P331" s="120"/>
      <c r="Q331" s="120"/>
      <c r="R331" s="120"/>
      <c r="S331" s="120"/>
      <c r="T331" s="120"/>
    </row>
    <row r="332">
      <c r="A332" s="291"/>
      <c r="B332" s="120"/>
      <c r="C332" s="120"/>
      <c r="D332" s="120"/>
      <c r="E332" s="120"/>
      <c r="F332" s="120"/>
      <c r="G332" s="120"/>
      <c r="L332" s="120"/>
      <c r="M332" s="120"/>
      <c r="N332" s="120"/>
      <c r="O332" s="120"/>
      <c r="P332" s="120"/>
      <c r="Q332" s="120"/>
      <c r="R332" s="120"/>
      <c r="S332" s="120"/>
      <c r="T332" s="120"/>
    </row>
    <row r="333">
      <c r="A333" s="291"/>
      <c r="B333" s="120"/>
      <c r="C333" s="120"/>
      <c r="D333" s="120"/>
      <c r="E333" s="120"/>
      <c r="F333" s="120"/>
      <c r="G333" s="120"/>
      <c r="L333" s="120"/>
      <c r="M333" s="120"/>
      <c r="N333" s="120"/>
      <c r="O333" s="120"/>
      <c r="P333" s="120"/>
      <c r="Q333" s="120"/>
      <c r="R333" s="120"/>
      <c r="S333" s="120"/>
      <c r="T333" s="120"/>
    </row>
    <row r="334">
      <c r="A334" s="291"/>
      <c r="B334" s="120"/>
      <c r="C334" s="120"/>
      <c r="D334" s="120"/>
      <c r="E334" s="120"/>
      <c r="F334" s="120"/>
      <c r="G334" s="120"/>
      <c r="L334" s="120"/>
      <c r="M334" s="120"/>
      <c r="N334" s="120"/>
      <c r="O334" s="120"/>
      <c r="P334" s="120"/>
      <c r="Q334" s="120"/>
      <c r="R334" s="120"/>
      <c r="S334" s="120"/>
      <c r="T334" s="120"/>
    </row>
    <row r="335">
      <c r="A335" s="291"/>
      <c r="B335" s="120"/>
      <c r="C335" s="120"/>
      <c r="D335" s="120"/>
      <c r="E335" s="120"/>
      <c r="F335" s="120"/>
      <c r="G335" s="120"/>
      <c r="L335" s="120"/>
      <c r="M335" s="120"/>
      <c r="N335" s="120"/>
      <c r="O335" s="120"/>
      <c r="P335" s="120"/>
      <c r="Q335" s="120"/>
      <c r="R335" s="120"/>
      <c r="S335" s="120"/>
      <c r="T335" s="120"/>
    </row>
    <row r="336">
      <c r="A336" s="291"/>
      <c r="B336" s="120"/>
      <c r="C336" s="120"/>
      <c r="D336" s="120"/>
      <c r="E336" s="120"/>
      <c r="F336" s="120"/>
      <c r="G336" s="120"/>
      <c r="L336" s="120"/>
      <c r="M336" s="120"/>
      <c r="N336" s="120"/>
      <c r="O336" s="120"/>
      <c r="P336" s="120"/>
      <c r="Q336" s="120"/>
      <c r="R336" s="120"/>
      <c r="S336" s="120"/>
      <c r="T336" s="120"/>
    </row>
    <row r="337">
      <c r="A337" s="291"/>
      <c r="B337" s="120"/>
      <c r="C337" s="120"/>
      <c r="D337" s="120"/>
      <c r="E337" s="120"/>
      <c r="F337" s="120"/>
      <c r="G337" s="120"/>
      <c r="L337" s="120"/>
      <c r="M337" s="120"/>
      <c r="N337" s="120"/>
      <c r="O337" s="120"/>
      <c r="P337" s="120"/>
      <c r="Q337" s="120"/>
      <c r="R337" s="120"/>
      <c r="S337" s="120"/>
      <c r="T337" s="120"/>
    </row>
    <row r="338">
      <c r="A338" s="291"/>
      <c r="B338" s="120"/>
      <c r="C338" s="120"/>
      <c r="D338" s="120"/>
      <c r="E338" s="120"/>
      <c r="F338" s="120"/>
      <c r="G338" s="120"/>
      <c r="L338" s="120"/>
      <c r="M338" s="120"/>
      <c r="N338" s="120"/>
      <c r="O338" s="120"/>
      <c r="P338" s="120"/>
      <c r="Q338" s="120"/>
      <c r="R338" s="120"/>
      <c r="S338" s="120"/>
      <c r="T338" s="120"/>
    </row>
    <row r="339">
      <c r="A339" s="291"/>
      <c r="B339" s="120"/>
      <c r="C339" s="120"/>
      <c r="D339" s="120"/>
      <c r="E339" s="120"/>
      <c r="F339" s="120"/>
      <c r="G339" s="120"/>
      <c r="L339" s="120"/>
      <c r="M339" s="120"/>
      <c r="N339" s="120"/>
      <c r="O339" s="120"/>
      <c r="P339" s="120"/>
      <c r="Q339" s="120"/>
      <c r="R339" s="120"/>
      <c r="S339" s="120"/>
      <c r="T339" s="120"/>
    </row>
    <row r="340">
      <c r="A340" s="291"/>
      <c r="B340" s="120"/>
      <c r="C340" s="120"/>
      <c r="D340" s="120"/>
      <c r="E340" s="120"/>
      <c r="F340" s="120"/>
      <c r="G340" s="120"/>
      <c r="L340" s="120"/>
      <c r="M340" s="120"/>
      <c r="N340" s="120"/>
      <c r="O340" s="120"/>
      <c r="P340" s="120"/>
      <c r="Q340" s="120"/>
      <c r="R340" s="120"/>
      <c r="S340" s="120"/>
      <c r="T340" s="120"/>
    </row>
    <row r="341">
      <c r="A341" s="291"/>
      <c r="B341" s="120"/>
      <c r="C341" s="120"/>
      <c r="D341" s="120"/>
      <c r="E341" s="120"/>
      <c r="F341" s="120"/>
      <c r="G341" s="120"/>
      <c r="L341" s="120"/>
      <c r="M341" s="120"/>
      <c r="N341" s="120"/>
      <c r="O341" s="120"/>
      <c r="P341" s="120"/>
      <c r="Q341" s="120"/>
      <c r="R341" s="120"/>
      <c r="S341" s="120"/>
      <c r="T341" s="120"/>
    </row>
    <row r="342">
      <c r="A342" s="291"/>
      <c r="B342" s="120"/>
      <c r="C342" s="120"/>
      <c r="D342" s="120"/>
      <c r="E342" s="120"/>
      <c r="F342" s="120"/>
      <c r="G342" s="120"/>
      <c r="L342" s="120"/>
      <c r="M342" s="120"/>
      <c r="N342" s="120"/>
      <c r="O342" s="120"/>
      <c r="P342" s="120"/>
      <c r="Q342" s="120"/>
      <c r="R342" s="120"/>
      <c r="S342" s="120"/>
      <c r="T342" s="120"/>
    </row>
    <row r="343">
      <c r="A343" s="291"/>
      <c r="B343" s="120"/>
      <c r="C343" s="120"/>
      <c r="D343" s="120"/>
      <c r="E343" s="120"/>
      <c r="F343" s="120"/>
      <c r="G343" s="120"/>
      <c r="L343" s="120"/>
      <c r="M343" s="120"/>
      <c r="N343" s="120"/>
      <c r="O343" s="120"/>
      <c r="P343" s="120"/>
      <c r="Q343" s="120"/>
      <c r="R343" s="120"/>
      <c r="S343" s="120"/>
      <c r="T343" s="120"/>
    </row>
    <row r="344">
      <c r="A344" s="291"/>
      <c r="B344" s="120"/>
      <c r="C344" s="120"/>
      <c r="D344" s="120"/>
      <c r="E344" s="120"/>
      <c r="F344" s="120"/>
      <c r="G344" s="120"/>
      <c r="L344" s="120"/>
      <c r="M344" s="120"/>
      <c r="N344" s="120"/>
      <c r="O344" s="120"/>
      <c r="P344" s="120"/>
      <c r="Q344" s="120"/>
      <c r="R344" s="120"/>
      <c r="S344" s="120"/>
      <c r="T344" s="120"/>
    </row>
    <row r="345">
      <c r="A345" s="291"/>
      <c r="B345" s="120"/>
      <c r="C345" s="120"/>
      <c r="D345" s="120"/>
      <c r="E345" s="120"/>
      <c r="F345" s="120"/>
      <c r="G345" s="120"/>
      <c r="L345" s="120"/>
      <c r="M345" s="120"/>
      <c r="N345" s="120"/>
      <c r="O345" s="120"/>
      <c r="P345" s="120"/>
      <c r="Q345" s="120"/>
      <c r="R345" s="120"/>
      <c r="S345" s="120"/>
      <c r="T345" s="120"/>
    </row>
    <row r="346">
      <c r="A346" s="291"/>
      <c r="B346" s="120"/>
      <c r="C346" s="120"/>
      <c r="D346" s="120"/>
      <c r="E346" s="120"/>
      <c r="F346" s="120"/>
      <c r="G346" s="120"/>
      <c r="L346" s="120"/>
      <c r="M346" s="120"/>
      <c r="N346" s="120"/>
      <c r="O346" s="120"/>
      <c r="P346" s="120"/>
      <c r="Q346" s="120"/>
      <c r="R346" s="120"/>
      <c r="S346" s="120"/>
      <c r="T346" s="120"/>
    </row>
    <row r="347">
      <c r="A347" s="291"/>
      <c r="B347" s="120"/>
      <c r="C347" s="120"/>
      <c r="D347" s="120"/>
      <c r="E347" s="120"/>
      <c r="F347" s="120"/>
      <c r="G347" s="120"/>
      <c r="L347" s="120"/>
      <c r="M347" s="120"/>
      <c r="N347" s="120"/>
      <c r="O347" s="120"/>
      <c r="P347" s="120"/>
      <c r="Q347" s="120"/>
      <c r="R347" s="120"/>
      <c r="S347" s="120"/>
      <c r="T347" s="120"/>
    </row>
    <row r="348">
      <c r="A348" s="291"/>
      <c r="B348" s="120"/>
      <c r="C348" s="120"/>
      <c r="D348" s="120"/>
      <c r="E348" s="120"/>
      <c r="F348" s="120"/>
      <c r="G348" s="120"/>
      <c r="L348" s="120"/>
      <c r="M348" s="120"/>
      <c r="N348" s="120"/>
      <c r="O348" s="120"/>
      <c r="P348" s="120"/>
      <c r="Q348" s="120"/>
      <c r="R348" s="120"/>
      <c r="S348" s="120"/>
      <c r="T348" s="120"/>
    </row>
    <row r="349">
      <c r="A349" s="291"/>
      <c r="B349" s="120"/>
      <c r="C349" s="120"/>
      <c r="D349" s="120"/>
      <c r="E349" s="120"/>
      <c r="F349" s="120"/>
      <c r="G349" s="120"/>
      <c r="L349" s="120"/>
      <c r="M349" s="120"/>
      <c r="N349" s="120"/>
      <c r="O349" s="120"/>
      <c r="P349" s="120"/>
      <c r="Q349" s="120"/>
      <c r="R349" s="120"/>
      <c r="S349" s="120"/>
      <c r="T349" s="120"/>
    </row>
    <row r="350">
      <c r="A350" s="291"/>
      <c r="B350" s="120"/>
      <c r="C350" s="120"/>
      <c r="D350" s="120"/>
      <c r="E350" s="120"/>
      <c r="F350" s="120"/>
      <c r="G350" s="120"/>
      <c r="L350" s="120"/>
      <c r="M350" s="120"/>
      <c r="N350" s="120"/>
      <c r="O350" s="120"/>
      <c r="P350" s="120"/>
      <c r="Q350" s="120"/>
      <c r="R350" s="120"/>
      <c r="S350" s="120"/>
      <c r="T350" s="120"/>
    </row>
    <row r="351">
      <c r="A351" s="291"/>
      <c r="B351" s="120"/>
      <c r="C351" s="120"/>
      <c r="D351" s="120"/>
      <c r="E351" s="120"/>
      <c r="F351" s="120"/>
      <c r="G351" s="120"/>
      <c r="L351" s="120"/>
      <c r="M351" s="120"/>
      <c r="N351" s="120"/>
      <c r="O351" s="120"/>
      <c r="P351" s="120"/>
      <c r="Q351" s="120"/>
      <c r="R351" s="120"/>
      <c r="S351" s="120"/>
      <c r="T351" s="120"/>
    </row>
    <row r="352">
      <c r="A352" s="291"/>
      <c r="B352" s="120"/>
      <c r="C352" s="120"/>
      <c r="D352" s="120"/>
      <c r="E352" s="120"/>
      <c r="F352" s="120"/>
      <c r="G352" s="120"/>
      <c r="L352" s="120"/>
      <c r="M352" s="120"/>
      <c r="N352" s="120"/>
      <c r="O352" s="120"/>
      <c r="P352" s="120"/>
      <c r="Q352" s="120"/>
      <c r="R352" s="120"/>
      <c r="S352" s="120"/>
      <c r="T352" s="120"/>
    </row>
    <row r="353">
      <c r="A353" s="291"/>
      <c r="B353" s="120"/>
      <c r="C353" s="120"/>
      <c r="D353" s="120"/>
      <c r="E353" s="120"/>
      <c r="F353" s="120"/>
      <c r="G353" s="120"/>
      <c r="L353" s="120"/>
      <c r="M353" s="120"/>
      <c r="N353" s="120"/>
      <c r="O353" s="120"/>
      <c r="P353" s="120"/>
      <c r="Q353" s="120"/>
      <c r="R353" s="120"/>
      <c r="S353" s="120"/>
      <c r="T353" s="120"/>
    </row>
    <row r="354">
      <c r="A354" s="291"/>
      <c r="B354" s="120"/>
      <c r="C354" s="120"/>
      <c r="D354" s="120"/>
      <c r="E354" s="120"/>
      <c r="F354" s="120"/>
      <c r="G354" s="120"/>
      <c r="L354" s="120"/>
      <c r="M354" s="120"/>
      <c r="N354" s="120"/>
      <c r="O354" s="120"/>
      <c r="P354" s="120"/>
      <c r="Q354" s="120"/>
      <c r="R354" s="120"/>
      <c r="S354" s="120"/>
      <c r="T354" s="120"/>
    </row>
    <row r="355">
      <c r="A355" s="291"/>
      <c r="B355" s="120"/>
      <c r="C355" s="120"/>
      <c r="D355" s="120"/>
      <c r="E355" s="120"/>
      <c r="F355" s="120"/>
      <c r="G355" s="120"/>
      <c r="L355" s="120"/>
      <c r="M355" s="120"/>
      <c r="N355" s="120"/>
      <c r="O355" s="120"/>
      <c r="P355" s="120"/>
      <c r="Q355" s="120"/>
      <c r="R355" s="120"/>
      <c r="S355" s="120"/>
      <c r="T355" s="120"/>
    </row>
    <row r="356">
      <c r="A356" s="291"/>
      <c r="B356" s="120"/>
      <c r="C356" s="120"/>
      <c r="D356" s="120"/>
      <c r="E356" s="120"/>
      <c r="F356" s="120"/>
      <c r="G356" s="120"/>
      <c r="L356" s="120"/>
      <c r="M356" s="120"/>
      <c r="N356" s="120"/>
      <c r="O356" s="120"/>
      <c r="P356" s="120"/>
      <c r="Q356" s="120"/>
      <c r="R356" s="120"/>
      <c r="S356" s="120"/>
      <c r="T356" s="120"/>
    </row>
    <row r="357">
      <c r="A357" s="291"/>
      <c r="B357" s="120"/>
      <c r="C357" s="120"/>
      <c r="D357" s="120"/>
      <c r="E357" s="120"/>
      <c r="F357" s="120"/>
      <c r="G357" s="120"/>
      <c r="L357" s="120"/>
      <c r="M357" s="120"/>
      <c r="N357" s="120"/>
      <c r="O357" s="120"/>
      <c r="P357" s="120"/>
      <c r="Q357" s="120"/>
      <c r="R357" s="120"/>
      <c r="S357" s="120"/>
      <c r="T357" s="120"/>
    </row>
    <row r="358">
      <c r="A358" s="291"/>
      <c r="B358" s="120"/>
      <c r="C358" s="120"/>
      <c r="D358" s="120"/>
      <c r="E358" s="120"/>
      <c r="F358" s="120"/>
      <c r="G358" s="120"/>
      <c r="L358" s="120"/>
      <c r="M358" s="120"/>
      <c r="N358" s="120"/>
      <c r="O358" s="120"/>
      <c r="P358" s="120"/>
      <c r="Q358" s="120"/>
      <c r="R358" s="120"/>
      <c r="S358" s="120"/>
      <c r="T358" s="120"/>
    </row>
    <row r="359">
      <c r="A359" s="291"/>
      <c r="B359" s="120"/>
      <c r="C359" s="120"/>
      <c r="D359" s="120"/>
      <c r="E359" s="120"/>
      <c r="F359" s="120"/>
      <c r="G359" s="120"/>
      <c r="L359" s="120"/>
      <c r="M359" s="120"/>
      <c r="N359" s="120"/>
      <c r="O359" s="120"/>
      <c r="P359" s="120"/>
      <c r="Q359" s="120"/>
      <c r="R359" s="120"/>
      <c r="S359" s="120"/>
      <c r="T359" s="120"/>
    </row>
    <row r="360">
      <c r="A360" s="291"/>
      <c r="B360" s="120"/>
      <c r="C360" s="120"/>
      <c r="D360" s="120"/>
      <c r="E360" s="120"/>
      <c r="F360" s="120"/>
      <c r="G360" s="120"/>
      <c r="L360" s="120"/>
      <c r="M360" s="120"/>
      <c r="N360" s="120"/>
      <c r="O360" s="120"/>
      <c r="P360" s="120"/>
      <c r="Q360" s="120"/>
      <c r="R360" s="120"/>
      <c r="S360" s="120"/>
      <c r="T360" s="120"/>
    </row>
    <row r="361">
      <c r="A361" s="291"/>
      <c r="B361" s="120"/>
      <c r="C361" s="120"/>
      <c r="D361" s="120"/>
      <c r="E361" s="120"/>
      <c r="F361" s="120"/>
      <c r="G361" s="120"/>
      <c r="L361" s="120"/>
      <c r="M361" s="120"/>
      <c r="N361" s="120"/>
      <c r="O361" s="120"/>
      <c r="P361" s="120"/>
      <c r="Q361" s="120"/>
      <c r="R361" s="120"/>
      <c r="S361" s="120"/>
      <c r="T361" s="120"/>
    </row>
    <row r="362">
      <c r="A362" s="291"/>
      <c r="B362" s="120"/>
      <c r="C362" s="120"/>
      <c r="D362" s="120"/>
      <c r="E362" s="120"/>
      <c r="F362" s="120"/>
      <c r="G362" s="120"/>
      <c r="L362" s="120"/>
      <c r="M362" s="120"/>
      <c r="N362" s="120"/>
      <c r="O362" s="120"/>
      <c r="P362" s="120"/>
      <c r="Q362" s="120"/>
      <c r="R362" s="120"/>
      <c r="S362" s="120"/>
      <c r="T362" s="120"/>
    </row>
    <row r="363">
      <c r="A363" s="291"/>
      <c r="B363" s="120"/>
      <c r="C363" s="120"/>
      <c r="D363" s="120"/>
      <c r="E363" s="120"/>
      <c r="F363" s="120"/>
      <c r="G363" s="120"/>
      <c r="L363" s="120"/>
      <c r="M363" s="120"/>
      <c r="N363" s="120"/>
      <c r="O363" s="120"/>
      <c r="P363" s="120"/>
      <c r="Q363" s="120"/>
      <c r="R363" s="120"/>
      <c r="S363" s="120"/>
      <c r="T363" s="120"/>
    </row>
    <row r="364">
      <c r="A364" s="291"/>
      <c r="B364" s="120"/>
      <c r="C364" s="120"/>
      <c r="D364" s="120"/>
      <c r="E364" s="120"/>
      <c r="F364" s="120"/>
      <c r="G364" s="120"/>
      <c r="L364" s="120"/>
      <c r="M364" s="120"/>
      <c r="N364" s="120"/>
      <c r="O364" s="120"/>
      <c r="P364" s="120"/>
      <c r="Q364" s="120"/>
      <c r="R364" s="120"/>
      <c r="S364" s="120"/>
      <c r="T364" s="120"/>
    </row>
    <row r="365">
      <c r="A365" s="291"/>
      <c r="B365" s="120"/>
      <c r="C365" s="120"/>
      <c r="D365" s="120"/>
      <c r="E365" s="120"/>
      <c r="F365" s="120"/>
      <c r="G365" s="120"/>
      <c r="L365" s="120"/>
      <c r="M365" s="120"/>
      <c r="N365" s="120"/>
      <c r="O365" s="120"/>
      <c r="P365" s="120"/>
      <c r="Q365" s="120"/>
      <c r="R365" s="120"/>
      <c r="S365" s="120"/>
      <c r="T365" s="120"/>
    </row>
    <row r="366">
      <c r="A366" s="291"/>
      <c r="B366" s="120"/>
      <c r="C366" s="120"/>
      <c r="D366" s="120"/>
      <c r="E366" s="120"/>
      <c r="F366" s="120"/>
      <c r="G366" s="120"/>
      <c r="L366" s="120"/>
      <c r="M366" s="120"/>
      <c r="N366" s="120"/>
      <c r="O366" s="120"/>
      <c r="P366" s="120"/>
      <c r="Q366" s="120"/>
      <c r="R366" s="120"/>
      <c r="S366" s="120"/>
      <c r="T366" s="120"/>
    </row>
    <row r="367">
      <c r="A367" s="291"/>
      <c r="B367" s="120"/>
      <c r="C367" s="120"/>
      <c r="D367" s="120"/>
      <c r="E367" s="120"/>
      <c r="F367" s="120"/>
      <c r="G367" s="120"/>
      <c r="L367" s="120"/>
      <c r="M367" s="120"/>
      <c r="N367" s="120"/>
      <c r="O367" s="120"/>
      <c r="P367" s="120"/>
      <c r="Q367" s="120"/>
      <c r="R367" s="120"/>
      <c r="S367" s="120"/>
      <c r="T367" s="120"/>
    </row>
    <row r="368">
      <c r="A368" s="291"/>
      <c r="B368" s="120"/>
      <c r="C368" s="120"/>
      <c r="D368" s="120"/>
      <c r="E368" s="120"/>
      <c r="F368" s="120"/>
      <c r="G368" s="120"/>
      <c r="L368" s="120"/>
      <c r="M368" s="120"/>
      <c r="N368" s="120"/>
      <c r="O368" s="120"/>
      <c r="P368" s="120"/>
      <c r="Q368" s="120"/>
      <c r="R368" s="120"/>
      <c r="S368" s="120"/>
      <c r="T368" s="120"/>
    </row>
    <row r="369">
      <c r="A369" s="291"/>
      <c r="B369" s="120"/>
      <c r="C369" s="120"/>
      <c r="D369" s="120"/>
      <c r="E369" s="120"/>
      <c r="F369" s="120"/>
      <c r="G369" s="120"/>
      <c r="L369" s="120"/>
      <c r="M369" s="120"/>
      <c r="N369" s="120"/>
      <c r="O369" s="120"/>
      <c r="P369" s="120"/>
      <c r="Q369" s="120"/>
      <c r="R369" s="120"/>
      <c r="S369" s="120"/>
      <c r="T369" s="120"/>
    </row>
    <row r="370">
      <c r="A370" s="291"/>
      <c r="B370" s="120"/>
      <c r="C370" s="120"/>
      <c r="D370" s="120"/>
      <c r="E370" s="120"/>
      <c r="F370" s="120"/>
      <c r="G370" s="120"/>
      <c r="L370" s="120"/>
      <c r="M370" s="120"/>
      <c r="N370" s="120"/>
      <c r="O370" s="120"/>
      <c r="P370" s="120"/>
      <c r="Q370" s="120"/>
      <c r="R370" s="120"/>
      <c r="S370" s="120"/>
      <c r="T370" s="120"/>
    </row>
    <row r="371">
      <c r="A371" s="291"/>
      <c r="B371" s="120"/>
      <c r="C371" s="120"/>
      <c r="D371" s="120"/>
      <c r="E371" s="120"/>
      <c r="F371" s="120"/>
      <c r="G371" s="120"/>
      <c r="L371" s="120"/>
      <c r="M371" s="120"/>
      <c r="N371" s="120"/>
      <c r="O371" s="120"/>
      <c r="P371" s="120"/>
      <c r="Q371" s="120"/>
      <c r="R371" s="120"/>
      <c r="S371" s="120"/>
      <c r="T371" s="120"/>
    </row>
    <row r="372">
      <c r="A372" s="291"/>
      <c r="B372" s="120"/>
      <c r="C372" s="120"/>
      <c r="D372" s="120"/>
      <c r="E372" s="120"/>
      <c r="F372" s="120"/>
      <c r="G372" s="120"/>
      <c r="L372" s="120"/>
      <c r="M372" s="120"/>
      <c r="N372" s="120"/>
      <c r="O372" s="120"/>
      <c r="P372" s="120"/>
      <c r="Q372" s="120"/>
      <c r="R372" s="120"/>
      <c r="S372" s="120"/>
      <c r="T372" s="120"/>
    </row>
    <row r="373">
      <c r="A373" s="291"/>
      <c r="B373" s="120"/>
      <c r="C373" s="120"/>
      <c r="D373" s="120"/>
      <c r="E373" s="120"/>
      <c r="F373" s="120"/>
      <c r="G373" s="120"/>
      <c r="L373" s="120"/>
      <c r="M373" s="120"/>
      <c r="N373" s="120"/>
      <c r="O373" s="120"/>
      <c r="P373" s="120"/>
      <c r="Q373" s="120"/>
      <c r="R373" s="120"/>
      <c r="S373" s="120"/>
      <c r="T373" s="120"/>
    </row>
    <row r="374">
      <c r="A374" s="291"/>
      <c r="B374" s="120"/>
      <c r="C374" s="120"/>
      <c r="D374" s="120"/>
      <c r="E374" s="120"/>
      <c r="F374" s="120"/>
      <c r="G374" s="120"/>
      <c r="L374" s="120"/>
      <c r="M374" s="120"/>
      <c r="N374" s="120"/>
      <c r="O374" s="120"/>
      <c r="P374" s="120"/>
      <c r="Q374" s="120"/>
      <c r="R374" s="120"/>
      <c r="S374" s="120"/>
      <c r="T374" s="120"/>
    </row>
    <row r="375">
      <c r="A375" s="291"/>
      <c r="B375" s="120"/>
      <c r="C375" s="120"/>
      <c r="D375" s="120"/>
      <c r="E375" s="120"/>
      <c r="F375" s="120"/>
      <c r="G375" s="120"/>
      <c r="L375" s="120"/>
      <c r="M375" s="120"/>
      <c r="N375" s="120"/>
      <c r="O375" s="120"/>
      <c r="P375" s="120"/>
      <c r="Q375" s="120"/>
      <c r="R375" s="120"/>
      <c r="S375" s="120"/>
      <c r="T375" s="120"/>
    </row>
    <row r="376">
      <c r="A376" s="291"/>
      <c r="B376" s="120"/>
      <c r="C376" s="120"/>
      <c r="D376" s="120"/>
      <c r="E376" s="120"/>
      <c r="F376" s="120"/>
      <c r="G376" s="120"/>
      <c r="L376" s="120"/>
      <c r="M376" s="120"/>
      <c r="N376" s="120"/>
      <c r="O376" s="120"/>
      <c r="P376" s="120"/>
      <c r="Q376" s="120"/>
      <c r="R376" s="120"/>
      <c r="S376" s="120"/>
      <c r="T376" s="120"/>
    </row>
    <row r="377">
      <c r="A377" s="291"/>
      <c r="B377" s="120"/>
      <c r="C377" s="120"/>
      <c r="D377" s="120"/>
      <c r="E377" s="120"/>
      <c r="F377" s="120"/>
      <c r="G377" s="120"/>
      <c r="L377" s="120"/>
      <c r="M377" s="120"/>
      <c r="N377" s="120"/>
      <c r="O377" s="120"/>
      <c r="P377" s="120"/>
      <c r="Q377" s="120"/>
      <c r="R377" s="120"/>
      <c r="S377" s="120"/>
      <c r="T377" s="120"/>
    </row>
    <row r="378">
      <c r="A378" s="291"/>
      <c r="B378" s="120"/>
      <c r="C378" s="120"/>
      <c r="D378" s="120"/>
      <c r="E378" s="120"/>
      <c r="F378" s="120"/>
      <c r="G378" s="120"/>
      <c r="L378" s="120"/>
      <c r="M378" s="120"/>
      <c r="N378" s="120"/>
      <c r="O378" s="120"/>
      <c r="P378" s="120"/>
      <c r="Q378" s="120"/>
      <c r="R378" s="120"/>
      <c r="S378" s="120"/>
      <c r="T378" s="120"/>
    </row>
    <row r="379">
      <c r="A379" s="291"/>
      <c r="B379" s="120"/>
      <c r="C379" s="120"/>
      <c r="D379" s="120"/>
      <c r="E379" s="120"/>
      <c r="F379" s="120"/>
      <c r="G379" s="120"/>
      <c r="L379" s="120"/>
      <c r="M379" s="120"/>
      <c r="N379" s="120"/>
      <c r="O379" s="120"/>
      <c r="P379" s="120"/>
      <c r="Q379" s="120"/>
      <c r="R379" s="120"/>
      <c r="S379" s="120"/>
      <c r="T379" s="120"/>
    </row>
    <row r="380">
      <c r="A380" s="291"/>
      <c r="B380" s="120"/>
      <c r="C380" s="120"/>
      <c r="D380" s="120"/>
      <c r="E380" s="120"/>
      <c r="F380" s="120"/>
      <c r="G380" s="120"/>
      <c r="L380" s="120"/>
      <c r="M380" s="120"/>
      <c r="N380" s="120"/>
      <c r="O380" s="120"/>
      <c r="P380" s="120"/>
      <c r="Q380" s="120"/>
      <c r="R380" s="120"/>
      <c r="S380" s="120"/>
      <c r="T380" s="120"/>
    </row>
    <row r="381">
      <c r="A381" s="291"/>
      <c r="B381" s="120"/>
      <c r="C381" s="120"/>
      <c r="D381" s="120"/>
      <c r="E381" s="120"/>
      <c r="F381" s="120"/>
      <c r="G381" s="120"/>
      <c r="L381" s="120"/>
      <c r="M381" s="120"/>
      <c r="N381" s="120"/>
      <c r="O381" s="120"/>
      <c r="P381" s="120"/>
      <c r="Q381" s="120"/>
      <c r="R381" s="120"/>
      <c r="S381" s="120"/>
      <c r="T381" s="120"/>
    </row>
    <row r="382">
      <c r="A382" s="291"/>
      <c r="B382" s="120"/>
      <c r="C382" s="120"/>
      <c r="D382" s="120"/>
      <c r="E382" s="120"/>
      <c r="F382" s="120"/>
      <c r="G382" s="120"/>
      <c r="L382" s="120"/>
      <c r="M382" s="120"/>
      <c r="N382" s="120"/>
      <c r="O382" s="120"/>
      <c r="P382" s="120"/>
      <c r="Q382" s="120"/>
      <c r="R382" s="120"/>
      <c r="S382" s="120"/>
      <c r="T382" s="120"/>
    </row>
    <row r="383">
      <c r="A383" s="291"/>
      <c r="B383" s="120"/>
      <c r="C383" s="120"/>
      <c r="D383" s="120"/>
      <c r="E383" s="120"/>
      <c r="F383" s="120"/>
      <c r="G383" s="120"/>
      <c r="L383" s="120"/>
      <c r="M383" s="120"/>
      <c r="N383" s="120"/>
      <c r="O383" s="120"/>
      <c r="P383" s="120"/>
      <c r="Q383" s="120"/>
      <c r="R383" s="120"/>
      <c r="S383" s="120"/>
      <c r="T383" s="120"/>
    </row>
    <row r="384">
      <c r="A384" s="291"/>
      <c r="B384" s="120"/>
      <c r="C384" s="120"/>
      <c r="D384" s="120"/>
      <c r="E384" s="120"/>
      <c r="F384" s="120"/>
      <c r="G384" s="120"/>
      <c r="L384" s="120"/>
      <c r="M384" s="120"/>
      <c r="N384" s="120"/>
      <c r="O384" s="120"/>
      <c r="P384" s="120"/>
      <c r="Q384" s="120"/>
      <c r="R384" s="120"/>
      <c r="S384" s="120"/>
      <c r="T384" s="120"/>
    </row>
    <row r="385">
      <c r="A385" s="291"/>
      <c r="B385" s="120"/>
      <c r="C385" s="120"/>
      <c r="D385" s="120"/>
      <c r="E385" s="120"/>
      <c r="F385" s="120"/>
      <c r="G385" s="120"/>
      <c r="L385" s="120"/>
      <c r="M385" s="120"/>
      <c r="N385" s="120"/>
      <c r="O385" s="120"/>
      <c r="P385" s="120"/>
      <c r="Q385" s="120"/>
      <c r="R385" s="120"/>
      <c r="S385" s="120"/>
      <c r="T385" s="120"/>
    </row>
    <row r="386">
      <c r="A386" s="291"/>
      <c r="B386" s="120"/>
      <c r="C386" s="120"/>
      <c r="D386" s="120"/>
      <c r="E386" s="120"/>
      <c r="F386" s="120"/>
      <c r="G386" s="120"/>
      <c r="L386" s="120"/>
      <c r="M386" s="120"/>
      <c r="N386" s="120"/>
      <c r="O386" s="120"/>
      <c r="P386" s="120"/>
      <c r="Q386" s="120"/>
      <c r="R386" s="120"/>
      <c r="S386" s="120"/>
      <c r="T386" s="120"/>
    </row>
    <row r="387">
      <c r="A387" s="291"/>
      <c r="B387" s="120"/>
      <c r="C387" s="120"/>
      <c r="D387" s="120"/>
      <c r="E387" s="120"/>
      <c r="F387" s="120"/>
      <c r="G387" s="120"/>
      <c r="L387" s="120"/>
      <c r="M387" s="120"/>
      <c r="N387" s="120"/>
      <c r="O387" s="120"/>
      <c r="P387" s="120"/>
      <c r="Q387" s="120"/>
      <c r="R387" s="120"/>
      <c r="S387" s="120"/>
      <c r="T387" s="120"/>
    </row>
    <row r="388">
      <c r="A388" s="291"/>
      <c r="B388" s="120"/>
      <c r="C388" s="120"/>
      <c r="D388" s="120"/>
      <c r="E388" s="120"/>
      <c r="F388" s="120"/>
      <c r="G388" s="120"/>
      <c r="L388" s="120"/>
      <c r="M388" s="120"/>
      <c r="N388" s="120"/>
      <c r="O388" s="120"/>
      <c r="P388" s="120"/>
      <c r="Q388" s="120"/>
      <c r="R388" s="120"/>
      <c r="S388" s="120"/>
      <c r="T388" s="120"/>
    </row>
    <row r="389">
      <c r="A389" s="291"/>
      <c r="B389" s="120"/>
      <c r="C389" s="120"/>
      <c r="D389" s="120"/>
      <c r="E389" s="120"/>
      <c r="F389" s="120"/>
      <c r="G389" s="120"/>
      <c r="L389" s="120"/>
      <c r="M389" s="120"/>
      <c r="N389" s="120"/>
      <c r="O389" s="120"/>
      <c r="P389" s="120"/>
      <c r="Q389" s="120"/>
      <c r="R389" s="120"/>
      <c r="S389" s="120"/>
      <c r="T389" s="120"/>
    </row>
    <row r="390">
      <c r="A390" s="291"/>
      <c r="B390" s="120"/>
      <c r="C390" s="120"/>
      <c r="D390" s="120"/>
      <c r="E390" s="120"/>
      <c r="F390" s="120"/>
      <c r="G390" s="120"/>
      <c r="L390" s="120"/>
      <c r="M390" s="120"/>
      <c r="N390" s="120"/>
      <c r="O390" s="120"/>
      <c r="P390" s="120"/>
      <c r="Q390" s="120"/>
      <c r="R390" s="120"/>
      <c r="S390" s="120"/>
      <c r="T390" s="120"/>
    </row>
    <row r="391">
      <c r="A391" s="291"/>
      <c r="B391" s="120"/>
      <c r="C391" s="120"/>
      <c r="D391" s="120"/>
      <c r="E391" s="120"/>
      <c r="F391" s="120"/>
      <c r="G391" s="120"/>
      <c r="L391" s="120"/>
      <c r="M391" s="120"/>
      <c r="N391" s="120"/>
      <c r="O391" s="120"/>
      <c r="P391" s="120"/>
      <c r="Q391" s="120"/>
      <c r="R391" s="120"/>
      <c r="S391" s="120"/>
      <c r="T391" s="120"/>
    </row>
    <row r="392">
      <c r="A392" s="291"/>
      <c r="B392" s="120"/>
      <c r="C392" s="120"/>
      <c r="D392" s="120"/>
      <c r="E392" s="120"/>
      <c r="F392" s="120"/>
      <c r="G392" s="120"/>
      <c r="L392" s="120"/>
      <c r="M392" s="120"/>
      <c r="N392" s="120"/>
      <c r="O392" s="120"/>
      <c r="P392" s="120"/>
      <c r="Q392" s="120"/>
      <c r="R392" s="120"/>
      <c r="S392" s="120"/>
      <c r="T392" s="120"/>
    </row>
    <row r="393">
      <c r="A393" s="291"/>
      <c r="B393" s="120"/>
      <c r="C393" s="120"/>
      <c r="D393" s="120"/>
      <c r="E393" s="120"/>
      <c r="F393" s="120"/>
      <c r="G393" s="120"/>
      <c r="L393" s="120"/>
      <c r="M393" s="120"/>
      <c r="N393" s="120"/>
      <c r="O393" s="120"/>
      <c r="P393" s="120"/>
      <c r="Q393" s="120"/>
      <c r="R393" s="120"/>
      <c r="S393" s="120"/>
      <c r="T393" s="120"/>
    </row>
    <row r="394">
      <c r="A394" s="291"/>
      <c r="B394" s="120"/>
      <c r="C394" s="120"/>
      <c r="D394" s="120"/>
      <c r="E394" s="120"/>
      <c r="F394" s="120"/>
      <c r="G394" s="120"/>
      <c r="L394" s="120"/>
      <c r="M394" s="120"/>
      <c r="N394" s="120"/>
      <c r="O394" s="120"/>
      <c r="P394" s="120"/>
      <c r="Q394" s="120"/>
      <c r="R394" s="120"/>
      <c r="S394" s="120"/>
      <c r="T394" s="120"/>
    </row>
    <row r="395">
      <c r="A395" s="291"/>
      <c r="B395" s="120"/>
      <c r="C395" s="120"/>
      <c r="D395" s="120"/>
      <c r="E395" s="120"/>
      <c r="F395" s="120"/>
      <c r="G395" s="120"/>
      <c r="L395" s="120"/>
      <c r="M395" s="120"/>
      <c r="N395" s="120"/>
      <c r="O395" s="120"/>
      <c r="P395" s="120"/>
      <c r="Q395" s="120"/>
      <c r="R395" s="120"/>
      <c r="S395" s="120"/>
      <c r="T395" s="120"/>
    </row>
    <row r="396">
      <c r="A396" s="291"/>
      <c r="B396" s="120"/>
      <c r="C396" s="120"/>
      <c r="D396" s="120"/>
      <c r="E396" s="120"/>
      <c r="F396" s="120"/>
      <c r="G396" s="120"/>
      <c r="L396" s="120"/>
      <c r="M396" s="120"/>
      <c r="N396" s="120"/>
      <c r="O396" s="120"/>
      <c r="P396" s="120"/>
      <c r="Q396" s="120"/>
      <c r="R396" s="120"/>
      <c r="S396" s="120"/>
      <c r="T396" s="120"/>
    </row>
    <row r="397">
      <c r="A397" s="291"/>
      <c r="B397" s="120"/>
      <c r="C397" s="120"/>
      <c r="D397" s="120"/>
      <c r="E397" s="120"/>
      <c r="F397" s="120"/>
      <c r="G397" s="120"/>
      <c r="L397" s="120"/>
      <c r="M397" s="120"/>
      <c r="N397" s="120"/>
      <c r="O397" s="120"/>
      <c r="P397" s="120"/>
      <c r="Q397" s="120"/>
      <c r="R397" s="120"/>
      <c r="S397" s="120"/>
      <c r="T397" s="120"/>
    </row>
    <row r="398">
      <c r="A398" s="291"/>
      <c r="B398" s="120"/>
      <c r="C398" s="120"/>
      <c r="D398" s="120"/>
      <c r="E398" s="120"/>
      <c r="F398" s="120"/>
      <c r="G398" s="120"/>
      <c r="L398" s="120"/>
      <c r="M398" s="120"/>
      <c r="N398" s="120"/>
      <c r="O398" s="120"/>
      <c r="P398" s="120"/>
      <c r="Q398" s="120"/>
      <c r="R398" s="120"/>
      <c r="S398" s="120"/>
      <c r="T398" s="120"/>
    </row>
    <row r="399">
      <c r="A399" s="291"/>
      <c r="B399" s="120"/>
      <c r="C399" s="120"/>
      <c r="D399" s="120"/>
      <c r="E399" s="120"/>
      <c r="F399" s="120"/>
      <c r="G399" s="120"/>
      <c r="L399" s="120"/>
      <c r="M399" s="120"/>
      <c r="N399" s="120"/>
      <c r="O399" s="120"/>
      <c r="P399" s="120"/>
      <c r="Q399" s="120"/>
      <c r="R399" s="120"/>
      <c r="S399" s="120"/>
      <c r="T399" s="120"/>
    </row>
    <row r="400">
      <c r="A400" s="291"/>
      <c r="B400" s="120"/>
      <c r="C400" s="120"/>
      <c r="D400" s="120"/>
      <c r="E400" s="120"/>
      <c r="F400" s="120"/>
      <c r="G400" s="120"/>
      <c r="L400" s="120"/>
      <c r="M400" s="120"/>
      <c r="N400" s="120"/>
      <c r="O400" s="120"/>
      <c r="P400" s="120"/>
      <c r="Q400" s="120"/>
      <c r="R400" s="120"/>
      <c r="S400" s="120"/>
      <c r="T400" s="120"/>
    </row>
    <row r="401">
      <c r="A401" s="291"/>
      <c r="B401" s="120"/>
      <c r="C401" s="120"/>
      <c r="D401" s="120"/>
      <c r="E401" s="120"/>
      <c r="F401" s="120"/>
      <c r="G401" s="120"/>
      <c r="L401" s="120"/>
      <c r="M401" s="120"/>
      <c r="N401" s="120"/>
      <c r="O401" s="120"/>
      <c r="P401" s="120"/>
      <c r="Q401" s="120"/>
      <c r="R401" s="120"/>
      <c r="S401" s="120"/>
      <c r="T401" s="120"/>
    </row>
    <row r="402">
      <c r="A402" s="291"/>
      <c r="B402" s="120"/>
      <c r="C402" s="120"/>
      <c r="D402" s="120"/>
      <c r="E402" s="120"/>
      <c r="F402" s="120"/>
      <c r="G402" s="120"/>
      <c r="L402" s="120"/>
      <c r="M402" s="120"/>
      <c r="N402" s="120"/>
      <c r="O402" s="120"/>
      <c r="P402" s="120"/>
      <c r="Q402" s="120"/>
      <c r="R402" s="120"/>
      <c r="S402" s="120"/>
      <c r="T402" s="120"/>
    </row>
    <row r="403">
      <c r="A403" s="291"/>
      <c r="B403" s="120"/>
      <c r="C403" s="120"/>
      <c r="D403" s="120"/>
      <c r="E403" s="120"/>
      <c r="F403" s="120"/>
      <c r="G403" s="120"/>
      <c r="L403" s="120"/>
      <c r="M403" s="120"/>
      <c r="N403" s="120"/>
      <c r="O403" s="120"/>
      <c r="P403" s="120"/>
      <c r="Q403" s="120"/>
      <c r="R403" s="120"/>
      <c r="S403" s="120"/>
      <c r="T403" s="120"/>
    </row>
    <row r="404">
      <c r="A404" s="291"/>
      <c r="B404" s="120"/>
      <c r="C404" s="120"/>
      <c r="D404" s="120"/>
      <c r="E404" s="120"/>
      <c r="F404" s="120"/>
      <c r="G404" s="120"/>
      <c r="L404" s="120"/>
      <c r="M404" s="120"/>
      <c r="N404" s="120"/>
      <c r="O404" s="120"/>
      <c r="P404" s="120"/>
      <c r="Q404" s="120"/>
      <c r="R404" s="120"/>
      <c r="S404" s="120"/>
      <c r="T404" s="120"/>
    </row>
    <row r="405">
      <c r="A405" s="291"/>
      <c r="B405" s="120"/>
      <c r="C405" s="120"/>
      <c r="D405" s="120"/>
      <c r="E405" s="120"/>
      <c r="F405" s="120"/>
      <c r="G405" s="120"/>
      <c r="L405" s="120"/>
      <c r="M405" s="120"/>
      <c r="N405" s="120"/>
      <c r="O405" s="120"/>
      <c r="P405" s="120"/>
      <c r="Q405" s="120"/>
      <c r="R405" s="120"/>
      <c r="S405" s="120"/>
      <c r="T405" s="120"/>
    </row>
    <row r="406">
      <c r="A406" s="291"/>
      <c r="B406" s="120"/>
      <c r="C406" s="120"/>
      <c r="D406" s="120"/>
      <c r="E406" s="120"/>
      <c r="F406" s="120"/>
      <c r="G406" s="120"/>
      <c r="L406" s="120"/>
      <c r="M406" s="120"/>
      <c r="N406" s="120"/>
      <c r="O406" s="120"/>
      <c r="P406" s="120"/>
      <c r="Q406" s="120"/>
      <c r="R406" s="120"/>
      <c r="S406" s="120"/>
      <c r="T406" s="120"/>
    </row>
    <row r="407">
      <c r="A407" s="291"/>
      <c r="B407" s="120"/>
      <c r="C407" s="120"/>
      <c r="D407" s="120"/>
      <c r="E407" s="120"/>
      <c r="F407" s="120"/>
      <c r="G407" s="120"/>
      <c r="L407" s="120"/>
      <c r="M407" s="120"/>
      <c r="N407" s="120"/>
      <c r="O407" s="120"/>
      <c r="P407" s="120"/>
      <c r="Q407" s="120"/>
      <c r="R407" s="120"/>
      <c r="S407" s="120"/>
      <c r="T407" s="120"/>
    </row>
    <row r="408">
      <c r="A408" s="291"/>
      <c r="B408" s="120"/>
      <c r="C408" s="120"/>
      <c r="D408" s="120"/>
      <c r="E408" s="120"/>
      <c r="F408" s="120"/>
      <c r="G408" s="120"/>
      <c r="L408" s="120"/>
      <c r="M408" s="120"/>
      <c r="N408" s="120"/>
      <c r="O408" s="120"/>
      <c r="P408" s="120"/>
      <c r="Q408" s="120"/>
      <c r="R408" s="120"/>
      <c r="S408" s="120"/>
      <c r="T408" s="120"/>
    </row>
    <row r="409">
      <c r="A409" s="291"/>
      <c r="B409" s="120"/>
      <c r="C409" s="120"/>
      <c r="D409" s="120"/>
      <c r="E409" s="120"/>
      <c r="F409" s="120"/>
      <c r="G409" s="120"/>
      <c r="L409" s="120"/>
      <c r="M409" s="120"/>
      <c r="N409" s="120"/>
      <c r="O409" s="120"/>
      <c r="P409" s="120"/>
      <c r="Q409" s="120"/>
      <c r="R409" s="120"/>
      <c r="S409" s="120"/>
      <c r="T409" s="120"/>
    </row>
    <row r="410">
      <c r="A410" s="291"/>
      <c r="B410" s="120"/>
      <c r="C410" s="120"/>
      <c r="D410" s="120"/>
      <c r="E410" s="120"/>
      <c r="F410" s="120"/>
      <c r="G410" s="120"/>
      <c r="L410" s="120"/>
      <c r="M410" s="120"/>
      <c r="N410" s="120"/>
      <c r="O410" s="120"/>
      <c r="P410" s="120"/>
      <c r="Q410" s="120"/>
      <c r="R410" s="120"/>
      <c r="S410" s="120"/>
      <c r="T410" s="120"/>
    </row>
    <row r="411">
      <c r="A411" s="291"/>
      <c r="B411" s="120"/>
      <c r="C411" s="120"/>
      <c r="D411" s="120"/>
      <c r="E411" s="120"/>
      <c r="F411" s="120"/>
      <c r="G411" s="120"/>
      <c r="L411" s="120"/>
      <c r="M411" s="120"/>
      <c r="N411" s="120"/>
      <c r="O411" s="120"/>
      <c r="P411" s="120"/>
      <c r="Q411" s="120"/>
      <c r="R411" s="120"/>
      <c r="S411" s="120"/>
      <c r="T411" s="120"/>
    </row>
    <row r="412">
      <c r="A412" s="291"/>
      <c r="B412" s="120"/>
      <c r="C412" s="120"/>
      <c r="D412" s="120"/>
      <c r="E412" s="120"/>
      <c r="F412" s="120"/>
      <c r="G412" s="120"/>
      <c r="L412" s="120"/>
      <c r="M412" s="120"/>
      <c r="N412" s="120"/>
      <c r="O412" s="120"/>
      <c r="P412" s="120"/>
      <c r="Q412" s="120"/>
      <c r="R412" s="120"/>
      <c r="S412" s="120"/>
      <c r="T412" s="120"/>
    </row>
    <row r="413">
      <c r="A413" s="291"/>
      <c r="B413" s="120"/>
      <c r="C413" s="120"/>
      <c r="D413" s="120"/>
      <c r="E413" s="120"/>
      <c r="F413" s="120"/>
      <c r="G413" s="120"/>
      <c r="L413" s="120"/>
      <c r="M413" s="120"/>
      <c r="N413" s="120"/>
      <c r="O413" s="120"/>
      <c r="P413" s="120"/>
      <c r="Q413" s="120"/>
      <c r="R413" s="120"/>
      <c r="S413" s="120"/>
      <c r="T413" s="120"/>
    </row>
    <row r="414">
      <c r="A414" s="291"/>
      <c r="B414" s="120"/>
      <c r="C414" s="120"/>
      <c r="D414" s="120"/>
      <c r="E414" s="120"/>
      <c r="F414" s="120"/>
      <c r="G414" s="120"/>
      <c r="L414" s="120"/>
      <c r="M414" s="120"/>
      <c r="N414" s="120"/>
      <c r="O414" s="120"/>
      <c r="P414" s="120"/>
      <c r="Q414" s="120"/>
      <c r="R414" s="120"/>
      <c r="S414" s="120"/>
      <c r="T414" s="120"/>
    </row>
    <row r="415">
      <c r="A415" s="291"/>
      <c r="B415" s="120"/>
      <c r="C415" s="120"/>
      <c r="D415" s="120"/>
      <c r="E415" s="120"/>
      <c r="F415" s="120"/>
      <c r="G415" s="120"/>
      <c r="L415" s="120"/>
      <c r="M415" s="120"/>
      <c r="N415" s="120"/>
      <c r="O415" s="120"/>
      <c r="P415" s="120"/>
      <c r="Q415" s="120"/>
      <c r="R415" s="120"/>
      <c r="S415" s="120"/>
      <c r="T415" s="120"/>
    </row>
    <row r="416">
      <c r="A416" s="291"/>
      <c r="B416" s="120"/>
      <c r="C416" s="120"/>
      <c r="D416" s="120"/>
      <c r="E416" s="120"/>
      <c r="F416" s="120"/>
      <c r="G416" s="120"/>
      <c r="L416" s="120"/>
      <c r="M416" s="120"/>
      <c r="N416" s="120"/>
      <c r="O416" s="120"/>
      <c r="P416" s="120"/>
      <c r="Q416" s="120"/>
      <c r="R416" s="120"/>
      <c r="S416" s="120"/>
      <c r="T416" s="120"/>
    </row>
    <row r="417">
      <c r="A417" s="291"/>
      <c r="B417" s="120"/>
      <c r="C417" s="120"/>
      <c r="D417" s="120"/>
      <c r="E417" s="120"/>
      <c r="F417" s="120"/>
      <c r="G417" s="120"/>
      <c r="L417" s="120"/>
      <c r="M417" s="120"/>
      <c r="N417" s="120"/>
      <c r="O417" s="120"/>
      <c r="P417" s="120"/>
      <c r="Q417" s="120"/>
      <c r="R417" s="120"/>
      <c r="S417" s="120"/>
      <c r="T417" s="120"/>
    </row>
    <row r="418">
      <c r="A418" s="291"/>
      <c r="B418" s="120"/>
      <c r="C418" s="120"/>
      <c r="D418" s="120"/>
      <c r="E418" s="120"/>
      <c r="F418" s="120"/>
      <c r="G418" s="120"/>
      <c r="L418" s="120"/>
      <c r="M418" s="120"/>
      <c r="N418" s="120"/>
      <c r="O418" s="120"/>
      <c r="P418" s="120"/>
      <c r="Q418" s="120"/>
      <c r="R418" s="120"/>
      <c r="S418" s="120"/>
      <c r="T418" s="120"/>
    </row>
    <row r="419">
      <c r="A419" s="291"/>
      <c r="B419" s="120"/>
      <c r="C419" s="120"/>
      <c r="D419" s="120"/>
      <c r="E419" s="120"/>
      <c r="F419" s="120"/>
      <c r="G419" s="120"/>
      <c r="L419" s="120"/>
      <c r="M419" s="120"/>
      <c r="N419" s="120"/>
      <c r="O419" s="120"/>
      <c r="P419" s="120"/>
      <c r="Q419" s="120"/>
      <c r="R419" s="120"/>
      <c r="S419" s="120"/>
      <c r="T419" s="120"/>
    </row>
    <row r="420">
      <c r="A420" s="291"/>
      <c r="B420" s="120"/>
      <c r="C420" s="120"/>
      <c r="D420" s="120"/>
      <c r="E420" s="120"/>
      <c r="F420" s="120"/>
      <c r="G420" s="120"/>
      <c r="L420" s="120"/>
      <c r="M420" s="120"/>
      <c r="N420" s="120"/>
      <c r="O420" s="120"/>
      <c r="P420" s="120"/>
      <c r="Q420" s="120"/>
      <c r="R420" s="120"/>
      <c r="S420" s="120"/>
      <c r="T420" s="120"/>
    </row>
    <row r="421">
      <c r="A421" s="291"/>
      <c r="B421" s="120"/>
      <c r="C421" s="120"/>
      <c r="D421" s="120"/>
      <c r="E421" s="120"/>
      <c r="F421" s="120"/>
      <c r="G421" s="120"/>
      <c r="L421" s="120"/>
      <c r="M421" s="120"/>
      <c r="N421" s="120"/>
      <c r="O421" s="120"/>
      <c r="P421" s="120"/>
      <c r="Q421" s="120"/>
      <c r="R421" s="120"/>
      <c r="S421" s="120"/>
      <c r="T421" s="120"/>
    </row>
    <row r="422">
      <c r="A422" s="291"/>
      <c r="B422" s="120"/>
      <c r="C422" s="120"/>
      <c r="D422" s="120"/>
      <c r="E422" s="120"/>
      <c r="F422" s="120"/>
      <c r="G422" s="120"/>
      <c r="L422" s="120"/>
      <c r="M422" s="120"/>
      <c r="N422" s="120"/>
      <c r="O422" s="120"/>
      <c r="P422" s="120"/>
      <c r="Q422" s="120"/>
      <c r="R422" s="120"/>
      <c r="S422" s="120"/>
      <c r="T422" s="120"/>
    </row>
    <row r="423">
      <c r="A423" s="291"/>
      <c r="B423" s="120"/>
      <c r="C423" s="120"/>
      <c r="D423" s="120"/>
      <c r="E423" s="120"/>
      <c r="F423" s="120"/>
      <c r="G423" s="120"/>
      <c r="L423" s="120"/>
      <c r="M423" s="120"/>
      <c r="N423" s="120"/>
      <c r="O423" s="120"/>
      <c r="P423" s="120"/>
      <c r="Q423" s="120"/>
      <c r="R423" s="120"/>
      <c r="S423" s="120"/>
      <c r="T423" s="120"/>
    </row>
    <row r="424">
      <c r="A424" s="291"/>
      <c r="B424" s="120"/>
      <c r="C424" s="120"/>
      <c r="D424" s="120"/>
      <c r="E424" s="120"/>
      <c r="F424" s="120"/>
      <c r="G424" s="120"/>
      <c r="L424" s="120"/>
      <c r="M424" s="120"/>
      <c r="N424" s="120"/>
      <c r="O424" s="120"/>
      <c r="P424" s="120"/>
      <c r="Q424" s="120"/>
      <c r="R424" s="120"/>
      <c r="S424" s="120"/>
      <c r="T424" s="120"/>
    </row>
    <row r="425">
      <c r="A425" s="291"/>
      <c r="B425" s="120"/>
      <c r="C425" s="120"/>
      <c r="D425" s="120"/>
      <c r="E425" s="120"/>
      <c r="F425" s="120"/>
      <c r="G425" s="120"/>
      <c r="L425" s="120"/>
      <c r="M425" s="120"/>
      <c r="N425" s="120"/>
      <c r="O425" s="120"/>
      <c r="P425" s="120"/>
      <c r="Q425" s="120"/>
      <c r="R425" s="120"/>
      <c r="S425" s="120"/>
      <c r="T425" s="120"/>
    </row>
    <row r="426">
      <c r="A426" s="291"/>
      <c r="B426" s="120"/>
      <c r="C426" s="120"/>
      <c r="D426" s="120"/>
      <c r="E426" s="120"/>
      <c r="F426" s="120"/>
      <c r="G426" s="120"/>
      <c r="L426" s="120"/>
      <c r="M426" s="120"/>
      <c r="N426" s="120"/>
      <c r="O426" s="120"/>
      <c r="P426" s="120"/>
      <c r="Q426" s="120"/>
      <c r="R426" s="120"/>
      <c r="S426" s="120"/>
      <c r="T426" s="120"/>
    </row>
    <row r="427">
      <c r="A427" s="291"/>
      <c r="B427" s="120"/>
      <c r="C427" s="120"/>
      <c r="D427" s="120"/>
      <c r="E427" s="120"/>
      <c r="F427" s="120"/>
      <c r="G427" s="120"/>
      <c r="L427" s="120"/>
      <c r="M427" s="120"/>
      <c r="N427" s="120"/>
      <c r="O427" s="120"/>
      <c r="P427" s="120"/>
      <c r="Q427" s="120"/>
      <c r="R427" s="120"/>
      <c r="S427" s="120"/>
      <c r="T427" s="120"/>
    </row>
    <row r="428">
      <c r="A428" s="291"/>
      <c r="B428" s="120"/>
      <c r="C428" s="120"/>
      <c r="D428" s="120"/>
      <c r="E428" s="120"/>
      <c r="F428" s="120"/>
      <c r="G428" s="120"/>
      <c r="L428" s="120"/>
      <c r="M428" s="120"/>
      <c r="N428" s="120"/>
      <c r="O428" s="120"/>
      <c r="P428" s="120"/>
      <c r="Q428" s="120"/>
      <c r="R428" s="120"/>
      <c r="S428" s="120"/>
      <c r="T428" s="120"/>
    </row>
    <row r="429">
      <c r="A429" s="291"/>
      <c r="B429" s="120"/>
      <c r="C429" s="120"/>
      <c r="D429" s="120"/>
      <c r="E429" s="120"/>
      <c r="F429" s="120"/>
      <c r="G429" s="120"/>
      <c r="L429" s="120"/>
      <c r="M429" s="120"/>
      <c r="N429" s="120"/>
      <c r="O429" s="120"/>
      <c r="P429" s="120"/>
      <c r="Q429" s="120"/>
      <c r="R429" s="120"/>
      <c r="S429" s="120"/>
      <c r="T429" s="120"/>
    </row>
    <row r="430">
      <c r="A430" s="291"/>
      <c r="B430" s="120"/>
      <c r="C430" s="120"/>
      <c r="D430" s="120"/>
      <c r="E430" s="120"/>
      <c r="F430" s="120"/>
      <c r="G430" s="120"/>
      <c r="L430" s="120"/>
      <c r="M430" s="120"/>
      <c r="N430" s="120"/>
      <c r="O430" s="120"/>
      <c r="P430" s="120"/>
      <c r="Q430" s="120"/>
      <c r="R430" s="120"/>
      <c r="S430" s="120"/>
      <c r="T430" s="120"/>
    </row>
    <row r="431">
      <c r="A431" s="291"/>
      <c r="B431" s="120"/>
      <c r="C431" s="120"/>
      <c r="D431" s="120"/>
      <c r="E431" s="120"/>
      <c r="F431" s="120"/>
      <c r="G431" s="120"/>
      <c r="L431" s="120"/>
      <c r="M431" s="120"/>
      <c r="N431" s="120"/>
      <c r="O431" s="120"/>
      <c r="P431" s="120"/>
      <c r="Q431" s="120"/>
      <c r="R431" s="120"/>
      <c r="S431" s="120"/>
      <c r="T431" s="120"/>
    </row>
    <row r="432">
      <c r="A432" s="291"/>
      <c r="B432" s="120"/>
      <c r="C432" s="120"/>
      <c r="D432" s="120"/>
      <c r="E432" s="120"/>
      <c r="F432" s="120"/>
      <c r="G432" s="120"/>
      <c r="L432" s="120"/>
      <c r="M432" s="120"/>
      <c r="N432" s="120"/>
      <c r="O432" s="120"/>
      <c r="P432" s="120"/>
      <c r="Q432" s="120"/>
      <c r="R432" s="120"/>
      <c r="S432" s="120"/>
      <c r="T432" s="120"/>
    </row>
    <row r="433">
      <c r="A433" s="291"/>
      <c r="B433" s="120"/>
      <c r="C433" s="120"/>
      <c r="D433" s="120"/>
      <c r="E433" s="120"/>
      <c r="F433" s="120"/>
      <c r="G433" s="120"/>
      <c r="L433" s="120"/>
      <c r="M433" s="120"/>
      <c r="N433" s="120"/>
      <c r="O433" s="120"/>
      <c r="P433" s="120"/>
      <c r="Q433" s="120"/>
      <c r="R433" s="120"/>
      <c r="S433" s="120"/>
      <c r="T433" s="120"/>
    </row>
    <row r="434">
      <c r="A434" s="291"/>
      <c r="B434" s="120"/>
      <c r="C434" s="120"/>
      <c r="D434" s="120"/>
      <c r="E434" s="120"/>
      <c r="F434" s="120"/>
      <c r="G434" s="120"/>
      <c r="L434" s="120"/>
      <c r="M434" s="120"/>
      <c r="N434" s="120"/>
      <c r="O434" s="120"/>
      <c r="P434" s="120"/>
      <c r="Q434" s="120"/>
      <c r="R434" s="120"/>
      <c r="S434" s="120"/>
      <c r="T434" s="120"/>
    </row>
    <row r="435">
      <c r="A435" s="291"/>
      <c r="B435" s="120"/>
      <c r="C435" s="120"/>
      <c r="D435" s="120"/>
      <c r="E435" s="120"/>
      <c r="F435" s="120"/>
      <c r="G435" s="120"/>
      <c r="L435" s="120"/>
      <c r="M435" s="120"/>
      <c r="N435" s="120"/>
      <c r="O435" s="120"/>
      <c r="P435" s="120"/>
      <c r="Q435" s="120"/>
      <c r="R435" s="120"/>
      <c r="S435" s="120"/>
      <c r="T435" s="120"/>
    </row>
    <row r="436">
      <c r="A436" s="291"/>
      <c r="B436" s="120"/>
      <c r="C436" s="120"/>
      <c r="D436" s="120"/>
      <c r="E436" s="120"/>
      <c r="F436" s="120"/>
      <c r="G436" s="120"/>
      <c r="L436" s="120"/>
      <c r="M436" s="120"/>
      <c r="N436" s="120"/>
      <c r="O436" s="120"/>
      <c r="P436" s="120"/>
      <c r="Q436" s="120"/>
      <c r="R436" s="120"/>
      <c r="S436" s="120"/>
      <c r="T436" s="120"/>
    </row>
    <row r="437">
      <c r="A437" s="291"/>
      <c r="B437" s="120"/>
      <c r="C437" s="120"/>
      <c r="D437" s="120"/>
      <c r="E437" s="120"/>
      <c r="F437" s="120"/>
      <c r="G437" s="120"/>
      <c r="L437" s="120"/>
      <c r="M437" s="120"/>
      <c r="N437" s="120"/>
      <c r="O437" s="120"/>
      <c r="P437" s="120"/>
      <c r="Q437" s="120"/>
      <c r="R437" s="120"/>
      <c r="S437" s="120"/>
      <c r="T437" s="120"/>
    </row>
    <row r="438">
      <c r="A438" s="291"/>
      <c r="B438" s="120"/>
      <c r="C438" s="120"/>
      <c r="D438" s="120"/>
      <c r="E438" s="120"/>
      <c r="F438" s="120"/>
      <c r="G438" s="120"/>
      <c r="L438" s="120"/>
      <c r="M438" s="120"/>
      <c r="N438" s="120"/>
      <c r="O438" s="120"/>
      <c r="P438" s="120"/>
      <c r="Q438" s="120"/>
      <c r="R438" s="120"/>
      <c r="S438" s="120"/>
      <c r="T438" s="120"/>
    </row>
    <row r="439">
      <c r="A439" s="291"/>
      <c r="B439" s="120"/>
      <c r="C439" s="120"/>
      <c r="D439" s="120"/>
      <c r="E439" s="120"/>
      <c r="F439" s="120"/>
      <c r="G439" s="120"/>
      <c r="L439" s="120"/>
      <c r="M439" s="120"/>
      <c r="N439" s="120"/>
      <c r="O439" s="120"/>
      <c r="P439" s="120"/>
      <c r="Q439" s="120"/>
      <c r="R439" s="120"/>
      <c r="S439" s="120"/>
      <c r="T439" s="120"/>
    </row>
    <row r="440">
      <c r="A440" s="291"/>
      <c r="B440" s="120"/>
      <c r="C440" s="120"/>
      <c r="D440" s="120"/>
      <c r="E440" s="120"/>
      <c r="F440" s="120"/>
      <c r="G440" s="120"/>
      <c r="L440" s="120"/>
      <c r="M440" s="120"/>
      <c r="N440" s="120"/>
      <c r="O440" s="120"/>
      <c r="P440" s="120"/>
      <c r="Q440" s="120"/>
      <c r="R440" s="120"/>
      <c r="S440" s="120"/>
      <c r="T440" s="120"/>
    </row>
    <row r="441">
      <c r="A441" s="291"/>
      <c r="B441" s="120"/>
      <c r="C441" s="120"/>
      <c r="D441" s="120"/>
      <c r="E441" s="120"/>
      <c r="F441" s="120"/>
      <c r="G441" s="120"/>
      <c r="L441" s="120"/>
      <c r="M441" s="120"/>
      <c r="N441" s="120"/>
      <c r="O441" s="120"/>
      <c r="P441" s="120"/>
      <c r="Q441" s="120"/>
      <c r="R441" s="120"/>
      <c r="S441" s="120"/>
      <c r="T441" s="120"/>
    </row>
    <row r="442">
      <c r="A442" s="291"/>
      <c r="B442" s="120"/>
      <c r="C442" s="120"/>
      <c r="D442" s="120"/>
      <c r="E442" s="120"/>
      <c r="F442" s="120"/>
      <c r="G442" s="120"/>
      <c r="L442" s="120"/>
      <c r="M442" s="120"/>
      <c r="N442" s="120"/>
      <c r="O442" s="120"/>
      <c r="P442" s="120"/>
      <c r="Q442" s="120"/>
      <c r="R442" s="120"/>
      <c r="S442" s="120"/>
      <c r="T442" s="120"/>
    </row>
    <row r="443">
      <c r="A443" s="291"/>
      <c r="B443" s="120"/>
      <c r="C443" s="120"/>
      <c r="D443" s="120"/>
      <c r="E443" s="120"/>
      <c r="F443" s="120"/>
      <c r="G443" s="120"/>
      <c r="L443" s="120"/>
      <c r="M443" s="120"/>
      <c r="N443" s="120"/>
      <c r="O443" s="120"/>
      <c r="P443" s="120"/>
      <c r="Q443" s="120"/>
      <c r="R443" s="120"/>
      <c r="S443" s="120"/>
      <c r="T443" s="120"/>
    </row>
    <row r="444">
      <c r="A444" s="291"/>
      <c r="B444" s="120"/>
      <c r="C444" s="120"/>
      <c r="D444" s="120"/>
      <c r="E444" s="120"/>
      <c r="F444" s="120"/>
      <c r="G444" s="120"/>
      <c r="L444" s="120"/>
      <c r="M444" s="120"/>
      <c r="N444" s="120"/>
      <c r="O444" s="120"/>
      <c r="P444" s="120"/>
      <c r="Q444" s="120"/>
      <c r="R444" s="120"/>
      <c r="S444" s="120"/>
      <c r="T444" s="120"/>
    </row>
    <row r="445">
      <c r="A445" s="291"/>
      <c r="B445" s="120"/>
      <c r="C445" s="120"/>
      <c r="D445" s="120"/>
      <c r="E445" s="120"/>
      <c r="F445" s="120"/>
      <c r="G445" s="120"/>
      <c r="L445" s="120"/>
      <c r="M445" s="120"/>
      <c r="N445" s="120"/>
      <c r="O445" s="120"/>
      <c r="P445" s="120"/>
      <c r="Q445" s="120"/>
      <c r="R445" s="120"/>
      <c r="S445" s="120"/>
      <c r="T445" s="120"/>
    </row>
    <row r="446">
      <c r="A446" s="291"/>
      <c r="B446" s="120"/>
      <c r="C446" s="120"/>
      <c r="D446" s="120"/>
      <c r="E446" s="120"/>
      <c r="F446" s="120"/>
      <c r="G446" s="120"/>
      <c r="L446" s="120"/>
      <c r="M446" s="120"/>
      <c r="N446" s="120"/>
      <c r="O446" s="120"/>
      <c r="P446" s="120"/>
      <c r="Q446" s="120"/>
      <c r="R446" s="120"/>
      <c r="S446" s="120"/>
      <c r="T446" s="120"/>
    </row>
    <row r="447">
      <c r="A447" s="291"/>
      <c r="B447" s="120"/>
      <c r="C447" s="120"/>
      <c r="D447" s="120"/>
      <c r="E447" s="120"/>
      <c r="F447" s="120"/>
      <c r="G447" s="120"/>
      <c r="L447" s="120"/>
      <c r="M447" s="120"/>
      <c r="N447" s="120"/>
      <c r="O447" s="120"/>
      <c r="P447" s="120"/>
      <c r="Q447" s="120"/>
      <c r="R447" s="120"/>
      <c r="S447" s="120"/>
      <c r="T447" s="120"/>
    </row>
    <row r="448">
      <c r="A448" s="291"/>
      <c r="B448" s="120"/>
      <c r="C448" s="120"/>
      <c r="D448" s="120"/>
      <c r="E448" s="120"/>
      <c r="F448" s="120"/>
      <c r="G448" s="120"/>
      <c r="L448" s="120"/>
      <c r="M448" s="120"/>
      <c r="N448" s="120"/>
      <c r="O448" s="120"/>
      <c r="P448" s="120"/>
      <c r="Q448" s="120"/>
      <c r="R448" s="120"/>
      <c r="S448" s="120"/>
      <c r="T448" s="120"/>
    </row>
    <row r="449">
      <c r="A449" s="291"/>
      <c r="B449" s="120"/>
      <c r="C449" s="120"/>
      <c r="D449" s="120"/>
      <c r="E449" s="120"/>
      <c r="F449" s="120"/>
      <c r="G449" s="120"/>
      <c r="L449" s="120"/>
      <c r="M449" s="120"/>
      <c r="N449" s="120"/>
      <c r="O449" s="120"/>
      <c r="P449" s="120"/>
      <c r="Q449" s="120"/>
      <c r="R449" s="120"/>
      <c r="S449" s="120"/>
      <c r="T449" s="120"/>
    </row>
    <row r="450">
      <c r="A450" s="291"/>
      <c r="B450" s="120"/>
      <c r="C450" s="120"/>
      <c r="D450" s="120"/>
      <c r="E450" s="120"/>
      <c r="F450" s="120"/>
      <c r="G450" s="120"/>
      <c r="L450" s="120"/>
      <c r="M450" s="120"/>
      <c r="N450" s="120"/>
      <c r="O450" s="120"/>
      <c r="P450" s="120"/>
      <c r="Q450" s="120"/>
      <c r="R450" s="120"/>
      <c r="S450" s="120"/>
      <c r="T450" s="120"/>
    </row>
    <row r="451">
      <c r="A451" s="291"/>
      <c r="B451" s="120"/>
      <c r="C451" s="120"/>
      <c r="D451" s="120"/>
      <c r="E451" s="120"/>
      <c r="F451" s="120"/>
      <c r="G451" s="120"/>
      <c r="L451" s="120"/>
      <c r="M451" s="120"/>
      <c r="N451" s="120"/>
      <c r="O451" s="120"/>
      <c r="P451" s="120"/>
      <c r="Q451" s="120"/>
      <c r="R451" s="120"/>
      <c r="S451" s="120"/>
      <c r="T451" s="120"/>
    </row>
    <row r="452">
      <c r="A452" s="291"/>
      <c r="B452" s="120"/>
      <c r="C452" s="120"/>
      <c r="D452" s="120"/>
      <c r="E452" s="120"/>
      <c r="F452" s="120"/>
      <c r="G452" s="120"/>
      <c r="L452" s="120"/>
      <c r="M452" s="120"/>
      <c r="N452" s="120"/>
      <c r="O452" s="120"/>
      <c r="P452" s="120"/>
      <c r="Q452" s="120"/>
      <c r="R452" s="120"/>
      <c r="S452" s="120"/>
      <c r="T452" s="120"/>
    </row>
    <row r="453">
      <c r="A453" s="291"/>
      <c r="B453" s="120"/>
      <c r="C453" s="120"/>
      <c r="D453" s="120"/>
      <c r="E453" s="120"/>
      <c r="F453" s="120"/>
      <c r="G453" s="120"/>
      <c r="L453" s="120"/>
      <c r="M453" s="120"/>
      <c r="N453" s="120"/>
      <c r="O453" s="120"/>
      <c r="P453" s="120"/>
      <c r="Q453" s="120"/>
      <c r="R453" s="120"/>
      <c r="S453" s="120"/>
      <c r="T453" s="120"/>
    </row>
    <row r="454">
      <c r="A454" s="291"/>
      <c r="B454" s="120"/>
      <c r="C454" s="120"/>
      <c r="D454" s="120"/>
      <c r="E454" s="120"/>
      <c r="F454" s="120"/>
      <c r="G454" s="120"/>
      <c r="L454" s="120"/>
      <c r="M454" s="120"/>
      <c r="N454" s="120"/>
      <c r="O454" s="120"/>
      <c r="P454" s="120"/>
      <c r="Q454" s="120"/>
      <c r="R454" s="120"/>
      <c r="S454" s="120"/>
      <c r="T454" s="120"/>
    </row>
    <row r="455">
      <c r="A455" s="291"/>
      <c r="B455" s="120"/>
      <c r="C455" s="120"/>
      <c r="D455" s="120"/>
      <c r="E455" s="120"/>
      <c r="F455" s="120"/>
      <c r="G455" s="120"/>
      <c r="L455" s="120"/>
      <c r="M455" s="120"/>
      <c r="N455" s="120"/>
      <c r="O455" s="120"/>
      <c r="P455" s="120"/>
      <c r="Q455" s="120"/>
      <c r="R455" s="120"/>
      <c r="S455" s="120"/>
      <c r="T455" s="120"/>
    </row>
    <row r="456">
      <c r="A456" s="291"/>
      <c r="B456" s="120"/>
      <c r="C456" s="120"/>
      <c r="D456" s="120"/>
      <c r="E456" s="120"/>
      <c r="F456" s="120"/>
      <c r="G456" s="120"/>
      <c r="L456" s="120"/>
      <c r="M456" s="120"/>
      <c r="N456" s="120"/>
      <c r="O456" s="120"/>
      <c r="P456" s="120"/>
      <c r="Q456" s="120"/>
      <c r="R456" s="120"/>
      <c r="S456" s="120"/>
      <c r="T456" s="120"/>
    </row>
    <row r="457">
      <c r="A457" s="291"/>
      <c r="B457" s="120"/>
      <c r="C457" s="120"/>
      <c r="D457" s="120"/>
      <c r="E457" s="120"/>
      <c r="F457" s="120"/>
      <c r="G457" s="120"/>
      <c r="L457" s="120"/>
      <c r="M457" s="120"/>
      <c r="N457" s="120"/>
      <c r="O457" s="120"/>
      <c r="P457" s="120"/>
      <c r="Q457" s="120"/>
      <c r="R457" s="120"/>
      <c r="S457" s="120"/>
      <c r="T457" s="120"/>
    </row>
    <row r="458">
      <c r="A458" s="291"/>
      <c r="B458" s="120"/>
      <c r="C458" s="120"/>
      <c r="D458" s="120"/>
      <c r="E458" s="120"/>
      <c r="F458" s="120"/>
      <c r="G458" s="120"/>
      <c r="L458" s="120"/>
      <c r="M458" s="120"/>
      <c r="N458" s="120"/>
      <c r="O458" s="120"/>
      <c r="P458" s="120"/>
      <c r="Q458" s="120"/>
      <c r="R458" s="120"/>
      <c r="S458" s="120"/>
      <c r="T458" s="120"/>
    </row>
    <row r="459">
      <c r="A459" s="291"/>
      <c r="B459" s="120"/>
      <c r="C459" s="120"/>
      <c r="D459" s="120"/>
      <c r="E459" s="120"/>
      <c r="F459" s="120"/>
      <c r="G459" s="120"/>
      <c r="L459" s="120"/>
      <c r="M459" s="120"/>
      <c r="N459" s="120"/>
      <c r="O459" s="120"/>
      <c r="P459" s="120"/>
      <c r="Q459" s="120"/>
      <c r="R459" s="120"/>
      <c r="S459" s="120"/>
      <c r="T459" s="120"/>
    </row>
    <row r="460">
      <c r="A460" s="291"/>
      <c r="B460" s="120"/>
      <c r="C460" s="120"/>
      <c r="D460" s="120"/>
      <c r="E460" s="120"/>
      <c r="F460" s="120"/>
      <c r="G460" s="120"/>
      <c r="L460" s="120"/>
      <c r="M460" s="120"/>
      <c r="N460" s="120"/>
      <c r="O460" s="120"/>
      <c r="P460" s="120"/>
      <c r="Q460" s="120"/>
      <c r="R460" s="120"/>
      <c r="S460" s="120"/>
      <c r="T460" s="120"/>
    </row>
    <row r="461">
      <c r="A461" s="291"/>
      <c r="B461" s="120"/>
      <c r="C461" s="120"/>
      <c r="D461" s="120"/>
      <c r="E461" s="120"/>
      <c r="F461" s="120"/>
      <c r="G461" s="120"/>
      <c r="L461" s="120"/>
      <c r="M461" s="120"/>
      <c r="N461" s="120"/>
      <c r="O461" s="120"/>
      <c r="P461" s="120"/>
      <c r="Q461" s="120"/>
      <c r="R461" s="120"/>
      <c r="S461" s="120"/>
      <c r="T461" s="120"/>
    </row>
    <row r="462">
      <c r="A462" s="291"/>
      <c r="B462" s="120"/>
      <c r="C462" s="120"/>
      <c r="D462" s="120"/>
      <c r="E462" s="120"/>
      <c r="F462" s="120"/>
      <c r="G462" s="120"/>
      <c r="L462" s="120"/>
      <c r="M462" s="120"/>
      <c r="N462" s="120"/>
      <c r="O462" s="120"/>
      <c r="P462" s="120"/>
      <c r="Q462" s="120"/>
      <c r="R462" s="120"/>
      <c r="S462" s="120"/>
      <c r="T462" s="120"/>
    </row>
    <row r="463">
      <c r="A463" s="291"/>
      <c r="B463" s="120"/>
      <c r="C463" s="120"/>
      <c r="D463" s="120"/>
      <c r="E463" s="120"/>
      <c r="F463" s="120"/>
      <c r="G463" s="120"/>
      <c r="L463" s="120"/>
      <c r="M463" s="120"/>
      <c r="N463" s="120"/>
      <c r="O463" s="120"/>
      <c r="P463" s="120"/>
      <c r="Q463" s="120"/>
      <c r="R463" s="120"/>
      <c r="S463" s="120"/>
      <c r="T463" s="120"/>
    </row>
    <row r="464">
      <c r="A464" s="291"/>
      <c r="B464" s="120"/>
      <c r="C464" s="120"/>
      <c r="D464" s="120"/>
      <c r="E464" s="120"/>
      <c r="F464" s="120"/>
      <c r="G464" s="120"/>
      <c r="L464" s="120"/>
      <c r="M464" s="120"/>
      <c r="N464" s="120"/>
      <c r="O464" s="120"/>
      <c r="P464" s="120"/>
      <c r="Q464" s="120"/>
      <c r="R464" s="120"/>
      <c r="S464" s="120"/>
      <c r="T464" s="120"/>
    </row>
    <row r="465">
      <c r="A465" s="291"/>
      <c r="B465" s="120"/>
      <c r="C465" s="120"/>
      <c r="D465" s="120"/>
      <c r="E465" s="120"/>
      <c r="F465" s="120"/>
      <c r="G465" s="120"/>
      <c r="L465" s="120"/>
      <c r="M465" s="120"/>
      <c r="N465" s="120"/>
      <c r="O465" s="120"/>
      <c r="P465" s="120"/>
      <c r="Q465" s="120"/>
      <c r="R465" s="120"/>
      <c r="S465" s="120"/>
      <c r="T465" s="120"/>
    </row>
    <row r="466">
      <c r="A466" s="291"/>
      <c r="B466" s="120"/>
      <c r="C466" s="120"/>
      <c r="D466" s="120"/>
      <c r="E466" s="120"/>
      <c r="F466" s="120"/>
      <c r="G466" s="120"/>
      <c r="L466" s="120"/>
      <c r="M466" s="120"/>
      <c r="N466" s="120"/>
      <c r="O466" s="120"/>
      <c r="P466" s="120"/>
      <c r="Q466" s="120"/>
      <c r="R466" s="120"/>
      <c r="S466" s="120"/>
      <c r="T466" s="120"/>
    </row>
    <row r="467">
      <c r="A467" s="291"/>
      <c r="B467" s="120"/>
      <c r="C467" s="120"/>
      <c r="D467" s="120"/>
      <c r="E467" s="120"/>
      <c r="F467" s="120"/>
      <c r="G467" s="120"/>
      <c r="L467" s="120"/>
      <c r="M467" s="120"/>
      <c r="N467" s="120"/>
      <c r="O467" s="120"/>
      <c r="P467" s="120"/>
      <c r="Q467" s="120"/>
      <c r="R467" s="120"/>
      <c r="S467" s="120"/>
      <c r="T467" s="120"/>
    </row>
    <row r="468">
      <c r="A468" s="291"/>
      <c r="B468" s="120"/>
      <c r="C468" s="120"/>
      <c r="D468" s="120"/>
      <c r="E468" s="120"/>
      <c r="F468" s="120"/>
      <c r="G468" s="120"/>
      <c r="L468" s="120"/>
      <c r="M468" s="120"/>
      <c r="N468" s="120"/>
      <c r="O468" s="120"/>
      <c r="P468" s="120"/>
      <c r="Q468" s="120"/>
      <c r="R468" s="120"/>
      <c r="S468" s="120"/>
      <c r="T468" s="120"/>
    </row>
    <row r="469">
      <c r="A469" s="291"/>
      <c r="B469" s="120"/>
      <c r="C469" s="120"/>
      <c r="D469" s="120"/>
      <c r="E469" s="120"/>
      <c r="F469" s="120"/>
      <c r="G469" s="120"/>
      <c r="L469" s="120"/>
      <c r="M469" s="120"/>
      <c r="N469" s="120"/>
      <c r="O469" s="120"/>
      <c r="P469" s="120"/>
      <c r="Q469" s="120"/>
      <c r="R469" s="120"/>
      <c r="S469" s="120"/>
      <c r="T469" s="120"/>
    </row>
    <row r="470">
      <c r="A470" s="291"/>
      <c r="B470" s="120"/>
      <c r="C470" s="120"/>
      <c r="D470" s="120"/>
      <c r="E470" s="120"/>
      <c r="F470" s="120"/>
      <c r="G470" s="120"/>
      <c r="L470" s="120"/>
      <c r="M470" s="120"/>
      <c r="N470" s="120"/>
      <c r="O470" s="120"/>
      <c r="P470" s="120"/>
      <c r="Q470" s="120"/>
      <c r="R470" s="120"/>
      <c r="S470" s="120"/>
      <c r="T470" s="120"/>
    </row>
    <row r="471">
      <c r="A471" s="291"/>
      <c r="B471" s="120"/>
      <c r="C471" s="120"/>
      <c r="D471" s="120"/>
      <c r="E471" s="120"/>
      <c r="F471" s="120"/>
      <c r="G471" s="120"/>
      <c r="L471" s="120"/>
      <c r="M471" s="120"/>
      <c r="N471" s="120"/>
      <c r="O471" s="120"/>
      <c r="P471" s="120"/>
      <c r="Q471" s="120"/>
      <c r="R471" s="120"/>
      <c r="S471" s="120"/>
      <c r="T471" s="120"/>
    </row>
    <row r="472">
      <c r="A472" s="291"/>
      <c r="B472" s="120"/>
      <c r="C472" s="120"/>
      <c r="D472" s="120"/>
      <c r="E472" s="120"/>
      <c r="F472" s="120"/>
      <c r="G472" s="120"/>
      <c r="L472" s="120"/>
      <c r="M472" s="120"/>
      <c r="N472" s="120"/>
      <c r="O472" s="120"/>
      <c r="P472" s="120"/>
      <c r="Q472" s="120"/>
      <c r="R472" s="120"/>
      <c r="S472" s="120"/>
      <c r="T472" s="120"/>
    </row>
    <row r="473">
      <c r="A473" s="291"/>
      <c r="B473" s="120"/>
      <c r="C473" s="120"/>
      <c r="D473" s="120"/>
      <c r="E473" s="120"/>
      <c r="F473" s="120"/>
      <c r="G473" s="120"/>
      <c r="L473" s="120"/>
      <c r="M473" s="120"/>
      <c r="N473" s="120"/>
      <c r="O473" s="120"/>
      <c r="P473" s="120"/>
      <c r="Q473" s="120"/>
      <c r="R473" s="120"/>
      <c r="S473" s="120"/>
      <c r="T473" s="120"/>
    </row>
    <row r="474">
      <c r="A474" s="291"/>
      <c r="B474" s="120"/>
      <c r="C474" s="120"/>
      <c r="D474" s="120"/>
      <c r="E474" s="120"/>
      <c r="F474" s="120"/>
      <c r="G474" s="120"/>
      <c r="L474" s="120"/>
      <c r="M474" s="120"/>
      <c r="N474" s="120"/>
      <c r="O474" s="120"/>
      <c r="P474" s="120"/>
      <c r="Q474" s="120"/>
      <c r="R474" s="120"/>
      <c r="S474" s="120"/>
      <c r="T474" s="120"/>
    </row>
    <row r="475">
      <c r="A475" s="291"/>
      <c r="B475" s="120"/>
      <c r="C475" s="120"/>
      <c r="D475" s="120"/>
      <c r="E475" s="120"/>
      <c r="F475" s="120"/>
      <c r="G475" s="120"/>
      <c r="L475" s="120"/>
      <c r="M475" s="120"/>
      <c r="N475" s="120"/>
      <c r="O475" s="120"/>
      <c r="P475" s="120"/>
      <c r="Q475" s="120"/>
      <c r="R475" s="120"/>
      <c r="S475" s="120"/>
      <c r="T475" s="120"/>
    </row>
    <row r="476">
      <c r="A476" s="291"/>
      <c r="B476" s="120"/>
      <c r="C476" s="120"/>
      <c r="D476" s="120"/>
      <c r="E476" s="120"/>
      <c r="F476" s="120"/>
      <c r="G476" s="120"/>
      <c r="L476" s="120"/>
      <c r="M476" s="120"/>
      <c r="N476" s="120"/>
      <c r="O476" s="120"/>
      <c r="P476" s="120"/>
      <c r="Q476" s="120"/>
      <c r="R476" s="120"/>
      <c r="S476" s="120"/>
      <c r="T476" s="120"/>
    </row>
    <row r="477">
      <c r="A477" s="291"/>
      <c r="B477" s="120"/>
      <c r="C477" s="120"/>
      <c r="D477" s="120"/>
      <c r="E477" s="120"/>
      <c r="F477" s="120"/>
      <c r="G477" s="120"/>
      <c r="L477" s="120"/>
      <c r="M477" s="120"/>
      <c r="N477" s="120"/>
      <c r="O477" s="120"/>
      <c r="P477" s="120"/>
      <c r="Q477" s="120"/>
      <c r="R477" s="120"/>
      <c r="S477" s="120"/>
      <c r="T477" s="120"/>
    </row>
    <row r="478">
      <c r="A478" s="291"/>
      <c r="B478" s="120"/>
      <c r="C478" s="120"/>
      <c r="D478" s="120"/>
      <c r="E478" s="120"/>
      <c r="F478" s="120"/>
      <c r="G478" s="120"/>
      <c r="L478" s="120"/>
      <c r="M478" s="120"/>
      <c r="N478" s="120"/>
      <c r="O478" s="120"/>
      <c r="P478" s="120"/>
      <c r="Q478" s="120"/>
      <c r="R478" s="120"/>
      <c r="S478" s="120"/>
      <c r="T478" s="120"/>
    </row>
    <row r="479">
      <c r="A479" s="291"/>
      <c r="B479" s="120"/>
      <c r="C479" s="120"/>
      <c r="D479" s="120"/>
      <c r="E479" s="120"/>
      <c r="F479" s="120"/>
      <c r="G479" s="120"/>
      <c r="L479" s="120"/>
      <c r="M479" s="120"/>
      <c r="N479" s="120"/>
      <c r="O479" s="120"/>
      <c r="P479" s="120"/>
      <c r="Q479" s="120"/>
      <c r="R479" s="120"/>
      <c r="S479" s="120"/>
      <c r="T479" s="120"/>
    </row>
    <row r="480">
      <c r="A480" s="291"/>
      <c r="B480" s="120"/>
      <c r="C480" s="120"/>
      <c r="D480" s="120"/>
      <c r="E480" s="120"/>
      <c r="F480" s="120"/>
      <c r="G480" s="120"/>
      <c r="L480" s="120"/>
      <c r="M480" s="120"/>
      <c r="N480" s="120"/>
      <c r="O480" s="120"/>
      <c r="P480" s="120"/>
      <c r="Q480" s="120"/>
      <c r="R480" s="120"/>
      <c r="S480" s="120"/>
      <c r="T480" s="120"/>
    </row>
    <row r="481">
      <c r="A481" s="291"/>
      <c r="B481" s="120"/>
      <c r="C481" s="120"/>
      <c r="D481" s="120"/>
      <c r="E481" s="120"/>
      <c r="F481" s="120"/>
      <c r="G481" s="120"/>
      <c r="L481" s="120"/>
      <c r="M481" s="120"/>
      <c r="N481" s="120"/>
      <c r="O481" s="120"/>
      <c r="P481" s="120"/>
      <c r="Q481" s="120"/>
      <c r="R481" s="120"/>
      <c r="S481" s="120"/>
      <c r="T481" s="120"/>
    </row>
    <row r="482">
      <c r="A482" s="291"/>
      <c r="B482" s="120"/>
      <c r="C482" s="120"/>
      <c r="D482" s="120"/>
      <c r="E482" s="120"/>
      <c r="F482" s="120"/>
      <c r="G482" s="120"/>
      <c r="L482" s="120"/>
      <c r="M482" s="120"/>
      <c r="N482" s="120"/>
      <c r="O482" s="120"/>
      <c r="P482" s="120"/>
      <c r="Q482" s="120"/>
      <c r="R482" s="120"/>
      <c r="S482" s="120"/>
      <c r="T482" s="120"/>
    </row>
    <row r="483">
      <c r="A483" s="291"/>
      <c r="B483" s="120"/>
      <c r="C483" s="120"/>
      <c r="D483" s="120"/>
      <c r="E483" s="120"/>
      <c r="F483" s="120"/>
      <c r="G483" s="120"/>
      <c r="L483" s="120"/>
      <c r="M483" s="120"/>
      <c r="N483" s="120"/>
      <c r="O483" s="120"/>
      <c r="P483" s="120"/>
      <c r="Q483" s="120"/>
      <c r="R483" s="120"/>
      <c r="S483" s="120"/>
      <c r="T483" s="120"/>
    </row>
    <row r="484">
      <c r="A484" s="291"/>
      <c r="B484" s="120"/>
      <c r="C484" s="120"/>
      <c r="D484" s="120"/>
      <c r="E484" s="120"/>
      <c r="F484" s="120"/>
      <c r="G484" s="120"/>
      <c r="L484" s="120"/>
      <c r="M484" s="120"/>
      <c r="N484" s="120"/>
      <c r="O484" s="120"/>
      <c r="P484" s="120"/>
      <c r="Q484" s="120"/>
      <c r="R484" s="120"/>
      <c r="S484" s="120"/>
      <c r="T484" s="120"/>
    </row>
    <row r="485">
      <c r="A485" s="291"/>
      <c r="B485" s="120"/>
      <c r="C485" s="120"/>
      <c r="D485" s="120"/>
      <c r="E485" s="120"/>
      <c r="F485" s="120"/>
      <c r="G485" s="120"/>
      <c r="L485" s="120"/>
      <c r="M485" s="120"/>
      <c r="N485" s="120"/>
      <c r="O485" s="120"/>
      <c r="P485" s="120"/>
      <c r="Q485" s="120"/>
      <c r="R485" s="120"/>
      <c r="S485" s="120"/>
      <c r="T485" s="120"/>
    </row>
    <row r="486">
      <c r="A486" s="291"/>
      <c r="B486" s="120"/>
      <c r="C486" s="120"/>
      <c r="D486" s="120"/>
      <c r="E486" s="120"/>
      <c r="F486" s="120"/>
      <c r="G486" s="120"/>
      <c r="L486" s="120"/>
      <c r="M486" s="120"/>
      <c r="N486" s="120"/>
      <c r="O486" s="120"/>
      <c r="P486" s="120"/>
      <c r="Q486" s="120"/>
      <c r="R486" s="120"/>
      <c r="S486" s="120"/>
      <c r="T486" s="120"/>
    </row>
    <row r="487">
      <c r="A487" s="291"/>
      <c r="B487" s="120"/>
      <c r="C487" s="120"/>
      <c r="D487" s="120"/>
      <c r="E487" s="120"/>
      <c r="F487" s="120"/>
      <c r="G487" s="120"/>
      <c r="L487" s="120"/>
      <c r="M487" s="120"/>
      <c r="N487" s="120"/>
      <c r="O487" s="120"/>
      <c r="P487" s="120"/>
      <c r="Q487" s="120"/>
      <c r="R487" s="120"/>
      <c r="S487" s="120"/>
      <c r="T487" s="120"/>
    </row>
    <row r="488">
      <c r="A488" s="291"/>
      <c r="B488" s="120"/>
      <c r="C488" s="120"/>
      <c r="D488" s="120"/>
      <c r="E488" s="120"/>
      <c r="F488" s="120"/>
      <c r="G488" s="120"/>
      <c r="L488" s="120"/>
      <c r="M488" s="120"/>
      <c r="N488" s="120"/>
      <c r="O488" s="120"/>
      <c r="P488" s="120"/>
      <c r="Q488" s="120"/>
      <c r="R488" s="120"/>
      <c r="S488" s="120"/>
      <c r="T488" s="120"/>
    </row>
    <row r="489">
      <c r="A489" s="291"/>
      <c r="B489" s="120"/>
      <c r="C489" s="120"/>
      <c r="D489" s="120"/>
      <c r="E489" s="120"/>
      <c r="F489" s="120"/>
      <c r="G489" s="120"/>
      <c r="L489" s="120"/>
      <c r="M489" s="120"/>
      <c r="N489" s="120"/>
      <c r="O489" s="120"/>
      <c r="P489" s="120"/>
      <c r="Q489" s="120"/>
      <c r="R489" s="120"/>
      <c r="S489" s="120"/>
      <c r="T489" s="120"/>
    </row>
    <row r="490">
      <c r="A490" s="291"/>
      <c r="B490" s="120"/>
      <c r="C490" s="120"/>
      <c r="D490" s="120"/>
      <c r="E490" s="120"/>
      <c r="F490" s="120"/>
      <c r="G490" s="120"/>
      <c r="L490" s="120"/>
      <c r="M490" s="120"/>
      <c r="N490" s="120"/>
      <c r="O490" s="120"/>
      <c r="P490" s="120"/>
      <c r="Q490" s="120"/>
      <c r="R490" s="120"/>
      <c r="S490" s="120"/>
      <c r="T490" s="120"/>
    </row>
    <row r="491">
      <c r="A491" s="291"/>
      <c r="B491" s="120"/>
      <c r="C491" s="120"/>
      <c r="D491" s="120"/>
      <c r="E491" s="120"/>
      <c r="F491" s="120"/>
      <c r="G491" s="120"/>
      <c r="L491" s="120"/>
      <c r="M491" s="120"/>
      <c r="N491" s="120"/>
      <c r="O491" s="120"/>
      <c r="P491" s="120"/>
      <c r="Q491" s="120"/>
      <c r="R491" s="120"/>
      <c r="S491" s="120"/>
      <c r="T491" s="120"/>
    </row>
    <row r="492">
      <c r="A492" s="291"/>
      <c r="B492" s="120"/>
      <c r="C492" s="120"/>
      <c r="D492" s="120"/>
      <c r="E492" s="120"/>
      <c r="F492" s="120"/>
      <c r="G492" s="120"/>
      <c r="L492" s="120"/>
      <c r="M492" s="120"/>
      <c r="N492" s="120"/>
      <c r="O492" s="120"/>
      <c r="P492" s="120"/>
      <c r="Q492" s="120"/>
      <c r="R492" s="120"/>
      <c r="S492" s="120"/>
      <c r="T492" s="120"/>
    </row>
    <row r="493">
      <c r="A493" s="291"/>
      <c r="B493" s="120"/>
      <c r="C493" s="120"/>
      <c r="D493" s="120"/>
      <c r="E493" s="120"/>
      <c r="F493" s="120"/>
      <c r="G493" s="120"/>
      <c r="L493" s="120"/>
      <c r="M493" s="120"/>
      <c r="N493" s="120"/>
      <c r="O493" s="120"/>
      <c r="P493" s="120"/>
      <c r="Q493" s="120"/>
      <c r="R493" s="120"/>
      <c r="S493" s="120"/>
      <c r="T493" s="120"/>
    </row>
    <row r="494">
      <c r="A494" s="291"/>
      <c r="B494" s="120"/>
      <c r="C494" s="120"/>
      <c r="D494" s="120"/>
      <c r="E494" s="120"/>
      <c r="F494" s="120"/>
      <c r="G494" s="120"/>
      <c r="L494" s="120"/>
      <c r="M494" s="120"/>
      <c r="N494" s="120"/>
      <c r="O494" s="120"/>
      <c r="P494" s="120"/>
      <c r="Q494" s="120"/>
      <c r="R494" s="120"/>
      <c r="S494" s="120"/>
      <c r="T494" s="120"/>
    </row>
    <row r="495">
      <c r="A495" s="291"/>
      <c r="B495" s="120"/>
      <c r="C495" s="120"/>
      <c r="D495" s="120"/>
      <c r="E495" s="120"/>
      <c r="F495" s="120"/>
      <c r="G495" s="120"/>
      <c r="L495" s="120"/>
      <c r="M495" s="120"/>
      <c r="N495" s="120"/>
      <c r="O495" s="120"/>
      <c r="P495" s="120"/>
      <c r="Q495" s="120"/>
      <c r="R495" s="120"/>
      <c r="S495" s="120"/>
      <c r="T495" s="120"/>
    </row>
    <row r="496">
      <c r="A496" s="291"/>
      <c r="B496" s="120"/>
      <c r="C496" s="120"/>
      <c r="D496" s="120"/>
      <c r="E496" s="120"/>
      <c r="F496" s="120"/>
      <c r="G496" s="120"/>
      <c r="L496" s="120"/>
      <c r="M496" s="120"/>
      <c r="N496" s="120"/>
      <c r="O496" s="120"/>
      <c r="P496" s="120"/>
      <c r="Q496" s="120"/>
      <c r="R496" s="120"/>
      <c r="S496" s="120"/>
      <c r="T496" s="120"/>
    </row>
    <row r="497">
      <c r="A497" s="291"/>
      <c r="B497" s="120"/>
      <c r="C497" s="120"/>
      <c r="D497" s="120"/>
      <c r="E497" s="120"/>
      <c r="F497" s="120"/>
      <c r="G497" s="120"/>
      <c r="L497" s="120"/>
      <c r="M497" s="120"/>
      <c r="N497" s="120"/>
      <c r="O497" s="120"/>
      <c r="P497" s="120"/>
      <c r="Q497" s="120"/>
      <c r="R497" s="120"/>
      <c r="S497" s="120"/>
      <c r="T497" s="120"/>
    </row>
    <row r="498">
      <c r="A498" s="291"/>
      <c r="B498" s="120"/>
      <c r="C498" s="120"/>
      <c r="D498" s="120"/>
      <c r="E498" s="120"/>
      <c r="F498" s="120"/>
      <c r="G498" s="120"/>
      <c r="L498" s="120"/>
      <c r="M498" s="120"/>
      <c r="N498" s="120"/>
      <c r="O498" s="120"/>
      <c r="P498" s="120"/>
      <c r="Q498" s="120"/>
      <c r="R498" s="120"/>
      <c r="S498" s="120"/>
      <c r="T498" s="120"/>
    </row>
    <row r="499">
      <c r="A499" s="291"/>
      <c r="B499" s="120"/>
      <c r="C499" s="120"/>
      <c r="D499" s="120"/>
      <c r="E499" s="120"/>
      <c r="F499" s="120"/>
      <c r="G499" s="120"/>
      <c r="L499" s="120"/>
      <c r="M499" s="120"/>
      <c r="N499" s="120"/>
      <c r="O499" s="120"/>
      <c r="P499" s="120"/>
      <c r="Q499" s="120"/>
      <c r="R499" s="120"/>
      <c r="S499" s="120"/>
      <c r="T499" s="120"/>
    </row>
    <row r="500">
      <c r="A500" s="291"/>
      <c r="B500" s="120"/>
      <c r="C500" s="120"/>
      <c r="D500" s="120"/>
      <c r="E500" s="120"/>
      <c r="F500" s="120"/>
      <c r="G500" s="120"/>
      <c r="L500" s="120"/>
      <c r="M500" s="120"/>
      <c r="N500" s="120"/>
      <c r="O500" s="120"/>
      <c r="P500" s="120"/>
      <c r="Q500" s="120"/>
      <c r="R500" s="120"/>
      <c r="S500" s="120"/>
      <c r="T500" s="120"/>
    </row>
    <row r="501">
      <c r="A501" s="291"/>
      <c r="B501" s="120"/>
      <c r="C501" s="120"/>
      <c r="D501" s="120"/>
      <c r="E501" s="120"/>
      <c r="F501" s="120"/>
      <c r="G501" s="120"/>
      <c r="L501" s="120"/>
      <c r="M501" s="120"/>
      <c r="N501" s="120"/>
      <c r="O501" s="120"/>
      <c r="P501" s="120"/>
      <c r="Q501" s="120"/>
      <c r="R501" s="120"/>
      <c r="S501" s="120"/>
      <c r="T501" s="120"/>
    </row>
    <row r="502">
      <c r="A502" s="291"/>
      <c r="B502" s="120"/>
      <c r="C502" s="120"/>
      <c r="D502" s="120"/>
      <c r="E502" s="120"/>
      <c r="F502" s="120"/>
      <c r="G502" s="120"/>
      <c r="L502" s="120"/>
      <c r="M502" s="120"/>
      <c r="N502" s="120"/>
      <c r="O502" s="120"/>
      <c r="P502" s="120"/>
      <c r="Q502" s="120"/>
      <c r="R502" s="120"/>
      <c r="S502" s="120"/>
      <c r="T502" s="120"/>
    </row>
    <row r="503">
      <c r="A503" s="291"/>
      <c r="B503" s="120"/>
      <c r="C503" s="120"/>
      <c r="D503" s="120"/>
      <c r="E503" s="120"/>
      <c r="F503" s="120"/>
      <c r="G503" s="120"/>
      <c r="L503" s="120"/>
      <c r="M503" s="120"/>
      <c r="N503" s="120"/>
      <c r="O503" s="120"/>
      <c r="P503" s="120"/>
      <c r="Q503" s="120"/>
      <c r="R503" s="120"/>
      <c r="S503" s="120"/>
      <c r="T503" s="120"/>
    </row>
    <row r="504">
      <c r="A504" s="291"/>
      <c r="B504" s="120"/>
      <c r="C504" s="120"/>
      <c r="D504" s="120"/>
      <c r="E504" s="120"/>
      <c r="F504" s="120"/>
      <c r="G504" s="120"/>
      <c r="L504" s="120"/>
      <c r="M504" s="120"/>
      <c r="N504" s="120"/>
      <c r="O504" s="120"/>
      <c r="P504" s="120"/>
      <c r="Q504" s="120"/>
      <c r="R504" s="120"/>
      <c r="S504" s="120"/>
      <c r="T504" s="120"/>
    </row>
    <row r="505">
      <c r="A505" s="291"/>
      <c r="B505" s="120"/>
      <c r="C505" s="120"/>
      <c r="D505" s="120"/>
      <c r="E505" s="120"/>
      <c r="F505" s="120"/>
      <c r="G505" s="120"/>
      <c r="L505" s="120"/>
      <c r="M505" s="120"/>
      <c r="N505" s="120"/>
      <c r="O505" s="120"/>
      <c r="P505" s="120"/>
      <c r="Q505" s="120"/>
      <c r="R505" s="120"/>
      <c r="S505" s="120"/>
      <c r="T505" s="120"/>
    </row>
    <row r="506">
      <c r="A506" s="291"/>
      <c r="B506" s="120"/>
      <c r="C506" s="120"/>
      <c r="D506" s="120"/>
      <c r="E506" s="120"/>
      <c r="F506" s="120"/>
      <c r="G506" s="120"/>
      <c r="L506" s="120"/>
      <c r="M506" s="120"/>
      <c r="N506" s="120"/>
      <c r="O506" s="120"/>
      <c r="P506" s="120"/>
      <c r="Q506" s="120"/>
      <c r="R506" s="120"/>
      <c r="S506" s="120"/>
      <c r="T506" s="120"/>
    </row>
    <row r="507">
      <c r="A507" s="291"/>
      <c r="B507" s="120"/>
      <c r="C507" s="120"/>
      <c r="D507" s="120"/>
      <c r="E507" s="120"/>
      <c r="F507" s="120"/>
      <c r="G507" s="120"/>
      <c r="L507" s="120"/>
      <c r="M507" s="120"/>
      <c r="N507" s="120"/>
      <c r="O507" s="120"/>
      <c r="P507" s="120"/>
      <c r="Q507" s="120"/>
      <c r="R507" s="120"/>
      <c r="S507" s="120"/>
      <c r="T507" s="120"/>
    </row>
    <row r="508">
      <c r="A508" s="291"/>
      <c r="B508" s="120"/>
      <c r="C508" s="120"/>
      <c r="D508" s="120"/>
      <c r="E508" s="120"/>
      <c r="F508" s="120"/>
      <c r="G508" s="120"/>
      <c r="L508" s="120"/>
      <c r="M508" s="120"/>
      <c r="N508" s="120"/>
      <c r="O508" s="120"/>
      <c r="P508" s="120"/>
      <c r="Q508" s="120"/>
      <c r="R508" s="120"/>
      <c r="S508" s="120"/>
      <c r="T508" s="120"/>
    </row>
    <row r="509">
      <c r="A509" s="291"/>
      <c r="B509" s="120"/>
      <c r="C509" s="120"/>
      <c r="D509" s="120"/>
      <c r="E509" s="120"/>
      <c r="F509" s="120"/>
      <c r="G509" s="120"/>
      <c r="L509" s="120"/>
      <c r="M509" s="120"/>
      <c r="N509" s="120"/>
      <c r="O509" s="120"/>
      <c r="P509" s="120"/>
      <c r="Q509" s="120"/>
      <c r="R509" s="120"/>
      <c r="S509" s="120"/>
      <c r="T509" s="120"/>
    </row>
    <row r="510">
      <c r="A510" s="291"/>
      <c r="B510" s="120"/>
      <c r="C510" s="120"/>
      <c r="D510" s="120"/>
      <c r="E510" s="120"/>
      <c r="F510" s="120"/>
      <c r="G510" s="120"/>
      <c r="L510" s="120"/>
      <c r="M510" s="120"/>
      <c r="N510" s="120"/>
      <c r="O510" s="120"/>
      <c r="P510" s="120"/>
      <c r="Q510" s="120"/>
      <c r="R510" s="120"/>
      <c r="S510" s="120"/>
      <c r="T510" s="120"/>
    </row>
    <row r="511">
      <c r="A511" s="291"/>
      <c r="B511" s="120"/>
      <c r="C511" s="120"/>
      <c r="D511" s="120"/>
      <c r="E511" s="120"/>
      <c r="F511" s="120"/>
      <c r="G511" s="120"/>
      <c r="L511" s="120"/>
      <c r="M511" s="120"/>
      <c r="N511" s="120"/>
      <c r="O511" s="120"/>
      <c r="P511" s="120"/>
      <c r="Q511" s="120"/>
      <c r="R511" s="120"/>
      <c r="S511" s="120"/>
      <c r="T511" s="120"/>
    </row>
    <row r="512">
      <c r="A512" s="291"/>
      <c r="B512" s="120"/>
      <c r="C512" s="120"/>
      <c r="D512" s="120"/>
      <c r="E512" s="120"/>
      <c r="F512" s="120"/>
      <c r="G512" s="120"/>
      <c r="L512" s="120"/>
      <c r="M512" s="120"/>
      <c r="N512" s="120"/>
      <c r="O512" s="120"/>
      <c r="P512" s="120"/>
      <c r="Q512" s="120"/>
      <c r="R512" s="120"/>
      <c r="S512" s="120"/>
      <c r="T512" s="120"/>
    </row>
    <row r="513">
      <c r="A513" s="291"/>
      <c r="B513" s="120"/>
      <c r="C513" s="120"/>
      <c r="D513" s="120"/>
      <c r="E513" s="120"/>
      <c r="F513" s="120"/>
      <c r="G513" s="120"/>
      <c r="L513" s="120"/>
      <c r="M513" s="120"/>
      <c r="N513" s="120"/>
      <c r="O513" s="120"/>
      <c r="P513" s="120"/>
      <c r="Q513" s="120"/>
      <c r="R513" s="120"/>
      <c r="S513" s="120"/>
      <c r="T513" s="120"/>
    </row>
    <row r="514">
      <c r="A514" s="291"/>
      <c r="B514" s="120"/>
      <c r="C514" s="120"/>
      <c r="D514" s="120"/>
      <c r="E514" s="120"/>
      <c r="F514" s="120"/>
      <c r="G514" s="120"/>
      <c r="L514" s="120"/>
      <c r="M514" s="120"/>
      <c r="N514" s="120"/>
      <c r="O514" s="120"/>
      <c r="P514" s="120"/>
      <c r="Q514" s="120"/>
      <c r="R514" s="120"/>
      <c r="S514" s="120"/>
      <c r="T514" s="120"/>
    </row>
    <row r="515">
      <c r="A515" s="291"/>
      <c r="B515" s="120"/>
      <c r="C515" s="120"/>
      <c r="D515" s="120"/>
      <c r="E515" s="120"/>
      <c r="F515" s="120"/>
      <c r="G515" s="120"/>
      <c r="L515" s="120"/>
      <c r="M515" s="120"/>
      <c r="N515" s="120"/>
      <c r="O515" s="120"/>
      <c r="P515" s="120"/>
      <c r="Q515" s="120"/>
      <c r="R515" s="120"/>
      <c r="S515" s="120"/>
      <c r="T515" s="120"/>
    </row>
    <row r="516">
      <c r="A516" s="291"/>
      <c r="B516" s="120"/>
      <c r="C516" s="120"/>
      <c r="D516" s="120"/>
      <c r="E516" s="120"/>
      <c r="F516" s="120"/>
      <c r="G516" s="120"/>
      <c r="L516" s="120"/>
      <c r="M516" s="120"/>
      <c r="N516" s="120"/>
      <c r="O516" s="120"/>
      <c r="P516" s="120"/>
      <c r="Q516" s="120"/>
      <c r="R516" s="120"/>
      <c r="S516" s="120"/>
      <c r="T516" s="120"/>
    </row>
    <row r="517">
      <c r="A517" s="291"/>
      <c r="B517" s="120"/>
      <c r="C517" s="120"/>
      <c r="D517" s="120"/>
      <c r="E517" s="120"/>
      <c r="F517" s="120"/>
      <c r="G517" s="120"/>
      <c r="L517" s="120"/>
      <c r="M517" s="120"/>
      <c r="N517" s="120"/>
      <c r="O517" s="120"/>
      <c r="P517" s="120"/>
      <c r="Q517" s="120"/>
      <c r="R517" s="120"/>
      <c r="S517" s="120"/>
      <c r="T517" s="120"/>
    </row>
    <row r="518">
      <c r="A518" s="291"/>
      <c r="B518" s="120"/>
      <c r="C518" s="120"/>
      <c r="D518" s="120"/>
      <c r="E518" s="120"/>
      <c r="F518" s="120"/>
      <c r="G518" s="120"/>
      <c r="L518" s="120"/>
      <c r="M518" s="120"/>
      <c r="N518" s="120"/>
      <c r="O518" s="120"/>
      <c r="P518" s="120"/>
      <c r="Q518" s="120"/>
      <c r="R518" s="120"/>
      <c r="S518" s="120"/>
      <c r="T518" s="120"/>
    </row>
    <row r="519">
      <c r="A519" s="291"/>
      <c r="B519" s="120"/>
      <c r="C519" s="120"/>
      <c r="D519" s="120"/>
      <c r="E519" s="120"/>
      <c r="F519" s="120"/>
      <c r="G519" s="120"/>
      <c r="L519" s="120"/>
      <c r="M519" s="120"/>
      <c r="N519" s="120"/>
      <c r="O519" s="120"/>
      <c r="P519" s="120"/>
      <c r="Q519" s="120"/>
      <c r="R519" s="120"/>
      <c r="S519" s="120"/>
      <c r="T519" s="120"/>
    </row>
    <row r="520">
      <c r="A520" s="291"/>
      <c r="B520" s="120"/>
      <c r="C520" s="120"/>
      <c r="D520" s="120"/>
      <c r="E520" s="120"/>
      <c r="F520" s="120"/>
      <c r="G520" s="120"/>
      <c r="L520" s="120"/>
      <c r="M520" s="120"/>
      <c r="N520" s="120"/>
      <c r="O520" s="120"/>
      <c r="P520" s="120"/>
      <c r="Q520" s="120"/>
      <c r="R520" s="120"/>
      <c r="S520" s="120"/>
      <c r="T520" s="120"/>
    </row>
    <row r="521">
      <c r="A521" s="291"/>
      <c r="B521" s="120"/>
      <c r="C521" s="120"/>
      <c r="D521" s="120"/>
      <c r="E521" s="120"/>
      <c r="F521" s="120"/>
      <c r="G521" s="120"/>
      <c r="L521" s="120"/>
      <c r="M521" s="120"/>
      <c r="N521" s="120"/>
      <c r="O521" s="120"/>
      <c r="P521" s="120"/>
      <c r="Q521" s="120"/>
      <c r="R521" s="120"/>
      <c r="S521" s="120"/>
      <c r="T521" s="120"/>
    </row>
    <row r="522">
      <c r="A522" s="291"/>
      <c r="B522" s="120"/>
      <c r="C522" s="120"/>
      <c r="D522" s="120"/>
      <c r="E522" s="120"/>
      <c r="F522" s="120"/>
      <c r="G522" s="120"/>
      <c r="L522" s="120"/>
      <c r="M522" s="120"/>
      <c r="N522" s="120"/>
      <c r="O522" s="120"/>
      <c r="P522" s="120"/>
      <c r="Q522" s="120"/>
      <c r="R522" s="120"/>
      <c r="S522" s="120"/>
      <c r="T522" s="120"/>
    </row>
    <row r="523">
      <c r="A523" s="291"/>
      <c r="B523" s="120"/>
      <c r="C523" s="120"/>
      <c r="D523" s="120"/>
      <c r="E523" s="120"/>
      <c r="F523" s="120"/>
      <c r="G523" s="120"/>
      <c r="L523" s="120"/>
      <c r="M523" s="120"/>
      <c r="N523" s="120"/>
      <c r="O523" s="120"/>
      <c r="P523" s="120"/>
      <c r="Q523" s="120"/>
      <c r="R523" s="120"/>
      <c r="S523" s="120"/>
      <c r="T523" s="120"/>
    </row>
    <row r="524">
      <c r="A524" s="291"/>
      <c r="B524" s="120"/>
      <c r="C524" s="120"/>
      <c r="D524" s="120"/>
      <c r="E524" s="120"/>
      <c r="F524" s="120"/>
      <c r="G524" s="120"/>
      <c r="L524" s="120"/>
      <c r="M524" s="120"/>
      <c r="N524" s="120"/>
      <c r="O524" s="120"/>
      <c r="P524" s="120"/>
      <c r="Q524" s="120"/>
      <c r="R524" s="120"/>
      <c r="S524" s="120"/>
      <c r="T524" s="120"/>
    </row>
    <row r="525">
      <c r="A525" s="291"/>
      <c r="B525" s="120"/>
      <c r="C525" s="120"/>
      <c r="D525" s="120"/>
      <c r="E525" s="120"/>
      <c r="F525" s="120"/>
      <c r="G525" s="120"/>
      <c r="L525" s="120"/>
      <c r="M525" s="120"/>
      <c r="N525" s="120"/>
      <c r="O525" s="120"/>
      <c r="P525" s="120"/>
      <c r="Q525" s="120"/>
      <c r="R525" s="120"/>
      <c r="S525" s="120"/>
      <c r="T525" s="120"/>
    </row>
    <row r="526">
      <c r="A526" s="291"/>
      <c r="B526" s="120"/>
      <c r="C526" s="120"/>
      <c r="D526" s="120"/>
      <c r="E526" s="120"/>
      <c r="F526" s="120"/>
      <c r="G526" s="120"/>
      <c r="L526" s="120"/>
      <c r="M526" s="120"/>
      <c r="N526" s="120"/>
      <c r="O526" s="120"/>
      <c r="P526" s="120"/>
      <c r="Q526" s="120"/>
      <c r="R526" s="120"/>
      <c r="S526" s="120"/>
      <c r="T526" s="120"/>
    </row>
    <row r="527">
      <c r="A527" s="291"/>
      <c r="B527" s="120"/>
      <c r="C527" s="120"/>
      <c r="D527" s="120"/>
      <c r="E527" s="120"/>
      <c r="F527" s="120"/>
      <c r="G527" s="120"/>
      <c r="L527" s="120"/>
      <c r="M527" s="120"/>
      <c r="N527" s="120"/>
      <c r="O527" s="120"/>
      <c r="P527" s="120"/>
      <c r="Q527" s="120"/>
      <c r="R527" s="120"/>
      <c r="S527" s="120"/>
      <c r="T527" s="120"/>
    </row>
    <row r="528">
      <c r="A528" s="291"/>
      <c r="B528" s="120"/>
      <c r="C528" s="120"/>
      <c r="D528" s="120"/>
      <c r="E528" s="120"/>
      <c r="F528" s="120"/>
      <c r="G528" s="120"/>
      <c r="L528" s="120"/>
      <c r="M528" s="120"/>
      <c r="N528" s="120"/>
      <c r="O528" s="120"/>
      <c r="P528" s="120"/>
      <c r="Q528" s="120"/>
      <c r="R528" s="120"/>
      <c r="S528" s="120"/>
      <c r="T528" s="120"/>
    </row>
    <row r="529">
      <c r="A529" s="291"/>
      <c r="B529" s="120"/>
      <c r="C529" s="120"/>
      <c r="D529" s="120"/>
      <c r="E529" s="120"/>
      <c r="F529" s="120"/>
      <c r="G529" s="120"/>
      <c r="L529" s="120"/>
      <c r="M529" s="120"/>
      <c r="N529" s="120"/>
      <c r="O529" s="120"/>
      <c r="P529" s="120"/>
      <c r="Q529" s="120"/>
      <c r="R529" s="120"/>
      <c r="S529" s="120"/>
      <c r="T529" s="120"/>
    </row>
    <row r="530">
      <c r="A530" s="291"/>
      <c r="B530" s="120"/>
      <c r="C530" s="120"/>
      <c r="D530" s="120"/>
      <c r="E530" s="120"/>
      <c r="F530" s="120"/>
      <c r="G530" s="120"/>
      <c r="L530" s="120"/>
      <c r="M530" s="120"/>
      <c r="N530" s="120"/>
      <c r="O530" s="120"/>
      <c r="P530" s="120"/>
      <c r="Q530" s="120"/>
      <c r="R530" s="120"/>
      <c r="S530" s="120"/>
      <c r="T530" s="120"/>
    </row>
    <row r="531">
      <c r="A531" s="291"/>
      <c r="B531" s="120"/>
      <c r="C531" s="120"/>
      <c r="D531" s="120"/>
      <c r="E531" s="120"/>
      <c r="F531" s="120"/>
      <c r="G531" s="120"/>
      <c r="L531" s="120"/>
      <c r="M531" s="120"/>
      <c r="N531" s="120"/>
      <c r="O531" s="120"/>
      <c r="P531" s="120"/>
      <c r="Q531" s="120"/>
      <c r="R531" s="120"/>
      <c r="S531" s="120"/>
      <c r="T531" s="120"/>
    </row>
    <row r="532">
      <c r="A532" s="291"/>
      <c r="B532" s="120"/>
      <c r="C532" s="120"/>
      <c r="D532" s="120"/>
      <c r="E532" s="120"/>
      <c r="F532" s="120"/>
      <c r="G532" s="120"/>
      <c r="L532" s="120"/>
      <c r="M532" s="120"/>
      <c r="N532" s="120"/>
      <c r="O532" s="120"/>
      <c r="P532" s="120"/>
      <c r="Q532" s="120"/>
      <c r="R532" s="120"/>
      <c r="S532" s="120"/>
      <c r="T532" s="120"/>
    </row>
    <row r="533">
      <c r="A533" s="291"/>
      <c r="B533" s="120"/>
      <c r="C533" s="120"/>
      <c r="D533" s="120"/>
      <c r="E533" s="120"/>
      <c r="F533" s="120"/>
      <c r="G533" s="120"/>
      <c r="L533" s="120"/>
      <c r="M533" s="120"/>
      <c r="N533" s="120"/>
      <c r="O533" s="120"/>
      <c r="P533" s="120"/>
      <c r="Q533" s="120"/>
      <c r="R533" s="120"/>
      <c r="S533" s="120"/>
      <c r="T533" s="120"/>
    </row>
    <row r="534">
      <c r="A534" s="291"/>
      <c r="B534" s="120"/>
      <c r="C534" s="120"/>
      <c r="D534" s="120"/>
      <c r="E534" s="120"/>
      <c r="F534" s="120"/>
      <c r="G534" s="120"/>
      <c r="L534" s="120"/>
      <c r="M534" s="120"/>
      <c r="N534" s="120"/>
      <c r="O534" s="120"/>
      <c r="P534" s="120"/>
      <c r="Q534" s="120"/>
      <c r="R534" s="120"/>
      <c r="S534" s="120"/>
      <c r="T534" s="120"/>
    </row>
    <row r="535">
      <c r="A535" s="291"/>
      <c r="B535" s="120"/>
      <c r="C535" s="120"/>
      <c r="D535" s="120"/>
      <c r="E535" s="120"/>
      <c r="F535" s="120"/>
      <c r="G535" s="120"/>
      <c r="L535" s="120"/>
      <c r="M535" s="120"/>
      <c r="N535" s="120"/>
      <c r="O535" s="120"/>
      <c r="P535" s="120"/>
      <c r="Q535" s="120"/>
      <c r="R535" s="120"/>
      <c r="S535" s="120"/>
      <c r="T535" s="120"/>
    </row>
    <row r="536">
      <c r="A536" s="291"/>
      <c r="B536" s="120"/>
      <c r="C536" s="120"/>
      <c r="D536" s="120"/>
      <c r="E536" s="120"/>
      <c r="F536" s="120"/>
      <c r="G536" s="120"/>
      <c r="L536" s="120"/>
      <c r="M536" s="120"/>
      <c r="N536" s="120"/>
      <c r="O536" s="120"/>
      <c r="P536" s="120"/>
      <c r="Q536" s="120"/>
      <c r="R536" s="120"/>
      <c r="S536" s="120"/>
      <c r="T536" s="120"/>
    </row>
    <row r="537">
      <c r="A537" s="291"/>
      <c r="B537" s="120"/>
      <c r="C537" s="120"/>
      <c r="D537" s="120"/>
      <c r="E537" s="120"/>
      <c r="F537" s="120"/>
      <c r="G537" s="120"/>
      <c r="L537" s="120"/>
      <c r="M537" s="120"/>
      <c r="N537" s="120"/>
      <c r="O537" s="120"/>
      <c r="P537" s="120"/>
      <c r="Q537" s="120"/>
      <c r="R537" s="120"/>
      <c r="S537" s="120"/>
      <c r="T537" s="120"/>
    </row>
    <row r="538">
      <c r="A538" s="291"/>
      <c r="B538" s="120"/>
      <c r="C538" s="120"/>
      <c r="D538" s="120"/>
      <c r="E538" s="120"/>
      <c r="F538" s="120"/>
      <c r="G538" s="120"/>
      <c r="L538" s="120"/>
      <c r="M538" s="120"/>
      <c r="N538" s="120"/>
      <c r="O538" s="120"/>
      <c r="P538" s="120"/>
      <c r="Q538" s="120"/>
      <c r="R538" s="120"/>
      <c r="S538" s="120"/>
      <c r="T538" s="120"/>
    </row>
    <row r="539">
      <c r="A539" s="291"/>
      <c r="B539" s="120"/>
      <c r="C539" s="120"/>
      <c r="D539" s="120"/>
      <c r="E539" s="120"/>
      <c r="F539" s="120"/>
      <c r="G539" s="120"/>
      <c r="L539" s="120"/>
      <c r="M539" s="120"/>
      <c r="N539" s="120"/>
      <c r="O539" s="120"/>
      <c r="P539" s="120"/>
      <c r="Q539" s="120"/>
      <c r="R539" s="120"/>
      <c r="S539" s="120"/>
      <c r="T539" s="120"/>
    </row>
    <row r="540">
      <c r="A540" s="291"/>
      <c r="B540" s="120"/>
      <c r="C540" s="120"/>
      <c r="D540" s="120"/>
      <c r="E540" s="120"/>
      <c r="F540" s="120"/>
      <c r="G540" s="120"/>
      <c r="L540" s="120"/>
      <c r="M540" s="120"/>
      <c r="N540" s="120"/>
      <c r="O540" s="120"/>
      <c r="P540" s="120"/>
      <c r="Q540" s="120"/>
      <c r="R540" s="120"/>
      <c r="S540" s="120"/>
      <c r="T540" s="120"/>
    </row>
    <row r="541">
      <c r="A541" s="291"/>
      <c r="B541" s="120"/>
      <c r="C541" s="120"/>
      <c r="D541" s="120"/>
      <c r="E541" s="120"/>
      <c r="F541" s="120"/>
      <c r="G541" s="120"/>
      <c r="L541" s="120"/>
      <c r="M541" s="120"/>
      <c r="N541" s="120"/>
      <c r="O541" s="120"/>
      <c r="P541" s="120"/>
      <c r="Q541" s="120"/>
      <c r="R541" s="120"/>
      <c r="S541" s="120"/>
      <c r="T541" s="120"/>
    </row>
    <row r="542">
      <c r="A542" s="291"/>
      <c r="B542" s="120"/>
      <c r="C542" s="120"/>
      <c r="D542" s="120"/>
      <c r="E542" s="120"/>
      <c r="F542" s="120"/>
      <c r="G542" s="120"/>
      <c r="L542" s="120"/>
      <c r="M542" s="120"/>
      <c r="N542" s="120"/>
      <c r="O542" s="120"/>
      <c r="P542" s="120"/>
      <c r="Q542" s="120"/>
      <c r="R542" s="120"/>
      <c r="S542" s="120"/>
      <c r="T542" s="120"/>
    </row>
    <row r="543">
      <c r="A543" s="291"/>
      <c r="B543" s="120"/>
      <c r="C543" s="120"/>
      <c r="D543" s="120"/>
      <c r="E543" s="120"/>
      <c r="F543" s="120"/>
      <c r="G543" s="120"/>
      <c r="L543" s="120"/>
      <c r="M543" s="120"/>
      <c r="N543" s="120"/>
      <c r="O543" s="120"/>
      <c r="P543" s="120"/>
      <c r="Q543" s="120"/>
      <c r="R543" s="120"/>
      <c r="S543" s="120"/>
      <c r="T543" s="120"/>
    </row>
    <row r="544">
      <c r="A544" s="291"/>
      <c r="B544" s="120"/>
      <c r="C544" s="120"/>
      <c r="D544" s="120"/>
      <c r="E544" s="120"/>
      <c r="F544" s="120"/>
      <c r="G544" s="120"/>
      <c r="L544" s="120"/>
      <c r="M544" s="120"/>
      <c r="N544" s="120"/>
      <c r="O544" s="120"/>
      <c r="P544" s="120"/>
      <c r="Q544" s="120"/>
      <c r="R544" s="120"/>
      <c r="S544" s="120"/>
      <c r="T544" s="120"/>
    </row>
    <row r="545">
      <c r="A545" s="291"/>
      <c r="B545" s="120"/>
      <c r="C545" s="120"/>
      <c r="D545" s="120"/>
      <c r="E545" s="120"/>
      <c r="F545" s="120"/>
      <c r="G545" s="120"/>
      <c r="L545" s="120"/>
      <c r="M545" s="120"/>
      <c r="N545" s="120"/>
      <c r="O545" s="120"/>
      <c r="P545" s="120"/>
      <c r="Q545" s="120"/>
      <c r="R545" s="120"/>
      <c r="S545" s="120"/>
      <c r="T545" s="120"/>
    </row>
    <row r="546">
      <c r="A546" s="291"/>
      <c r="B546" s="120"/>
      <c r="C546" s="120"/>
      <c r="D546" s="120"/>
      <c r="E546" s="120"/>
      <c r="F546" s="120"/>
      <c r="G546" s="120"/>
      <c r="L546" s="120"/>
      <c r="M546" s="120"/>
      <c r="N546" s="120"/>
      <c r="O546" s="120"/>
      <c r="P546" s="120"/>
      <c r="Q546" s="120"/>
      <c r="R546" s="120"/>
      <c r="S546" s="120"/>
      <c r="T546" s="120"/>
    </row>
    <row r="547">
      <c r="A547" s="291"/>
      <c r="B547" s="120"/>
      <c r="C547" s="120"/>
      <c r="D547" s="120"/>
      <c r="E547" s="120"/>
      <c r="F547" s="120"/>
      <c r="G547" s="120"/>
      <c r="L547" s="120"/>
      <c r="M547" s="120"/>
      <c r="N547" s="120"/>
      <c r="O547" s="120"/>
      <c r="P547" s="120"/>
      <c r="Q547" s="120"/>
      <c r="R547" s="120"/>
      <c r="S547" s="120"/>
      <c r="T547" s="120"/>
    </row>
    <row r="548">
      <c r="A548" s="291"/>
      <c r="B548" s="120"/>
      <c r="C548" s="120"/>
      <c r="D548" s="120"/>
      <c r="E548" s="120"/>
      <c r="F548" s="120"/>
      <c r="G548" s="120"/>
      <c r="L548" s="120"/>
      <c r="M548" s="120"/>
      <c r="N548" s="120"/>
      <c r="O548" s="120"/>
      <c r="P548" s="120"/>
      <c r="Q548" s="120"/>
      <c r="R548" s="120"/>
      <c r="S548" s="120"/>
      <c r="T548" s="120"/>
    </row>
    <row r="549">
      <c r="A549" s="291"/>
      <c r="B549" s="120"/>
      <c r="C549" s="120"/>
      <c r="D549" s="120"/>
      <c r="E549" s="120"/>
      <c r="F549" s="120"/>
      <c r="G549" s="120"/>
      <c r="L549" s="120"/>
      <c r="M549" s="120"/>
      <c r="N549" s="120"/>
      <c r="O549" s="120"/>
      <c r="P549" s="120"/>
      <c r="Q549" s="120"/>
      <c r="R549" s="120"/>
      <c r="S549" s="120"/>
      <c r="T549" s="120"/>
    </row>
    <row r="550">
      <c r="A550" s="291"/>
      <c r="B550" s="120"/>
      <c r="C550" s="120"/>
      <c r="D550" s="120"/>
      <c r="E550" s="120"/>
      <c r="F550" s="120"/>
      <c r="G550" s="120"/>
      <c r="L550" s="120"/>
      <c r="M550" s="120"/>
      <c r="N550" s="120"/>
      <c r="O550" s="120"/>
      <c r="P550" s="120"/>
      <c r="Q550" s="120"/>
      <c r="R550" s="120"/>
      <c r="S550" s="120"/>
      <c r="T550" s="120"/>
    </row>
    <row r="551">
      <c r="A551" s="291"/>
      <c r="B551" s="120"/>
      <c r="C551" s="120"/>
      <c r="D551" s="120"/>
      <c r="E551" s="120"/>
      <c r="F551" s="120"/>
      <c r="G551" s="120"/>
      <c r="L551" s="120"/>
      <c r="M551" s="120"/>
      <c r="N551" s="120"/>
      <c r="O551" s="120"/>
      <c r="P551" s="120"/>
      <c r="Q551" s="120"/>
      <c r="R551" s="120"/>
      <c r="S551" s="120"/>
      <c r="T551" s="120"/>
    </row>
    <row r="552">
      <c r="A552" s="291"/>
      <c r="B552" s="120"/>
      <c r="C552" s="120"/>
      <c r="D552" s="120"/>
      <c r="E552" s="120"/>
      <c r="F552" s="120"/>
      <c r="G552" s="120"/>
      <c r="L552" s="120"/>
      <c r="M552" s="120"/>
      <c r="N552" s="120"/>
      <c r="O552" s="120"/>
      <c r="P552" s="120"/>
      <c r="Q552" s="120"/>
      <c r="R552" s="120"/>
      <c r="S552" s="120"/>
      <c r="T552" s="120"/>
    </row>
    <row r="553">
      <c r="A553" s="291"/>
      <c r="B553" s="120"/>
      <c r="C553" s="120"/>
      <c r="D553" s="120"/>
      <c r="E553" s="120"/>
      <c r="F553" s="120"/>
      <c r="G553" s="120"/>
      <c r="L553" s="120"/>
      <c r="M553" s="120"/>
      <c r="N553" s="120"/>
      <c r="O553" s="120"/>
      <c r="P553" s="120"/>
      <c r="Q553" s="120"/>
      <c r="R553" s="120"/>
      <c r="S553" s="120"/>
      <c r="T553" s="120"/>
    </row>
    <row r="554">
      <c r="A554" s="291"/>
      <c r="B554" s="120"/>
      <c r="C554" s="120"/>
      <c r="D554" s="120"/>
      <c r="E554" s="120"/>
      <c r="F554" s="120"/>
      <c r="G554" s="120"/>
      <c r="L554" s="120"/>
      <c r="M554" s="120"/>
      <c r="N554" s="120"/>
      <c r="O554" s="120"/>
      <c r="P554" s="120"/>
      <c r="Q554" s="120"/>
      <c r="R554" s="120"/>
      <c r="S554" s="120"/>
      <c r="T554" s="120"/>
    </row>
    <row r="555">
      <c r="A555" s="291"/>
      <c r="B555" s="120"/>
      <c r="C555" s="120"/>
      <c r="D555" s="120"/>
      <c r="E555" s="120"/>
      <c r="F555" s="120"/>
      <c r="G555" s="120"/>
      <c r="L555" s="120"/>
      <c r="M555" s="120"/>
      <c r="N555" s="120"/>
      <c r="O555" s="120"/>
      <c r="P555" s="120"/>
      <c r="Q555" s="120"/>
      <c r="R555" s="120"/>
      <c r="S555" s="120"/>
      <c r="T555" s="120"/>
    </row>
    <row r="556">
      <c r="A556" s="291"/>
      <c r="B556" s="120"/>
      <c r="C556" s="120"/>
      <c r="D556" s="120"/>
      <c r="E556" s="120"/>
      <c r="F556" s="120"/>
      <c r="G556" s="120"/>
      <c r="L556" s="120"/>
      <c r="M556" s="120"/>
      <c r="N556" s="120"/>
      <c r="O556" s="120"/>
      <c r="P556" s="120"/>
      <c r="Q556" s="120"/>
      <c r="R556" s="120"/>
      <c r="S556" s="120"/>
      <c r="T556" s="120"/>
    </row>
    <row r="557">
      <c r="A557" s="291"/>
      <c r="B557" s="120"/>
      <c r="C557" s="120"/>
      <c r="D557" s="120"/>
      <c r="E557" s="120"/>
      <c r="F557" s="120"/>
      <c r="G557" s="120"/>
      <c r="L557" s="120"/>
      <c r="M557" s="120"/>
      <c r="N557" s="120"/>
      <c r="O557" s="120"/>
      <c r="P557" s="120"/>
      <c r="Q557" s="120"/>
      <c r="R557" s="120"/>
      <c r="S557" s="120"/>
      <c r="T557" s="120"/>
    </row>
    <row r="558">
      <c r="A558" s="291"/>
      <c r="B558" s="120"/>
      <c r="C558" s="120"/>
      <c r="D558" s="120"/>
      <c r="E558" s="120"/>
      <c r="F558" s="120"/>
      <c r="G558" s="120"/>
      <c r="L558" s="120"/>
      <c r="M558" s="120"/>
      <c r="N558" s="120"/>
      <c r="O558" s="120"/>
      <c r="P558" s="120"/>
      <c r="Q558" s="120"/>
      <c r="R558" s="120"/>
      <c r="S558" s="120"/>
      <c r="T558" s="120"/>
    </row>
    <row r="559">
      <c r="A559" s="291"/>
      <c r="B559" s="120"/>
      <c r="C559" s="120"/>
      <c r="D559" s="120"/>
      <c r="E559" s="120"/>
      <c r="F559" s="120"/>
      <c r="G559" s="120"/>
      <c r="L559" s="120"/>
      <c r="M559" s="120"/>
      <c r="N559" s="120"/>
      <c r="O559" s="120"/>
      <c r="P559" s="120"/>
      <c r="Q559" s="120"/>
      <c r="R559" s="120"/>
      <c r="S559" s="120"/>
      <c r="T559" s="120"/>
    </row>
    <row r="560">
      <c r="A560" s="291"/>
      <c r="B560" s="120"/>
      <c r="C560" s="120"/>
      <c r="D560" s="120"/>
      <c r="E560" s="120"/>
      <c r="F560" s="120"/>
      <c r="G560" s="120"/>
      <c r="L560" s="120"/>
      <c r="M560" s="120"/>
      <c r="N560" s="120"/>
      <c r="O560" s="120"/>
      <c r="P560" s="120"/>
      <c r="Q560" s="120"/>
      <c r="R560" s="120"/>
      <c r="S560" s="120"/>
      <c r="T560" s="120"/>
    </row>
    <row r="561">
      <c r="A561" s="291"/>
      <c r="B561" s="120"/>
      <c r="C561" s="120"/>
      <c r="D561" s="120"/>
      <c r="E561" s="120"/>
      <c r="F561" s="120"/>
      <c r="G561" s="120"/>
      <c r="L561" s="120"/>
      <c r="M561" s="120"/>
      <c r="N561" s="120"/>
      <c r="O561" s="120"/>
      <c r="P561" s="120"/>
      <c r="Q561" s="120"/>
      <c r="R561" s="120"/>
      <c r="S561" s="120"/>
      <c r="T561" s="120"/>
    </row>
    <row r="562">
      <c r="A562" s="291"/>
      <c r="B562" s="120"/>
      <c r="C562" s="120"/>
      <c r="D562" s="120"/>
      <c r="E562" s="120"/>
      <c r="F562" s="120"/>
      <c r="G562" s="120"/>
      <c r="L562" s="120"/>
      <c r="M562" s="120"/>
      <c r="N562" s="120"/>
      <c r="O562" s="120"/>
      <c r="P562" s="120"/>
      <c r="Q562" s="120"/>
      <c r="R562" s="120"/>
      <c r="S562" s="120"/>
      <c r="T562" s="120"/>
    </row>
    <row r="563">
      <c r="A563" s="291"/>
      <c r="B563" s="120"/>
      <c r="C563" s="120"/>
      <c r="D563" s="120"/>
      <c r="E563" s="120"/>
      <c r="F563" s="120"/>
      <c r="G563" s="120"/>
      <c r="L563" s="120"/>
      <c r="M563" s="120"/>
      <c r="N563" s="120"/>
      <c r="O563" s="120"/>
      <c r="P563" s="120"/>
      <c r="Q563" s="120"/>
      <c r="R563" s="120"/>
      <c r="S563" s="120"/>
      <c r="T563" s="120"/>
    </row>
    <row r="564">
      <c r="A564" s="291"/>
      <c r="B564" s="120"/>
      <c r="C564" s="120"/>
      <c r="D564" s="120"/>
      <c r="E564" s="120"/>
      <c r="F564" s="120"/>
      <c r="G564" s="120"/>
      <c r="L564" s="120"/>
      <c r="M564" s="120"/>
      <c r="N564" s="120"/>
      <c r="O564" s="120"/>
      <c r="P564" s="120"/>
      <c r="Q564" s="120"/>
      <c r="R564" s="120"/>
      <c r="S564" s="120"/>
      <c r="T564" s="120"/>
    </row>
    <row r="565">
      <c r="A565" s="291"/>
      <c r="B565" s="120"/>
      <c r="C565" s="120"/>
      <c r="D565" s="120"/>
      <c r="E565" s="120"/>
      <c r="F565" s="120"/>
      <c r="G565" s="120"/>
      <c r="L565" s="120"/>
      <c r="M565" s="120"/>
      <c r="N565" s="120"/>
      <c r="O565" s="120"/>
      <c r="P565" s="120"/>
      <c r="Q565" s="120"/>
      <c r="R565" s="120"/>
      <c r="S565" s="120"/>
      <c r="T565" s="120"/>
    </row>
    <row r="566">
      <c r="A566" s="291"/>
      <c r="B566" s="120"/>
      <c r="C566" s="120"/>
      <c r="D566" s="120"/>
      <c r="E566" s="120"/>
      <c r="F566" s="120"/>
      <c r="G566" s="120"/>
      <c r="L566" s="120"/>
      <c r="M566" s="120"/>
      <c r="N566" s="120"/>
      <c r="O566" s="120"/>
      <c r="P566" s="120"/>
      <c r="Q566" s="120"/>
      <c r="R566" s="120"/>
      <c r="S566" s="120"/>
      <c r="T566" s="120"/>
    </row>
    <row r="567">
      <c r="A567" s="291"/>
      <c r="B567" s="120"/>
      <c r="C567" s="120"/>
      <c r="D567" s="120"/>
      <c r="E567" s="120"/>
      <c r="F567" s="120"/>
      <c r="G567" s="120"/>
      <c r="L567" s="120"/>
      <c r="M567" s="120"/>
      <c r="N567" s="120"/>
      <c r="O567" s="120"/>
      <c r="P567" s="120"/>
      <c r="Q567" s="120"/>
      <c r="R567" s="120"/>
      <c r="S567" s="120"/>
      <c r="T567" s="120"/>
    </row>
    <row r="568">
      <c r="A568" s="291"/>
      <c r="B568" s="120"/>
      <c r="C568" s="120"/>
      <c r="D568" s="120"/>
      <c r="E568" s="120"/>
      <c r="F568" s="120"/>
      <c r="G568" s="120"/>
      <c r="L568" s="120"/>
      <c r="M568" s="120"/>
      <c r="N568" s="120"/>
      <c r="O568" s="120"/>
      <c r="P568" s="120"/>
      <c r="Q568" s="120"/>
      <c r="R568" s="120"/>
      <c r="S568" s="120"/>
      <c r="T568" s="120"/>
    </row>
    <row r="569">
      <c r="A569" s="291"/>
      <c r="B569" s="120"/>
      <c r="C569" s="120"/>
      <c r="D569" s="120"/>
      <c r="E569" s="120"/>
      <c r="F569" s="120"/>
      <c r="G569" s="120"/>
      <c r="L569" s="120"/>
      <c r="M569" s="120"/>
      <c r="N569" s="120"/>
      <c r="O569" s="120"/>
      <c r="P569" s="120"/>
      <c r="Q569" s="120"/>
      <c r="R569" s="120"/>
      <c r="S569" s="120"/>
      <c r="T569" s="120"/>
    </row>
    <row r="570">
      <c r="A570" s="291"/>
      <c r="B570" s="120"/>
      <c r="C570" s="120"/>
      <c r="D570" s="120"/>
      <c r="E570" s="120"/>
      <c r="F570" s="120"/>
      <c r="G570" s="120"/>
      <c r="L570" s="120"/>
      <c r="M570" s="120"/>
      <c r="N570" s="120"/>
      <c r="O570" s="120"/>
      <c r="P570" s="120"/>
      <c r="Q570" s="120"/>
      <c r="R570" s="120"/>
      <c r="S570" s="120"/>
      <c r="T570" s="120"/>
    </row>
    <row r="571">
      <c r="A571" s="291"/>
      <c r="B571" s="120"/>
      <c r="C571" s="120"/>
      <c r="D571" s="120"/>
      <c r="E571" s="120"/>
      <c r="F571" s="120"/>
      <c r="G571" s="120"/>
      <c r="L571" s="120"/>
      <c r="M571" s="120"/>
      <c r="N571" s="120"/>
      <c r="O571" s="120"/>
      <c r="P571" s="120"/>
      <c r="Q571" s="120"/>
      <c r="R571" s="120"/>
      <c r="S571" s="120"/>
      <c r="T571" s="120"/>
    </row>
    <row r="572">
      <c r="A572" s="291"/>
      <c r="B572" s="120"/>
      <c r="C572" s="120"/>
      <c r="D572" s="120"/>
      <c r="E572" s="120"/>
      <c r="F572" s="120"/>
      <c r="G572" s="120"/>
      <c r="L572" s="120"/>
      <c r="M572" s="120"/>
      <c r="N572" s="120"/>
      <c r="O572" s="120"/>
      <c r="P572" s="120"/>
      <c r="Q572" s="120"/>
      <c r="R572" s="120"/>
      <c r="S572" s="120"/>
      <c r="T572" s="120"/>
    </row>
    <row r="573">
      <c r="A573" s="291"/>
      <c r="B573" s="120"/>
      <c r="C573" s="120"/>
      <c r="D573" s="120"/>
      <c r="E573" s="120"/>
      <c r="F573" s="120"/>
      <c r="G573" s="120"/>
      <c r="L573" s="120"/>
      <c r="M573" s="120"/>
      <c r="N573" s="120"/>
      <c r="O573" s="120"/>
      <c r="P573" s="120"/>
      <c r="Q573" s="120"/>
      <c r="R573" s="120"/>
      <c r="S573" s="120"/>
      <c r="T573" s="120"/>
    </row>
    <row r="574">
      <c r="A574" s="291"/>
      <c r="B574" s="120"/>
      <c r="C574" s="120"/>
      <c r="D574" s="120"/>
      <c r="E574" s="120"/>
      <c r="F574" s="120"/>
      <c r="G574" s="120"/>
      <c r="L574" s="120"/>
      <c r="M574" s="120"/>
      <c r="N574" s="120"/>
      <c r="O574" s="120"/>
      <c r="P574" s="120"/>
      <c r="Q574" s="120"/>
      <c r="R574" s="120"/>
      <c r="S574" s="120"/>
      <c r="T574" s="120"/>
    </row>
    <row r="575">
      <c r="A575" s="291"/>
      <c r="B575" s="120"/>
      <c r="C575" s="120"/>
      <c r="D575" s="120"/>
      <c r="E575" s="120"/>
      <c r="F575" s="120"/>
      <c r="G575" s="120"/>
      <c r="L575" s="120"/>
      <c r="M575" s="120"/>
      <c r="N575" s="120"/>
      <c r="O575" s="120"/>
      <c r="P575" s="120"/>
      <c r="Q575" s="120"/>
      <c r="R575" s="120"/>
      <c r="S575" s="120"/>
      <c r="T575" s="120"/>
    </row>
    <row r="576">
      <c r="A576" s="291"/>
      <c r="B576" s="120"/>
      <c r="C576" s="120"/>
      <c r="D576" s="120"/>
      <c r="E576" s="120"/>
      <c r="F576" s="120"/>
      <c r="G576" s="120"/>
      <c r="L576" s="120"/>
      <c r="M576" s="120"/>
      <c r="N576" s="120"/>
      <c r="O576" s="120"/>
      <c r="P576" s="120"/>
      <c r="Q576" s="120"/>
      <c r="R576" s="120"/>
      <c r="S576" s="120"/>
      <c r="T576" s="120"/>
    </row>
    <row r="577">
      <c r="A577" s="291"/>
      <c r="B577" s="120"/>
      <c r="C577" s="120"/>
      <c r="D577" s="120"/>
      <c r="E577" s="120"/>
      <c r="F577" s="120"/>
      <c r="G577" s="120"/>
      <c r="L577" s="120"/>
      <c r="M577" s="120"/>
      <c r="N577" s="120"/>
      <c r="O577" s="120"/>
      <c r="P577" s="120"/>
      <c r="Q577" s="120"/>
      <c r="R577" s="120"/>
      <c r="S577" s="120"/>
      <c r="T577" s="120"/>
    </row>
    <row r="578">
      <c r="A578" s="291"/>
      <c r="B578" s="120"/>
      <c r="C578" s="120"/>
      <c r="D578" s="120"/>
      <c r="E578" s="120"/>
      <c r="F578" s="120"/>
      <c r="G578" s="120"/>
      <c r="L578" s="120"/>
      <c r="M578" s="120"/>
      <c r="N578" s="120"/>
      <c r="O578" s="120"/>
      <c r="P578" s="120"/>
      <c r="Q578" s="120"/>
      <c r="R578" s="120"/>
      <c r="S578" s="120"/>
      <c r="T578" s="120"/>
    </row>
    <row r="579">
      <c r="A579" s="291"/>
      <c r="B579" s="120"/>
      <c r="C579" s="120"/>
      <c r="D579" s="120"/>
      <c r="E579" s="120"/>
      <c r="F579" s="120"/>
      <c r="G579" s="120"/>
      <c r="L579" s="120"/>
      <c r="M579" s="120"/>
      <c r="N579" s="120"/>
      <c r="O579" s="120"/>
      <c r="P579" s="120"/>
      <c r="Q579" s="120"/>
      <c r="R579" s="120"/>
      <c r="S579" s="120"/>
      <c r="T579" s="120"/>
    </row>
    <row r="580">
      <c r="A580" s="291"/>
      <c r="B580" s="120"/>
      <c r="C580" s="120"/>
      <c r="D580" s="120"/>
      <c r="E580" s="120"/>
      <c r="F580" s="120"/>
      <c r="G580" s="120"/>
      <c r="L580" s="120"/>
      <c r="M580" s="120"/>
      <c r="N580" s="120"/>
      <c r="O580" s="120"/>
      <c r="P580" s="120"/>
      <c r="Q580" s="120"/>
      <c r="R580" s="120"/>
      <c r="S580" s="120"/>
      <c r="T580" s="120"/>
    </row>
    <row r="581">
      <c r="A581" s="291"/>
      <c r="B581" s="120"/>
      <c r="C581" s="120"/>
      <c r="D581" s="120"/>
      <c r="E581" s="120"/>
      <c r="F581" s="120"/>
      <c r="G581" s="120"/>
      <c r="L581" s="120"/>
      <c r="M581" s="120"/>
      <c r="N581" s="120"/>
      <c r="O581" s="120"/>
      <c r="P581" s="120"/>
      <c r="Q581" s="120"/>
      <c r="R581" s="120"/>
      <c r="S581" s="120"/>
      <c r="T581" s="120"/>
    </row>
    <row r="582">
      <c r="A582" s="291"/>
      <c r="B582" s="120"/>
      <c r="C582" s="120"/>
      <c r="D582" s="120"/>
      <c r="E582" s="120"/>
      <c r="F582" s="120"/>
      <c r="G582" s="120"/>
      <c r="L582" s="120"/>
      <c r="M582" s="120"/>
      <c r="N582" s="120"/>
      <c r="O582" s="120"/>
      <c r="P582" s="120"/>
      <c r="Q582" s="120"/>
      <c r="R582" s="120"/>
      <c r="S582" s="120"/>
      <c r="T582" s="120"/>
    </row>
    <row r="583">
      <c r="A583" s="291"/>
      <c r="B583" s="120"/>
      <c r="C583" s="120"/>
      <c r="D583" s="120"/>
      <c r="E583" s="120"/>
      <c r="F583" s="120"/>
      <c r="G583" s="120"/>
      <c r="L583" s="120"/>
      <c r="M583" s="120"/>
      <c r="N583" s="120"/>
      <c r="O583" s="120"/>
      <c r="P583" s="120"/>
      <c r="Q583" s="120"/>
      <c r="R583" s="120"/>
      <c r="S583" s="120"/>
      <c r="T583" s="120"/>
    </row>
    <row r="584">
      <c r="A584" s="291"/>
      <c r="B584" s="120"/>
      <c r="C584" s="120"/>
      <c r="D584" s="120"/>
      <c r="E584" s="120"/>
      <c r="F584" s="120"/>
      <c r="G584" s="120"/>
      <c r="L584" s="120"/>
      <c r="M584" s="120"/>
      <c r="N584" s="120"/>
      <c r="O584" s="120"/>
      <c r="P584" s="120"/>
      <c r="Q584" s="120"/>
      <c r="R584" s="120"/>
      <c r="S584" s="120"/>
      <c r="T584" s="120"/>
    </row>
    <row r="585">
      <c r="A585" s="291"/>
      <c r="B585" s="120"/>
      <c r="C585" s="120"/>
      <c r="D585" s="120"/>
      <c r="E585" s="120"/>
      <c r="F585" s="120"/>
      <c r="G585" s="120"/>
      <c r="L585" s="120"/>
      <c r="M585" s="120"/>
      <c r="N585" s="120"/>
      <c r="O585" s="120"/>
      <c r="P585" s="120"/>
      <c r="Q585" s="120"/>
      <c r="R585" s="120"/>
      <c r="S585" s="120"/>
      <c r="T585" s="120"/>
    </row>
    <row r="586">
      <c r="A586" s="291"/>
      <c r="B586" s="120"/>
      <c r="C586" s="120"/>
      <c r="D586" s="120"/>
      <c r="E586" s="120"/>
      <c r="F586" s="120"/>
      <c r="G586" s="120"/>
      <c r="L586" s="120"/>
      <c r="M586" s="120"/>
      <c r="N586" s="120"/>
      <c r="O586" s="120"/>
      <c r="P586" s="120"/>
      <c r="Q586" s="120"/>
      <c r="R586" s="120"/>
      <c r="S586" s="120"/>
      <c r="T586" s="120"/>
    </row>
    <row r="587">
      <c r="A587" s="291"/>
      <c r="B587" s="120"/>
      <c r="C587" s="120"/>
      <c r="D587" s="120"/>
      <c r="E587" s="120"/>
      <c r="F587" s="120"/>
      <c r="G587" s="120"/>
      <c r="L587" s="120"/>
      <c r="M587" s="120"/>
      <c r="N587" s="120"/>
      <c r="O587" s="120"/>
      <c r="P587" s="120"/>
      <c r="Q587" s="120"/>
      <c r="R587" s="120"/>
      <c r="S587" s="120"/>
      <c r="T587" s="120"/>
    </row>
    <row r="588">
      <c r="A588" s="291"/>
      <c r="B588" s="120"/>
      <c r="C588" s="120"/>
      <c r="D588" s="120"/>
      <c r="E588" s="120"/>
      <c r="F588" s="120"/>
      <c r="G588" s="120"/>
      <c r="L588" s="120"/>
      <c r="M588" s="120"/>
      <c r="N588" s="120"/>
      <c r="O588" s="120"/>
      <c r="P588" s="120"/>
      <c r="Q588" s="120"/>
      <c r="R588" s="120"/>
      <c r="S588" s="120"/>
      <c r="T588" s="120"/>
    </row>
    <row r="589">
      <c r="A589" s="291"/>
      <c r="B589" s="120"/>
      <c r="C589" s="120"/>
      <c r="D589" s="120"/>
      <c r="E589" s="120"/>
      <c r="F589" s="120"/>
      <c r="G589" s="120"/>
      <c r="L589" s="120"/>
      <c r="M589" s="120"/>
      <c r="N589" s="120"/>
      <c r="O589" s="120"/>
      <c r="P589" s="120"/>
      <c r="Q589" s="120"/>
      <c r="R589" s="120"/>
      <c r="S589" s="120"/>
      <c r="T589" s="120"/>
    </row>
    <row r="590">
      <c r="A590" s="291"/>
      <c r="B590" s="120"/>
      <c r="C590" s="120"/>
      <c r="D590" s="120"/>
      <c r="E590" s="120"/>
      <c r="F590" s="120"/>
      <c r="G590" s="120"/>
      <c r="L590" s="120"/>
      <c r="M590" s="120"/>
      <c r="N590" s="120"/>
      <c r="O590" s="120"/>
      <c r="P590" s="120"/>
      <c r="Q590" s="120"/>
      <c r="R590" s="120"/>
      <c r="S590" s="120"/>
      <c r="T590" s="120"/>
    </row>
    <row r="591">
      <c r="A591" s="291"/>
      <c r="B591" s="120"/>
      <c r="C591" s="120"/>
      <c r="D591" s="120"/>
      <c r="E591" s="120"/>
      <c r="F591" s="120"/>
      <c r="G591" s="120"/>
      <c r="L591" s="120"/>
      <c r="M591" s="120"/>
      <c r="N591" s="120"/>
      <c r="O591" s="120"/>
      <c r="P591" s="120"/>
      <c r="Q591" s="120"/>
      <c r="R591" s="120"/>
      <c r="S591" s="120"/>
      <c r="T591" s="120"/>
    </row>
    <row r="592">
      <c r="A592" s="291"/>
      <c r="B592" s="120"/>
      <c r="C592" s="120"/>
      <c r="D592" s="120"/>
      <c r="E592" s="120"/>
      <c r="F592" s="120"/>
      <c r="G592" s="120"/>
      <c r="L592" s="120"/>
      <c r="M592" s="120"/>
      <c r="N592" s="120"/>
      <c r="O592" s="120"/>
      <c r="P592" s="120"/>
      <c r="Q592" s="120"/>
      <c r="R592" s="120"/>
      <c r="S592" s="120"/>
      <c r="T592" s="120"/>
    </row>
    <row r="593">
      <c r="A593" s="291"/>
      <c r="B593" s="120"/>
      <c r="C593" s="120"/>
      <c r="D593" s="120"/>
      <c r="E593" s="120"/>
      <c r="F593" s="120"/>
      <c r="G593" s="120"/>
      <c r="L593" s="120"/>
      <c r="M593" s="120"/>
      <c r="N593" s="120"/>
      <c r="O593" s="120"/>
      <c r="P593" s="120"/>
      <c r="Q593" s="120"/>
      <c r="R593" s="120"/>
      <c r="S593" s="120"/>
      <c r="T593" s="120"/>
    </row>
    <row r="594">
      <c r="A594" s="291"/>
      <c r="B594" s="120"/>
      <c r="C594" s="120"/>
      <c r="D594" s="120"/>
      <c r="E594" s="120"/>
      <c r="F594" s="120"/>
      <c r="G594" s="120"/>
      <c r="L594" s="120"/>
      <c r="M594" s="120"/>
      <c r="N594" s="120"/>
      <c r="O594" s="120"/>
      <c r="P594" s="120"/>
      <c r="Q594" s="120"/>
      <c r="R594" s="120"/>
      <c r="S594" s="120"/>
      <c r="T594" s="120"/>
    </row>
    <row r="595">
      <c r="A595" s="291"/>
      <c r="B595" s="120"/>
      <c r="C595" s="120"/>
      <c r="D595" s="120"/>
      <c r="E595" s="120"/>
      <c r="F595" s="120"/>
      <c r="G595" s="120"/>
      <c r="L595" s="120"/>
      <c r="M595" s="120"/>
      <c r="N595" s="120"/>
      <c r="O595" s="120"/>
      <c r="P595" s="120"/>
      <c r="Q595" s="120"/>
      <c r="R595" s="120"/>
      <c r="S595" s="120"/>
      <c r="T595" s="120"/>
    </row>
    <row r="596">
      <c r="A596" s="291"/>
      <c r="B596" s="120"/>
      <c r="C596" s="120"/>
      <c r="D596" s="120"/>
      <c r="E596" s="120"/>
      <c r="F596" s="120"/>
      <c r="G596" s="120"/>
      <c r="L596" s="120"/>
      <c r="M596" s="120"/>
      <c r="N596" s="120"/>
      <c r="O596" s="120"/>
      <c r="P596" s="120"/>
      <c r="Q596" s="120"/>
      <c r="R596" s="120"/>
      <c r="S596" s="120"/>
      <c r="T596" s="120"/>
    </row>
    <row r="597">
      <c r="A597" s="291"/>
      <c r="B597" s="120"/>
      <c r="C597" s="120"/>
      <c r="D597" s="120"/>
      <c r="E597" s="120"/>
      <c r="F597" s="120"/>
      <c r="G597" s="120"/>
      <c r="L597" s="120"/>
      <c r="M597" s="120"/>
      <c r="N597" s="120"/>
      <c r="O597" s="120"/>
      <c r="P597" s="120"/>
      <c r="Q597" s="120"/>
      <c r="R597" s="120"/>
      <c r="S597" s="120"/>
      <c r="T597" s="120"/>
    </row>
    <row r="598">
      <c r="A598" s="291"/>
      <c r="B598" s="120"/>
      <c r="C598" s="120"/>
      <c r="D598" s="120"/>
      <c r="E598" s="120"/>
      <c r="F598" s="120"/>
      <c r="G598" s="120"/>
      <c r="L598" s="120"/>
      <c r="M598" s="120"/>
      <c r="N598" s="120"/>
      <c r="O598" s="120"/>
      <c r="P598" s="120"/>
      <c r="Q598" s="120"/>
      <c r="R598" s="120"/>
      <c r="S598" s="120"/>
      <c r="T598" s="120"/>
    </row>
    <row r="599">
      <c r="A599" s="291"/>
      <c r="B599" s="120"/>
      <c r="C599" s="120"/>
      <c r="D599" s="120"/>
      <c r="E599" s="120"/>
      <c r="F599" s="120"/>
      <c r="G599" s="120"/>
      <c r="L599" s="120"/>
      <c r="M599" s="120"/>
      <c r="N599" s="120"/>
      <c r="O599" s="120"/>
      <c r="P599" s="120"/>
      <c r="Q599" s="120"/>
      <c r="R599" s="120"/>
      <c r="S599" s="120"/>
      <c r="T599" s="120"/>
    </row>
    <row r="600">
      <c r="A600" s="291"/>
      <c r="B600" s="120"/>
      <c r="C600" s="120"/>
      <c r="D600" s="120"/>
      <c r="E600" s="120"/>
      <c r="F600" s="120"/>
      <c r="G600" s="120"/>
      <c r="L600" s="120"/>
      <c r="M600" s="120"/>
      <c r="N600" s="120"/>
      <c r="O600" s="120"/>
      <c r="P600" s="120"/>
      <c r="Q600" s="120"/>
      <c r="R600" s="120"/>
      <c r="S600" s="120"/>
      <c r="T600" s="120"/>
    </row>
    <row r="601">
      <c r="A601" s="291"/>
      <c r="B601" s="120"/>
      <c r="C601" s="120"/>
      <c r="D601" s="120"/>
      <c r="E601" s="120"/>
      <c r="F601" s="120"/>
      <c r="G601" s="120"/>
      <c r="L601" s="120"/>
      <c r="M601" s="120"/>
      <c r="N601" s="120"/>
      <c r="O601" s="120"/>
      <c r="P601" s="120"/>
      <c r="Q601" s="120"/>
      <c r="R601" s="120"/>
      <c r="S601" s="120"/>
      <c r="T601" s="120"/>
    </row>
    <row r="602">
      <c r="A602" s="291"/>
      <c r="B602" s="120"/>
      <c r="C602" s="120"/>
      <c r="D602" s="120"/>
      <c r="E602" s="120"/>
      <c r="F602" s="120"/>
      <c r="G602" s="120"/>
      <c r="L602" s="120"/>
      <c r="M602" s="120"/>
      <c r="N602" s="120"/>
      <c r="O602" s="120"/>
      <c r="P602" s="120"/>
      <c r="Q602" s="120"/>
      <c r="R602" s="120"/>
      <c r="S602" s="120"/>
      <c r="T602" s="120"/>
    </row>
    <row r="603">
      <c r="A603" s="291"/>
      <c r="B603" s="120"/>
      <c r="C603" s="120"/>
      <c r="D603" s="120"/>
      <c r="E603" s="120"/>
      <c r="F603" s="120"/>
      <c r="G603" s="120"/>
      <c r="L603" s="120"/>
      <c r="M603" s="120"/>
      <c r="N603" s="120"/>
      <c r="O603" s="120"/>
      <c r="P603" s="120"/>
      <c r="Q603" s="120"/>
      <c r="R603" s="120"/>
      <c r="S603" s="120"/>
      <c r="T603" s="120"/>
    </row>
    <row r="604">
      <c r="A604" s="291"/>
      <c r="B604" s="120"/>
      <c r="C604" s="120"/>
      <c r="D604" s="120"/>
      <c r="E604" s="120"/>
      <c r="F604" s="120"/>
      <c r="G604" s="120"/>
      <c r="L604" s="120"/>
      <c r="M604" s="120"/>
      <c r="N604" s="120"/>
      <c r="O604" s="120"/>
      <c r="P604" s="120"/>
      <c r="Q604" s="120"/>
      <c r="R604" s="120"/>
      <c r="S604" s="120"/>
      <c r="T604" s="120"/>
    </row>
    <row r="605">
      <c r="A605" s="291"/>
      <c r="B605" s="120"/>
      <c r="C605" s="120"/>
      <c r="D605" s="120"/>
      <c r="E605" s="120"/>
      <c r="F605" s="120"/>
      <c r="G605" s="120"/>
      <c r="L605" s="120"/>
      <c r="M605" s="120"/>
      <c r="N605" s="120"/>
      <c r="O605" s="120"/>
      <c r="P605" s="120"/>
      <c r="Q605" s="120"/>
      <c r="R605" s="120"/>
      <c r="S605" s="120"/>
      <c r="T605" s="120"/>
    </row>
    <row r="606">
      <c r="A606" s="291"/>
      <c r="B606" s="120"/>
      <c r="C606" s="120"/>
      <c r="D606" s="120"/>
      <c r="E606" s="120"/>
      <c r="F606" s="120"/>
      <c r="G606" s="120"/>
      <c r="L606" s="120"/>
      <c r="M606" s="120"/>
      <c r="N606" s="120"/>
      <c r="O606" s="120"/>
      <c r="P606" s="120"/>
      <c r="Q606" s="120"/>
      <c r="R606" s="120"/>
      <c r="S606" s="120"/>
      <c r="T606" s="120"/>
    </row>
    <row r="607">
      <c r="A607" s="291"/>
      <c r="B607" s="120"/>
      <c r="C607" s="120"/>
      <c r="D607" s="120"/>
      <c r="E607" s="120"/>
      <c r="F607" s="120"/>
      <c r="G607" s="120"/>
      <c r="L607" s="120"/>
      <c r="M607" s="120"/>
      <c r="N607" s="120"/>
      <c r="O607" s="120"/>
      <c r="P607" s="120"/>
      <c r="Q607" s="120"/>
      <c r="R607" s="120"/>
      <c r="S607" s="120"/>
      <c r="T607" s="120"/>
    </row>
    <row r="608">
      <c r="A608" s="291"/>
      <c r="B608" s="120"/>
      <c r="C608" s="120"/>
      <c r="D608" s="120"/>
      <c r="E608" s="120"/>
      <c r="F608" s="120"/>
      <c r="G608" s="120"/>
      <c r="L608" s="120"/>
      <c r="M608" s="120"/>
      <c r="N608" s="120"/>
      <c r="O608" s="120"/>
      <c r="P608" s="120"/>
      <c r="Q608" s="120"/>
      <c r="R608" s="120"/>
      <c r="S608" s="120"/>
      <c r="T608" s="120"/>
    </row>
    <row r="609">
      <c r="A609" s="291"/>
      <c r="B609" s="120"/>
      <c r="C609" s="120"/>
      <c r="D609" s="120"/>
      <c r="E609" s="120"/>
      <c r="F609" s="120"/>
      <c r="G609" s="120"/>
      <c r="L609" s="120"/>
      <c r="M609" s="120"/>
      <c r="N609" s="120"/>
      <c r="O609" s="120"/>
      <c r="P609" s="120"/>
      <c r="Q609" s="120"/>
      <c r="R609" s="120"/>
      <c r="S609" s="120"/>
      <c r="T609" s="120"/>
    </row>
    <row r="610">
      <c r="A610" s="291"/>
      <c r="B610" s="120"/>
      <c r="C610" s="120"/>
      <c r="D610" s="120"/>
      <c r="E610" s="120"/>
      <c r="F610" s="120"/>
      <c r="G610" s="120"/>
      <c r="L610" s="120"/>
      <c r="M610" s="120"/>
      <c r="N610" s="120"/>
      <c r="O610" s="120"/>
      <c r="P610" s="120"/>
      <c r="Q610" s="120"/>
      <c r="R610" s="120"/>
      <c r="S610" s="120"/>
      <c r="T610" s="120"/>
    </row>
    <row r="611">
      <c r="A611" s="291"/>
      <c r="B611" s="120"/>
      <c r="C611" s="120"/>
      <c r="D611" s="120"/>
      <c r="E611" s="120"/>
      <c r="F611" s="120"/>
      <c r="G611" s="120"/>
      <c r="L611" s="120"/>
      <c r="M611" s="120"/>
      <c r="N611" s="120"/>
      <c r="O611" s="120"/>
      <c r="P611" s="120"/>
      <c r="Q611" s="120"/>
      <c r="R611" s="120"/>
      <c r="S611" s="120"/>
      <c r="T611" s="120"/>
    </row>
    <row r="612">
      <c r="A612" s="291"/>
      <c r="B612" s="120"/>
      <c r="C612" s="120"/>
      <c r="D612" s="120"/>
      <c r="E612" s="120"/>
      <c r="F612" s="120"/>
      <c r="G612" s="120"/>
      <c r="L612" s="120"/>
      <c r="M612" s="120"/>
      <c r="N612" s="120"/>
      <c r="O612" s="120"/>
      <c r="P612" s="120"/>
      <c r="Q612" s="120"/>
      <c r="R612" s="120"/>
      <c r="S612" s="120"/>
      <c r="T612" s="120"/>
    </row>
    <row r="613">
      <c r="A613" s="291"/>
      <c r="B613" s="120"/>
      <c r="C613" s="120"/>
      <c r="D613" s="120"/>
      <c r="E613" s="120"/>
      <c r="F613" s="120"/>
      <c r="G613" s="120"/>
      <c r="L613" s="120"/>
      <c r="M613" s="120"/>
      <c r="N613" s="120"/>
      <c r="O613" s="120"/>
      <c r="P613" s="120"/>
      <c r="Q613" s="120"/>
      <c r="R613" s="120"/>
      <c r="S613" s="120"/>
      <c r="T613" s="120"/>
    </row>
    <row r="614">
      <c r="A614" s="291"/>
      <c r="B614" s="120"/>
      <c r="C614" s="120"/>
      <c r="D614" s="120"/>
      <c r="E614" s="120"/>
      <c r="F614" s="120"/>
      <c r="G614" s="120"/>
      <c r="L614" s="120"/>
      <c r="M614" s="120"/>
      <c r="N614" s="120"/>
      <c r="O614" s="120"/>
      <c r="P614" s="120"/>
      <c r="Q614" s="120"/>
      <c r="R614" s="120"/>
      <c r="S614" s="120"/>
      <c r="T614" s="120"/>
    </row>
    <row r="615">
      <c r="A615" s="291"/>
      <c r="B615" s="120"/>
      <c r="C615" s="120"/>
      <c r="D615" s="120"/>
      <c r="E615" s="120"/>
      <c r="F615" s="120"/>
      <c r="G615" s="120"/>
      <c r="L615" s="120"/>
      <c r="M615" s="120"/>
      <c r="N615" s="120"/>
      <c r="O615" s="120"/>
      <c r="P615" s="120"/>
      <c r="Q615" s="120"/>
      <c r="R615" s="120"/>
      <c r="S615" s="120"/>
      <c r="T615" s="120"/>
    </row>
    <row r="616">
      <c r="A616" s="291"/>
      <c r="B616" s="120"/>
      <c r="C616" s="120"/>
      <c r="D616" s="120"/>
      <c r="E616" s="120"/>
      <c r="F616" s="120"/>
      <c r="G616" s="120"/>
      <c r="L616" s="120"/>
      <c r="M616" s="120"/>
      <c r="N616" s="120"/>
      <c r="O616" s="120"/>
      <c r="P616" s="120"/>
      <c r="Q616" s="120"/>
      <c r="R616" s="120"/>
      <c r="S616" s="120"/>
      <c r="T616" s="120"/>
    </row>
    <row r="617">
      <c r="A617" s="291"/>
      <c r="B617" s="120"/>
      <c r="C617" s="120"/>
      <c r="D617" s="120"/>
      <c r="E617" s="120"/>
      <c r="F617" s="120"/>
      <c r="G617" s="120"/>
      <c r="L617" s="120"/>
      <c r="M617" s="120"/>
      <c r="N617" s="120"/>
      <c r="O617" s="120"/>
      <c r="P617" s="120"/>
      <c r="Q617" s="120"/>
      <c r="R617" s="120"/>
      <c r="S617" s="120"/>
      <c r="T617" s="120"/>
    </row>
    <row r="618">
      <c r="A618" s="291"/>
      <c r="B618" s="120"/>
      <c r="C618" s="120"/>
      <c r="D618" s="120"/>
      <c r="E618" s="120"/>
      <c r="F618" s="120"/>
      <c r="G618" s="120"/>
      <c r="L618" s="120"/>
      <c r="M618" s="120"/>
      <c r="N618" s="120"/>
      <c r="O618" s="120"/>
      <c r="P618" s="120"/>
      <c r="Q618" s="120"/>
      <c r="R618" s="120"/>
      <c r="S618" s="120"/>
      <c r="T618" s="120"/>
    </row>
    <row r="619">
      <c r="A619" s="291"/>
      <c r="B619" s="120"/>
      <c r="C619" s="120"/>
      <c r="D619" s="120"/>
      <c r="E619" s="120"/>
      <c r="F619" s="120"/>
      <c r="G619" s="120"/>
      <c r="L619" s="120"/>
      <c r="M619" s="120"/>
      <c r="N619" s="120"/>
      <c r="O619" s="120"/>
      <c r="P619" s="120"/>
      <c r="Q619" s="120"/>
      <c r="R619" s="120"/>
      <c r="S619" s="120"/>
      <c r="T619" s="120"/>
    </row>
    <row r="620">
      <c r="A620" s="291"/>
      <c r="B620" s="120"/>
      <c r="C620" s="120"/>
      <c r="D620" s="120"/>
      <c r="E620" s="120"/>
      <c r="F620" s="120"/>
      <c r="G620" s="120"/>
      <c r="L620" s="120"/>
      <c r="M620" s="120"/>
      <c r="N620" s="120"/>
      <c r="O620" s="120"/>
      <c r="P620" s="120"/>
      <c r="Q620" s="120"/>
      <c r="R620" s="120"/>
      <c r="S620" s="120"/>
      <c r="T620" s="120"/>
    </row>
    <row r="621">
      <c r="A621" s="291"/>
      <c r="B621" s="120"/>
      <c r="C621" s="120"/>
      <c r="D621" s="120"/>
      <c r="E621" s="120"/>
      <c r="F621" s="120"/>
      <c r="G621" s="120"/>
      <c r="L621" s="120"/>
      <c r="M621" s="120"/>
      <c r="N621" s="120"/>
      <c r="O621" s="120"/>
      <c r="P621" s="120"/>
      <c r="Q621" s="120"/>
      <c r="R621" s="120"/>
      <c r="S621" s="120"/>
      <c r="T621" s="120"/>
    </row>
    <row r="622">
      <c r="A622" s="291"/>
      <c r="B622" s="120"/>
      <c r="C622" s="120"/>
      <c r="D622" s="120"/>
      <c r="E622" s="120"/>
      <c r="F622" s="120"/>
      <c r="G622" s="120"/>
      <c r="L622" s="120"/>
      <c r="M622" s="120"/>
      <c r="N622" s="120"/>
      <c r="O622" s="120"/>
      <c r="P622" s="120"/>
      <c r="Q622" s="120"/>
      <c r="R622" s="120"/>
      <c r="S622" s="120"/>
      <c r="T622" s="120"/>
    </row>
    <row r="623">
      <c r="A623" s="291"/>
      <c r="B623" s="120"/>
      <c r="C623" s="120"/>
      <c r="D623" s="120"/>
      <c r="E623" s="120"/>
      <c r="F623" s="120"/>
      <c r="G623" s="120"/>
      <c r="L623" s="120"/>
      <c r="M623" s="120"/>
      <c r="N623" s="120"/>
      <c r="O623" s="120"/>
      <c r="P623" s="120"/>
      <c r="Q623" s="120"/>
      <c r="R623" s="120"/>
      <c r="S623" s="120"/>
      <c r="T623" s="120"/>
    </row>
    <row r="624">
      <c r="A624" s="291"/>
      <c r="B624" s="120"/>
      <c r="C624" s="120"/>
      <c r="D624" s="120"/>
      <c r="E624" s="120"/>
      <c r="F624" s="120"/>
      <c r="G624" s="120"/>
      <c r="L624" s="120"/>
      <c r="M624" s="120"/>
      <c r="N624" s="120"/>
      <c r="O624" s="120"/>
      <c r="P624" s="120"/>
      <c r="Q624" s="120"/>
      <c r="R624" s="120"/>
      <c r="S624" s="120"/>
      <c r="T624" s="120"/>
    </row>
    <row r="625">
      <c r="A625" s="291"/>
      <c r="B625" s="120"/>
      <c r="C625" s="120"/>
      <c r="D625" s="120"/>
      <c r="E625" s="120"/>
      <c r="F625" s="120"/>
      <c r="G625" s="120"/>
      <c r="L625" s="120"/>
      <c r="M625" s="120"/>
      <c r="N625" s="120"/>
      <c r="O625" s="120"/>
      <c r="P625" s="120"/>
      <c r="Q625" s="120"/>
      <c r="R625" s="120"/>
      <c r="S625" s="120"/>
      <c r="T625" s="120"/>
    </row>
    <row r="626">
      <c r="A626" s="291"/>
      <c r="B626" s="120"/>
      <c r="C626" s="120"/>
      <c r="D626" s="120"/>
      <c r="E626" s="120"/>
      <c r="F626" s="120"/>
      <c r="G626" s="120"/>
      <c r="L626" s="120"/>
      <c r="M626" s="120"/>
      <c r="N626" s="120"/>
      <c r="O626" s="120"/>
      <c r="P626" s="120"/>
      <c r="Q626" s="120"/>
      <c r="R626" s="120"/>
      <c r="S626" s="120"/>
      <c r="T626" s="120"/>
    </row>
    <row r="627">
      <c r="A627" s="291"/>
      <c r="B627" s="120"/>
      <c r="C627" s="120"/>
      <c r="D627" s="120"/>
      <c r="E627" s="120"/>
      <c r="F627" s="120"/>
      <c r="G627" s="120"/>
      <c r="L627" s="120"/>
      <c r="M627" s="120"/>
      <c r="N627" s="120"/>
      <c r="O627" s="120"/>
      <c r="P627" s="120"/>
      <c r="Q627" s="120"/>
      <c r="R627" s="120"/>
      <c r="S627" s="120"/>
      <c r="T627" s="120"/>
    </row>
    <row r="628">
      <c r="A628" s="291"/>
      <c r="B628" s="120"/>
      <c r="C628" s="120"/>
      <c r="D628" s="120"/>
      <c r="E628" s="120"/>
      <c r="F628" s="120"/>
      <c r="G628" s="120"/>
      <c r="L628" s="120"/>
      <c r="M628" s="120"/>
      <c r="N628" s="120"/>
      <c r="O628" s="120"/>
      <c r="P628" s="120"/>
      <c r="Q628" s="120"/>
      <c r="R628" s="120"/>
      <c r="S628" s="120"/>
      <c r="T628" s="120"/>
    </row>
    <row r="629">
      <c r="A629" s="291"/>
      <c r="B629" s="120"/>
      <c r="C629" s="120"/>
      <c r="D629" s="120"/>
      <c r="E629" s="120"/>
      <c r="F629" s="120"/>
      <c r="G629" s="120"/>
      <c r="L629" s="120"/>
      <c r="M629" s="120"/>
      <c r="N629" s="120"/>
      <c r="O629" s="120"/>
      <c r="P629" s="120"/>
      <c r="Q629" s="120"/>
      <c r="R629" s="120"/>
      <c r="S629" s="120"/>
      <c r="T629" s="120"/>
    </row>
    <row r="630">
      <c r="A630" s="291"/>
      <c r="B630" s="120"/>
      <c r="C630" s="120"/>
      <c r="D630" s="120"/>
      <c r="E630" s="120"/>
      <c r="F630" s="120"/>
      <c r="G630" s="120"/>
      <c r="L630" s="120"/>
      <c r="M630" s="120"/>
      <c r="N630" s="120"/>
      <c r="O630" s="120"/>
      <c r="P630" s="120"/>
      <c r="Q630" s="120"/>
      <c r="R630" s="120"/>
      <c r="S630" s="120"/>
      <c r="T630" s="120"/>
    </row>
    <row r="631">
      <c r="A631" s="291"/>
      <c r="B631" s="120"/>
      <c r="C631" s="120"/>
      <c r="D631" s="120"/>
      <c r="E631" s="120"/>
      <c r="F631" s="120"/>
      <c r="G631" s="120"/>
      <c r="L631" s="120"/>
      <c r="M631" s="120"/>
      <c r="N631" s="120"/>
      <c r="O631" s="120"/>
      <c r="P631" s="120"/>
      <c r="Q631" s="120"/>
      <c r="R631" s="120"/>
      <c r="S631" s="120"/>
      <c r="T631" s="120"/>
    </row>
    <row r="632">
      <c r="A632" s="291"/>
      <c r="B632" s="120"/>
      <c r="C632" s="120"/>
      <c r="D632" s="120"/>
      <c r="E632" s="120"/>
      <c r="F632" s="120"/>
      <c r="G632" s="120"/>
      <c r="L632" s="120"/>
      <c r="M632" s="120"/>
      <c r="N632" s="120"/>
      <c r="O632" s="120"/>
      <c r="P632" s="120"/>
      <c r="Q632" s="120"/>
      <c r="R632" s="120"/>
      <c r="S632" s="120"/>
      <c r="T632" s="120"/>
    </row>
    <row r="633">
      <c r="A633" s="291"/>
      <c r="B633" s="120"/>
      <c r="C633" s="120"/>
      <c r="D633" s="120"/>
      <c r="E633" s="120"/>
      <c r="F633" s="120"/>
      <c r="G633" s="120"/>
      <c r="L633" s="120"/>
      <c r="M633" s="120"/>
      <c r="N633" s="120"/>
      <c r="O633" s="120"/>
      <c r="P633" s="120"/>
      <c r="Q633" s="120"/>
      <c r="R633" s="120"/>
      <c r="S633" s="120"/>
      <c r="T633" s="120"/>
    </row>
    <row r="634">
      <c r="A634" s="291"/>
      <c r="B634" s="120"/>
      <c r="C634" s="120"/>
      <c r="D634" s="120"/>
      <c r="E634" s="120"/>
      <c r="F634" s="120"/>
      <c r="G634" s="120"/>
      <c r="L634" s="120"/>
      <c r="M634" s="120"/>
      <c r="N634" s="120"/>
      <c r="O634" s="120"/>
      <c r="P634" s="120"/>
      <c r="Q634" s="120"/>
      <c r="R634" s="120"/>
      <c r="S634" s="120"/>
      <c r="T634" s="120"/>
    </row>
    <row r="635">
      <c r="A635" s="291"/>
      <c r="B635" s="120"/>
      <c r="C635" s="120"/>
      <c r="D635" s="120"/>
      <c r="E635" s="120"/>
      <c r="F635" s="120"/>
      <c r="G635" s="120"/>
      <c r="L635" s="120"/>
      <c r="M635" s="120"/>
      <c r="N635" s="120"/>
      <c r="O635" s="120"/>
      <c r="P635" s="120"/>
      <c r="Q635" s="120"/>
      <c r="R635" s="120"/>
      <c r="S635" s="120"/>
      <c r="T635" s="120"/>
    </row>
    <row r="636">
      <c r="A636" s="291"/>
      <c r="B636" s="120"/>
      <c r="C636" s="120"/>
      <c r="D636" s="120"/>
      <c r="E636" s="120"/>
      <c r="F636" s="120"/>
      <c r="G636" s="120"/>
      <c r="L636" s="120"/>
      <c r="M636" s="120"/>
      <c r="N636" s="120"/>
      <c r="O636" s="120"/>
      <c r="P636" s="120"/>
      <c r="Q636" s="120"/>
      <c r="R636" s="120"/>
      <c r="S636" s="120"/>
      <c r="T636" s="120"/>
    </row>
    <row r="637">
      <c r="A637" s="291"/>
      <c r="B637" s="120"/>
      <c r="C637" s="120"/>
      <c r="D637" s="120"/>
      <c r="E637" s="120"/>
      <c r="F637" s="120"/>
      <c r="G637" s="120"/>
      <c r="L637" s="120"/>
      <c r="M637" s="120"/>
      <c r="N637" s="120"/>
      <c r="O637" s="120"/>
      <c r="P637" s="120"/>
      <c r="Q637" s="120"/>
      <c r="R637" s="120"/>
      <c r="S637" s="120"/>
      <c r="T637" s="120"/>
    </row>
    <row r="638">
      <c r="A638" s="291"/>
      <c r="B638" s="120"/>
      <c r="C638" s="120"/>
      <c r="D638" s="120"/>
      <c r="E638" s="120"/>
      <c r="F638" s="120"/>
      <c r="G638" s="120"/>
      <c r="L638" s="120"/>
      <c r="M638" s="120"/>
      <c r="N638" s="120"/>
      <c r="O638" s="120"/>
      <c r="P638" s="120"/>
      <c r="Q638" s="120"/>
      <c r="R638" s="120"/>
      <c r="S638" s="120"/>
      <c r="T638" s="120"/>
    </row>
    <row r="639">
      <c r="A639" s="291"/>
      <c r="B639" s="120"/>
      <c r="C639" s="120"/>
      <c r="D639" s="120"/>
      <c r="E639" s="120"/>
      <c r="F639" s="120"/>
      <c r="G639" s="120"/>
      <c r="L639" s="120"/>
      <c r="M639" s="120"/>
      <c r="N639" s="120"/>
      <c r="O639" s="120"/>
      <c r="P639" s="120"/>
      <c r="Q639" s="120"/>
      <c r="R639" s="120"/>
      <c r="S639" s="120"/>
      <c r="T639" s="120"/>
    </row>
    <row r="640">
      <c r="A640" s="291"/>
      <c r="B640" s="120"/>
      <c r="C640" s="120"/>
      <c r="D640" s="120"/>
      <c r="E640" s="120"/>
      <c r="F640" s="120"/>
      <c r="G640" s="120"/>
      <c r="L640" s="120"/>
      <c r="M640" s="120"/>
      <c r="N640" s="120"/>
      <c r="O640" s="120"/>
      <c r="P640" s="120"/>
      <c r="Q640" s="120"/>
      <c r="R640" s="120"/>
      <c r="S640" s="120"/>
      <c r="T640" s="120"/>
    </row>
    <row r="641">
      <c r="A641" s="291"/>
      <c r="B641" s="120"/>
      <c r="C641" s="120"/>
      <c r="D641" s="120"/>
      <c r="E641" s="120"/>
      <c r="F641" s="120"/>
      <c r="G641" s="120"/>
      <c r="L641" s="120"/>
      <c r="M641" s="120"/>
      <c r="N641" s="120"/>
      <c r="O641" s="120"/>
      <c r="P641" s="120"/>
      <c r="Q641" s="120"/>
      <c r="R641" s="120"/>
      <c r="S641" s="120"/>
      <c r="T641" s="120"/>
    </row>
    <row r="642">
      <c r="A642" s="291"/>
      <c r="B642" s="120"/>
      <c r="C642" s="120"/>
      <c r="D642" s="120"/>
      <c r="E642" s="120"/>
      <c r="F642" s="120"/>
      <c r="G642" s="120"/>
      <c r="L642" s="120"/>
      <c r="M642" s="120"/>
      <c r="N642" s="120"/>
      <c r="O642" s="120"/>
      <c r="P642" s="120"/>
      <c r="Q642" s="120"/>
      <c r="R642" s="120"/>
      <c r="S642" s="120"/>
      <c r="T642" s="120"/>
    </row>
    <row r="643">
      <c r="A643" s="291"/>
      <c r="B643" s="120"/>
      <c r="C643" s="120"/>
      <c r="D643" s="120"/>
      <c r="E643" s="120"/>
      <c r="F643" s="120"/>
      <c r="G643" s="120"/>
      <c r="L643" s="120"/>
      <c r="M643" s="120"/>
      <c r="N643" s="120"/>
      <c r="O643" s="120"/>
      <c r="P643" s="120"/>
      <c r="Q643" s="120"/>
      <c r="R643" s="120"/>
      <c r="S643" s="120"/>
      <c r="T643" s="120"/>
    </row>
    <row r="644">
      <c r="A644" s="291"/>
      <c r="B644" s="120"/>
      <c r="C644" s="120"/>
      <c r="D644" s="120"/>
      <c r="E644" s="120"/>
      <c r="F644" s="120"/>
      <c r="G644" s="120"/>
      <c r="L644" s="120"/>
      <c r="M644" s="120"/>
      <c r="N644" s="120"/>
      <c r="O644" s="120"/>
      <c r="P644" s="120"/>
      <c r="Q644" s="120"/>
      <c r="R644" s="120"/>
      <c r="S644" s="120"/>
      <c r="T644" s="120"/>
    </row>
    <row r="645">
      <c r="A645" s="291"/>
      <c r="B645" s="120"/>
      <c r="C645" s="120"/>
      <c r="D645" s="120"/>
      <c r="E645" s="120"/>
      <c r="F645" s="120"/>
      <c r="G645" s="120"/>
      <c r="L645" s="120"/>
      <c r="M645" s="120"/>
      <c r="N645" s="120"/>
      <c r="O645" s="120"/>
      <c r="P645" s="120"/>
      <c r="Q645" s="120"/>
      <c r="R645" s="120"/>
      <c r="S645" s="120"/>
      <c r="T645" s="120"/>
    </row>
    <row r="646">
      <c r="A646" s="291"/>
      <c r="B646" s="120"/>
      <c r="C646" s="120"/>
      <c r="D646" s="120"/>
      <c r="E646" s="120"/>
      <c r="F646" s="120"/>
      <c r="G646" s="120"/>
      <c r="L646" s="120"/>
      <c r="M646" s="120"/>
      <c r="N646" s="120"/>
      <c r="O646" s="120"/>
      <c r="P646" s="120"/>
      <c r="Q646" s="120"/>
      <c r="R646" s="120"/>
      <c r="S646" s="120"/>
      <c r="T646" s="120"/>
    </row>
    <row r="647">
      <c r="A647" s="291"/>
      <c r="B647" s="120"/>
      <c r="C647" s="120"/>
      <c r="D647" s="120"/>
      <c r="E647" s="120"/>
      <c r="F647" s="120"/>
      <c r="G647" s="120"/>
      <c r="L647" s="120"/>
      <c r="M647" s="120"/>
      <c r="N647" s="120"/>
      <c r="O647" s="120"/>
      <c r="P647" s="120"/>
      <c r="Q647" s="120"/>
      <c r="R647" s="120"/>
      <c r="S647" s="120"/>
      <c r="T647" s="120"/>
    </row>
    <row r="648">
      <c r="A648" s="291"/>
      <c r="B648" s="120"/>
      <c r="C648" s="120"/>
      <c r="D648" s="120"/>
      <c r="E648" s="120"/>
      <c r="F648" s="120"/>
      <c r="G648" s="120"/>
      <c r="L648" s="120"/>
      <c r="M648" s="120"/>
      <c r="N648" s="120"/>
      <c r="O648" s="120"/>
      <c r="P648" s="120"/>
      <c r="Q648" s="120"/>
      <c r="R648" s="120"/>
      <c r="S648" s="120"/>
      <c r="T648" s="120"/>
    </row>
    <row r="649">
      <c r="A649" s="291"/>
      <c r="B649" s="120"/>
      <c r="C649" s="120"/>
      <c r="D649" s="120"/>
      <c r="E649" s="120"/>
      <c r="F649" s="120"/>
      <c r="G649" s="120"/>
      <c r="L649" s="120"/>
      <c r="M649" s="120"/>
      <c r="N649" s="120"/>
      <c r="O649" s="120"/>
      <c r="P649" s="120"/>
      <c r="Q649" s="120"/>
      <c r="R649" s="120"/>
      <c r="S649" s="120"/>
      <c r="T649" s="120"/>
    </row>
    <row r="650">
      <c r="A650" s="291"/>
      <c r="B650" s="120"/>
      <c r="C650" s="120"/>
      <c r="D650" s="120"/>
      <c r="E650" s="120"/>
      <c r="F650" s="120"/>
      <c r="G650" s="120"/>
      <c r="L650" s="120"/>
      <c r="M650" s="120"/>
      <c r="N650" s="120"/>
      <c r="O650" s="120"/>
      <c r="P650" s="120"/>
      <c r="Q650" s="120"/>
      <c r="R650" s="120"/>
      <c r="S650" s="120"/>
      <c r="T650" s="120"/>
    </row>
    <row r="651">
      <c r="A651" s="291"/>
      <c r="B651" s="120"/>
      <c r="C651" s="120"/>
      <c r="D651" s="120"/>
      <c r="E651" s="120"/>
      <c r="F651" s="120"/>
      <c r="G651" s="120"/>
      <c r="L651" s="120"/>
      <c r="M651" s="120"/>
      <c r="N651" s="120"/>
      <c r="O651" s="120"/>
      <c r="P651" s="120"/>
      <c r="Q651" s="120"/>
      <c r="R651" s="120"/>
      <c r="S651" s="120"/>
      <c r="T651" s="120"/>
    </row>
    <row r="652">
      <c r="A652" s="291"/>
      <c r="B652" s="120"/>
      <c r="C652" s="120"/>
      <c r="D652" s="120"/>
      <c r="E652" s="120"/>
      <c r="F652" s="120"/>
      <c r="G652" s="120"/>
      <c r="L652" s="120"/>
      <c r="M652" s="120"/>
      <c r="N652" s="120"/>
      <c r="O652" s="120"/>
      <c r="P652" s="120"/>
      <c r="Q652" s="120"/>
      <c r="R652" s="120"/>
      <c r="S652" s="120"/>
      <c r="T652" s="120"/>
    </row>
    <row r="653">
      <c r="A653" s="291"/>
      <c r="B653" s="120"/>
      <c r="C653" s="120"/>
      <c r="D653" s="120"/>
      <c r="E653" s="120"/>
      <c r="F653" s="120"/>
      <c r="G653" s="120"/>
      <c r="L653" s="120"/>
      <c r="M653" s="120"/>
      <c r="N653" s="120"/>
      <c r="O653" s="120"/>
      <c r="P653" s="120"/>
      <c r="Q653" s="120"/>
      <c r="R653" s="120"/>
      <c r="S653" s="120"/>
      <c r="T653" s="120"/>
    </row>
    <row r="654">
      <c r="A654" s="291"/>
      <c r="B654" s="120"/>
      <c r="C654" s="120"/>
      <c r="D654" s="120"/>
      <c r="E654" s="120"/>
      <c r="F654" s="120"/>
      <c r="G654" s="120"/>
      <c r="L654" s="120"/>
      <c r="M654" s="120"/>
      <c r="N654" s="120"/>
      <c r="O654" s="120"/>
      <c r="P654" s="120"/>
      <c r="Q654" s="120"/>
      <c r="R654" s="120"/>
      <c r="S654" s="120"/>
      <c r="T654" s="120"/>
    </row>
    <row r="655">
      <c r="A655" s="291"/>
      <c r="B655" s="120"/>
      <c r="C655" s="120"/>
      <c r="D655" s="120"/>
      <c r="E655" s="120"/>
      <c r="F655" s="120"/>
      <c r="G655" s="120"/>
      <c r="L655" s="120"/>
      <c r="M655" s="120"/>
      <c r="N655" s="120"/>
      <c r="O655" s="120"/>
      <c r="P655" s="120"/>
      <c r="Q655" s="120"/>
      <c r="R655" s="120"/>
      <c r="S655" s="120"/>
      <c r="T655" s="120"/>
    </row>
    <row r="656">
      <c r="A656" s="291"/>
      <c r="B656" s="120"/>
      <c r="C656" s="120"/>
      <c r="D656" s="120"/>
      <c r="E656" s="120"/>
      <c r="F656" s="120"/>
      <c r="G656" s="120"/>
      <c r="L656" s="120"/>
      <c r="M656" s="120"/>
      <c r="N656" s="120"/>
      <c r="O656" s="120"/>
      <c r="P656" s="120"/>
      <c r="Q656" s="120"/>
      <c r="R656" s="120"/>
      <c r="S656" s="120"/>
      <c r="T656" s="120"/>
    </row>
    <row r="657">
      <c r="A657" s="291"/>
      <c r="B657" s="120"/>
      <c r="C657" s="120"/>
      <c r="D657" s="120"/>
      <c r="E657" s="120"/>
      <c r="F657" s="120"/>
      <c r="G657" s="120"/>
      <c r="L657" s="120"/>
      <c r="M657" s="120"/>
      <c r="N657" s="120"/>
      <c r="O657" s="120"/>
      <c r="P657" s="120"/>
      <c r="Q657" s="120"/>
      <c r="R657" s="120"/>
      <c r="S657" s="120"/>
      <c r="T657" s="120"/>
    </row>
    <row r="658">
      <c r="A658" s="291"/>
      <c r="B658" s="120"/>
      <c r="C658" s="120"/>
      <c r="D658" s="120"/>
      <c r="E658" s="120"/>
      <c r="F658" s="120"/>
      <c r="G658" s="120"/>
      <c r="L658" s="120"/>
      <c r="M658" s="120"/>
      <c r="N658" s="120"/>
      <c r="O658" s="120"/>
      <c r="P658" s="120"/>
      <c r="Q658" s="120"/>
      <c r="R658" s="120"/>
      <c r="S658" s="120"/>
      <c r="T658" s="120"/>
    </row>
    <row r="659">
      <c r="A659" s="291"/>
      <c r="B659" s="120"/>
      <c r="C659" s="120"/>
      <c r="D659" s="120"/>
      <c r="E659" s="120"/>
      <c r="F659" s="120"/>
      <c r="G659" s="120"/>
      <c r="L659" s="120"/>
      <c r="M659" s="120"/>
      <c r="N659" s="120"/>
      <c r="O659" s="120"/>
      <c r="P659" s="120"/>
      <c r="Q659" s="120"/>
      <c r="R659" s="120"/>
      <c r="S659" s="120"/>
      <c r="T659" s="120"/>
    </row>
    <row r="660">
      <c r="A660" s="291"/>
      <c r="B660" s="120"/>
      <c r="C660" s="120"/>
      <c r="D660" s="120"/>
      <c r="E660" s="120"/>
      <c r="F660" s="120"/>
      <c r="G660" s="120"/>
      <c r="L660" s="120"/>
      <c r="M660" s="120"/>
      <c r="N660" s="120"/>
      <c r="O660" s="120"/>
      <c r="P660" s="120"/>
      <c r="Q660" s="120"/>
      <c r="R660" s="120"/>
      <c r="S660" s="120"/>
      <c r="T660" s="120"/>
    </row>
    <row r="661">
      <c r="A661" s="291"/>
      <c r="B661" s="120"/>
      <c r="C661" s="120"/>
      <c r="D661" s="120"/>
      <c r="E661" s="120"/>
      <c r="F661" s="120"/>
      <c r="G661" s="120"/>
      <c r="L661" s="120"/>
      <c r="M661" s="120"/>
      <c r="N661" s="120"/>
      <c r="O661" s="120"/>
      <c r="P661" s="120"/>
      <c r="Q661" s="120"/>
      <c r="R661" s="120"/>
      <c r="S661" s="120"/>
      <c r="T661" s="120"/>
    </row>
    <row r="662">
      <c r="A662" s="291"/>
      <c r="B662" s="120"/>
      <c r="C662" s="120"/>
      <c r="D662" s="120"/>
      <c r="E662" s="120"/>
      <c r="F662" s="120"/>
      <c r="G662" s="120"/>
      <c r="L662" s="120"/>
      <c r="M662" s="120"/>
      <c r="N662" s="120"/>
      <c r="O662" s="120"/>
      <c r="P662" s="120"/>
      <c r="Q662" s="120"/>
      <c r="R662" s="120"/>
      <c r="S662" s="120"/>
      <c r="T662" s="120"/>
    </row>
    <row r="663">
      <c r="A663" s="291"/>
      <c r="B663" s="120"/>
      <c r="C663" s="120"/>
      <c r="D663" s="120"/>
      <c r="E663" s="120"/>
      <c r="F663" s="120"/>
      <c r="G663" s="120"/>
      <c r="L663" s="120"/>
      <c r="M663" s="120"/>
      <c r="N663" s="120"/>
      <c r="O663" s="120"/>
      <c r="P663" s="120"/>
      <c r="Q663" s="120"/>
      <c r="R663" s="120"/>
      <c r="S663" s="120"/>
      <c r="T663" s="120"/>
    </row>
    <row r="664">
      <c r="A664" s="291"/>
      <c r="B664" s="120"/>
      <c r="C664" s="120"/>
      <c r="D664" s="120"/>
      <c r="E664" s="120"/>
      <c r="F664" s="120"/>
      <c r="G664" s="120"/>
      <c r="L664" s="120"/>
      <c r="M664" s="120"/>
      <c r="N664" s="120"/>
      <c r="O664" s="120"/>
      <c r="P664" s="120"/>
      <c r="Q664" s="120"/>
      <c r="R664" s="120"/>
      <c r="S664" s="120"/>
      <c r="T664" s="120"/>
    </row>
    <row r="665">
      <c r="A665" s="291"/>
      <c r="B665" s="120"/>
      <c r="C665" s="120"/>
      <c r="D665" s="120"/>
      <c r="E665" s="120"/>
      <c r="F665" s="120"/>
      <c r="G665" s="120"/>
      <c r="L665" s="120"/>
      <c r="M665" s="120"/>
      <c r="N665" s="120"/>
      <c r="O665" s="120"/>
      <c r="P665" s="120"/>
      <c r="Q665" s="120"/>
      <c r="R665" s="120"/>
      <c r="S665" s="120"/>
      <c r="T665" s="120"/>
    </row>
    <row r="666">
      <c r="A666" s="291"/>
      <c r="B666" s="120"/>
      <c r="C666" s="120"/>
      <c r="D666" s="120"/>
      <c r="E666" s="120"/>
      <c r="F666" s="120"/>
      <c r="G666" s="120"/>
      <c r="L666" s="120"/>
      <c r="M666" s="120"/>
      <c r="N666" s="120"/>
      <c r="O666" s="120"/>
      <c r="P666" s="120"/>
      <c r="Q666" s="120"/>
      <c r="R666" s="120"/>
      <c r="S666" s="120"/>
      <c r="T666" s="120"/>
    </row>
    <row r="667">
      <c r="A667" s="291"/>
      <c r="B667" s="120"/>
      <c r="C667" s="120"/>
      <c r="D667" s="120"/>
      <c r="E667" s="120"/>
      <c r="F667" s="120"/>
      <c r="G667" s="120"/>
      <c r="L667" s="120"/>
      <c r="M667" s="120"/>
      <c r="N667" s="120"/>
      <c r="O667" s="120"/>
      <c r="P667" s="120"/>
      <c r="Q667" s="120"/>
      <c r="R667" s="120"/>
      <c r="S667" s="120"/>
      <c r="T667" s="120"/>
    </row>
    <row r="668">
      <c r="A668" s="291"/>
      <c r="B668" s="120"/>
      <c r="C668" s="120"/>
      <c r="D668" s="120"/>
      <c r="E668" s="120"/>
      <c r="F668" s="120"/>
      <c r="G668" s="120"/>
      <c r="L668" s="120"/>
      <c r="M668" s="120"/>
      <c r="N668" s="120"/>
      <c r="O668" s="120"/>
      <c r="P668" s="120"/>
      <c r="Q668" s="120"/>
      <c r="R668" s="120"/>
      <c r="S668" s="120"/>
      <c r="T668" s="120"/>
    </row>
    <row r="669">
      <c r="A669" s="291"/>
      <c r="B669" s="120"/>
      <c r="C669" s="120"/>
      <c r="D669" s="120"/>
      <c r="E669" s="120"/>
      <c r="F669" s="120"/>
      <c r="G669" s="120"/>
      <c r="L669" s="120"/>
      <c r="M669" s="120"/>
      <c r="N669" s="120"/>
      <c r="O669" s="120"/>
      <c r="P669" s="120"/>
      <c r="Q669" s="120"/>
      <c r="R669" s="120"/>
      <c r="S669" s="120"/>
      <c r="T669" s="120"/>
    </row>
    <row r="670">
      <c r="A670" s="291"/>
      <c r="B670" s="120"/>
      <c r="C670" s="120"/>
      <c r="D670" s="120"/>
      <c r="E670" s="120"/>
      <c r="F670" s="120"/>
      <c r="G670" s="120"/>
      <c r="L670" s="120"/>
      <c r="M670" s="120"/>
      <c r="N670" s="120"/>
      <c r="O670" s="120"/>
      <c r="P670" s="120"/>
      <c r="Q670" s="120"/>
      <c r="R670" s="120"/>
      <c r="S670" s="120"/>
      <c r="T670" s="120"/>
    </row>
    <row r="671">
      <c r="A671" s="291"/>
      <c r="B671" s="120"/>
      <c r="C671" s="120"/>
      <c r="D671" s="120"/>
      <c r="E671" s="120"/>
      <c r="F671" s="120"/>
      <c r="G671" s="120"/>
      <c r="L671" s="120"/>
      <c r="M671" s="120"/>
      <c r="N671" s="120"/>
      <c r="O671" s="120"/>
      <c r="P671" s="120"/>
      <c r="Q671" s="120"/>
      <c r="R671" s="120"/>
      <c r="S671" s="120"/>
      <c r="T671" s="120"/>
    </row>
    <row r="672">
      <c r="A672" s="291"/>
      <c r="B672" s="120"/>
      <c r="C672" s="120"/>
      <c r="D672" s="120"/>
      <c r="E672" s="120"/>
      <c r="F672" s="120"/>
      <c r="G672" s="120"/>
      <c r="L672" s="120"/>
      <c r="M672" s="120"/>
      <c r="N672" s="120"/>
      <c r="O672" s="120"/>
      <c r="P672" s="120"/>
      <c r="Q672" s="120"/>
      <c r="R672" s="120"/>
      <c r="S672" s="120"/>
      <c r="T672" s="120"/>
    </row>
    <row r="673">
      <c r="A673" s="291"/>
      <c r="B673" s="120"/>
      <c r="C673" s="120"/>
      <c r="D673" s="120"/>
      <c r="E673" s="120"/>
      <c r="F673" s="120"/>
      <c r="G673" s="120"/>
      <c r="L673" s="120"/>
      <c r="M673" s="120"/>
      <c r="N673" s="120"/>
      <c r="O673" s="120"/>
      <c r="P673" s="120"/>
      <c r="Q673" s="120"/>
      <c r="R673" s="120"/>
      <c r="S673" s="120"/>
      <c r="T673" s="120"/>
    </row>
    <row r="674">
      <c r="A674" s="291"/>
      <c r="B674" s="120"/>
      <c r="C674" s="120"/>
      <c r="D674" s="120"/>
      <c r="E674" s="120"/>
      <c r="F674" s="120"/>
      <c r="G674" s="120"/>
      <c r="L674" s="120"/>
      <c r="M674" s="120"/>
      <c r="N674" s="120"/>
      <c r="O674" s="120"/>
      <c r="P674" s="120"/>
      <c r="Q674" s="120"/>
      <c r="R674" s="120"/>
      <c r="S674" s="120"/>
      <c r="T674" s="120"/>
    </row>
    <row r="675">
      <c r="A675" s="291"/>
      <c r="B675" s="120"/>
      <c r="C675" s="120"/>
      <c r="D675" s="120"/>
      <c r="E675" s="120"/>
      <c r="F675" s="120"/>
      <c r="G675" s="120"/>
      <c r="L675" s="120"/>
      <c r="M675" s="120"/>
      <c r="N675" s="120"/>
      <c r="O675" s="120"/>
      <c r="P675" s="120"/>
      <c r="Q675" s="120"/>
      <c r="R675" s="120"/>
      <c r="S675" s="120"/>
      <c r="T675" s="120"/>
    </row>
    <row r="676">
      <c r="A676" s="291"/>
      <c r="B676" s="120"/>
      <c r="C676" s="120"/>
      <c r="D676" s="120"/>
      <c r="E676" s="120"/>
      <c r="F676" s="120"/>
      <c r="G676" s="120"/>
      <c r="L676" s="120"/>
      <c r="M676" s="120"/>
      <c r="N676" s="120"/>
      <c r="O676" s="120"/>
      <c r="P676" s="120"/>
      <c r="Q676" s="120"/>
      <c r="R676" s="120"/>
      <c r="S676" s="120"/>
      <c r="T676" s="120"/>
    </row>
    <row r="677">
      <c r="A677" s="291"/>
      <c r="B677" s="120"/>
      <c r="C677" s="120"/>
      <c r="D677" s="120"/>
      <c r="E677" s="120"/>
      <c r="F677" s="120"/>
      <c r="G677" s="120"/>
      <c r="L677" s="120"/>
      <c r="M677" s="120"/>
      <c r="N677" s="120"/>
      <c r="O677" s="120"/>
      <c r="P677" s="120"/>
      <c r="Q677" s="120"/>
      <c r="R677" s="120"/>
      <c r="S677" s="120"/>
      <c r="T677" s="120"/>
    </row>
    <row r="678">
      <c r="A678" s="291"/>
      <c r="B678" s="120"/>
      <c r="C678" s="120"/>
      <c r="D678" s="120"/>
      <c r="E678" s="120"/>
      <c r="F678" s="120"/>
      <c r="G678" s="120"/>
      <c r="L678" s="120"/>
      <c r="M678" s="120"/>
      <c r="N678" s="120"/>
      <c r="O678" s="120"/>
      <c r="P678" s="120"/>
      <c r="Q678" s="120"/>
      <c r="R678" s="120"/>
      <c r="S678" s="120"/>
      <c r="T678" s="120"/>
    </row>
    <row r="679">
      <c r="A679" s="291"/>
      <c r="B679" s="120"/>
      <c r="C679" s="120"/>
      <c r="D679" s="120"/>
      <c r="E679" s="120"/>
      <c r="F679" s="120"/>
      <c r="G679" s="120"/>
      <c r="L679" s="120"/>
      <c r="M679" s="120"/>
      <c r="N679" s="120"/>
      <c r="O679" s="120"/>
      <c r="P679" s="120"/>
      <c r="Q679" s="120"/>
      <c r="R679" s="120"/>
      <c r="S679" s="120"/>
      <c r="T679" s="120"/>
    </row>
    <row r="680">
      <c r="A680" s="291"/>
      <c r="B680" s="120"/>
      <c r="C680" s="120"/>
      <c r="D680" s="120"/>
      <c r="E680" s="120"/>
      <c r="F680" s="120"/>
      <c r="G680" s="120"/>
      <c r="L680" s="120"/>
      <c r="M680" s="120"/>
      <c r="N680" s="120"/>
      <c r="O680" s="120"/>
      <c r="P680" s="120"/>
      <c r="Q680" s="120"/>
      <c r="R680" s="120"/>
      <c r="S680" s="120"/>
      <c r="T680" s="120"/>
    </row>
    <row r="681">
      <c r="A681" s="291"/>
      <c r="B681" s="120"/>
      <c r="C681" s="120"/>
      <c r="D681" s="120"/>
      <c r="E681" s="120"/>
      <c r="F681" s="120"/>
      <c r="G681" s="120"/>
      <c r="L681" s="120"/>
      <c r="M681" s="120"/>
      <c r="N681" s="120"/>
      <c r="O681" s="120"/>
      <c r="P681" s="120"/>
      <c r="Q681" s="120"/>
      <c r="R681" s="120"/>
      <c r="S681" s="120"/>
      <c r="T681" s="120"/>
    </row>
    <row r="682">
      <c r="A682" s="291"/>
      <c r="B682" s="120"/>
      <c r="C682" s="120"/>
      <c r="D682" s="120"/>
      <c r="E682" s="120"/>
      <c r="F682" s="120"/>
      <c r="G682" s="120"/>
      <c r="L682" s="120"/>
      <c r="M682" s="120"/>
      <c r="N682" s="120"/>
      <c r="O682" s="120"/>
      <c r="P682" s="120"/>
      <c r="Q682" s="120"/>
      <c r="R682" s="120"/>
      <c r="S682" s="120"/>
      <c r="T682" s="120"/>
    </row>
    <row r="683">
      <c r="A683" s="291"/>
      <c r="B683" s="120"/>
      <c r="C683" s="120"/>
      <c r="D683" s="120"/>
      <c r="E683" s="120"/>
      <c r="F683" s="120"/>
      <c r="G683" s="120"/>
      <c r="L683" s="120"/>
      <c r="M683" s="120"/>
      <c r="N683" s="120"/>
      <c r="O683" s="120"/>
      <c r="P683" s="120"/>
      <c r="Q683" s="120"/>
      <c r="R683" s="120"/>
      <c r="S683" s="120"/>
      <c r="T683" s="120"/>
    </row>
    <row r="684">
      <c r="A684" s="291"/>
      <c r="B684" s="120"/>
      <c r="C684" s="120"/>
      <c r="D684" s="120"/>
      <c r="E684" s="120"/>
      <c r="F684" s="120"/>
      <c r="G684" s="120"/>
      <c r="L684" s="120"/>
      <c r="M684" s="120"/>
      <c r="N684" s="120"/>
      <c r="O684" s="120"/>
      <c r="P684" s="120"/>
      <c r="Q684" s="120"/>
      <c r="R684" s="120"/>
      <c r="S684" s="120"/>
      <c r="T684" s="120"/>
    </row>
    <row r="685">
      <c r="A685" s="291"/>
      <c r="B685" s="120"/>
      <c r="C685" s="120"/>
      <c r="D685" s="120"/>
      <c r="E685" s="120"/>
      <c r="F685" s="120"/>
      <c r="G685" s="120"/>
      <c r="L685" s="120"/>
      <c r="M685" s="120"/>
      <c r="N685" s="120"/>
      <c r="O685" s="120"/>
      <c r="P685" s="120"/>
      <c r="Q685" s="120"/>
      <c r="R685" s="120"/>
      <c r="S685" s="120"/>
      <c r="T685" s="120"/>
    </row>
    <row r="686">
      <c r="A686" s="291"/>
      <c r="B686" s="120"/>
      <c r="C686" s="120"/>
      <c r="D686" s="120"/>
      <c r="E686" s="120"/>
      <c r="F686" s="120"/>
      <c r="G686" s="120"/>
      <c r="L686" s="120"/>
      <c r="M686" s="120"/>
      <c r="N686" s="120"/>
      <c r="O686" s="120"/>
      <c r="P686" s="120"/>
      <c r="Q686" s="120"/>
      <c r="R686" s="120"/>
      <c r="S686" s="120"/>
      <c r="T686" s="120"/>
    </row>
    <row r="687">
      <c r="A687" s="291"/>
      <c r="B687" s="120"/>
      <c r="C687" s="120"/>
      <c r="D687" s="120"/>
      <c r="E687" s="120"/>
      <c r="F687" s="120"/>
      <c r="G687" s="120"/>
      <c r="L687" s="120"/>
      <c r="M687" s="120"/>
      <c r="N687" s="120"/>
      <c r="O687" s="120"/>
      <c r="P687" s="120"/>
      <c r="Q687" s="120"/>
      <c r="R687" s="120"/>
      <c r="S687" s="120"/>
      <c r="T687" s="120"/>
    </row>
    <row r="688">
      <c r="A688" s="291"/>
      <c r="B688" s="120"/>
      <c r="C688" s="120"/>
      <c r="D688" s="120"/>
      <c r="E688" s="120"/>
      <c r="F688" s="120"/>
      <c r="G688" s="120"/>
      <c r="L688" s="120"/>
      <c r="M688" s="120"/>
      <c r="N688" s="120"/>
      <c r="O688" s="120"/>
      <c r="P688" s="120"/>
      <c r="Q688" s="120"/>
      <c r="R688" s="120"/>
      <c r="S688" s="120"/>
      <c r="T688" s="120"/>
    </row>
    <row r="689">
      <c r="A689" s="291"/>
      <c r="B689" s="120"/>
      <c r="C689" s="120"/>
      <c r="D689" s="120"/>
      <c r="E689" s="120"/>
      <c r="F689" s="120"/>
      <c r="G689" s="120"/>
      <c r="L689" s="120"/>
      <c r="M689" s="120"/>
      <c r="N689" s="120"/>
      <c r="O689" s="120"/>
      <c r="P689" s="120"/>
      <c r="Q689" s="120"/>
      <c r="R689" s="120"/>
      <c r="S689" s="120"/>
      <c r="T689" s="120"/>
    </row>
    <row r="690">
      <c r="A690" s="291"/>
      <c r="B690" s="120"/>
      <c r="C690" s="120"/>
      <c r="D690" s="120"/>
      <c r="E690" s="120"/>
      <c r="F690" s="120"/>
      <c r="G690" s="120"/>
      <c r="L690" s="120"/>
      <c r="M690" s="120"/>
      <c r="N690" s="120"/>
      <c r="O690" s="120"/>
      <c r="P690" s="120"/>
      <c r="Q690" s="120"/>
      <c r="R690" s="120"/>
      <c r="S690" s="120"/>
      <c r="T690" s="120"/>
    </row>
    <row r="691">
      <c r="A691" s="291"/>
      <c r="B691" s="120"/>
      <c r="C691" s="120"/>
      <c r="D691" s="120"/>
      <c r="E691" s="120"/>
      <c r="F691" s="120"/>
      <c r="G691" s="120"/>
      <c r="L691" s="120"/>
      <c r="M691" s="120"/>
      <c r="N691" s="120"/>
      <c r="O691" s="120"/>
      <c r="P691" s="120"/>
      <c r="Q691" s="120"/>
      <c r="R691" s="120"/>
      <c r="S691" s="120"/>
      <c r="T691" s="120"/>
    </row>
    <row r="692">
      <c r="A692" s="291"/>
      <c r="B692" s="120"/>
      <c r="C692" s="120"/>
      <c r="D692" s="120"/>
      <c r="E692" s="120"/>
      <c r="F692" s="120"/>
      <c r="G692" s="120"/>
      <c r="L692" s="120"/>
      <c r="M692" s="120"/>
      <c r="N692" s="120"/>
      <c r="O692" s="120"/>
      <c r="P692" s="120"/>
      <c r="Q692" s="120"/>
      <c r="R692" s="120"/>
      <c r="S692" s="120"/>
      <c r="T692" s="120"/>
    </row>
    <row r="693">
      <c r="A693" s="291"/>
      <c r="B693" s="120"/>
      <c r="C693" s="120"/>
      <c r="D693" s="120"/>
      <c r="E693" s="120"/>
      <c r="F693" s="120"/>
      <c r="G693" s="120"/>
      <c r="L693" s="120"/>
      <c r="M693" s="120"/>
      <c r="N693" s="120"/>
      <c r="O693" s="120"/>
      <c r="P693" s="120"/>
      <c r="Q693" s="120"/>
      <c r="R693" s="120"/>
      <c r="S693" s="120"/>
      <c r="T693" s="120"/>
    </row>
    <row r="694">
      <c r="A694" s="291"/>
      <c r="B694" s="120"/>
      <c r="C694" s="120"/>
      <c r="D694" s="120"/>
      <c r="E694" s="120"/>
      <c r="F694" s="120"/>
      <c r="G694" s="120"/>
      <c r="L694" s="120"/>
      <c r="M694" s="120"/>
      <c r="N694" s="120"/>
      <c r="O694" s="120"/>
      <c r="P694" s="120"/>
      <c r="Q694" s="120"/>
      <c r="R694" s="120"/>
      <c r="S694" s="120"/>
      <c r="T694" s="120"/>
    </row>
    <row r="695">
      <c r="A695" s="291"/>
      <c r="B695" s="120"/>
      <c r="C695" s="120"/>
      <c r="D695" s="120"/>
      <c r="E695" s="120"/>
      <c r="F695" s="120"/>
      <c r="G695" s="120"/>
      <c r="L695" s="120"/>
      <c r="M695" s="120"/>
      <c r="N695" s="120"/>
      <c r="O695" s="120"/>
      <c r="P695" s="120"/>
      <c r="Q695" s="120"/>
      <c r="R695" s="120"/>
      <c r="S695" s="120"/>
      <c r="T695" s="120"/>
    </row>
    <row r="696">
      <c r="A696" s="291"/>
      <c r="B696" s="120"/>
      <c r="C696" s="120"/>
      <c r="D696" s="120"/>
      <c r="E696" s="120"/>
      <c r="F696" s="120"/>
      <c r="G696" s="120"/>
      <c r="L696" s="120"/>
      <c r="M696" s="120"/>
      <c r="N696" s="120"/>
      <c r="O696" s="120"/>
      <c r="P696" s="120"/>
      <c r="Q696" s="120"/>
      <c r="R696" s="120"/>
      <c r="S696" s="120"/>
      <c r="T696" s="120"/>
    </row>
    <row r="697">
      <c r="A697" s="291"/>
      <c r="B697" s="120"/>
      <c r="C697" s="120"/>
      <c r="D697" s="120"/>
      <c r="E697" s="120"/>
      <c r="F697" s="120"/>
      <c r="G697" s="120"/>
      <c r="L697" s="120"/>
      <c r="M697" s="120"/>
      <c r="N697" s="120"/>
      <c r="O697" s="120"/>
      <c r="P697" s="120"/>
      <c r="Q697" s="120"/>
      <c r="R697" s="120"/>
      <c r="S697" s="120"/>
      <c r="T697" s="120"/>
    </row>
    <row r="698">
      <c r="A698" s="291"/>
      <c r="B698" s="120"/>
      <c r="C698" s="120"/>
      <c r="D698" s="120"/>
      <c r="E698" s="120"/>
      <c r="F698" s="120"/>
      <c r="G698" s="120"/>
      <c r="L698" s="120"/>
      <c r="M698" s="120"/>
      <c r="N698" s="120"/>
      <c r="O698" s="120"/>
      <c r="P698" s="120"/>
      <c r="Q698" s="120"/>
      <c r="R698" s="120"/>
      <c r="S698" s="120"/>
      <c r="T698" s="120"/>
    </row>
    <row r="699">
      <c r="A699" s="291"/>
      <c r="B699" s="120"/>
      <c r="C699" s="120"/>
      <c r="D699" s="120"/>
      <c r="E699" s="120"/>
      <c r="F699" s="120"/>
      <c r="G699" s="120"/>
      <c r="L699" s="120"/>
      <c r="M699" s="120"/>
      <c r="N699" s="120"/>
      <c r="O699" s="120"/>
      <c r="P699" s="120"/>
      <c r="Q699" s="120"/>
      <c r="R699" s="120"/>
      <c r="S699" s="120"/>
      <c r="T699" s="120"/>
    </row>
    <row r="700">
      <c r="A700" s="291"/>
      <c r="B700" s="120"/>
      <c r="C700" s="120"/>
      <c r="D700" s="120"/>
      <c r="E700" s="120"/>
      <c r="F700" s="120"/>
      <c r="G700" s="120"/>
      <c r="L700" s="120"/>
      <c r="M700" s="120"/>
      <c r="N700" s="120"/>
      <c r="O700" s="120"/>
      <c r="P700" s="120"/>
      <c r="Q700" s="120"/>
      <c r="R700" s="120"/>
      <c r="S700" s="120"/>
      <c r="T700" s="120"/>
    </row>
    <row r="701">
      <c r="A701" s="291"/>
      <c r="B701" s="120"/>
      <c r="C701" s="120"/>
      <c r="D701" s="120"/>
      <c r="E701" s="120"/>
      <c r="F701" s="120"/>
      <c r="G701" s="120"/>
      <c r="L701" s="120"/>
      <c r="M701" s="120"/>
      <c r="N701" s="120"/>
      <c r="O701" s="120"/>
      <c r="P701" s="120"/>
      <c r="Q701" s="120"/>
      <c r="R701" s="120"/>
      <c r="S701" s="120"/>
      <c r="T701" s="120"/>
    </row>
    <row r="702">
      <c r="A702" s="291"/>
      <c r="B702" s="120"/>
      <c r="C702" s="120"/>
      <c r="D702" s="120"/>
      <c r="E702" s="120"/>
      <c r="F702" s="120"/>
      <c r="G702" s="120"/>
      <c r="L702" s="120"/>
      <c r="M702" s="120"/>
      <c r="N702" s="120"/>
      <c r="O702" s="120"/>
      <c r="P702" s="120"/>
      <c r="Q702" s="120"/>
      <c r="R702" s="120"/>
      <c r="S702" s="120"/>
      <c r="T702" s="120"/>
    </row>
    <row r="703">
      <c r="A703" s="291"/>
      <c r="B703" s="120"/>
      <c r="C703" s="120"/>
      <c r="D703" s="120"/>
      <c r="E703" s="120"/>
      <c r="F703" s="120"/>
      <c r="G703" s="120"/>
      <c r="L703" s="120"/>
      <c r="M703" s="120"/>
      <c r="N703" s="120"/>
      <c r="O703" s="120"/>
      <c r="P703" s="120"/>
      <c r="Q703" s="120"/>
      <c r="R703" s="120"/>
      <c r="S703" s="120"/>
      <c r="T703" s="120"/>
    </row>
    <row r="704">
      <c r="A704" s="291"/>
      <c r="B704" s="120"/>
      <c r="C704" s="120"/>
      <c r="D704" s="120"/>
      <c r="E704" s="120"/>
      <c r="F704" s="120"/>
      <c r="G704" s="120"/>
      <c r="L704" s="120"/>
      <c r="M704" s="120"/>
      <c r="N704" s="120"/>
      <c r="O704" s="120"/>
      <c r="P704" s="120"/>
      <c r="Q704" s="120"/>
      <c r="R704" s="120"/>
      <c r="S704" s="120"/>
      <c r="T704" s="120"/>
    </row>
    <row r="705">
      <c r="A705" s="291"/>
      <c r="B705" s="120"/>
      <c r="C705" s="120"/>
      <c r="D705" s="120"/>
      <c r="E705" s="120"/>
      <c r="F705" s="120"/>
      <c r="G705" s="120"/>
      <c r="L705" s="120"/>
      <c r="M705" s="120"/>
      <c r="N705" s="120"/>
      <c r="O705" s="120"/>
      <c r="P705" s="120"/>
      <c r="Q705" s="120"/>
      <c r="R705" s="120"/>
      <c r="S705" s="120"/>
      <c r="T705" s="120"/>
    </row>
    <row r="706">
      <c r="A706" s="291"/>
      <c r="B706" s="120"/>
      <c r="C706" s="120"/>
      <c r="D706" s="120"/>
      <c r="E706" s="120"/>
      <c r="F706" s="120"/>
      <c r="G706" s="120"/>
      <c r="L706" s="120"/>
      <c r="M706" s="120"/>
      <c r="N706" s="120"/>
      <c r="O706" s="120"/>
      <c r="P706" s="120"/>
      <c r="Q706" s="120"/>
      <c r="R706" s="120"/>
      <c r="S706" s="120"/>
      <c r="T706" s="120"/>
    </row>
    <row r="707">
      <c r="A707" s="291"/>
      <c r="B707" s="120"/>
      <c r="C707" s="120"/>
      <c r="D707" s="120"/>
      <c r="E707" s="120"/>
      <c r="F707" s="120"/>
      <c r="G707" s="120"/>
      <c r="L707" s="120"/>
      <c r="M707" s="120"/>
      <c r="N707" s="120"/>
      <c r="O707" s="120"/>
      <c r="P707" s="120"/>
      <c r="Q707" s="120"/>
      <c r="R707" s="120"/>
      <c r="S707" s="120"/>
      <c r="T707" s="120"/>
    </row>
    <row r="708">
      <c r="A708" s="291"/>
      <c r="B708" s="120"/>
      <c r="C708" s="120"/>
      <c r="D708" s="120"/>
      <c r="E708" s="120"/>
      <c r="F708" s="120"/>
      <c r="G708" s="120"/>
      <c r="L708" s="120"/>
      <c r="M708" s="120"/>
      <c r="N708" s="120"/>
      <c r="O708" s="120"/>
      <c r="P708" s="120"/>
      <c r="Q708" s="120"/>
      <c r="R708" s="120"/>
      <c r="S708" s="120"/>
      <c r="T708" s="120"/>
    </row>
    <row r="709">
      <c r="A709" s="291"/>
      <c r="B709" s="120"/>
      <c r="C709" s="120"/>
      <c r="D709" s="120"/>
      <c r="E709" s="120"/>
      <c r="F709" s="120"/>
      <c r="G709" s="120"/>
      <c r="L709" s="120"/>
      <c r="M709" s="120"/>
      <c r="N709" s="120"/>
      <c r="O709" s="120"/>
      <c r="P709" s="120"/>
      <c r="Q709" s="120"/>
      <c r="R709" s="120"/>
      <c r="S709" s="120"/>
      <c r="T709" s="120"/>
    </row>
    <row r="710">
      <c r="A710" s="291"/>
      <c r="B710" s="120"/>
      <c r="C710" s="120"/>
      <c r="D710" s="120"/>
      <c r="E710" s="120"/>
      <c r="F710" s="120"/>
      <c r="G710" s="120"/>
      <c r="L710" s="120"/>
      <c r="M710" s="120"/>
      <c r="N710" s="120"/>
      <c r="O710" s="120"/>
      <c r="P710" s="120"/>
      <c r="Q710" s="120"/>
      <c r="R710" s="120"/>
      <c r="S710" s="120"/>
      <c r="T710" s="120"/>
    </row>
    <row r="711">
      <c r="A711" s="291"/>
      <c r="B711" s="120"/>
      <c r="C711" s="120"/>
      <c r="D711" s="120"/>
      <c r="E711" s="120"/>
      <c r="F711" s="120"/>
      <c r="G711" s="120"/>
      <c r="L711" s="120"/>
      <c r="M711" s="120"/>
      <c r="N711" s="120"/>
      <c r="O711" s="120"/>
      <c r="P711" s="120"/>
      <c r="Q711" s="120"/>
      <c r="R711" s="120"/>
      <c r="S711" s="120"/>
      <c r="T711" s="120"/>
    </row>
    <row r="712">
      <c r="A712" s="291"/>
      <c r="B712" s="120"/>
      <c r="C712" s="120"/>
      <c r="D712" s="120"/>
      <c r="E712" s="120"/>
      <c r="F712" s="120"/>
      <c r="G712" s="120"/>
      <c r="L712" s="120"/>
      <c r="M712" s="120"/>
      <c r="N712" s="120"/>
      <c r="O712" s="120"/>
      <c r="P712" s="120"/>
      <c r="Q712" s="120"/>
      <c r="R712" s="120"/>
      <c r="S712" s="120"/>
      <c r="T712" s="120"/>
    </row>
    <row r="713">
      <c r="A713" s="291"/>
      <c r="B713" s="120"/>
      <c r="C713" s="120"/>
      <c r="D713" s="120"/>
      <c r="E713" s="120"/>
      <c r="F713" s="120"/>
      <c r="G713" s="120"/>
      <c r="L713" s="120"/>
      <c r="M713" s="120"/>
      <c r="N713" s="120"/>
      <c r="O713" s="120"/>
      <c r="P713" s="120"/>
      <c r="Q713" s="120"/>
      <c r="R713" s="120"/>
      <c r="S713" s="120"/>
      <c r="T713" s="120"/>
    </row>
    <row r="714">
      <c r="A714" s="291"/>
      <c r="B714" s="120"/>
      <c r="C714" s="120"/>
      <c r="D714" s="120"/>
      <c r="E714" s="120"/>
      <c r="F714" s="120"/>
      <c r="G714" s="120"/>
      <c r="L714" s="120"/>
      <c r="M714" s="120"/>
      <c r="N714" s="120"/>
      <c r="O714" s="120"/>
      <c r="P714" s="120"/>
      <c r="Q714" s="120"/>
      <c r="R714" s="120"/>
      <c r="S714" s="120"/>
      <c r="T714" s="120"/>
    </row>
    <row r="715">
      <c r="A715" s="291"/>
      <c r="B715" s="120"/>
      <c r="C715" s="120"/>
      <c r="D715" s="120"/>
      <c r="E715" s="120"/>
      <c r="F715" s="120"/>
      <c r="G715" s="120"/>
      <c r="L715" s="120"/>
      <c r="M715" s="120"/>
      <c r="N715" s="120"/>
      <c r="O715" s="120"/>
      <c r="P715" s="120"/>
      <c r="Q715" s="120"/>
      <c r="R715" s="120"/>
      <c r="S715" s="120"/>
      <c r="T715" s="120"/>
    </row>
    <row r="716">
      <c r="A716" s="291"/>
      <c r="B716" s="120"/>
      <c r="C716" s="120"/>
      <c r="D716" s="120"/>
      <c r="E716" s="120"/>
      <c r="F716" s="120"/>
      <c r="G716" s="120"/>
      <c r="L716" s="120"/>
      <c r="M716" s="120"/>
      <c r="N716" s="120"/>
      <c r="O716" s="120"/>
      <c r="P716" s="120"/>
      <c r="Q716" s="120"/>
      <c r="R716" s="120"/>
      <c r="S716" s="120"/>
      <c r="T716" s="120"/>
    </row>
    <row r="717">
      <c r="A717" s="291"/>
      <c r="B717" s="120"/>
      <c r="C717" s="120"/>
      <c r="D717" s="120"/>
      <c r="E717" s="120"/>
      <c r="F717" s="120"/>
      <c r="G717" s="120"/>
      <c r="L717" s="120"/>
      <c r="M717" s="120"/>
      <c r="N717" s="120"/>
      <c r="O717" s="120"/>
      <c r="P717" s="120"/>
      <c r="Q717" s="120"/>
      <c r="R717" s="120"/>
      <c r="S717" s="120"/>
      <c r="T717" s="120"/>
    </row>
    <row r="718">
      <c r="A718" s="291"/>
      <c r="B718" s="120"/>
      <c r="C718" s="120"/>
      <c r="D718" s="120"/>
      <c r="E718" s="120"/>
      <c r="F718" s="120"/>
      <c r="G718" s="120"/>
      <c r="L718" s="120"/>
      <c r="M718" s="120"/>
      <c r="N718" s="120"/>
      <c r="O718" s="120"/>
      <c r="P718" s="120"/>
      <c r="Q718" s="120"/>
      <c r="R718" s="120"/>
      <c r="S718" s="120"/>
      <c r="T718" s="120"/>
    </row>
    <row r="719">
      <c r="A719" s="291"/>
      <c r="B719" s="120"/>
      <c r="C719" s="120"/>
      <c r="D719" s="120"/>
      <c r="E719" s="120"/>
      <c r="F719" s="120"/>
      <c r="G719" s="120"/>
      <c r="L719" s="120"/>
      <c r="M719" s="120"/>
      <c r="N719" s="120"/>
      <c r="O719" s="120"/>
      <c r="P719" s="120"/>
      <c r="Q719" s="120"/>
      <c r="R719" s="120"/>
      <c r="S719" s="120"/>
      <c r="T719" s="120"/>
    </row>
    <row r="720">
      <c r="A720" s="291"/>
      <c r="B720" s="120"/>
      <c r="C720" s="120"/>
      <c r="D720" s="120"/>
      <c r="E720" s="120"/>
      <c r="F720" s="120"/>
      <c r="G720" s="120"/>
      <c r="L720" s="120"/>
      <c r="M720" s="120"/>
      <c r="N720" s="120"/>
      <c r="O720" s="120"/>
      <c r="P720" s="120"/>
      <c r="Q720" s="120"/>
      <c r="R720" s="120"/>
      <c r="S720" s="120"/>
      <c r="T720" s="120"/>
    </row>
    <row r="721">
      <c r="A721" s="291"/>
      <c r="B721" s="120"/>
      <c r="C721" s="120"/>
      <c r="D721" s="120"/>
      <c r="E721" s="120"/>
      <c r="F721" s="120"/>
      <c r="G721" s="120"/>
      <c r="L721" s="120"/>
      <c r="M721" s="120"/>
      <c r="N721" s="120"/>
      <c r="O721" s="120"/>
      <c r="P721" s="120"/>
      <c r="Q721" s="120"/>
      <c r="R721" s="120"/>
      <c r="S721" s="120"/>
      <c r="T721" s="120"/>
    </row>
    <row r="722">
      <c r="A722" s="291"/>
      <c r="B722" s="120"/>
      <c r="C722" s="120"/>
      <c r="D722" s="120"/>
      <c r="E722" s="120"/>
      <c r="F722" s="120"/>
      <c r="G722" s="120"/>
      <c r="L722" s="120"/>
      <c r="M722" s="120"/>
      <c r="N722" s="120"/>
      <c r="O722" s="120"/>
      <c r="P722" s="120"/>
      <c r="Q722" s="120"/>
      <c r="R722" s="120"/>
      <c r="S722" s="120"/>
      <c r="T722" s="120"/>
    </row>
    <row r="723">
      <c r="A723" s="291"/>
      <c r="B723" s="120"/>
      <c r="C723" s="120"/>
      <c r="D723" s="120"/>
      <c r="E723" s="120"/>
      <c r="F723" s="120"/>
      <c r="G723" s="120"/>
      <c r="L723" s="120"/>
      <c r="M723" s="120"/>
      <c r="N723" s="120"/>
      <c r="O723" s="120"/>
      <c r="P723" s="120"/>
      <c r="Q723" s="120"/>
      <c r="R723" s="120"/>
      <c r="S723" s="120"/>
      <c r="T723" s="120"/>
    </row>
    <row r="724">
      <c r="A724" s="291"/>
      <c r="B724" s="120"/>
      <c r="C724" s="120"/>
      <c r="D724" s="120"/>
      <c r="E724" s="120"/>
      <c r="F724" s="120"/>
      <c r="G724" s="120"/>
      <c r="L724" s="120"/>
      <c r="M724" s="120"/>
      <c r="N724" s="120"/>
      <c r="O724" s="120"/>
      <c r="P724" s="120"/>
      <c r="Q724" s="120"/>
      <c r="R724" s="120"/>
      <c r="S724" s="120"/>
      <c r="T724" s="120"/>
    </row>
    <row r="725">
      <c r="A725" s="291"/>
      <c r="B725" s="120"/>
      <c r="C725" s="120"/>
      <c r="D725" s="120"/>
      <c r="E725" s="120"/>
      <c r="F725" s="120"/>
      <c r="G725" s="120"/>
      <c r="L725" s="120"/>
      <c r="M725" s="120"/>
      <c r="N725" s="120"/>
      <c r="O725" s="120"/>
      <c r="P725" s="120"/>
      <c r="Q725" s="120"/>
      <c r="R725" s="120"/>
      <c r="S725" s="120"/>
      <c r="T725" s="120"/>
    </row>
    <row r="726">
      <c r="A726" s="291"/>
      <c r="B726" s="120"/>
      <c r="C726" s="120"/>
      <c r="D726" s="120"/>
      <c r="E726" s="120"/>
      <c r="F726" s="120"/>
      <c r="G726" s="120"/>
      <c r="L726" s="120"/>
      <c r="M726" s="120"/>
      <c r="N726" s="120"/>
      <c r="O726" s="120"/>
      <c r="P726" s="120"/>
      <c r="Q726" s="120"/>
      <c r="R726" s="120"/>
      <c r="S726" s="120"/>
      <c r="T726" s="120"/>
    </row>
    <row r="727">
      <c r="A727" s="291"/>
      <c r="B727" s="120"/>
      <c r="C727" s="120"/>
      <c r="D727" s="120"/>
      <c r="E727" s="120"/>
      <c r="F727" s="120"/>
      <c r="G727" s="120"/>
      <c r="L727" s="120"/>
      <c r="M727" s="120"/>
      <c r="N727" s="120"/>
      <c r="O727" s="120"/>
      <c r="P727" s="120"/>
      <c r="Q727" s="120"/>
      <c r="R727" s="120"/>
      <c r="S727" s="120"/>
      <c r="T727" s="120"/>
    </row>
    <row r="728">
      <c r="A728" s="291"/>
      <c r="B728" s="120"/>
      <c r="C728" s="120"/>
      <c r="D728" s="120"/>
      <c r="E728" s="120"/>
      <c r="F728" s="120"/>
      <c r="G728" s="120"/>
      <c r="L728" s="120"/>
      <c r="M728" s="120"/>
      <c r="N728" s="120"/>
      <c r="O728" s="120"/>
      <c r="P728" s="120"/>
      <c r="Q728" s="120"/>
      <c r="R728" s="120"/>
      <c r="S728" s="120"/>
      <c r="T728" s="120"/>
    </row>
    <row r="729">
      <c r="A729" s="291"/>
      <c r="B729" s="120"/>
      <c r="C729" s="120"/>
      <c r="D729" s="120"/>
      <c r="E729" s="120"/>
      <c r="F729" s="120"/>
      <c r="G729" s="120"/>
      <c r="L729" s="120"/>
      <c r="M729" s="120"/>
      <c r="N729" s="120"/>
      <c r="O729" s="120"/>
      <c r="P729" s="120"/>
      <c r="Q729" s="120"/>
      <c r="R729" s="120"/>
      <c r="S729" s="120"/>
      <c r="T729" s="120"/>
    </row>
    <row r="730">
      <c r="A730" s="291"/>
      <c r="B730" s="120"/>
      <c r="C730" s="120"/>
      <c r="D730" s="120"/>
      <c r="E730" s="120"/>
      <c r="F730" s="120"/>
      <c r="G730" s="120"/>
      <c r="L730" s="120"/>
      <c r="M730" s="120"/>
      <c r="N730" s="120"/>
      <c r="O730" s="120"/>
      <c r="P730" s="120"/>
      <c r="Q730" s="120"/>
      <c r="R730" s="120"/>
      <c r="S730" s="120"/>
      <c r="T730" s="120"/>
    </row>
    <row r="731">
      <c r="A731" s="291"/>
      <c r="B731" s="120"/>
      <c r="C731" s="120"/>
      <c r="D731" s="120"/>
      <c r="E731" s="120"/>
      <c r="F731" s="120"/>
      <c r="G731" s="120"/>
      <c r="L731" s="120"/>
      <c r="M731" s="120"/>
      <c r="N731" s="120"/>
      <c r="O731" s="120"/>
      <c r="P731" s="120"/>
      <c r="Q731" s="120"/>
      <c r="R731" s="120"/>
      <c r="S731" s="120"/>
      <c r="T731" s="120"/>
    </row>
    <row r="732">
      <c r="A732" s="291"/>
      <c r="B732" s="120"/>
      <c r="C732" s="120"/>
      <c r="D732" s="120"/>
      <c r="E732" s="120"/>
      <c r="F732" s="120"/>
      <c r="G732" s="120"/>
      <c r="L732" s="120"/>
      <c r="M732" s="120"/>
      <c r="N732" s="120"/>
      <c r="O732" s="120"/>
      <c r="P732" s="120"/>
      <c r="Q732" s="120"/>
      <c r="R732" s="120"/>
      <c r="S732" s="120"/>
      <c r="T732" s="120"/>
    </row>
    <row r="733">
      <c r="A733" s="291"/>
      <c r="B733" s="120"/>
      <c r="C733" s="120"/>
      <c r="D733" s="120"/>
      <c r="E733" s="120"/>
      <c r="F733" s="120"/>
      <c r="G733" s="120"/>
      <c r="L733" s="120"/>
      <c r="M733" s="120"/>
      <c r="N733" s="120"/>
      <c r="O733" s="120"/>
      <c r="P733" s="120"/>
      <c r="Q733" s="120"/>
      <c r="R733" s="120"/>
      <c r="S733" s="120"/>
      <c r="T733" s="120"/>
    </row>
    <row r="734">
      <c r="A734" s="291"/>
      <c r="B734" s="120"/>
      <c r="C734" s="120"/>
      <c r="D734" s="120"/>
      <c r="E734" s="120"/>
      <c r="F734" s="120"/>
      <c r="G734" s="120"/>
      <c r="L734" s="120"/>
      <c r="M734" s="120"/>
      <c r="N734" s="120"/>
      <c r="O734" s="120"/>
      <c r="P734" s="120"/>
      <c r="Q734" s="120"/>
      <c r="R734" s="120"/>
      <c r="S734" s="120"/>
      <c r="T734" s="120"/>
    </row>
    <row r="735">
      <c r="A735" s="291"/>
      <c r="B735" s="120"/>
      <c r="C735" s="120"/>
      <c r="D735" s="120"/>
      <c r="E735" s="120"/>
      <c r="F735" s="120"/>
      <c r="G735" s="120"/>
      <c r="L735" s="120"/>
      <c r="M735" s="120"/>
      <c r="N735" s="120"/>
      <c r="O735" s="120"/>
      <c r="P735" s="120"/>
      <c r="Q735" s="120"/>
      <c r="R735" s="120"/>
      <c r="S735" s="120"/>
      <c r="T735" s="120"/>
    </row>
    <row r="736">
      <c r="A736" s="291"/>
      <c r="B736" s="120"/>
      <c r="C736" s="120"/>
      <c r="D736" s="120"/>
      <c r="E736" s="120"/>
      <c r="F736" s="120"/>
      <c r="G736" s="120"/>
      <c r="L736" s="120"/>
      <c r="M736" s="120"/>
      <c r="N736" s="120"/>
      <c r="O736" s="120"/>
      <c r="P736" s="120"/>
      <c r="Q736" s="120"/>
      <c r="R736" s="120"/>
      <c r="S736" s="120"/>
      <c r="T736" s="120"/>
    </row>
    <row r="737">
      <c r="A737" s="291"/>
      <c r="B737" s="120"/>
      <c r="C737" s="120"/>
      <c r="D737" s="120"/>
      <c r="E737" s="120"/>
      <c r="F737" s="120"/>
      <c r="G737" s="120"/>
      <c r="L737" s="120"/>
      <c r="M737" s="120"/>
      <c r="N737" s="120"/>
      <c r="O737" s="120"/>
      <c r="P737" s="120"/>
      <c r="Q737" s="120"/>
      <c r="R737" s="120"/>
      <c r="S737" s="120"/>
      <c r="T737" s="120"/>
    </row>
    <row r="738">
      <c r="A738" s="291"/>
      <c r="B738" s="120"/>
      <c r="C738" s="120"/>
      <c r="D738" s="120"/>
      <c r="E738" s="120"/>
      <c r="F738" s="120"/>
      <c r="G738" s="120"/>
      <c r="L738" s="120"/>
      <c r="M738" s="120"/>
      <c r="N738" s="120"/>
      <c r="O738" s="120"/>
      <c r="P738" s="120"/>
      <c r="Q738" s="120"/>
      <c r="R738" s="120"/>
      <c r="S738" s="120"/>
      <c r="T738" s="120"/>
    </row>
    <row r="739">
      <c r="A739" s="291"/>
      <c r="B739" s="120"/>
      <c r="C739" s="120"/>
      <c r="D739" s="120"/>
      <c r="E739" s="120"/>
      <c r="F739" s="120"/>
      <c r="G739" s="120"/>
      <c r="L739" s="120"/>
      <c r="M739" s="120"/>
      <c r="N739" s="120"/>
      <c r="O739" s="120"/>
      <c r="P739" s="120"/>
      <c r="Q739" s="120"/>
      <c r="R739" s="120"/>
      <c r="S739" s="120"/>
      <c r="T739" s="120"/>
    </row>
    <row r="740">
      <c r="A740" s="291"/>
      <c r="B740" s="120"/>
      <c r="C740" s="120"/>
      <c r="D740" s="120"/>
      <c r="E740" s="120"/>
      <c r="F740" s="120"/>
      <c r="G740" s="120"/>
      <c r="L740" s="120"/>
      <c r="M740" s="120"/>
      <c r="N740" s="120"/>
      <c r="O740" s="120"/>
      <c r="P740" s="120"/>
      <c r="Q740" s="120"/>
      <c r="R740" s="120"/>
      <c r="S740" s="120"/>
      <c r="T740" s="120"/>
    </row>
    <row r="741">
      <c r="A741" s="291"/>
      <c r="B741" s="120"/>
      <c r="C741" s="120"/>
      <c r="D741" s="120"/>
      <c r="E741" s="120"/>
      <c r="F741" s="120"/>
      <c r="G741" s="120"/>
      <c r="L741" s="120"/>
      <c r="M741" s="120"/>
      <c r="N741" s="120"/>
      <c r="O741" s="120"/>
      <c r="P741" s="120"/>
      <c r="Q741" s="120"/>
      <c r="R741" s="120"/>
      <c r="S741" s="120"/>
      <c r="T741" s="120"/>
    </row>
    <row r="742">
      <c r="A742" s="291"/>
      <c r="B742" s="120"/>
      <c r="C742" s="120"/>
      <c r="D742" s="120"/>
      <c r="E742" s="120"/>
      <c r="F742" s="120"/>
      <c r="G742" s="120"/>
      <c r="L742" s="120"/>
      <c r="M742" s="120"/>
      <c r="N742" s="120"/>
      <c r="O742" s="120"/>
      <c r="P742" s="120"/>
      <c r="Q742" s="120"/>
      <c r="R742" s="120"/>
      <c r="S742" s="120"/>
      <c r="T742" s="120"/>
    </row>
    <row r="743">
      <c r="A743" s="291"/>
      <c r="B743" s="120"/>
      <c r="C743" s="120"/>
      <c r="D743" s="120"/>
      <c r="E743" s="120"/>
      <c r="F743" s="120"/>
      <c r="G743" s="120"/>
      <c r="L743" s="120"/>
      <c r="M743" s="120"/>
      <c r="N743" s="120"/>
      <c r="O743" s="120"/>
      <c r="P743" s="120"/>
      <c r="Q743" s="120"/>
      <c r="R743" s="120"/>
      <c r="S743" s="120"/>
      <c r="T743" s="120"/>
    </row>
    <row r="744">
      <c r="A744" s="291"/>
      <c r="B744" s="120"/>
      <c r="C744" s="120"/>
      <c r="D744" s="120"/>
      <c r="E744" s="120"/>
      <c r="F744" s="120"/>
      <c r="G744" s="120"/>
      <c r="L744" s="120"/>
      <c r="M744" s="120"/>
      <c r="N744" s="120"/>
      <c r="O744" s="120"/>
      <c r="P744" s="120"/>
      <c r="Q744" s="120"/>
      <c r="R744" s="120"/>
      <c r="S744" s="120"/>
      <c r="T744" s="120"/>
    </row>
    <row r="745">
      <c r="A745" s="291"/>
      <c r="B745" s="120"/>
      <c r="C745" s="120"/>
      <c r="D745" s="120"/>
      <c r="E745" s="120"/>
      <c r="F745" s="120"/>
      <c r="G745" s="120"/>
      <c r="L745" s="120"/>
      <c r="M745" s="120"/>
      <c r="N745" s="120"/>
      <c r="O745" s="120"/>
      <c r="P745" s="120"/>
      <c r="Q745" s="120"/>
      <c r="R745" s="120"/>
      <c r="S745" s="120"/>
      <c r="T745" s="120"/>
    </row>
    <row r="746">
      <c r="A746" s="291"/>
      <c r="B746" s="120"/>
      <c r="C746" s="120"/>
      <c r="D746" s="120"/>
      <c r="E746" s="120"/>
      <c r="F746" s="120"/>
      <c r="G746" s="120"/>
      <c r="L746" s="120"/>
      <c r="M746" s="120"/>
      <c r="N746" s="120"/>
      <c r="O746" s="120"/>
      <c r="P746" s="120"/>
      <c r="Q746" s="120"/>
      <c r="R746" s="120"/>
      <c r="S746" s="120"/>
      <c r="T746" s="120"/>
    </row>
    <row r="747">
      <c r="A747" s="291"/>
      <c r="B747" s="120"/>
      <c r="C747" s="120"/>
      <c r="D747" s="120"/>
      <c r="E747" s="120"/>
      <c r="F747" s="120"/>
      <c r="G747" s="120"/>
      <c r="L747" s="120"/>
      <c r="M747" s="120"/>
      <c r="N747" s="120"/>
      <c r="O747" s="120"/>
      <c r="P747" s="120"/>
      <c r="Q747" s="120"/>
      <c r="R747" s="120"/>
      <c r="S747" s="120"/>
      <c r="T747" s="120"/>
    </row>
    <row r="748">
      <c r="A748" s="291"/>
      <c r="B748" s="120"/>
      <c r="C748" s="120"/>
      <c r="D748" s="120"/>
      <c r="E748" s="120"/>
      <c r="F748" s="120"/>
      <c r="G748" s="120"/>
      <c r="L748" s="120"/>
      <c r="M748" s="120"/>
      <c r="N748" s="120"/>
      <c r="O748" s="120"/>
      <c r="P748" s="120"/>
      <c r="Q748" s="120"/>
      <c r="R748" s="120"/>
      <c r="S748" s="120"/>
      <c r="T748" s="120"/>
    </row>
    <row r="749">
      <c r="A749" s="291"/>
      <c r="B749" s="120"/>
      <c r="C749" s="120"/>
      <c r="D749" s="120"/>
      <c r="E749" s="120"/>
      <c r="F749" s="120"/>
      <c r="G749" s="120"/>
      <c r="L749" s="120"/>
      <c r="M749" s="120"/>
      <c r="N749" s="120"/>
      <c r="O749" s="120"/>
      <c r="P749" s="120"/>
      <c r="Q749" s="120"/>
      <c r="R749" s="120"/>
      <c r="S749" s="120"/>
      <c r="T749" s="120"/>
    </row>
    <row r="750">
      <c r="A750" s="291"/>
      <c r="B750" s="120"/>
      <c r="C750" s="120"/>
      <c r="D750" s="120"/>
      <c r="E750" s="120"/>
      <c r="F750" s="120"/>
      <c r="G750" s="120"/>
      <c r="L750" s="120"/>
      <c r="M750" s="120"/>
      <c r="N750" s="120"/>
      <c r="O750" s="120"/>
      <c r="P750" s="120"/>
      <c r="Q750" s="120"/>
      <c r="R750" s="120"/>
      <c r="S750" s="120"/>
      <c r="T750" s="120"/>
    </row>
    <row r="751">
      <c r="A751" s="291"/>
      <c r="B751" s="120"/>
      <c r="C751" s="120"/>
      <c r="D751" s="120"/>
      <c r="E751" s="120"/>
      <c r="F751" s="120"/>
      <c r="G751" s="120"/>
      <c r="L751" s="120"/>
      <c r="M751" s="120"/>
      <c r="N751" s="120"/>
      <c r="O751" s="120"/>
      <c r="P751" s="120"/>
      <c r="Q751" s="120"/>
      <c r="R751" s="120"/>
      <c r="S751" s="120"/>
      <c r="T751" s="120"/>
    </row>
    <row r="752">
      <c r="A752" s="291"/>
      <c r="B752" s="120"/>
      <c r="C752" s="120"/>
      <c r="D752" s="120"/>
      <c r="E752" s="120"/>
      <c r="F752" s="120"/>
      <c r="G752" s="120"/>
      <c r="L752" s="120"/>
      <c r="M752" s="120"/>
      <c r="N752" s="120"/>
      <c r="O752" s="120"/>
      <c r="P752" s="120"/>
      <c r="Q752" s="120"/>
      <c r="R752" s="120"/>
      <c r="S752" s="120"/>
      <c r="T752" s="120"/>
    </row>
    <row r="753">
      <c r="A753" s="291"/>
      <c r="B753" s="120"/>
      <c r="C753" s="120"/>
      <c r="D753" s="120"/>
      <c r="E753" s="120"/>
      <c r="F753" s="120"/>
      <c r="G753" s="120"/>
      <c r="L753" s="120"/>
      <c r="M753" s="120"/>
      <c r="N753" s="120"/>
      <c r="O753" s="120"/>
      <c r="P753" s="120"/>
      <c r="Q753" s="120"/>
      <c r="R753" s="120"/>
      <c r="S753" s="120"/>
      <c r="T753" s="120"/>
    </row>
    <row r="754">
      <c r="A754" s="291"/>
      <c r="B754" s="120"/>
      <c r="C754" s="120"/>
      <c r="D754" s="120"/>
      <c r="E754" s="120"/>
      <c r="F754" s="120"/>
      <c r="G754" s="120"/>
      <c r="L754" s="120"/>
      <c r="M754" s="120"/>
      <c r="N754" s="120"/>
      <c r="O754" s="120"/>
      <c r="P754" s="120"/>
      <c r="Q754" s="120"/>
      <c r="R754" s="120"/>
      <c r="S754" s="120"/>
      <c r="T754" s="120"/>
    </row>
    <row r="755">
      <c r="A755" s="291"/>
      <c r="B755" s="120"/>
      <c r="C755" s="120"/>
      <c r="D755" s="120"/>
      <c r="E755" s="120"/>
      <c r="F755" s="120"/>
      <c r="G755" s="120"/>
      <c r="L755" s="120"/>
      <c r="M755" s="120"/>
      <c r="N755" s="120"/>
      <c r="O755" s="120"/>
      <c r="P755" s="120"/>
      <c r="Q755" s="120"/>
      <c r="R755" s="120"/>
      <c r="S755" s="120"/>
      <c r="T755" s="120"/>
    </row>
    <row r="756">
      <c r="A756" s="291"/>
      <c r="B756" s="120"/>
      <c r="C756" s="120"/>
      <c r="D756" s="120"/>
      <c r="E756" s="120"/>
      <c r="F756" s="120"/>
      <c r="G756" s="120"/>
      <c r="L756" s="120"/>
      <c r="M756" s="120"/>
      <c r="N756" s="120"/>
      <c r="O756" s="120"/>
      <c r="P756" s="120"/>
      <c r="Q756" s="120"/>
      <c r="R756" s="120"/>
      <c r="S756" s="120"/>
      <c r="T756" s="120"/>
    </row>
    <row r="757">
      <c r="A757" s="291"/>
      <c r="B757" s="120"/>
      <c r="C757" s="120"/>
      <c r="D757" s="120"/>
      <c r="E757" s="120"/>
      <c r="F757" s="120"/>
      <c r="G757" s="120"/>
      <c r="L757" s="120"/>
      <c r="M757" s="120"/>
      <c r="N757" s="120"/>
      <c r="O757" s="120"/>
      <c r="P757" s="120"/>
      <c r="Q757" s="120"/>
      <c r="R757" s="120"/>
      <c r="S757" s="120"/>
      <c r="T757" s="120"/>
    </row>
    <row r="758">
      <c r="A758" s="291"/>
      <c r="B758" s="120"/>
      <c r="C758" s="120"/>
      <c r="D758" s="120"/>
      <c r="E758" s="120"/>
      <c r="F758" s="120"/>
      <c r="G758" s="120"/>
      <c r="L758" s="120"/>
      <c r="M758" s="120"/>
      <c r="N758" s="120"/>
      <c r="O758" s="120"/>
      <c r="P758" s="120"/>
      <c r="Q758" s="120"/>
      <c r="R758" s="120"/>
      <c r="S758" s="120"/>
      <c r="T758" s="120"/>
    </row>
    <row r="759">
      <c r="A759" s="291"/>
      <c r="B759" s="120"/>
      <c r="C759" s="120"/>
      <c r="D759" s="120"/>
      <c r="E759" s="120"/>
      <c r="F759" s="120"/>
      <c r="G759" s="120"/>
      <c r="L759" s="120"/>
      <c r="M759" s="120"/>
      <c r="N759" s="120"/>
      <c r="O759" s="120"/>
      <c r="P759" s="120"/>
      <c r="Q759" s="120"/>
      <c r="R759" s="120"/>
      <c r="S759" s="120"/>
      <c r="T759" s="120"/>
    </row>
    <row r="760">
      <c r="A760" s="291"/>
      <c r="B760" s="120"/>
      <c r="C760" s="120"/>
      <c r="D760" s="120"/>
      <c r="E760" s="120"/>
      <c r="F760" s="120"/>
      <c r="G760" s="120"/>
      <c r="L760" s="120"/>
      <c r="M760" s="120"/>
      <c r="N760" s="120"/>
      <c r="O760" s="120"/>
      <c r="P760" s="120"/>
      <c r="Q760" s="120"/>
      <c r="R760" s="120"/>
      <c r="S760" s="120"/>
      <c r="T760" s="120"/>
    </row>
    <row r="761">
      <c r="A761" s="291"/>
      <c r="B761" s="120"/>
      <c r="C761" s="120"/>
      <c r="D761" s="120"/>
      <c r="E761" s="120"/>
      <c r="F761" s="120"/>
      <c r="G761" s="120"/>
      <c r="L761" s="120"/>
      <c r="M761" s="120"/>
      <c r="N761" s="120"/>
      <c r="O761" s="120"/>
      <c r="P761" s="120"/>
      <c r="Q761" s="120"/>
      <c r="R761" s="120"/>
      <c r="S761" s="120"/>
      <c r="T761" s="120"/>
    </row>
    <row r="762">
      <c r="A762" s="291"/>
      <c r="B762" s="120"/>
      <c r="C762" s="120"/>
      <c r="D762" s="120"/>
      <c r="E762" s="120"/>
      <c r="F762" s="120"/>
      <c r="G762" s="120"/>
      <c r="L762" s="120"/>
      <c r="M762" s="120"/>
      <c r="N762" s="120"/>
      <c r="O762" s="120"/>
      <c r="P762" s="120"/>
      <c r="Q762" s="120"/>
      <c r="R762" s="120"/>
      <c r="S762" s="120"/>
      <c r="T762" s="120"/>
    </row>
    <row r="763">
      <c r="A763" s="291"/>
      <c r="B763" s="120"/>
      <c r="C763" s="120"/>
      <c r="D763" s="120"/>
      <c r="E763" s="120"/>
      <c r="F763" s="120"/>
      <c r="G763" s="120"/>
      <c r="L763" s="120"/>
      <c r="M763" s="120"/>
      <c r="N763" s="120"/>
      <c r="O763" s="120"/>
      <c r="P763" s="120"/>
      <c r="Q763" s="120"/>
      <c r="R763" s="120"/>
      <c r="S763" s="120"/>
      <c r="T763" s="120"/>
    </row>
    <row r="764">
      <c r="A764" s="291"/>
      <c r="B764" s="120"/>
      <c r="C764" s="120"/>
      <c r="D764" s="120"/>
      <c r="E764" s="120"/>
      <c r="F764" s="120"/>
      <c r="G764" s="120"/>
      <c r="L764" s="120"/>
      <c r="M764" s="120"/>
      <c r="N764" s="120"/>
      <c r="O764" s="120"/>
      <c r="P764" s="120"/>
      <c r="Q764" s="120"/>
      <c r="R764" s="120"/>
      <c r="S764" s="120"/>
      <c r="T764" s="120"/>
    </row>
    <row r="765">
      <c r="A765" s="291"/>
      <c r="B765" s="120"/>
      <c r="C765" s="120"/>
      <c r="D765" s="120"/>
      <c r="E765" s="120"/>
      <c r="F765" s="120"/>
      <c r="G765" s="120"/>
      <c r="L765" s="120"/>
      <c r="M765" s="120"/>
      <c r="N765" s="120"/>
      <c r="O765" s="120"/>
      <c r="P765" s="120"/>
      <c r="Q765" s="120"/>
      <c r="R765" s="120"/>
      <c r="S765" s="120"/>
      <c r="T765" s="120"/>
    </row>
    <row r="766">
      <c r="A766" s="291"/>
      <c r="B766" s="120"/>
      <c r="C766" s="120"/>
      <c r="D766" s="120"/>
      <c r="E766" s="120"/>
      <c r="F766" s="120"/>
      <c r="G766" s="120"/>
      <c r="L766" s="120"/>
      <c r="M766" s="120"/>
      <c r="N766" s="120"/>
      <c r="O766" s="120"/>
      <c r="P766" s="120"/>
      <c r="Q766" s="120"/>
      <c r="R766" s="120"/>
      <c r="S766" s="120"/>
      <c r="T766" s="120"/>
    </row>
    <row r="767">
      <c r="A767" s="291"/>
      <c r="B767" s="120"/>
      <c r="C767" s="120"/>
      <c r="D767" s="120"/>
      <c r="E767" s="120"/>
      <c r="F767" s="120"/>
      <c r="G767" s="120"/>
      <c r="L767" s="120"/>
      <c r="M767" s="120"/>
      <c r="N767" s="120"/>
      <c r="O767" s="120"/>
      <c r="P767" s="120"/>
      <c r="Q767" s="120"/>
      <c r="R767" s="120"/>
      <c r="S767" s="120"/>
      <c r="T767" s="120"/>
    </row>
    <row r="768">
      <c r="A768" s="291"/>
      <c r="B768" s="120"/>
      <c r="C768" s="120"/>
      <c r="D768" s="120"/>
      <c r="E768" s="120"/>
      <c r="F768" s="120"/>
      <c r="G768" s="120"/>
      <c r="L768" s="120"/>
      <c r="M768" s="120"/>
      <c r="N768" s="120"/>
      <c r="O768" s="120"/>
      <c r="P768" s="120"/>
      <c r="Q768" s="120"/>
      <c r="R768" s="120"/>
      <c r="S768" s="120"/>
      <c r="T768" s="120"/>
    </row>
    <row r="769">
      <c r="A769" s="291"/>
      <c r="B769" s="120"/>
      <c r="C769" s="120"/>
      <c r="D769" s="120"/>
      <c r="E769" s="120"/>
      <c r="F769" s="120"/>
      <c r="G769" s="120"/>
      <c r="L769" s="120"/>
      <c r="M769" s="120"/>
      <c r="N769" s="120"/>
      <c r="O769" s="120"/>
      <c r="P769" s="120"/>
      <c r="Q769" s="120"/>
      <c r="R769" s="120"/>
      <c r="S769" s="120"/>
      <c r="T769" s="120"/>
    </row>
    <row r="770">
      <c r="A770" s="291"/>
      <c r="B770" s="120"/>
      <c r="C770" s="120"/>
      <c r="D770" s="120"/>
      <c r="E770" s="120"/>
      <c r="F770" s="120"/>
      <c r="G770" s="120"/>
      <c r="L770" s="120"/>
      <c r="M770" s="120"/>
      <c r="N770" s="120"/>
      <c r="O770" s="120"/>
      <c r="P770" s="120"/>
      <c r="Q770" s="120"/>
      <c r="R770" s="120"/>
      <c r="S770" s="120"/>
      <c r="T770" s="120"/>
    </row>
    <row r="771">
      <c r="A771" s="291"/>
      <c r="B771" s="120"/>
      <c r="C771" s="120"/>
      <c r="D771" s="120"/>
      <c r="E771" s="120"/>
      <c r="F771" s="120"/>
      <c r="G771" s="120"/>
      <c r="L771" s="120"/>
      <c r="M771" s="120"/>
      <c r="N771" s="120"/>
      <c r="O771" s="120"/>
      <c r="P771" s="120"/>
      <c r="Q771" s="120"/>
      <c r="R771" s="120"/>
      <c r="S771" s="120"/>
      <c r="T771" s="120"/>
    </row>
    <row r="772">
      <c r="A772" s="291"/>
      <c r="B772" s="120"/>
      <c r="C772" s="120"/>
      <c r="D772" s="120"/>
      <c r="E772" s="120"/>
      <c r="F772" s="120"/>
      <c r="G772" s="120"/>
      <c r="L772" s="120"/>
      <c r="M772" s="120"/>
      <c r="N772" s="120"/>
      <c r="O772" s="120"/>
      <c r="P772" s="120"/>
      <c r="Q772" s="120"/>
      <c r="R772" s="120"/>
      <c r="S772" s="120"/>
      <c r="T772" s="120"/>
    </row>
    <row r="773">
      <c r="A773" s="291"/>
      <c r="B773" s="120"/>
      <c r="C773" s="120"/>
      <c r="D773" s="120"/>
      <c r="E773" s="120"/>
      <c r="F773" s="120"/>
      <c r="G773" s="120"/>
      <c r="L773" s="120"/>
      <c r="M773" s="120"/>
      <c r="N773" s="120"/>
      <c r="O773" s="120"/>
      <c r="P773" s="120"/>
      <c r="Q773" s="120"/>
      <c r="R773" s="120"/>
      <c r="S773" s="120"/>
      <c r="T773" s="120"/>
    </row>
    <row r="774">
      <c r="A774" s="291"/>
      <c r="B774" s="120"/>
      <c r="C774" s="120"/>
      <c r="D774" s="120"/>
      <c r="E774" s="120"/>
      <c r="F774" s="120"/>
      <c r="G774" s="120"/>
      <c r="L774" s="120"/>
      <c r="M774" s="120"/>
      <c r="N774" s="120"/>
      <c r="O774" s="120"/>
      <c r="P774" s="120"/>
      <c r="Q774" s="120"/>
      <c r="R774" s="120"/>
      <c r="S774" s="120"/>
      <c r="T774" s="120"/>
    </row>
    <row r="775">
      <c r="A775" s="291"/>
      <c r="B775" s="120"/>
      <c r="C775" s="120"/>
      <c r="D775" s="120"/>
      <c r="E775" s="120"/>
      <c r="F775" s="120"/>
      <c r="G775" s="120"/>
      <c r="L775" s="120"/>
      <c r="M775" s="120"/>
      <c r="N775" s="120"/>
      <c r="O775" s="120"/>
      <c r="P775" s="120"/>
      <c r="Q775" s="120"/>
      <c r="R775" s="120"/>
      <c r="S775" s="120"/>
      <c r="T775" s="120"/>
    </row>
    <row r="776">
      <c r="A776" s="291"/>
      <c r="B776" s="120"/>
      <c r="C776" s="120"/>
      <c r="D776" s="120"/>
      <c r="E776" s="120"/>
      <c r="F776" s="120"/>
      <c r="G776" s="120"/>
      <c r="L776" s="120"/>
      <c r="M776" s="120"/>
      <c r="N776" s="120"/>
      <c r="O776" s="120"/>
      <c r="P776" s="120"/>
      <c r="Q776" s="120"/>
      <c r="R776" s="120"/>
      <c r="S776" s="120"/>
      <c r="T776" s="120"/>
    </row>
    <row r="777">
      <c r="A777" s="291"/>
      <c r="B777" s="120"/>
      <c r="C777" s="120"/>
      <c r="D777" s="120"/>
      <c r="E777" s="120"/>
      <c r="F777" s="120"/>
      <c r="G777" s="120"/>
      <c r="L777" s="120"/>
      <c r="M777" s="120"/>
      <c r="N777" s="120"/>
      <c r="O777" s="120"/>
      <c r="P777" s="120"/>
      <c r="Q777" s="120"/>
      <c r="R777" s="120"/>
      <c r="S777" s="120"/>
      <c r="T777" s="120"/>
    </row>
    <row r="778">
      <c r="A778" s="291"/>
      <c r="B778" s="120"/>
      <c r="C778" s="120"/>
      <c r="D778" s="120"/>
      <c r="E778" s="120"/>
      <c r="F778" s="120"/>
      <c r="G778" s="120"/>
      <c r="L778" s="120"/>
      <c r="M778" s="120"/>
      <c r="N778" s="120"/>
      <c r="O778" s="120"/>
      <c r="P778" s="120"/>
      <c r="Q778" s="120"/>
      <c r="R778" s="120"/>
      <c r="S778" s="120"/>
      <c r="T778" s="120"/>
    </row>
    <row r="779">
      <c r="A779" s="291"/>
      <c r="B779" s="120"/>
      <c r="C779" s="120"/>
      <c r="D779" s="120"/>
      <c r="E779" s="120"/>
      <c r="F779" s="120"/>
      <c r="G779" s="120"/>
      <c r="L779" s="120"/>
      <c r="M779" s="120"/>
      <c r="N779" s="120"/>
      <c r="O779" s="120"/>
      <c r="P779" s="120"/>
      <c r="Q779" s="120"/>
      <c r="R779" s="120"/>
      <c r="S779" s="120"/>
      <c r="T779" s="120"/>
    </row>
    <row r="780">
      <c r="A780" s="291"/>
      <c r="B780" s="120"/>
      <c r="C780" s="120"/>
      <c r="D780" s="120"/>
      <c r="E780" s="120"/>
      <c r="F780" s="120"/>
      <c r="G780" s="120"/>
      <c r="L780" s="120"/>
      <c r="M780" s="120"/>
      <c r="N780" s="120"/>
      <c r="O780" s="120"/>
      <c r="P780" s="120"/>
      <c r="Q780" s="120"/>
      <c r="R780" s="120"/>
      <c r="S780" s="120"/>
      <c r="T780" s="120"/>
    </row>
    <row r="781">
      <c r="A781" s="291"/>
      <c r="B781" s="120"/>
      <c r="C781" s="120"/>
      <c r="D781" s="120"/>
      <c r="E781" s="120"/>
      <c r="F781" s="120"/>
      <c r="G781" s="120"/>
      <c r="L781" s="120"/>
      <c r="M781" s="120"/>
      <c r="N781" s="120"/>
      <c r="O781" s="120"/>
      <c r="P781" s="120"/>
      <c r="Q781" s="120"/>
      <c r="R781" s="120"/>
      <c r="S781" s="120"/>
      <c r="T781" s="120"/>
    </row>
    <row r="782">
      <c r="A782" s="291"/>
      <c r="B782" s="120"/>
      <c r="C782" s="120"/>
      <c r="D782" s="120"/>
      <c r="E782" s="120"/>
      <c r="F782" s="120"/>
      <c r="G782" s="120"/>
      <c r="L782" s="120"/>
      <c r="M782" s="120"/>
      <c r="N782" s="120"/>
      <c r="O782" s="120"/>
      <c r="P782" s="120"/>
      <c r="Q782" s="120"/>
      <c r="R782" s="120"/>
      <c r="S782" s="120"/>
      <c r="T782" s="120"/>
    </row>
    <row r="783">
      <c r="A783" s="291"/>
      <c r="B783" s="120"/>
      <c r="C783" s="120"/>
      <c r="D783" s="120"/>
      <c r="E783" s="120"/>
      <c r="F783" s="120"/>
      <c r="G783" s="120"/>
      <c r="L783" s="120"/>
      <c r="M783" s="120"/>
      <c r="N783" s="120"/>
      <c r="O783" s="120"/>
      <c r="P783" s="120"/>
      <c r="Q783" s="120"/>
      <c r="R783" s="120"/>
      <c r="S783" s="120"/>
      <c r="T783" s="120"/>
    </row>
    <row r="784">
      <c r="A784" s="291"/>
      <c r="B784" s="120"/>
      <c r="C784" s="120"/>
      <c r="D784" s="120"/>
      <c r="E784" s="120"/>
      <c r="F784" s="120"/>
      <c r="G784" s="120"/>
      <c r="L784" s="120"/>
      <c r="M784" s="120"/>
      <c r="N784" s="120"/>
      <c r="O784" s="120"/>
      <c r="P784" s="120"/>
      <c r="Q784" s="120"/>
      <c r="R784" s="120"/>
      <c r="S784" s="120"/>
      <c r="T784" s="120"/>
    </row>
    <row r="785">
      <c r="A785" s="291"/>
      <c r="B785" s="120"/>
      <c r="C785" s="120"/>
      <c r="D785" s="120"/>
      <c r="E785" s="120"/>
      <c r="F785" s="120"/>
      <c r="G785" s="120"/>
      <c r="L785" s="120"/>
      <c r="M785" s="120"/>
      <c r="N785" s="120"/>
      <c r="O785" s="120"/>
      <c r="P785" s="120"/>
      <c r="Q785" s="120"/>
      <c r="R785" s="120"/>
      <c r="S785" s="120"/>
      <c r="T785" s="120"/>
    </row>
    <row r="786">
      <c r="A786" s="291"/>
      <c r="B786" s="120"/>
      <c r="C786" s="120"/>
      <c r="D786" s="120"/>
      <c r="E786" s="120"/>
      <c r="F786" s="120"/>
      <c r="G786" s="120"/>
      <c r="L786" s="120"/>
      <c r="M786" s="120"/>
      <c r="N786" s="120"/>
      <c r="O786" s="120"/>
      <c r="P786" s="120"/>
      <c r="Q786" s="120"/>
      <c r="R786" s="120"/>
      <c r="S786" s="120"/>
      <c r="T786" s="120"/>
    </row>
    <row r="787">
      <c r="A787" s="291"/>
      <c r="B787" s="120"/>
      <c r="C787" s="120"/>
      <c r="D787" s="120"/>
      <c r="E787" s="120"/>
      <c r="F787" s="120"/>
      <c r="G787" s="120"/>
      <c r="L787" s="120"/>
      <c r="M787" s="120"/>
      <c r="N787" s="120"/>
      <c r="O787" s="120"/>
      <c r="P787" s="120"/>
      <c r="Q787" s="120"/>
      <c r="R787" s="120"/>
      <c r="S787" s="120"/>
      <c r="T787" s="120"/>
    </row>
    <row r="788">
      <c r="A788" s="291"/>
      <c r="B788" s="120"/>
      <c r="C788" s="120"/>
      <c r="D788" s="120"/>
      <c r="E788" s="120"/>
      <c r="F788" s="120"/>
      <c r="G788" s="120"/>
      <c r="L788" s="120"/>
      <c r="M788" s="120"/>
      <c r="N788" s="120"/>
      <c r="O788" s="120"/>
      <c r="P788" s="120"/>
      <c r="Q788" s="120"/>
      <c r="R788" s="120"/>
      <c r="S788" s="120"/>
      <c r="T788" s="120"/>
    </row>
    <row r="789">
      <c r="A789" s="291"/>
      <c r="B789" s="120"/>
      <c r="C789" s="120"/>
      <c r="D789" s="120"/>
      <c r="E789" s="120"/>
      <c r="F789" s="120"/>
      <c r="G789" s="120"/>
      <c r="L789" s="120"/>
      <c r="M789" s="120"/>
      <c r="N789" s="120"/>
      <c r="O789" s="120"/>
      <c r="P789" s="120"/>
      <c r="Q789" s="120"/>
      <c r="R789" s="120"/>
      <c r="S789" s="120"/>
      <c r="T789" s="120"/>
    </row>
    <row r="790">
      <c r="A790" s="291"/>
      <c r="B790" s="120"/>
      <c r="C790" s="120"/>
      <c r="D790" s="120"/>
      <c r="E790" s="120"/>
      <c r="F790" s="120"/>
      <c r="G790" s="120"/>
      <c r="L790" s="120"/>
      <c r="M790" s="120"/>
      <c r="N790" s="120"/>
      <c r="O790" s="120"/>
      <c r="P790" s="120"/>
      <c r="Q790" s="120"/>
      <c r="R790" s="120"/>
      <c r="S790" s="120"/>
      <c r="T790" s="120"/>
    </row>
    <row r="791">
      <c r="A791" s="291"/>
      <c r="B791" s="120"/>
      <c r="C791" s="120"/>
      <c r="D791" s="120"/>
      <c r="E791" s="120"/>
      <c r="F791" s="120"/>
      <c r="G791" s="120"/>
      <c r="L791" s="120"/>
      <c r="M791" s="120"/>
      <c r="N791" s="120"/>
      <c r="O791" s="120"/>
      <c r="P791" s="120"/>
      <c r="Q791" s="120"/>
      <c r="R791" s="120"/>
      <c r="S791" s="120"/>
      <c r="T791" s="120"/>
    </row>
    <row r="792">
      <c r="A792" s="291"/>
      <c r="B792" s="120"/>
      <c r="C792" s="120"/>
      <c r="D792" s="120"/>
      <c r="E792" s="120"/>
      <c r="F792" s="120"/>
      <c r="G792" s="120"/>
      <c r="L792" s="120"/>
      <c r="M792" s="120"/>
      <c r="N792" s="120"/>
      <c r="O792" s="120"/>
      <c r="P792" s="120"/>
      <c r="Q792" s="120"/>
      <c r="R792" s="120"/>
      <c r="S792" s="120"/>
      <c r="T792" s="120"/>
    </row>
    <row r="793">
      <c r="A793" s="291"/>
      <c r="B793" s="120"/>
      <c r="C793" s="120"/>
      <c r="D793" s="120"/>
      <c r="E793" s="120"/>
      <c r="F793" s="120"/>
      <c r="G793" s="120"/>
      <c r="L793" s="120"/>
      <c r="M793" s="120"/>
      <c r="N793" s="120"/>
      <c r="O793" s="120"/>
      <c r="P793" s="120"/>
      <c r="Q793" s="120"/>
      <c r="R793" s="120"/>
      <c r="S793" s="120"/>
      <c r="T793" s="120"/>
    </row>
    <row r="794">
      <c r="A794" s="291"/>
      <c r="B794" s="120"/>
      <c r="C794" s="120"/>
      <c r="D794" s="120"/>
      <c r="E794" s="120"/>
      <c r="F794" s="120"/>
      <c r="G794" s="120"/>
      <c r="L794" s="120"/>
      <c r="M794" s="120"/>
      <c r="N794" s="120"/>
      <c r="O794" s="120"/>
      <c r="P794" s="120"/>
      <c r="Q794" s="120"/>
      <c r="R794" s="120"/>
      <c r="S794" s="120"/>
      <c r="T794" s="120"/>
    </row>
    <row r="795">
      <c r="A795" s="291"/>
      <c r="B795" s="120"/>
      <c r="C795" s="120"/>
      <c r="D795" s="120"/>
      <c r="E795" s="120"/>
      <c r="F795" s="120"/>
      <c r="G795" s="120"/>
      <c r="L795" s="120"/>
      <c r="M795" s="120"/>
      <c r="N795" s="120"/>
      <c r="O795" s="120"/>
      <c r="P795" s="120"/>
      <c r="Q795" s="120"/>
      <c r="R795" s="120"/>
      <c r="S795" s="120"/>
      <c r="T795" s="120"/>
    </row>
    <row r="796">
      <c r="A796" s="291"/>
      <c r="B796" s="120"/>
      <c r="C796" s="120"/>
      <c r="D796" s="120"/>
      <c r="E796" s="120"/>
      <c r="F796" s="120"/>
      <c r="G796" s="120"/>
      <c r="L796" s="120"/>
      <c r="M796" s="120"/>
      <c r="N796" s="120"/>
      <c r="O796" s="120"/>
      <c r="P796" s="120"/>
      <c r="Q796" s="120"/>
      <c r="R796" s="120"/>
      <c r="S796" s="120"/>
      <c r="T796" s="120"/>
    </row>
    <row r="797">
      <c r="A797" s="291"/>
      <c r="B797" s="120"/>
      <c r="C797" s="120"/>
      <c r="D797" s="120"/>
      <c r="E797" s="120"/>
      <c r="F797" s="120"/>
      <c r="G797" s="120"/>
      <c r="L797" s="120"/>
      <c r="M797" s="120"/>
      <c r="N797" s="120"/>
      <c r="O797" s="120"/>
      <c r="P797" s="120"/>
      <c r="Q797" s="120"/>
      <c r="R797" s="120"/>
      <c r="S797" s="120"/>
      <c r="T797" s="120"/>
    </row>
    <row r="798">
      <c r="A798" s="291"/>
      <c r="B798" s="120"/>
      <c r="C798" s="120"/>
      <c r="D798" s="120"/>
      <c r="E798" s="120"/>
      <c r="F798" s="120"/>
      <c r="G798" s="120"/>
      <c r="L798" s="120"/>
      <c r="M798" s="120"/>
      <c r="N798" s="120"/>
      <c r="O798" s="120"/>
      <c r="P798" s="120"/>
      <c r="Q798" s="120"/>
      <c r="R798" s="120"/>
      <c r="S798" s="120"/>
      <c r="T798" s="120"/>
    </row>
    <row r="799">
      <c r="A799" s="291"/>
      <c r="B799" s="120"/>
      <c r="C799" s="120"/>
      <c r="D799" s="120"/>
      <c r="E799" s="120"/>
      <c r="F799" s="120"/>
      <c r="G799" s="120"/>
      <c r="L799" s="120"/>
      <c r="M799" s="120"/>
      <c r="N799" s="120"/>
      <c r="O799" s="120"/>
      <c r="P799" s="120"/>
      <c r="Q799" s="120"/>
      <c r="R799" s="120"/>
      <c r="S799" s="120"/>
      <c r="T799" s="120"/>
    </row>
    <row r="800">
      <c r="A800" s="291"/>
      <c r="B800" s="120"/>
      <c r="C800" s="120"/>
      <c r="D800" s="120"/>
      <c r="E800" s="120"/>
      <c r="F800" s="120"/>
      <c r="G800" s="120"/>
      <c r="L800" s="120"/>
      <c r="M800" s="120"/>
      <c r="N800" s="120"/>
      <c r="O800" s="120"/>
      <c r="P800" s="120"/>
      <c r="Q800" s="120"/>
      <c r="R800" s="120"/>
      <c r="S800" s="120"/>
      <c r="T800" s="120"/>
    </row>
    <row r="801">
      <c r="A801" s="291"/>
      <c r="B801" s="120"/>
      <c r="C801" s="120"/>
      <c r="D801" s="120"/>
      <c r="E801" s="120"/>
      <c r="F801" s="120"/>
      <c r="G801" s="120"/>
      <c r="L801" s="120"/>
      <c r="M801" s="120"/>
      <c r="N801" s="120"/>
      <c r="O801" s="120"/>
      <c r="P801" s="120"/>
      <c r="Q801" s="120"/>
      <c r="R801" s="120"/>
      <c r="S801" s="120"/>
      <c r="T801" s="120"/>
    </row>
    <row r="802">
      <c r="A802" s="291"/>
      <c r="B802" s="120"/>
      <c r="C802" s="120"/>
      <c r="D802" s="120"/>
      <c r="E802" s="120"/>
      <c r="F802" s="120"/>
      <c r="G802" s="120"/>
      <c r="L802" s="120"/>
      <c r="M802" s="120"/>
      <c r="N802" s="120"/>
      <c r="O802" s="120"/>
      <c r="P802" s="120"/>
      <c r="Q802" s="120"/>
      <c r="R802" s="120"/>
      <c r="S802" s="120"/>
      <c r="T802" s="120"/>
    </row>
    <row r="803">
      <c r="A803" s="291"/>
      <c r="B803" s="120"/>
      <c r="C803" s="120"/>
      <c r="D803" s="120"/>
      <c r="E803" s="120"/>
      <c r="F803" s="120"/>
      <c r="G803" s="120"/>
      <c r="L803" s="120"/>
      <c r="M803" s="120"/>
      <c r="N803" s="120"/>
      <c r="O803" s="120"/>
      <c r="P803" s="120"/>
      <c r="Q803" s="120"/>
      <c r="R803" s="120"/>
      <c r="S803" s="120"/>
      <c r="T803" s="120"/>
    </row>
    <row r="804">
      <c r="A804" s="291"/>
      <c r="B804" s="120"/>
      <c r="C804" s="120"/>
      <c r="D804" s="120"/>
      <c r="E804" s="120"/>
      <c r="F804" s="120"/>
      <c r="G804" s="120"/>
      <c r="L804" s="120"/>
      <c r="M804" s="120"/>
      <c r="N804" s="120"/>
      <c r="O804" s="120"/>
      <c r="P804" s="120"/>
      <c r="Q804" s="120"/>
      <c r="R804" s="120"/>
      <c r="S804" s="120"/>
      <c r="T804" s="120"/>
    </row>
    <row r="805">
      <c r="A805" s="291"/>
      <c r="B805" s="120"/>
      <c r="C805" s="120"/>
      <c r="D805" s="120"/>
      <c r="E805" s="120"/>
      <c r="F805" s="120"/>
      <c r="G805" s="120"/>
      <c r="L805" s="120"/>
      <c r="M805" s="120"/>
      <c r="N805" s="120"/>
      <c r="O805" s="120"/>
      <c r="P805" s="120"/>
      <c r="Q805" s="120"/>
      <c r="R805" s="120"/>
      <c r="S805" s="120"/>
      <c r="T805" s="120"/>
    </row>
    <row r="806">
      <c r="A806" s="291"/>
      <c r="B806" s="120"/>
      <c r="C806" s="120"/>
      <c r="D806" s="120"/>
      <c r="E806" s="120"/>
      <c r="F806" s="120"/>
      <c r="G806" s="120"/>
      <c r="L806" s="120"/>
      <c r="M806" s="120"/>
      <c r="N806" s="120"/>
      <c r="O806" s="120"/>
      <c r="P806" s="120"/>
      <c r="Q806" s="120"/>
      <c r="R806" s="120"/>
      <c r="S806" s="120"/>
      <c r="T806" s="120"/>
    </row>
    <row r="807">
      <c r="A807" s="291"/>
      <c r="B807" s="120"/>
      <c r="C807" s="120"/>
      <c r="D807" s="120"/>
      <c r="E807" s="120"/>
      <c r="F807" s="120"/>
      <c r="G807" s="120"/>
      <c r="L807" s="120"/>
      <c r="M807" s="120"/>
      <c r="N807" s="120"/>
      <c r="O807" s="120"/>
      <c r="P807" s="120"/>
      <c r="Q807" s="120"/>
      <c r="R807" s="120"/>
      <c r="S807" s="120"/>
      <c r="T807" s="120"/>
    </row>
    <row r="808">
      <c r="A808" s="291"/>
      <c r="B808" s="120"/>
      <c r="C808" s="120"/>
      <c r="D808" s="120"/>
      <c r="E808" s="120"/>
      <c r="F808" s="120"/>
      <c r="G808" s="120"/>
      <c r="L808" s="120"/>
      <c r="M808" s="120"/>
      <c r="N808" s="120"/>
      <c r="O808" s="120"/>
      <c r="P808" s="120"/>
      <c r="Q808" s="120"/>
      <c r="R808" s="120"/>
      <c r="S808" s="120"/>
      <c r="T808" s="120"/>
    </row>
    <row r="809">
      <c r="A809" s="291"/>
      <c r="B809" s="120"/>
      <c r="C809" s="120"/>
      <c r="D809" s="120"/>
      <c r="E809" s="120"/>
      <c r="F809" s="120"/>
      <c r="G809" s="120"/>
      <c r="L809" s="120"/>
      <c r="M809" s="120"/>
      <c r="N809" s="120"/>
      <c r="O809" s="120"/>
      <c r="P809" s="120"/>
      <c r="Q809" s="120"/>
      <c r="R809" s="120"/>
      <c r="S809" s="120"/>
      <c r="T809" s="120"/>
    </row>
    <row r="810">
      <c r="A810" s="291"/>
      <c r="B810" s="120"/>
      <c r="C810" s="120"/>
      <c r="D810" s="120"/>
      <c r="E810" s="120"/>
      <c r="F810" s="120"/>
      <c r="G810" s="120"/>
      <c r="L810" s="120"/>
      <c r="M810" s="120"/>
      <c r="N810" s="120"/>
      <c r="O810" s="120"/>
      <c r="P810" s="120"/>
      <c r="Q810" s="120"/>
      <c r="R810" s="120"/>
      <c r="S810" s="120"/>
      <c r="T810" s="120"/>
    </row>
    <row r="811">
      <c r="A811" s="291"/>
      <c r="B811" s="120"/>
      <c r="C811" s="120"/>
      <c r="D811" s="120"/>
      <c r="E811" s="120"/>
      <c r="F811" s="120"/>
      <c r="G811" s="120"/>
      <c r="L811" s="120"/>
      <c r="M811" s="120"/>
      <c r="N811" s="120"/>
      <c r="O811" s="120"/>
      <c r="P811" s="120"/>
      <c r="Q811" s="120"/>
      <c r="R811" s="120"/>
      <c r="S811" s="120"/>
      <c r="T811" s="120"/>
    </row>
    <row r="812">
      <c r="A812" s="291"/>
      <c r="B812" s="120"/>
      <c r="C812" s="120"/>
      <c r="D812" s="120"/>
      <c r="E812" s="120"/>
      <c r="F812" s="120"/>
      <c r="G812" s="120"/>
      <c r="L812" s="120"/>
      <c r="M812" s="120"/>
      <c r="N812" s="120"/>
      <c r="O812" s="120"/>
      <c r="P812" s="120"/>
      <c r="Q812" s="120"/>
      <c r="R812" s="120"/>
      <c r="S812" s="120"/>
      <c r="T812" s="120"/>
    </row>
    <row r="813">
      <c r="A813" s="291"/>
      <c r="B813" s="120"/>
      <c r="C813" s="120"/>
      <c r="D813" s="120"/>
      <c r="E813" s="120"/>
      <c r="F813" s="120"/>
      <c r="G813" s="120"/>
      <c r="L813" s="120"/>
      <c r="M813" s="120"/>
      <c r="N813" s="120"/>
      <c r="O813" s="120"/>
      <c r="P813" s="120"/>
      <c r="Q813" s="120"/>
      <c r="R813" s="120"/>
      <c r="S813" s="120"/>
      <c r="T813" s="120"/>
    </row>
    <row r="814">
      <c r="A814" s="291"/>
      <c r="B814" s="120"/>
      <c r="C814" s="120"/>
      <c r="D814" s="120"/>
      <c r="E814" s="120"/>
      <c r="F814" s="120"/>
      <c r="G814" s="120"/>
      <c r="L814" s="120"/>
      <c r="M814" s="120"/>
      <c r="N814" s="120"/>
      <c r="O814" s="120"/>
      <c r="P814" s="120"/>
      <c r="Q814" s="120"/>
      <c r="R814" s="120"/>
      <c r="S814" s="120"/>
      <c r="T814" s="120"/>
    </row>
    <row r="815">
      <c r="A815" s="291"/>
      <c r="B815" s="120"/>
      <c r="C815" s="120"/>
      <c r="D815" s="120"/>
      <c r="E815" s="120"/>
      <c r="F815" s="120"/>
      <c r="G815" s="120"/>
      <c r="L815" s="120"/>
      <c r="M815" s="120"/>
      <c r="N815" s="120"/>
      <c r="O815" s="120"/>
      <c r="P815" s="120"/>
      <c r="Q815" s="120"/>
      <c r="R815" s="120"/>
      <c r="S815" s="120"/>
      <c r="T815" s="120"/>
    </row>
    <row r="816">
      <c r="A816" s="291"/>
      <c r="B816" s="120"/>
      <c r="C816" s="120"/>
      <c r="D816" s="120"/>
      <c r="E816" s="120"/>
      <c r="F816" s="120"/>
      <c r="G816" s="120"/>
      <c r="L816" s="120"/>
      <c r="M816" s="120"/>
      <c r="N816" s="120"/>
      <c r="O816" s="120"/>
      <c r="P816" s="120"/>
      <c r="Q816" s="120"/>
      <c r="R816" s="120"/>
      <c r="S816" s="120"/>
      <c r="T816" s="120"/>
    </row>
    <row r="817">
      <c r="A817" s="291"/>
      <c r="B817" s="120"/>
      <c r="C817" s="120"/>
      <c r="D817" s="120"/>
      <c r="E817" s="120"/>
      <c r="F817" s="120"/>
      <c r="G817" s="120"/>
      <c r="L817" s="120"/>
      <c r="M817" s="120"/>
      <c r="N817" s="120"/>
      <c r="O817" s="120"/>
      <c r="P817" s="120"/>
      <c r="Q817" s="120"/>
      <c r="R817" s="120"/>
      <c r="S817" s="120"/>
      <c r="T817" s="120"/>
    </row>
    <row r="818">
      <c r="A818" s="291"/>
      <c r="B818" s="120"/>
      <c r="C818" s="120"/>
      <c r="D818" s="120"/>
      <c r="E818" s="120"/>
      <c r="F818" s="120"/>
      <c r="G818" s="120"/>
      <c r="L818" s="120"/>
      <c r="M818" s="120"/>
      <c r="N818" s="120"/>
      <c r="O818" s="120"/>
      <c r="P818" s="120"/>
      <c r="Q818" s="120"/>
      <c r="R818" s="120"/>
      <c r="S818" s="120"/>
      <c r="T818" s="120"/>
    </row>
    <row r="819">
      <c r="A819" s="291"/>
      <c r="B819" s="120"/>
      <c r="C819" s="120"/>
      <c r="D819" s="120"/>
      <c r="E819" s="120"/>
      <c r="F819" s="120"/>
      <c r="G819" s="120"/>
      <c r="L819" s="120"/>
      <c r="M819" s="120"/>
      <c r="N819" s="120"/>
      <c r="O819" s="120"/>
      <c r="P819" s="120"/>
      <c r="Q819" s="120"/>
      <c r="R819" s="120"/>
      <c r="S819" s="120"/>
      <c r="T819" s="120"/>
    </row>
    <row r="820">
      <c r="A820" s="291"/>
      <c r="B820" s="120"/>
      <c r="C820" s="120"/>
      <c r="D820" s="120"/>
      <c r="E820" s="120"/>
      <c r="F820" s="120"/>
      <c r="G820" s="120"/>
      <c r="L820" s="120"/>
      <c r="M820" s="120"/>
      <c r="N820" s="120"/>
      <c r="O820" s="120"/>
      <c r="P820" s="120"/>
      <c r="Q820" s="120"/>
      <c r="R820" s="120"/>
      <c r="S820" s="120"/>
      <c r="T820" s="120"/>
    </row>
    <row r="821">
      <c r="A821" s="291"/>
      <c r="B821" s="120"/>
      <c r="C821" s="120"/>
      <c r="D821" s="120"/>
      <c r="E821" s="120"/>
      <c r="F821" s="120"/>
      <c r="G821" s="120"/>
      <c r="L821" s="120"/>
      <c r="M821" s="120"/>
      <c r="N821" s="120"/>
      <c r="O821" s="120"/>
      <c r="P821" s="120"/>
      <c r="Q821" s="120"/>
      <c r="R821" s="120"/>
      <c r="S821" s="120"/>
      <c r="T821" s="120"/>
    </row>
    <row r="822">
      <c r="A822" s="291"/>
      <c r="B822" s="120"/>
      <c r="C822" s="120"/>
      <c r="D822" s="120"/>
      <c r="E822" s="120"/>
      <c r="F822" s="120"/>
      <c r="G822" s="120"/>
      <c r="L822" s="120"/>
      <c r="M822" s="120"/>
      <c r="N822" s="120"/>
      <c r="O822" s="120"/>
      <c r="P822" s="120"/>
      <c r="Q822" s="120"/>
      <c r="R822" s="120"/>
      <c r="S822" s="120"/>
      <c r="T822" s="120"/>
    </row>
    <row r="823">
      <c r="A823" s="291"/>
      <c r="B823" s="120"/>
      <c r="C823" s="120"/>
      <c r="D823" s="120"/>
      <c r="E823" s="120"/>
      <c r="F823" s="120"/>
      <c r="G823" s="120"/>
      <c r="L823" s="120"/>
      <c r="M823" s="120"/>
      <c r="N823" s="120"/>
      <c r="O823" s="120"/>
      <c r="P823" s="120"/>
      <c r="Q823" s="120"/>
      <c r="R823" s="120"/>
      <c r="S823" s="120"/>
      <c r="T823" s="120"/>
    </row>
    <row r="824">
      <c r="A824" s="291"/>
      <c r="B824" s="120"/>
      <c r="C824" s="120"/>
      <c r="D824" s="120"/>
      <c r="E824" s="120"/>
      <c r="F824" s="120"/>
      <c r="G824" s="120"/>
      <c r="L824" s="120"/>
      <c r="M824" s="120"/>
      <c r="N824" s="120"/>
      <c r="O824" s="120"/>
      <c r="P824" s="120"/>
      <c r="Q824" s="120"/>
      <c r="R824" s="120"/>
      <c r="S824" s="120"/>
      <c r="T824" s="120"/>
    </row>
    <row r="825">
      <c r="A825" s="291"/>
      <c r="B825" s="120"/>
      <c r="C825" s="120"/>
      <c r="D825" s="120"/>
      <c r="E825" s="120"/>
      <c r="F825" s="120"/>
      <c r="G825" s="120"/>
      <c r="L825" s="120"/>
      <c r="M825" s="120"/>
      <c r="N825" s="120"/>
      <c r="O825" s="120"/>
      <c r="P825" s="120"/>
      <c r="Q825" s="120"/>
      <c r="R825" s="120"/>
      <c r="S825" s="120"/>
      <c r="T825" s="120"/>
    </row>
    <row r="826">
      <c r="A826" s="291"/>
      <c r="B826" s="120"/>
      <c r="C826" s="120"/>
      <c r="D826" s="120"/>
      <c r="E826" s="120"/>
      <c r="F826" s="120"/>
      <c r="G826" s="120"/>
      <c r="L826" s="120"/>
      <c r="M826" s="120"/>
      <c r="N826" s="120"/>
      <c r="O826" s="120"/>
      <c r="P826" s="120"/>
      <c r="Q826" s="120"/>
      <c r="R826" s="120"/>
      <c r="S826" s="120"/>
      <c r="T826" s="120"/>
    </row>
    <row r="827">
      <c r="A827" s="291"/>
      <c r="B827" s="120"/>
      <c r="C827" s="120"/>
      <c r="D827" s="120"/>
      <c r="E827" s="120"/>
      <c r="F827" s="120"/>
      <c r="G827" s="120"/>
      <c r="L827" s="120"/>
      <c r="M827" s="120"/>
      <c r="N827" s="120"/>
      <c r="O827" s="120"/>
      <c r="P827" s="120"/>
      <c r="Q827" s="120"/>
      <c r="R827" s="120"/>
      <c r="S827" s="120"/>
      <c r="T827" s="120"/>
    </row>
    <row r="828">
      <c r="A828" s="291"/>
      <c r="B828" s="120"/>
      <c r="C828" s="120"/>
      <c r="D828" s="120"/>
      <c r="E828" s="120"/>
      <c r="F828" s="120"/>
      <c r="G828" s="120"/>
      <c r="L828" s="120"/>
      <c r="M828" s="120"/>
      <c r="N828" s="120"/>
      <c r="O828" s="120"/>
      <c r="P828" s="120"/>
      <c r="Q828" s="120"/>
      <c r="R828" s="120"/>
      <c r="S828" s="120"/>
      <c r="T828" s="120"/>
    </row>
    <row r="829">
      <c r="A829" s="291"/>
      <c r="B829" s="120"/>
      <c r="C829" s="120"/>
      <c r="D829" s="120"/>
      <c r="E829" s="120"/>
      <c r="F829" s="120"/>
      <c r="G829" s="120"/>
      <c r="L829" s="120"/>
      <c r="M829" s="120"/>
      <c r="N829" s="120"/>
      <c r="O829" s="120"/>
      <c r="P829" s="120"/>
      <c r="Q829" s="120"/>
      <c r="R829" s="120"/>
      <c r="S829" s="120"/>
      <c r="T829" s="120"/>
    </row>
    <row r="830">
      <c r="A830" s="291"/>
      <c r="B830" s="120"/>
      <c r="C830" s="120"/>
      <c r="D830" s="120"/>
      <c r="E830" s="120"/>
      <c r="F830" s="120"/>
      <c r="G830" s="120"/>
      <c r="L830" s="120"/>
      <c r="M830" s="120"/>
      <c r="N830" s="120"/>
      <c r="O830" s="120"/>
      <c r="P830" s="120"/>
      <c r="Q830" s="120"/>
      <c r="R830" s="120"/>
      <c r="S830" s="120"/>
      <c r="T830" s="120"/>
    </row>
    <row r="831">
      <c r="A831" s="291"/>
      <c r="B831" s="120"/>
      <c r="C831" s="120"/>
      <c r="D831" s="120"/>
      <c r="E831" s="120"/>
      <c r="F831" s="120"/>
      <c r="G831" s="120"/>
      <c r="L831" s="120"/>
      <c r="M831" s="120"/>
      <c r="N831" s="120"/>
      <c r="O831" s="120"/>
      <c r="P831" s="120"/>
      <c r="Q831" s="120"/>
      <c r="R831" s="120"/>
      <c r="S831" s="120"/>
      <c r="T831" s="120"/>
    </row>
    <row r="832">
      <c r="A832" s="291"/>
      <c r="B832" s="120"/>
      <c r="C832" s="120"/>
      <c r="D832" s="120"/>
      <c r="E832" s="120"/>
      <c r="F832" s="120"/>
      <c r="G832" s="120"/>
      <c r="L832" s="120"/>
      <c r="M832" s="120"/>
      <c r="N832" s="120"/>
      <c r="O832" s="120"/>
      <c r="P832" s="120"/>
      <c r="Q832" s="120"/>
      <c r="R832" s="120"/>
      <c r="S832" s="120"/>
      <c r="T832" s="120"/>
    </row>
    <row r="833">
      <c r="A833" s="291"/>
      <c r="B833" s="120"/>
      <c r="C833" s="120"/>
      <c r="D833" s="120"/>
      <c r="E833" s="120"/>
      <c r="F833" s="120"/>
      <c r="G833" s="120"/>
      <c r="L833" s="120"/>
      <c r="M833" s="120"/>
      <c r="N833" s="120"/>
      <c r="O833" s="120"/>
      <c r="P833" s="120"/>
      <c r="Q833" s="120"/>
      <c r="R833" s="120"/>
      <c r="S833" s="120"/>
      <c r="T833" s="120"/>
    </row>
    <row r="834">
      <c r="A834" s="291"/>
      <c r="B834" s="120"/>
      <c r="C834" s="120"/>
      <c r="D834" s="120"/>
      <c r="E834" s="120"/>
      <c r="F834" s="120"/>
      <c r="G834" s="120"/>
      <c r="L834" s="120"/>
      <c r="M834" s="120"/>
      <c r="N834" s="120"/>
      <c r="O834" s="120"/>
      <c r="P834" s="120"/>
      <c r="Q834" s="120"/>
      <c r="R834" s="120"/>
      <c r="S834" s="120"/>
      <c r="T834" s="120"/>
    </row>
    <row r="835">
      <c r="A835" s="291"/>
      <c r="B835" s="120"/>
      <c r="C835" s="120"/>
      <c r="D835" s="120"/>
      <c r="E835" s="120"/>
      <c r="F835" s="120"/>
      <c r="G835" s="120"/>
      <c r="L835" s="120"/>
      <c r="M835" s="120"/>
      <c r="N835" s="120"/>
      <c r="O835" s="120"/>
      <c r="P835" s="120"/>
      <c r="Q835" s="120"/>
      <c r="R835" s="120"/>
      <c r="S835" s="120"/>
      <c r="T835" s="120"/>
    </row>
    <row r="836">
      <c r="A836" s="291"/>
      <c r="B836" s="120"/>
      <c r="C836" s="120"/>
      <c r="D836" s="120"/>
      <c r="E836" s="120"/>
      <c r="F836" s="120"/>
      <c r="G836" s="120"/>
      <c r="L836" s="120"/>
      <c r="M836" s="120"/>
      <c r="N836" s="120"/>
      <c r="O836" s="120"/>
      <c r="P836" s="120"/>
      <c r="Q836" s="120"/>
      <c r="R836" s="120"/>
      <c r="S836" s="120"/>
      <c r="T836" s="120"/>
    </row>
    <row r="837">
      <c r="A837" s="291"/>
      <c r="B837" s="120"/>
      <c r="C837" s="120"/>
      <c r="D837" s="120"/>
      <c r="E837" s="120"/>
      <c r="F837" s="120"/>
      <c r="G837" s="120"/>
      <c r="L837" s="120"/>
      <c r="M837" s="120"/>
      <c r="N837" s="120"/>
      <c r="O837" s="120"/>
      <c r="P837" s="120"/>
      <c r="Q837" s="120"/>
      <c r="R837" s="120"/>
      <c r="S837" s="120"/>
      <c r="T837" s="120"/>
    </row>
    <row r="838">
      <c r="A838" s="291"/>
      <c r="B838" s="120"/>
      <c r="C838" s="120"/>
      <c r="D838" s="120"/>
      <c r="E838" s="120"/>
      <c r="F838" s="120"/>
      <c r="G838" s="120"/>
      <c r="L838" s="120"/>
      <c r="M838" s="120"/>
      <c r="N838" s="120"/>
      <c r="O838" s="120"/>
      <c r="P838" s="120"/>
      <c r="Q838" s="120"/>
      <c r="R838" s="120"/>
      <c r="S838" s="120"/>
      <c r="T838" s="120"/>
    </row>
    <row r="839">
      <c r="A839" s="291"/>
      <c r="B839" s="120"/>
      <c r="C839" s="120"/>
      <c r="D839" s="120"/>
      <c r="E839" s="120"/>
      <c r="F839" s="120"/>
      <c r="G839" s="120"/>
      <c r="L839" s="120"/>
      <c r="M839" s="120"/>
      <c r="N839" s="120"/>
      <c r="O839" s="120"/>
      <c r="P839" s="120"/>
      <c r="Q839" s="120"/>
      <c r="R839" s="120"/>
      <c r="S839" s="120"/>
      <c r="T839" s="120"/>
    </row>
    <row r="840">
      <c r="A840" s="291"/>
      <c r="B840" s="120"/>
      <c r="C840" s="120"/>
      <c r="D840" s="120"/>
      <c r="E840" s="120"/>
      <c r="F840" s="120"/>
      <c r="G840" s="120"/>
      <c r="L840" s="120"/>
      <c r="M840" s="120"/>
      <c r="N840" s="120"/>
      <c r="O840" s="120"/>
      <c r="P840" s="120"/>
      <c r="Q840" s="120"/>
      <c r="R840" s="120"/>
      <c r="S840" s="120"/>
      <c r="T840" s="120"/>
    </row>
    <row r="841">
      <c r="A841" s="291"/>
      <c r="B841" s="120"/>
      <c r="C841" s="120"/>
      <c r="D841" s="120"/>
      <c r="E841" s="120"/>
      <c r="F841" s="120"/>
      <c r="G841" s="120"/>
      <c r="L841" s="120"/>
      <c r="M841" s="120"/>
      <c r="N841" s="120"/>
      <c r="O841" s="120"/>
      <c r="P841" s="120"/>
      <c r="Q841" s="120"/>
      <c r="R841" s="120"/>
      <c r="S841" s="120"/>
      <c r="T841" s="120"/>
    </row>
    <row r="842">
      <c r="A842" s="291"/>
      <c r="B842" s="120"/>
      <c r="C842" s="120"/>
      <c r="D842" s="120"/>
      <c r="E842" s="120"/>
      <c r="F842" s="120"/>
      <c r="G842" s="120"/>
      <c r="L842" s="120"/>
      <c r="M842" s="120"/>
      <c r="N842" s="120"/>
      <c r="O842" s="120"/>
      <c r="P842" s="120"/>
      <c r="Q842" s="120"/>
      <c r="R842" s="120"/>
      <c r="S842" s="120"/>
      <c r="T842" s="120"/>
    </row>
    <row r="843">
      <c r="A843" s="291"/>
      <c r="B843" s="120"/>
      <c r="C843" s="120"/>
      <c r="D843" s="120"/>
      <c r="E843" s="120"/>
      <c r="F843" s="120"/>
      <c r="G843" s="120"/>
      <c r="L843" s="120"/>
      <c r="M843" s="120"/>
      <c r="N843" s="120"/>
      <c r="O843" s="120"/>
      <c r="P843" s="120"/>
      <c r="Q843" s="120"/>
      <c r="R843" s="120"/>
      <c r="S843" s="120"/>
      <c r="T843" s="120"/>
    </row>
    <row r="844">
      <c r="A844" s="291"/>
      <c r="B844" s="120"/>
      <c r="C844" s="120"/>
      <c r="D844" s="120"/>
      <c r="E844" s="120"/>
      <c r="F844" s="120"/>
      <c r="G844" s="120"/>
      <c r="L844" s="120"/>
      <c r="M844" s="120"/>
      <c r="N844" s="120"/>
      <c r="O844" s="120"/>
      <c r="P844" s="120"/>
      <c r="Q844" s="120"/>
      <c r="R844" s="120"/>
      <c r="S844" s="120"/>
      <c r="T844" s="120"/>
    </row>
    <row r="845">
      <c r="A845" s="291"/>
      <c r="B845" s="120"/>
      <c r="C845" s="120"/>
      <c r="D845" s="120"/>
      <c r="E845" s="120"/>
      <c r="F845" s="120"/>
      <c r="G845" s="120"/>
      <c r="L845" s="120"/>
      <c r="M845" s="120"/>
      <c r="N845" s="120"/>
      <c r="O845" s="120"/>
      <c r="P845" s="120"/>
      <c r="Q845" s="120"/>
      <c r="R845" s="120"/>
      <c r="S845" s="120"/>
      <c r="T845" s="120"/>
    </row>
    <row r="846">
      <c r="A846" s="291"/>
      <c r="B846" s="120"/>
      <c r="C846" s="120"/>
      <c r="D846" s="120"/>
      <c r="E846" s="120"/>
      <c r="F846" s="120"/>
      <c r="G846" s="120"/>
      <c r="L846" s="120"/>
      <c r="M846" s="120"/>
      <c r="N846" s="120"/>
      <c r="O846" s="120"/>
      <c r="P846" s="120"/>
      <c r="Q846" s="120"/>
      <c r="R846" s="120"/>
      <c r="S846" s="120"/>
      <c r="T846" s="120"/>
    </row>
    <row r="847">
      <c r="A847" s="291"/>
      <c r="B847" s="120"/>
      <c r="C847" s="120"/>
      <c r="D847" s="120"/>
      <c r="E847" s="120"/>
      <c r="F847" s="120"/>
      <c r="G847" s="120"/>
      <c r="L847" s="120"/>
      <c r="M847" s="120"/>
      <c r="N847" s="120"/>
      <c r="O847" s="120"/>
      <c r="P847" s="120"/>
      <c r="Q847" s="120"/>
      <c r="R847" s="120"/>
      <c r="S847" s="120"/>
      <c r="T847" s="120"/>
    </row>
    <row r="848">
      <c r="A848" s="291"/>
      <c r="B848" s="120"/>
      <c r="C848" s="120"/>
      <c r="D848" s="120"/>
      <c r="E848" s="120"/>
      <c r="F848" s="120"/>
      <c r="G848" s="120"/>
      <c r="L848" s="120"/>
      <c r="M848" s="120"/>
      <c r="N848" s="120"/>
      <c r="O848" s="120"/>
      <c r="P848" s="120"/>
      <c r="Q848" s="120"/>
      <c r="R848" s="120"/>
      <c r="S848" s="120"/>
      <c r="T848" s="120"/>
    </row>
    <row r="849">
      <c r="A849" s="291"/>
      <c r="B849" s="120"/>
      <c r="C849" s="120"/>
      <c r="D849" s="120"/>
      <c r="E849" s="120"/>
      <c r="F849" s="120"/>
      <c r="G849" s="120"/>
      <c r="L849" s="120"/>
      <c r="M849" s="120"/>
      <c r="N849" s="120"/>
      <c r="O849" s="120"/>
      <c r="P849" s="120"/>
      <c r="Q849" s="120"/>
      <c r="R849" s="120"/>
      <c r="S849" s="120"/>
      <c r="T849" s="120"/>
    </row>
    <row r="850">
      <c r="A850" s="291"/>
      <c r="B850" s="120"/>
      <c r="C850" s="120"/>
      <c r="D850" s="120"/>
      <c r="E850" s="120"/>
      <c r="F850" s="120"/>
      <c r="G850" s="120"/>
      <c r="L850" s="120"/>
      <c r="M850" s="120"/>
      <c r="N850" s="120"/>
      <c r="O850" s="120"/>
      <c r="P850" s="120"/>
      <c r="Q850" s="120"/>
      <c r="R850" s="120"/>
      <c r="S850" s="120"/>
      <c r="T850" s="120"/>
    </row>
    <row r="851">
      <c r="A851" s="291"/>
      <c r="B851" s="120"/>
      <c r="C851" s="120"/>
      <c r="D851" s="120"/>
      <c r="E851" s="120"/>
      <c r="F851" s="120"/>
      <c r="G851" s="120"/>
      <c r="L851" s="120"/>
      <c r="M851" s="120"/>
      <c r="N851" s="120"/>
      <c r="O851" s="120"/>
      <c r="P851" s="120"/>
      <c r="Q851" s="120"/>
      <c r="R851" s="120"/>
      <c r="S851" s="120"/>
      <c r="T851" s="120"/>
    </row>
    <row r="852">
      <c r="A852" s="291"/>
      <c r="B852" s="120"/>
      <c r="C852" s="120"/>
      <c r="D852" s="120"/>
      <c r="E852" s="120"/>
      <c r="F852" s="120"/>
      <c r="G852" s="120"/>
      <c r="L852" s="120"/>
      <c r="M852" s="120"/>
      <c r="N852" s="120"/>
      <c r="O852" s="120"/>
      <c r="P852" s="120"/>
      <c r="Q852" s="120"/>
      <c r="R852" s="120"/>
      <c r="S852" s="120"/>
      <c r="T852" s="120"/>
    </row>
    <row r="853">
      <c r="A853" s="291"/>
      <c r="B853" s="120"/>
      <c r="C853" s="120"/>
      <c r="D853" s="120"/>
      <c r="E853" s="120"/>
      <c r="F853" s="120"/>
      <c r="G853" s="120"/>
      <c r="L853" s="120"/>
      <c r="M853" s="120"/>
      <c r="N853" s="120"/>
      <c r="O853" s="120"/>
      <c r="P853" s="120"/>
      <c r="Q853" s="120"/>
      <c r="R853" s="120"/>
      <c r="S853" s="120"/>
      <c r="T853" s="120"/>
    </row>
    <row r="854">
      <c r="A854" s="291"/>
      <c r="B854" s="120"/>
      <c r="C854" s="120"/>
      <c r="D854" s="120"/>
      <c r="E854" s="120"/>
      <c r="F854" s="120"/>
      <c r="G854" s="120"/>
      <c r="L854" s="120"/>
      <c r="M854" s="120"/>
      <c r="N854" s="120"/>
      <c r="O854" s="120"/>
      <c r="P854" s="120"/>
      <c r="Q854" s="120"/>
      <c r="R854" s="120"/>
      <c r="S854" s="120"/>
      <c r="T854" s="120"/>
    </row>
    <row r="855">
      <c r="A855" s="291"/>
      <c r="B855" s="120"/>
      <c r="C855" s="120"/>
      <c r="D855" s="120"/>
      <c r="E855" s="120"/>
      <c r="F855" s="120"/>
      <c r="G855" s="120"/>
      <c r="L855" s="120"/>
      <c r="M855" s="120"/>
      <c r="N855" s="120"/>
      <c r="O855" s="120"/>
      <c r="P855" s="120"/>
      <c r="Q855" s="120"/>
      <c r="R855" s="120"/>
      <c r="S855" s="120"/>
      <c r="T855" s="120"/>
    </row>
    <row r="856">
      <c r="A856" s="291"/>
      <c r="B856" s="120"/>
      <c r="C856" s="120"/>
      <c r="D856" s="120"/>
      <c r="E856" s="120"/>
      <c r="F856" s="120"/>
      <c r="G856" s="120"/>
      <c r="L856" s="120"/>
      <c r="M856" s="120"/>
      <c r="N856" s="120"/>
      <c r="O856" s="120"/>
      <c r="P856" s="120"/>
      <c r="Q856" s="120"/>
      <c r="R856" s="120"/>
      <c r="S856" s="120"/>
      <c r="T856" s="120"/>
    </row>
    <row r="857">
      <c r="A857" s="291"/>
      <c r="B857" s="120"/>
      <c r="C857" s="120"/>
      <c r="D857" s="120"/>
      <c r="E857" s="120"/>
      <c r="F857" s="120"/>
      <c r="G857" s="120"/>
      <c r="L857" s="120"/>
      <c r="M857" s="120"/>
      <c r="N857" s="120"/>
      <c r="O857" s="120"/>
      <c r="P857" s="120"/>
      <c r="Q857" s="120"/>
      <c r="R857" s="120"/>
      <c r="S857" s="120"/>
      <c r="T857" s="120"/>
    </row>
    <row r="858">
      <c r="A858" s="291"/>
      <c r="B858" s="120"/>
      <c r="C858" s="120"/>
      <c r="D858" s="120"/>
      <c r="E858" s="120"/>
      <c r="F858" s="120"/>
      <c r="G858" s="120"/>
      <c r="L858" s="120"/>
      <c r="M858" s="120"/>
      <c r="N858" s="120"/>
      <c r="O858" s="120"/>
      <c r="P858" s="120"/>
      <c r="Q858" s="120"/>
      <c r="R858" s="120"/>
      <c r="S858" s="120"/>
      <c r="T858" s="120"/>
    </row>
    <row r="859">
      <c r="A859" s="291"/>
      <c r="B859" s="120"/>
      <c r="C859" s="120"/>
      <c r="D859" s="120"/>
      <c r="E859" s="120"/>
      <c r="F859" s="120"/>
      <c r="G859" s="120"/>
      <c r="L859" s="120"/>
      <c r="M859" s="120"/>
      <c r="N859" s="120"/>
      <c r="O859" s="120"/>
      <c r="P859" s="120"/>
      <c r="Q859" s="120"/>
      <c r="R859" s="120"/>
      <c r="S859" s="120"/>
      <c r="T859" s="120"/>
    </row>
    <row r="860">
      <c r="A860" s="291"/>
      <c r="B860" s="120"/>
      <c r="C860" s="120"/>
      <c r="D860" s="120"/>
      <c r="E860" s="120"/>
      <c r="F860" s="120"/>
      <c r="G860" s="120"/>
      <c r="L860" s="120"/>
      <c r="M860" s="120"/>
      <c r="N860" s="120"/>
      <c r="O860" s="120"/>
      <c r="P860" s="120"/>
      <c r="Q860" s="120"/>
      <c r="R860" s="120"/>
      <c r="S860" s="120"/>
      <c r="T860" s="120"/>
    </row>
    <row r="861">
      <c r="A861" s="291"/>
      <c r="B861" s="120"/>
      <c r="C861" s="120"/>
      <c r="D861" s="120"/>
      <c r="E861" s="120"/>
      <c r="F861" s="120"/>
      <c r="G861" s="120"/>
      <c r="L861" s="120"/>
      <c r="M861" s="120"/>
      <c r="N861" s="120"/>
      <c r="O861" s="120"/>
      <c r="P861" s="120"/>
      <c r="Q861" s="120"/>
      <c r="R861" s="120"/>
      <c r="S861" s="120"/>
      <c r="T861" s="120"/>
    </row>
    <row r="862">
      <c r="A862" s="291"/>
      <c r="B862" s="120"/>
      <c r="C862" s="120"/>
      <c r="D862" s="120"/>
      <c r="E862" s="120"/>
      <c r="F862" s="120"/>
      <c r="G862" s="120"/>
      <c r="L862" s="120"/>
      <c r="M862" s="120"/>
      <c r="N862" s="120"/>
      <c r="O862" s="120"/>
      <c r="P862" s="120"/>
      <c r="Q862" s="120"/>
      <c r="R862" s="120"/>
      <c r="S862" s="120"/>
      <c r="T862" s="120"/>
    </row>
    <row r="863">
      <c r="A863" s="291"/>
      <c r="B863" s="120"/>
      <c r="C863" s="120"/>
      <c r="D863" s="120"/>
      <c r="E863" s="120"/>
      <c r="F863" s="120"/>
      <c r="G863" s="120"/>
      <c r="L863" s="120"/>
      <c r="M863" s="120"/>
      <c r="N863" s="120"/>
      <c r="O863" s="120"/>
      <c r="P863" s="120"/>
      <c r="Q863" s="120"/>
      <c r="R863" s="120"/>
      <c r="S863" s="120"/>
      <c r="T863" s="120"/>
    </row>
    <row r="864">
      <c r="A864" s="291"/>
      <c r="B864" s="120"/>
      <c r="C864" s="120"/>
      <c r="D864" s="120"/>
      <c r="E864" s="120"/>
      <c r="F864" s="120"/>
      <c r="G864" s="120"/>
      <c r="L864" s="120"/>
      <c r="M864" s="120"/>
      <c r="N864" s="120"/>
      <c r="O864" s="120"/>
      <c r="P864" s="120"/>
      <c r="Q864" s="120"/>
      <c r="R864" s="120"/>
      <c r="S864" s="120"/>
      <c r="T864" s="120"/>
    </row>
    <row r="865">
      <c r="A865" s="291"/>
      <c r="B865" s="120"/>
      <c r="C865" s="120"/>
      <c r="D865" s="120"/>
      <c r="E865" s="120"/>
      <c r="F865" s="120"/>
      <c r="G865" s="120"/>
      <c r="L865" s="120"/>
      <c r="M865" s="120"/>
      <c r="N865" s="120"/>
      <c r="O865" s="120"/>
      <c r="P865" s="120"/>
      <c r="Q865" s="120"/>
      <c r="R865" s="120"/>
      <c r="S865" s="120"/>
      <c r="T865" s="120"/>
    </row>
    <row r="866">
      <c r="A866" s="291"/>
      <c r="B866" s="120"/>
      <c r="C866" s="120"/>
      <c r="D866" s="120"/>
      <c r="E866" s="120"/>
      <c r="F866" s="120"/>
      <c r="G866" s="120"/>
      <c r="L866" s="120"/>
      <c r="M866" s="120"/>
      <c r="N866" s="120"/>
      <c r="O866" s="120"/>
      <c r="P866" s="120"/>
      <c r="Q866" s="120"/>
      <c r="R866" s="120"/>
      <c r="S866" s="120"/>
      <c r="T866" s="120"/>
    </row>
    <row r="867">
      <c r="A867" s="291"/>
      <c r="B867" s="120"/>
      <c r="C867" s="120"/>
      <c r="D867" s="120"/>
      <c r="E867" s="120"/>
      <c r="F867" s="120"/>
      <c r="G867" s="120"/>
      <c r="L867" s="120"/>
      <c r="M867" s="120"/>
      <c r="N867" s="120"/>
      <c r="O867" s="120"/>
      <c r="P867" s="120"/>
      <c r="Q867" s="120"/>
      <c r="R867" s="120"/>
      <c r="S867" s="120"/>
      <c r="T867" s="120"/>
    </row>
    <row r="868">
      <c r="A868" s="291"/>
      <c r="B868" s="120"/>
      <c r="C868" s="120"/>
      <c r="D868" s="120"/>
      <c r="E868" s="120"/>
      <c r="F868" s="120"/>
      <c r="G868" s="120"/>
      <c r="L868" s="120"/>
      <c r="M868" s="120"/>
      <c r="N868" s="120"/>
      <c r="O868" s="120"/>
      <c r="P868" s="120"/>
      <c r="Q868" s="120"/>
      <c r="R868" s="120"/>
      <c r="S868" s="120"/>
      <c r="T868" s="120"/>
    </row>
    <row r="869">
      <c r="A869" s="291"/>
      <c r="B869" s="120"/>
      <c r="C869" s="120"/>
      <c r="D869" s="120"/>
      <c r="E869" s="120"/>
      <c r="F869" s="120"/>
      <c r="G869" s="120"/>
      <c r="L869" s="120"/>
      <c r="M869" s="120"/>
      <c r="N869" s="120"/>
      <c r="O869" s="120"/>
      <c r="P869" s="120"/>
      <c r="Q869" s="120"/>
      <c r="R869" s="120"/>
      <c r="S869" s="120"/>
      <c r="T869" s="120"/>
    </row>
    <row r="870">
      <c r="A870" s="291"/>
      <c r="B870" s="120"/>
      <c r="C870" s="120"/>
      <c r="D870" s="120"/>
      <c r="E870" s="120"/>
      <c r="F870" s="120"/>
      <c r="G870" s="120"/>
      <c r="L870" s="120"/>
      <c r="M870" s="120"/>
      <c r="N870" s="120"/>
      <c r="O870" s="120"/>
      <c r="P870" s="120"/>
      <c r="Q870" s="120"/>
      <c r="R870" s="120"/>
      <c r="S870" s="120"/>
      <c r="T870" s="120"/>
    </row>
    <row r="871">
      <c r="A871" s="291"/>
      <c r="B871" s="120"/>
      <c r="C871" s="120"/>
      <c r="D871" s="120"/>
      <c r="E871" s="120"/>
      <c r="F871" s="120"/>
      <c r="G871" s="120"/>
      <c r="L871" s="120"/>
      <c r="M871" s="120"/>
      <c r="N871" s="120"/>
      <c r="O871" s="120"/>
      <c r="P871" s="120"/>
      <c r="Q871" s="120"/>
      <c r="R871" s="120"/>
      <c r="S871" s="120"/>
      <c r="T871" s="120"/>
    </row>
    <row r="872">
      <c r="A872" s="291"/>
      <c r="B872" s="120"/>
      <c r="C872" s="120"/>
      <c r="D872" s="120"/>
      <c r="E872" s="120"/>
      <c r="F872" s="120"/>
      <c r="G872" s="120"/>
      <c r="L872" s="120"/>
      <c r="M872" s="120"/>
      <c r="N872" s="120"/>
      <c r="O872" s="120"/>
      <c r="P872" s="120"/>
      <c r="Q872" s="120"/>
      <c r="R872" s="120"/>
      <c r="S872" s="120"/>
      <c r="T872" s="120"/>
    </row>
    <row r="873">
      <c r="A873" s="291"/>
      <c r="B873" s="120"/>
      <c r="C873" s="120"/>
      <c r="D873" s="120"/>
      <c r="E873" s="120"/>
      <c r="F873" s="120"/>
      <c r="G873" s="120"/>
      <c r="L873" s="120"/>
      <c r="M873" s="120"/>
      <c r="N873" s="120"/>
      <c r="O873" s="120"/>
      <c r="P873" s="120"/>
      <c r="Q873" s="120"/>
      <c r="R873" s="120"/>
      <c r="S873" s="120"/>
      <c r="T873" s="120"/>
    </row>
    <row r="874">
      <c r="A874" s="291"/>
      <c r="B874" s="120"/>
      <c r="C874" s="120"/>
      <c r="D874" s="120"/>
      <c r="E874" s="120"/>
      <c r="F874" s="120"/>
      <c r="G874" s="120"/>
      <c r="L874" s="120"/>
      <c r="M874" s="120"/>
      <c r="N874" s="120"/>
      <c r="O874" s="120"/>
      <c r="P874" s="120"/>
      <c r="Q874" s="120"/>
      <c r="R874" s="120"/>
      <c r="S874" s="120"/>
      <c r="T874" s="120"/>
    </row>
    <row r="875">
      <c r="A875" s="291"/>
      <c r="B875" s="120"/>
      <c r="C875" s="120"/>
      <c r="D875" s="120"/>
      <c r="E875" s="120"/>
      <c r="F875" s="120"/>
      <c r="G875" s="120"/>
      <c r="L875" s="120"/>
      <c r="M875" s="120"/>
      <c r="N875" s="120"/>
      <c r="O875" s="120"/>
      <c r="P875" s="120"/>
      <c r="Q875" s="120"/>
      <c r="R875" s="120"/>
      <c r="S875" s="120"/>
      <c r="T875" s="120"/>
    </row>
    <row r="876">
      <c r="A876" s="291"/>
      <c r="B876" s="120"/>
      <c r="C876" s="120"/>
      <c r="D876" s="120"/>
      <c r="E876" s="120"/>
      <c r="F876" s="120"/>
      <c r="G876" s="120"/>
      <c r="L876" s="120"/>
      <c r="M876" s="120"/>
      <c r="N876" s="120"/>
      <c r="O876" s="120"/>
      <c r="P876" s="120"/>
      <c r="Q876" s="120"/>
      <c r="R876" s="120"/>
      <c r="S876" s="120"/>
      <c r="T876" s="120"/>
    </row>
    <row r="877">
      <c r="A877" s="291"/>
      <c r="B877" s="120"/>
      <c r="C877" s="120"/>
      <c r="D877" s="120"/>
      <c r="E877" s="120"/>
      <c r="F877" s="120"/>
      <c r="G877" s="120"/>
      <c r="L877" s="120"/>
      <c r="M877" s="120"/>
      <c r="N877" s="120"/>
      <c r="O877" s="120"/>
      <c r="P877" s="120"/>
      <c r="Q877" s="120"/>
      <c r="R877" s="120"/>
      <c r="S877" s="120"/>
      <c r="T877" s="120"/>
    </row>
    <row r="878">
      <c r="A878" s="291"/>
      <c r="B878" s="120"/>
      <c r="C878" s="120"/>
      <c r="D878" s="120"/>
      <c r="E878" s="120"/>
      <c r="F878" s="120"/>
      <c r="G878" s="120"/>
      <c r="L878" s="120"/>
      <c r="M878" s="120"/>
      <c r="N878" s="120"/>
      <c r="O878" s="120"/>
      <c r="P878" s="120"/>
      <c r="Q878" s="120"/>
      <c r="R878" s="120"/>
      <c r="S878" s="120"/>
      <c r="T878" s="120"/>
    </row>
    <row r="879">
      <c r="A879" s="291"/>
      <c r="B879" s="120"/>
      <c r="C879" s="120"/>
      <c r="D879" s="120"/>
      <c r="E879" s="120"/>
      <c r="F879" s="120"/>
      <c r="G879" s="120"/>
      <c r="L879" s="120"/>
      <c r="M879" s="120"/>
      <c r="N879" s="120"/>
      <c r="O879" s="120"/>
      <c r="P879" s="120"/>
      <c r="Q879" s="120"/>
      <c r="R879" s="120"/>
      <c r="S879" s="120"/>
      <c r="T879" s="120"/>
    </row>
    <row r="880">
      <c r="A880" s="291"/>
      <c r="B880" s="120"/>
      <c r="C880" s="120"/>
      <c r="D880" s="120"/>
      <c r="E880" s="120"/>
      <c r="F880" s="120"/>
      <c r="G880" s="120"/>
      <c r="L880" s="120"/>
      <c r="M880" s="120"/>
      <c r="N880" s="120"/>
      <c r="O880" s="120"/>
      <c r="P880" s="120"/>
      <c r="Q880" s="120"/>
      <c r="R880" s="120"/>
      <c r="S880" s="120"/>
      <c r="T880" s="120"/>
    </row>
    <row r="881">
      <c r="A881" s="291"/>
      <c r="B881" s="120"/>
      <c r="C881" s="120"/>
      <c r="D881" s="120"/>
      <c r="E881" s="120"/>
      <c r="F881" s="120"/>
      <c r="G881" s="120"/>
      <c r="L881" s="120"/>
      <c r="M881" s="120"/>
      <c r="N881" s="120"/>
      <c r="O881" s="120"/>
      <c r="P881" s="120"/>
      <c r="Q881" s="120"/>
      <c r="R881" s="120"/>
      <c r="S881" s="120"/>
      <c r="T881" s="120"/>
    </row>
    <row r="882">
      <c r="A882" s="291"/>
      <c r="B882" s="120"/>
      <c r="C882" s="120"/>
      <c r="D882" s="120"/>
      <c r="E882" s="120"/>
      <c r="F882" s="120"/>
      <c r="G882" s="120"/>
      <c r="L882" s="120"/>
      <c r="M882" s="120"/>
      <c r="N882" s="120"/>
      <c r="O882" s="120"/>
      <c r="P882" s="120"/>
      <c r="Q882" s="120"/>
      <c r="R882" s="120"/>
      <c r="S882" s="120"/>
      <c r="T882" s="120"/>
    </row>
    <row r="883">
      <c r="A883" s="291"/>
      <c r="B883" s="120"/>
      <c r="C883" s="120"/>
      <c r="D883" s="120"/>
      <c r="E883" s="120"/>
      <c r="F883" s="120"/>
      <c r="G883" s="120"/>
      <c r="L883" s="120"/>
      <c r="M883" s="120"/>
      <c r="N883" s="120"/>
      <c r="O883" s="120"/>
      <c r="P883" s="120"/>
      <c r="Q883" s="120"/>
      <c r="R883" s="120"/>
      <c r="S883" s="120"/>
      <c r="T883" s="120"/>
    </row>
    <row r="884">
      <c r="A884" s="291"/>
      <c r="B884" s="120"/>
      <c r="C884" s="120"/>
      <c r="D884" s="120"/>
      <c r="E884" s="120"/>
      <c r="F884" s="120"/>
      <c r="G884" s="120"/>
      <c r="L884" s="120"/>
      <c r="M884" s="120"/>
      <c r="N884" s="120"/>
      <c r="O884" s="120"/>
      <c r="P884" s="120"/>
      <c r="Q884" s="120"/>
      <c r="R884" s="120"/>
      <c r="S884" s="120"/>
      <c r="T884" s="120"/>
    </row>
    <row r="885">
      <c r="A885" s="291"/>
      <c r="B885" s="120"/>
      <c r="C885" s="120"/>
      <c r="D885" s="120"/>
      <c r="E885" s="120"/>
      <c r="F885" s="120"/>
      <c r="G885" s="120"/>
      <c r="L885" s="120"/>
      <c r="M885" s="120"/>
      <c r="N885" s="120"/>
      <c r="O885" s="120"/>
      <c r="P885" s="120"/>
      <c r="Q885" s="120"/>
      <c r="R885" s="120"/>
      <c r="S885" s="120"/>
      <c r="T885" s="120"/>
    </row>
    <row r="886">
      <c r="A886" s="291"/>
      <c r="B886" s="120"/>
      <c r="C886" s="120"/>
      <c r="D886" s="120"/>
      <c r="E886" s="120"/>
      <c r="F886" s="120"/>
      <c r="G886" s="120"/>
      <c r="L886" s="120"/>
      <c r="M886" s="120"/>
      <c r="N886" s="120"/>
      <c r="O886" s="120"/>
      <c r="P886" s="120"/>
      <c r="Q886" s="120"/>
      <c r="R886" s="120"/>
      <c r="S886" s="120"/>
      <c r="T886" s="120"/>
    </row>
    <row r="887">
      <c r="A887" s="291"/>
      <c r="B887" s="120"/>
      <c r="C887" s="120"/>
      <c r="D887" s="120"/>
      <c r="E887" s="120"/>
      <c r="F887" s="120"/>
      <c r="G887" s="120"/>
      <c r="L887" s="120"/>
      <c r="M887" s="120"/>
      <c r="N887" s="120"/>
      <c r="O887" s="120"/>
      <c r="P887" s="120"/>
      <c r="Q887" s="120"/>
      <c r="R887" s="120"/>
      <c r="S887" s="120"/>
      <c r="T887" s="120"/>
    </row>
    <row r="888">
      <c r="A888" s="291"/>
      <c r="B888" s="120"/>
      <c r="C888" s="120"/>
      <c r="D888" s="120"/>
      <c r="E888" s="120"/>
      <c r="F888" s="120"/>
      <c r="G888" s="120"/>
      <c r="L888" s="120"/>
      <c r="M888" s="120"/>
      <c r="N888" s="120"/>
      <c r="O888" s="120"/>
      <c r="P888" s="120"/>
      <c r="Q888" s="120"/>
      <c r="R888" s="120"/>
      <c r="S888" s="120"/>
      <c r="T888" s="120"/>
    </row>
    <row r="889">
      <c r="A889" s="291"/>
      <c r="B889" s="120"/>
      <c r="C889" s="120"/>
      <c r="D889" s="120"/>
      <c r="E889" s="120"/>
      <c r="F889" s="120"/>
      <c r="G889" s="120"/>
      <c r="L889" s="120"/>
      <c r="M889" s="120"/>
      <c r="N889" s="120"/>
      <c r="O889" s="120"/>
      <c r="P889" s="120"/>
      <c r="Q889" s="120"/>
      <c r="R889" s="120"/>
      <c r="S889" s="120"/>
      <c r="T889" s="120"/>
    </row>
    <row r="890">
      <c r="A890" s="291"/>
      <c r="B890" s="120"/>
      <c r="C890" s="120"/>
      <c r="D890" s="120"/>
      <c r="E890" s="120"/>
      <c r="F890" s="120"/>
      <c r="G890" s="120"/>
      <c r="L890" s="120"/>
      <c r="M890" s="120"/>
      <c r="N890" s="120"/>
      <c r="O890" s="120"/>
      <c r="P890" s="120"/>
      <c r="Q890" s="120"/>
      <c r="R890" s="120"/>
      <c r="S890" s="120"/>
      <c r="T890" s="120"/>
    </row>
    <row r="891">
      <c r="A891" s="291"/>
      <c r="B891" s="120"/>
      <c r="C891" s="120"/>
      <c r="D891" s="120"/>
      <c r="E891" s="120"/>
      <c r="F891" s="120"/>
      <c r="G891" s="120"/>
      <c r="L891" s="120"/>
      <c r="M891" s="120"/>
      <c r="N891" s="120"/>
      <c r="O891" s="120"/>
      <c r="P891" s="120"/>
      <c r="Q891" s="120"/>
      <c r="R891" s="120"/>
      <c r="S891" s="120"/>
      <c r="T891" s="120"/>
    </row>
    <row r="892">
      <c r="A892" s="291"/>
      <c r="B892" s="120"/>
      <c r="C892" s="120"/>
      <c r="D892" s="120"/>
      <c r="E892" s="120"/>
      <c r="F892" s="120"/>
      <c r="G892" s="120"/>
      <c r="L892" s="120"/>
      <c r="M892" s="120"/>
      <c r="N892" s="120"/>
      <c r="O892" s="120"/>
      <c r="P892" s="120"/>
      <c r="Q892" s="120"/>
      <c r="R892" s="120"/>
      <c r="S892" s="120"/>
      <c r="T892" s="120"/>
    </row>
    <row r="893">
      <c r="A893" s="291"/>
      <c r="B893" s="120"/>
      <c r="C893" s="120"/>
      <c r="D893" s="120"/>
      <c r="E893" s="120"/>
      <c r="F893" s="120"/>
      <c r="G893" s="120"/>
      <c r="L893" s="120"/>
      <c r="M893" s="120"/>
      <c r="N893" s="120"/>
      <c r="O893" s="120"/>
      <c r="P893" s="120"/>
      <c r="Q893" s="120"/>
      <c r="R893" s="120"/>
      <c r="S893" s="120"/>
      <c r="T893" s="120"/>
    </row>
    <row r="894">
      <c r="A894" s="291"/>
      <c r="B894" s="120"/>
      <c r="C894" s="120"/>
      <c r="D894" s="120"/>
      <c r="E894" s="120"/>
      <c r="F894" s="120"/>
      <c r="G894" s="120"/>
      <c r="L894" s="120"/>
      <c r="M894" s="120"/>
      <c r="N894" s="120"/>
      <c r="O894" s="120"/>
      <c r="P894" s="120"/>
      <c r="Q894" s="120"/>
      <c r="R894" s="120"/>
      <c r="S894" s="120"/>
      <c r="T894" s="120"/>
    </row>
    <row r="895">
      <c r="A895" s="291"/>
      <c r="B895" s="120"/>
      <c r="C895" s="120"/>
      <c r="D895" s="120"/>
      <c r="E895" s="120"/>
      <c r="F895" s="120"/>
      <c r="G895" s="120"/>
      <c r="L895" s="120"/>
      <c r="M895" s="120"/>
      <c r="N895" s="120"/>
      <c r="O895" s="120"/>
      <c r="P895" s="120"/>
      <c r="Q895" s="120"/>
      <c r="R895" s="120"/>
      <c r="S895" s="120"/>
      <c r="T895" s="120"/>
    </row>
    <row r="896">
      <c r="A896" s="291"/>
      <c r="B896" s="120"/>
      <c r="C896" s="120"/>
      <c r="D896" s="120"/>
      <c r="E896" s="120"/>
      <c r="F896" s="120"/>
      <c r="G896" s="120"/>
      <c r="L896" s="120"/>
      <c r="M896" s="120"/>
      <c r="N896" s="120"/>
      <c r="O896" s="120"/>
      <c r="P896" s="120"/>
      <c r="Q896" s="120"/>
      <c r="R896" s="120"/>
      <c r="S896" s="120"/>
      <c r="T896" s="120"/>
    </row>
    <row r="897">
      <c r="A897" s="291"/>
      <c r="B897" s="120"/>
      <c r="C897" s="120"/>
      <c r="D897" s="120"/>
      <c r="E897" s="120"/>
      <c r="F897" s="120"/>
      <c r="G897" s="120"/>
      <c r="L897" s="120"/>
      <c r="M897" s="120"/>
      <c r="N897" s="120"/>
      <c r="O897" s="120"/>
      <c r="P897" s="120"/>
      <c r="Q897" s="120"/>
      <c r="R897" s="120"/>
      <c r="S897" s="120"/>
      <c r="T897" s="120"/>
    </row>
    <row r="898">
      <c r="A898" s="291"/>
      <c r="B898" s="120"/>
      <c r="C898" s="120"/>
      <c r="D898" s="120"/>
      <c r="E898" s="120"/>
      <c r="F898" s="120"/>
      <c r="G898" s="120"/>
      <c r="L898" s="120"/>
      <c r="M898" s="120"/>
      <c r="N898" s="120"/>
      <c r="O898" s="120"/>
      <c r="P898" s="120"/>
      <c r="Q898" s="120"/>
      <c r="R898" s="120"/>
      <c r="S898" s="120"/>
      <c r="T898" s="120"/>
    </row>
    <row r="899">
      <c r="A899" s="291"/>
      <c r="B899" s="120"/>
      <c r="C899" s="120"/>
      <c r="D899" s="120"/>
      <c r="E899" s="120"/>
      <c r="F899" s="120"/>
      <c r="G899" s="120"/>
      <c r="L899" s="120"/>
      <c r="M899" s="120"/>
      <c r="N899" s="120"/>
      <c r="O899" s="120"/>
      <c r="P899" s="120"/>
      <c r="Q899" s="120"/>
      <c r="R899" s="120"/>
      <c r="S899" s="120"/>
      <c r="T899" s="120"/>
    </row>
    <row r="900">
      <c r="A900" s="291"/>
      <c r="B900" s="120"/>
      <c r="C900" s="120"/>
      <c r="D900" s="120"/>
      <c r="E900" s="120"/>
      <c r="F900" s="120"/>
      <c r="G900" s="120"/>
      <c r="L900" s="120"/>
      <c r="M900" s="120"/>
      <c r="N900" s="120"/>
      <c r="O900" s="120"/>
      <c r="P900" s="120"/>
      <c r="Q900" s="120"/>
      <c r="R900" s="120"/>
      <c r="S900" s="120"/>
      <c r="T900" s="120"/>
    </row>
    <row r="901">
      <c r="A901" s="291"/>
      <c r="B901" s="120"/>
      <c r="C901" s="120"/>
      <c r="D901" s="120"/>
      <c r="E901" s="120"/>
      <c r="F901" s="120"/>
      <c r="G901" s="120"/>
      <c r="L901" s="120"/>
      <c r="M901" s="120"/>
      <c r="N901" s="120"/>
      <c r="O901" s="120"/>
      <c r="P901" s="120"/>
      <c r="Q901" s="120"/>
      <c r="R901" s="120"/>
      <c r="S901" s="120"/>
      <c r="T901" s="120"/>
    </row>
    <row r="902">
      <c r="A902" s="291"/>
      <c r="B902" s="120"/>
      <c r="C902" s="120"/>
      <c r="D902" s="120"/>
      <c r="E902" s="120"/>
      <c r="F902" s="120"/>
      <c r="G902" s="120"/>
      <c r="L902" s="120"/>
      <c r="M902" s="120"/>
      <c r="N902" s="120"/>
      <c r="O902" s="120"/>
      <c r="P902" s="120"/>
      <c r="Q902" s="120"/>
      <c r="R902" s="120"/>
      <c r="S902" s="120"/>
      <c r="T902" s="120"/>
    </row>
    <row r="903">
      <c r="A903" s="291"/>
      <c r="B903" s="120"/>
      <c r="C903" s="120"/>
      <c r="D903" s="120"/>
      <c r="E903" s="120"/>
      <c r="F903" s="120"/>
      <c r="G903" s="120"/>
      <c r="L903" s="120"/>
      <c r="M903" s="120"/>
      <c r="N903" s="120"/>
      <c r="O903" s="120"/>
      <c r="P903" s="120"/>
      <c r="Q903" s="120"/>
      <c r="R903" s="120"/>
      <c r="S903" s="120"/>
      <c r="T903" s="120"/>
    </row>
    <row r="904">
      <c r="A904" s="291"/>
      <c r="B904" s="120"/>
      <c r="C904" s="120"/>
      <c r="D904" s="120"/>
      <c r="E904" s="120"/>
      <c r="F904" s="120"/>
      <c r="G904" s="120"/>
      <c r="L904" s="120"/>
      <c r="M904" s="120"/>
      <c r="N904" s="120"/>
      <c r="O904" s="120"/>
      <c r="P904" s="120"/>
      <c r="Q904" s="120"/>
      <c r="R904" s="120"/>
      <c r="S904" s="120"/>
      <c r="T904" s="120"/>
    </row>
    <row r="905">
      <c r="A905" s="291"/>
      <c r="B905" s="120"/>
      <c r="C905" s="120"/>
      <c r="D905" s="120"/>
      <c r="E905" s="120"/>
      <c r="F905" s="120"/>
      <c r="G905" s="120"/>
      <c r="L905" s="120"/>
      <c r="M905" s="120"/>
      <c r="N905" s="120"/>
      <c r="O905" s="120"/>
      <c r="P905" s="120"/>
      <c r="Q905" s="120"/>
      <c r="R905" s="120"/>
      <c r="S905" s="120"/>
      <c r="T905" s="120"/>
    </row>
    <row r="906">
      <c r="A906" s="291"/>
      <c r="B906" s="120"/>
      <c r="C906" s="120"/>
      <c r="D906" s="120"/>
      <c r="E906" s="120"/>
      <c r="F906" s="120"/>
      <c r="G906" s="120"/>
      <c r="L906" s="120"/>
      <c r="M906" s="120"/>
      <c r="N906" s="120"/>
      <c r="O906" s="120"/>
      <c r="P906" s="120"/>
      <c r="Q906" s="120"/>
      <c r="R906" s="120"/>
      <c r="S906" s="120"/>
      <c r="T906" s="120"/>
    </row>
    <row r="907">
      <c r="A907" s="291"/>
      <c r="B907" s="120"/>
      <c r="C907" s="120"/>
      <c r="D907" s="120"/>
      <c r="E907" s="120"/>
      <c r="F907" s="120"/>
      <c r="G907" s="120"/>
      <c r="L907" s="120"/>
      <c r="M907" s="120"/>
      <c r="N907" s="120"/>
      <c r="O907" s="120"/>
      <c r="P907" s="120"/>
      <c r="Q907" s="120"/>
      <c r="R907" s="120"/>
      <c r="S907" s="120"/>
      <c r="T907" s="120"/>
    </row>
    <row r="908">
      <c r="A908" s="291"/>
      <c r="B908" s="120"/>
      <c r="C908" s="120"/>
      <c r="D908" s="120"/>
      <c r="E908" s="120"/>
      <c r="F908" s="120"/>
      <c r="G908" s="120"/>
      <c r="L908" s="120"/>
      <c r="M908" s="120"/>
      <c r="N908" s="120"/>
      <c r="O908" s="120"/>
      <c r="P908" s="120"/>
      <c r="Q908" s="120"/>
      <c r="R908" s="120"/>
      <c r="S908" s="120"/>
      <c r="T908" s="120"/>
    </row>
    <row r="909">
      <c r="A909" s="291"/>
      <c r="B909" s="120"/>
      <c r="C909" s="120"/>
      <c r="D909" s="120"/>
      <c r="E909" s="120"/>
      <c r="F909" s="120"/>
      <c r="G909" s="120"/>
      <c r="L909" s="120"/>
      <c r="M909" s="120"/>
      <c r="N909" s="120"/>
      <c r="O909" s="120"/>
      <c r="P909" s="120"/>
      <c r="Q909" s="120"/>
      <c r="R909" s="120"/>
      <c r="S909" s="120"/>
      <c r="T909" s="120"/>
    </row>
    <row r="910">
      <c r="A910" s="291"/>
      <c r="B910" s="120"/>
      <c r="C910" s="120"/>
      <c r="D910" s="120"/>
      <c r="E910" s="120"/>
      <c r="F910" s="120"/>
      <c r="G910" s="120"/>
      <c r="L910" s="120"/>
      <c r="M910" s="120"/>
      <c r="N910" s="120"/>
      <c r="O910" s="120"/>
      <c r="P910" s="120"/>
      <c r="Q910" s="120"/>
      <c r="R910" s="120"/>
      <c r="S910" s="120"/>
      <c r="T910" s="120"/>
    </row>
    <row r="911">
      <c r="A911" s="291"/>
      <c r="B911" s="120"/>
      <c r="C911" s="120"/>
      <c r="D911" s="120"/>
      <c r="E911" s="120"/>
      <c r="F911" s="120"/>
      <c r="G911" s="120"/>
      <c r="L911" s="120"/>
      <c r="M911" s="120"/>
      <c r="N911" s="120"/>
      <c r="O911" s="120"/>
      <c r="P911" s="120"/>
      <c r="Q911" s="120"/>
      <c r="R911" s="120"/>
      <c r="S911" s="120"/>
      <c r="T911" s="120"/>
    </row>
    <row r="912">
      <c r="A912" s="291"/>
      <c r="B912" s="120"/>
      <c r="C912" s="120"/>
      <c r="D912" s="120"/>
      <c r="E912" s="120"/>
      <c r="F912" s="120"/>
      <c r="G912" s="120"/>
      <c r="L912" s="120"/>
      <c r="M912" s="120"/>
      <c r="N912" s="120"/>
      <c r="O912" s="120"/>
      <c r="P912" s="120"/>
      <c r="Q912" s="120"/>
      <c r="R912" s="120"/>
      <c r="S912" s="120"/>
      <c r="T912" s="120"/>
    </row>
    <row r="913">
      <c r="A913" s="291"/>
      <c r="B913" s="120"/>
      <c r="C913" s="120"/>
      <c r="D913" s="120"/>
      <c r="E913" s="120"/>
      <c r="F913" s="120"/>
      <c r="G913" s="120"/>
      <c r="L913" s="120"/>
      <c r="M913" s="120"/>
      <c r="N913" s="120"/>
      <c r="O913" s="120"/>
      <c r="P913" s="120"/>
      <c r="Q913" s="120"/>
      <c r="R913" s="120"/>
      <c r="S913" s="120"/>
      <c r="T913" s="120"/>
    </row>
    <row r="914">
      <c r="A914" s="291"/>
      <c r="B914" s="120"/>
      <c r="C914" s="120"/>
      <c r="D914" s="120"/>
      <c r="E914" s="120"/>
      <c r="F914" s="120"/>
      <c r="G914" s="120"/>
      <c r="L914" s="120"/>
      <c r="M914" s="120"/>
      <c r="N914" s="120"/>
      <c r="O914" s="120"/>
      <c r="P914" s="120"/>
      <c r="Q914" s="120"/>
      <c r="R914" s="120"/>
      <c r="S914" s="120"/>
      <c r="T914" s="120"/>
    </row>
    <row r="915">
      <c r="A915" s="291"/>
      <c r="B915" s="120"/>
      <c r="C915" s="120"/>
      <c r="D915" s="120"/>
      <c r="E915" s="120"/>
      <c r="F915" s="120"/>
      <c r="G915" s="120"/>
      <c r="L915" s="120"/>
      <c r="M915" s="120"/>
      <c r="N915" s="120"/>
      <c r="O915" s="120"/>
      <c r="P915" s="120"/>
      <c r="Q915" s="120"/>
      <c r="R915" s="120"/>
      <c r="S915" s="120"/>
      <c r="T915" s="120"/>
    </row>
    <row r="916">
      <c r="A916" s="291"/>
      <c r="B916" s="120"/>
      <c r="C916" s="120"/>
      <c r="D916" s="120"/>
      <c r="E916" s="120"/>
      <c r="F916" s="120"/>
      <c r="G916" s="120"/>
      <c r="L916" s="120"/>
      <c r="M916" s="120"/>
      <c r="N916" s="120"/>
      <c r="O916" s="120"/>
      <c r="P916" s="120"/>
      <c r="Q916" s="120"/>
      <c r="R916" s="120"/>
      <c r="S916" s="120"/>
      <c r="T916" s="120"/>
    </row>
    <row r="917">
      <c r="A917" s="291"/>
      <c r="B917" s="120"/>
      <c r="C917" s="120"/>
      <c r="D917" s="120"/>
      <c r="E917" s="120"/>
      <c r="F917" s="120"/>
      <c r="G917" s="120"/>
      <c r="L917" s="120"/>
      <c r="M917" s="120"/>
      <c r="N917" s="120"/>
      <c r="O917" s="120"/>
      <c r="P917" s="120"/>
      <c r="Q917" s="120"/>
      <c r="R917" s="120"/>
      <c r="S917" s="120"/>
      <c r="T917" s="120"/>
    </row>
    <row r="918">
      <c r="A918" s="291"/>
      <c r="B918" s="120"/>
      <c r="C918" s="120"/>
      <c r="D918" s="120"/>
      <c r="E918" s="120"/>
      <c r="F918" s="120"/>
      <c r="G918" s="120"/>
      <c r="L918" s="120"/>
      <c r="M918" s="120"/>
      <c r="N918" s="120"/>
      <c r="O918" s="120"/>
      <c r="P918" s="120"/>
      <c r="Q918" s="120"/>
      <c r="R918" s="120"/>
      <c r="S918" s="120"/>
      <c r="T918" s="120"/>
    </row>
    <row r="919">
      <c r="A919" s="291"/>
      <c r="B919" s="120"/>
      <c r="C919" s="120"/>
      <c r="D919" s="120"/>
      <c r="E919" s="120"/>
      <c r="F919" s="120"/>
      <c r="G919" s="120"/>
      <c r="L919" s="120"/>
      <c r="M919" s="120"/>
      <c r="N919" s="120"/>
      <c r="O919" s="120"/>
      <c r="P919" s="120"/>
      <c r="Q919" s="120"/>
      <c r="R919" s="120"/>
      <c r="S919" s="120"/>
      <c r="T919" s="120"/>
    </row>
    <row r="920">
      <c r="A920" s="291"/>
      <c r="B920" s="120"/>
      <c r="C920" s="120"/>
      <c r="D920" s="120"/>
      <c r="E920" s="120"/>
      <c r="F920" s="120"/>
      <c r="G920" s="120"/>
      <c r="L920" s="120"/>
      <c r="M920" s="120"/>
      <c r="N920" s="120"/>
      <c r="O920" s="120"/>
      <c r="P920" s="120"/>
      <c r="Q920" s="120"/>
      <c r="R920" s="120"/>
      <c r="S920" s="120"/>
      <c r="T920" s="120"/>
    </row>
    <row r="921">
      <c r="A921" s="291"/>
      <c r="B921" s="120"/>
      <c r="C921" s="120"/>
      <c r="D921" s="120"/>
      <c r="E921" s="120"/>
      <c r="F921" s="120"/>
      <c r="G921" s="120"/>
      <c r="L921" s="120"/>
      <c r="M921" s="120"/>
      <c r="N921" s="120"/>
      <c r="O921" s="120"/>
      <c r="P921" s="120"/>
      <c r="Q921" s="120"/>
      <c r="R921" s="120"/>
      <c r="S921" s="120"/>
      <c r="T921" s="120"/>
    </row>
    <row r="922">
      <c r="A922" s="291"/>
      <c r="B922" s="120"/>
      <c r="C922" s="120"/>
      <c r="D922" s="120"/>
      <c r="E922" s="120"/>
      <c r="F922" s="120"/>
      <c r="G922" s="120"/>
      <c r="L922" s="120"/>
      <c r="M922" s="120"/>
      <c r="N922" s="120"/>
      <c r="O922" s="120"/>
      <c r="P922" s="120"/>
      <c r="Q922" s="120"/>
      <c r="R922" s="120"/>
      <c r="S922" s="120"/>
      <c r="T922" s="120"/>
    </row>
    <row r="923">
      <c r="A923" s="291"/>
      <c r="B923" s="120"/>
      <c r="C923" s="120"/>
      <c r="D923" s="120"/>
      <c r="E923" s="120"/>
      <c r="F923" s="120"/>
      <c r="G923" s="120"/>
      <c r="L923" s="120"/>
      <c r="M923" s="120"/>
      <c r="N923" s="120"/>
      <c r="O923" s="120"/>
      <c r="P923" s="120"/>
      <c r="Q923" s="120"/>
      <c r="R923" s="120"/>
      <c r="S923" s="120"/>
      <c r="T923" s="120"/>
    </row>
    <row r="924">
      <c r="A924" s="291"/>
      <c r="B924" s="120"/>
      <c r="C924" s="120"/>
      <c r="D924" s="120"/>
      <c r="E924" s="120"/>
      <c r="F924" s="120"/>
      <c r="G924" s="120"/>
      <c r="L924" s="120"/>
      <c r="M924" s="120"/>
      <c r="N924" s="120"/>
      <c r="O924" s="120"/>
      <c r="P924" s="120"/>
      <c r="Q924" s="120"/>
      <c r="R924" s="120"/>
      <c r="S924" s="120"/>
      <c r="T924" s="120"/>
    </row>
    <row r="925">
      <c r="A925" s="291"/>
      <c r="B925" s="120"/>
      <c r="C925" s="120"/>
      <c r="D925" s="120"/>
      <c r="E925" s="120"/>
      <c r="F925" s="120"/>
      <c r="G925" s="120"/>
      <c r="L925" s="120"/>
      <c r="M925" s="120"/>
      <c r="N925" s="120"/>
      <c r="O925" s="120"/>
      <c r="P925" s="120"/>
      <c r="Q925" s="120"/>
      <c r="R925" s="120"/>
      <c r="S925" s="120"/>
      <c r="T925" s="120"/>
    </row>
    <row r="926">
      <c r="A926" s="291"/>
      <c r="B926" s="120"/>
      <c r="C926" s="120"/>
      <c r="D926" s="120"/>
      <c r="E926" s="120"/>
      <c r="F926" s="120"/>
      <c r="G926" s="120"/>
      <c r="L926" s="120"/>
      <c r="M926" s="120"/>
      <c r="N926" s="120"/>
      <c r="O926" s="120"/>
      <c r="P926" s="120"/>
      <c r="Q926" s="120"/>
      <c r="R926" s="120"/>
      <c r="S926" s="120"/>
      <c r="T926" s="120"/>
    </row>
    <row r="927">
      <c r="A927" s="291"/>
      <c r="B927" s="120"/>
      <c r="C927" s="120"/>
      <c r="D927" s="120"/>
      <c r="E927" s="120"/>
      <c r="F927" s="120"/>
      <c r="G927" s="120"/>
      <c r="L927" s="120"/>
      <c r="M927" s="120"/>
      <c r="N927" s="120"/>
      <c r="O927" s="120"/>
      <c r="P927" s="120"/>
      <c r="Q927" s="120"/>
      <c r="R927" s="120"/>
      <c r="S927" s="120"/>
      <c r="T927" s="120"/>
    </row>
    <row r="928">
      <c r="A928" s="291"/>
      <c r="B928" s="120"/>
      <c r="C928" s="120"/>
      <c r="D928" s="120"/>
      <c r="E928" s="120"/>
      <c r="F928" s="120"/>
      <c r="G928" s="120"/>
      <c r="L928" s="120"/>
      <c r="M928" s="120"/>
      <c r="N928" s="120"/>
      <c r="O928" s="120"/>
      <c r="P928" s="120"/>
      <c r="Q928" s="120"/>
      <c r="R928" s="120"/>
      <c r="S928" s="120"/>
      <c r="T928" s="120"/>
    </row>
    <row r="929">
      <c r="A929" s="291"/>
      <c r="B929" s="120"/>
      <c r="C929" s="120"/>
      <c r="D929" s="120"/>
      <c r="E929" s="120"/>
      <c r="F929" s="120"/>
      <c r="G929" s="120"/>
      <c r="L929" s="120"/>
      <c r="M929" s="120"/>
      <c r="N929" s="120"/>
      <c r="O929" s="120"/>
      <c r="P929" s="120"/>
      <c r="Q929" s="120"/>
      <c r="R929" s="120"/>
      <c r="S929" s="120"/>
      <c r="T929" s="120"/>
    </row>
    <row r="930">
      <c r="A930" s="291"/>
      <c r="B930" s="120"/>
      <c r="C930" s="120"/>
      <c r="D930" s="120"/>
      <c r="E930" s="120"/>
      <c r="F930" s="120"/>
      <c r="G930" s="120"/>
      <c r="L930" s="120"/>
      <c r="M930" s="120"/>
      <c r="N930" s="120"/>
      <c r="O930" s="120"/>
      <c r="P930" s="120"/>
      <c r="Q930" s="120"/>
      <c r="R930" s="120"/>
      <c r="S930" s="120"/>
      <c r="T930" s="120"/>
    </row>
    <row r="931">
      <c r="A931" s="291"/>
      <c r="B931" s="120"/>
      <c r="C931" s="120"/>
      <c r="D931" s="120"/>
      <c r="E931" s="120"/>
      <c r="F931" s="120"/>
      <c r="G931" s="120"/>
      <c r="L931" s="120"/>
      <c r="M931" s="120"/>
      <c r="N931" s="120"/>
      <c r="O931" s="120"/>
      <c r="P931" s="120"/>
      <c r="Q931" s="120"/>
      <c r="R931" s="120"/>
      <c r="S931" s="120"/>
      <c r="T931" s="120"/>
    </row>
    <row r="932">
      <c r="A932" s="291"/>
      <c r="B932" s="120"/>
      <c r="C932" s="120"/>
      <c r="D932" s="120"/>
      <c r="E932" s="120"/>
      <c r="F932" s="120"/>
      <c r="G932" s="120"/>
      <c r="L932" s="120"/>
      <c r="M932" s="120"/>
      <c r="N932" s="120"/>
      <c r="O932" s="120"/>
      <c r="P932" s="120"/>
      <c r="Q932" s="120"/>
      <c r="R932" s="120"/>
      <c r="S932" s="120"/>
      <c r="T932" s="120"/>
    </row>
    <row r="933">
      <c r="A933" s="291"/>
      <c r="B933" s="120"/>
      <c r="C933" s="120"/>
      <c r="D933" s="120"/>
      <c r="E933" s="120"/>
      <c r="F933" s="120"/>
      <c r="G933" s="120"/>
      <c r="L933" s="120"/>
      <c r="M933" s="120"/>
      <c r="N933" s="120"/>
      <c r="O933" s="120"/>
      <c r="P933" s="120"/>
      <c r="Q933" s="120"/>
      <c r="R933" s="120"/>
      <c r="S933" s="120"/>
      <c r="T933" s="120"/>
    </row>
    <row r="934">
      <c r="A934" s="291"/>
      <c r="B934" s="120"/>
      <c r="C934" s="120"/>
      <c r="D934" s="120"/>
      <c r="E934" s="120"/>
      <c r="F934" s="120"/>
      <c r="G934" s="120"/>
      <c r="L934" s="120"/>
      <c r="M934" s="120"/>
      <c r="N934" s="120"/>
      <c r="O934" s="120"/>
      <c r="P934" s="120"/>
      <c r="Q934" s="120"/>
      <c r="R934" s="120"/>
      <c r="S934" s="120"/>
      <c r="T934" s="120"/>
    </row>
    <row r="935">
      <c r="A935" s="291"/>
      <c r="B935" s="120"/>
      <c r="C935" s="120"/>
      <c r="D935" s="120"/>
      <c r="E935" s="120"/>
      <c r="F935" s="120"/>
      <c r="G935" s="120"/>
      <c r="L935" s="120"/>
      <c r="M935" s="120"/>
      <c r="N935" s="120"/>
      <c r="O935" s="120"/>
      <c r="P935" s="120"/>
      <c r="Q935" s="120"/>
      <c r="R935" s="120"/>
      <c r="S935" s="120"/>
      <c r="T935" s="120"/>
    </row>
    <row r="936">
      <c r="A936" s="291"/>
      <c r="B936" s="120"/>
      <c r="C936" s="120"/>
      <c r="D936" s="120"/>
      <c r="E936" s="120"/>
      <c r="F936" s="120"/>
      <c r="G936" s="120"/>
      <c r="L936" s="120"/>
      <c r="M936" s="120"/>
      <c r="N936" s="120"/>
      <c r="O936" s="120"/>
      <c r="P936" s="120"/>
      <c r="Q936" s="120"/>
      <c r="R936" s="120"/>
      <c r="S936" s="120"/>
      <c r="T936" s="120"/>
    </row>
    <row r="937">
      <c r="A937" s="291"/>
      <c r="B937" s="120"/>
      <c r="C937" s="120"/>
      <c r="D937" s="120"/>
      <c r="E937" s="120"/>
      <c r="F937" s="120"/>
      <c r="G937" s="120"/>
      <c r="L937" s="120"/>
      <c r="M937" s="120"/>
      <c r="N937" s="120"/>
      <c r="O937" s="120"/>
      <c r="P937" s="120"/>
      <c r="Q937" s="120"/>
      <c r="R937" s="120"/>
      <c r="S937" s="120"/>
      <c r="T937" s="120"/>
    </row>
    <row r="938">
      <c r="A938" s="291"/>
      <c r="B938" s="120"/>
      <c r="C938" s="120"/>
      <c r="D938" s="120"/>
      <c r="E938" s="120"/>
      <c r="F938" s="120"/>
      <c r="G938" s="120"/>
      <c r="L938" s="120"/>
      <c r="M938" s="120"/>
      <c r="N938" s="120"/>
      <c r="O938" s="120"/>
      <c r="P938" s="120"/>
      <c r="Q938" s="120"/>
      <c r="R938" s="120"/>
      <c r="S938" s="120"/>
      <c r="T938" s="120"/>
    </row>
    <row r="939">
      <c r="A939" s="291"/>
      <c r="B939" s="120"/>
      <c r="C939" s="120"/>
      <c r="D939" s="120"/>
      <c r="E939" s="120"/>
      <c r="F939" s="120"/>
      <c r="G939" s="120"/>
      <c r="L939" s="120"/>
      <c r="M939" s="120"/>
      <c r="N939" s="120"/>
      <c r="O939" s="120"/>
      <c r="P939" s="120"/>
      <c r="Q939" s="120"/>
      <c r="R939" s="120"/>
      <c r="S939" s="120"/>
      <c r="T939" s="120"/>
    </row>
    <row r="940">
      <c r="A940" s="291"/>
      <c r="B940" s="120"/>
      <c r="C940" s="120"/>
      <c r="D940" s="120"/>
      <c r="E940" s="120"/>
      <c r="F940" s="120"/>
      <c r="G940" s="120"/>
      <c r="L940" s="120"/>
      <c r="M940" s="120"/>
      <c r="N940" s="120"/>
      <c r="O940" s="120"/>
      <c r="P940" s="120"/>
      <c r="Q940" s="120"/>
      <c r="R940" s="120"/>
      <c r="S940" s="120"/>
      <c r="T940" s="120"/>
    </row>
    <row r="941">
      <c r="A941" s="291"/>
      <c r="B941" s="120"/>
      <c r="C941" s="120"/>
      <c r="D941" s="120"/>
      <c r="E941" s="120"/>
      <c r="F941" s="120"/>
      <c r="G941" s="120"/>
      <c r="L941" s="120"/>
      <c r="M941" s="120"/>
      <c r="N941" s="120"/>
      <c r="O941" s="120"/>
      <c r="P941" s="120"/>
      <c r="Q941" s="120"/>
      <c r="R941" s="120"/>
      <c r="S941" s="120"/>
      <c r="T941" s="120"/>
    </row>
    <row r="942">
      <c r="A942" s="291"/>
      <c r="B942" s="120"/>
      <c r="C942" s="120"/>
      <c r="D942" s="120"/>
      <c r="E942" s="120"/>
      <c r="F942" s="120"/>
      <c r="G942" s="120"/>
      <c r="L942" s="120"/>
      <c r="M942" s="120"/>
      <c r="N942" s="120"/>
      <c r="O942" s="120"/>
      <c r="P942" s="120"/>
      <c r="Q942" s="120"/>
      <c r="R942" s="120"/>
      <c r="S942" s="120"/>
      <c r="T942" s="120"/>
    </row>
    <row r="943">
      <c r="A943" s="291"/>
      <c r="B943" s="120"/>
      <c r="C943" s="120"/>
      <c r="D943" s="120"/>
      <c r="E943" s="120"/>
      <c r="F943" s="120"/>
      <c r="G943" s="120"/>
      <c r="L943" s="120"/>
      <c r="M943" s="120"/>
      <c r="N943" s="120"/>
      <c r="O943" s="120"/>
      <c r="P943" s="120"/>
      <c r="Q943" s="120"/>
      <c r="R943" s="120"/>
      <c r="S943" s="120"/>
      <c r="T943" s="120"/>
    </row>
    <row r="944">
      <c r="A944" s="291"/>
      <c r="B944" s="120"/>
      <c r="C944" s="120"/>
      <c r="D944" s="120"/>
      <c r="E944" s="120"/>
      <c r="F944" s="120"/>
      <c r="G944" s="120"/>
      <c r="L944" s="120"/>
      <c r="M944" s="120"/>
      <c r="N944" s="120"/>
      <c r="O944" s="120"/>
      <c r="P944" s="120"/>
      <c r="Q944" s="120"/>
      <c r="R944" s="120"/>
      <c r="S944" s="120"/>
      <c r="T944" s="120"/>
    </row>
    <row r="945">
      <c r="A945" s="291"/>
      <c r="B945" s="120"/>
      <c r="C945" s="120"/>
      <c r="D945" s="120"/>
      <c r="E945" s="120"/>
      <c r="F945" s="120"/>
      <c r="G945" s="120"/>
      <c r="L945" s="120"/>
      <c r="M945" s="120"/>
      <c r="N945" s="120"/>
      <c r="O945" s="120"/>
      <c r="P945" s="120"/>
      <c r="Q945" s="120"/>
      <c r="R945" s="120"/>
      <c r="S945" s="120"/>
      <c r="T945" s="120"/>
    </row>
    <row r="946">
      <c r="A946" s="291"/>
      <c r="B946" s="120"/>
      <c r="C946" s="120"/>
      <c r="D946" s="120"/>
      <c r="E946" s="120"/>
      <c r="F946" s="120"/>
      <c r="G946" s="120"/>
      <c r="L946" s="120"/>
      <c r="M946" s="120"/>
      <c r="N946" s="120"/>
      <c r="O946" s="120"/>
      <c r="P946" s="120"/>
      <c r="Q946" s="120"/>
      <c r="R946" s="120"/>
      <c r="S946" s="120"/>
      <c r="T946" s="120"/>
    </row>
    <row r="947">
      <c r="A947" s="291"/>
      <c r="B947" s="120"/>
      <c r="C947" s="120"/>
      <c r="D947" s="120"/>
      <c r="E947" s="120"/>
      <c r="F947" s="120"/>
      <c r="G947" s="120"/>
      <c r="L947" s="120"/>
      <c r="M947" s="120"/>
      <c r="N947" s="120"/>
      <c r="O947" s="120"/>
      <c r="P947" s="120"/>
      <c r="Q947" s="120"/>
      <c r="R947" s="120"/>
      <c r="S947" s="120"/>
      <c r="T947" s="120"/>
    </row>
    <row r="948">
      <c r="A948" s="291"/>
      <c r="B948" s="120"/>
      <c r="C948" s="120"/>
      <c r="D948" s="120"/>
      <c r="E948" s="120"/>
      <c r="F948" s="120"/>
      <c r="G948" s="120"/>
      <c r="L948" s="120"/>
      <c r="M948" s="120"/>
      <c r="N948" s="120"/>
      <c r="O948" s="120"/>
      <c r="P948" s="120"/>
      <c r="Q948" s="120"/>
      <c r="R948" s="120"/>
      <c r="S948" s="120"/>
      <c r="T948" s="120"/>
    </row>
    <row r="949">
      <c r="A949" s="291"/>
      <c r="B949" s="120"/>
      <c r="C949" s="120"/>
      <c r="D949" s="120"/>
      <c r="E949" s="120"/>
      <c r="F949" s="120"/>
      <c r="G949" s="120"/>
      <c r="L949" s="120"/>
      <c r="M949" s="120"/>
      <c r="N949" s="120"/>
      <c r="O949" s="120"/>
      <c r="P949" s="120"/>
      <c r="Q949" s="120"/>
      <c r="R949" s="120"/>
      <c r="S949" s="120"/>
      <c r="T949" s="120"/>
    </row>
    <row r="950">
      <c r="A950" s="291"/>
      <c r="B950" s="120"/>
      <c r="C950" s="120"/>
      <c r="D950" s="120"/>
      <c r="E950" s="120"/>
      <c r="F950" s="120"/>
      <c r="G950" s="120"/>
      <c r="L950" s="120"/>
      <c r="M950" s="120"/>
      <c r="N950" s="120"/>
      <c r="O950" s="120"/>
      <c r="P950" s="120"/>
      <c r="Q950" s="120"/>
      <c r="R950" s="120"/>
      <c r="S950" s="120"/>
      <c r="T950" s="120"/>
    </row>
    <row r="951">
      <c r="A951" s="291"/>
      <c r="B951" s="120"/>
      <c r="C951" s="120"/>
      <c r="D951" s="120"/>
      <c r="E951" s="120"/>
      <c r="F951" s="120"/>
      <c r="G951" s="120"/>
      <c r="L951" s="120"/>
      <c r="M951" s="120"/>
      <c r="N951" s="120"/>
      <c r="O951" s="120"/>
      <c r="P951" s="120"/>
      <c r="Q951" s="120"/>
      <c r="R951" s="120"/>
      <c r="S951" s="120"/>
      <c r="T951" s="120"/>
    </row>
    <row r="952">
      <c r="A952" s="291"/>
      <c r="B952" s="120"/>
      <c r="C952" s="120"/>
      <c r="D952" s="120"/>
      <c r="E952" s="120"/>
      <c r="F952" s="120"/>
      <c r="G952" s="120"/>
      <c r="L952" s="120"/>
      <c r="M952" s="120"/>
      <c r="N952" s="120"/>
      <c r="O952" s="120"/>
      <c r="P952" s="120"/>
      <c r="Q952" s="120"/>
      <c r="R952" s="120"/>
      <c r="S952" s="120"/>
      <c r="T952" s="120"/>
    </row>
    <row r="953">
      <c r="A953" s="291"/>
      <c r="B953" s="120"/>
      <c r="C953" s="120"/>
      <c r="D953" s="120"/>
      <c r="E953" s="120"/>
      <c r="F953" s="120"/>
      <c r="G953" s="120"/>
      <c r="L953" s="120"/>
      <c r="M953" s="120"/>
      <c r="N953" s="120"/>
      <c r="O953" s="120"/>
      <c r="P953" s="120"/>
      <c r="Q953" s="120"/>
      <c r="R953" s="120"/>
      <c r="S953" s="120"/>
      <c r="T953" s="120"/>
    </row>
    <row r="954">
      <c r="A954" s="291"/>
      <c r="B954" s="120"/>
      <c r="C954" s="120"/>
      <c r="D954" s="120"/>
      <c r="E954" s="120"/>
      <c r="F954" s="120"/>
      <c r="G954" s="120"/>
      <c r="L954" s="120"/>
      <c r="M954" s="120"/>
      <c r="N954" s="120"/>
      <c r="O954" s="120"/>
      <c r="P954" s="120"/>
      <c r="Q954" s="120"/>
      <c r="R954" s="120"/>
      <c r="S954" s="120"/>
      <c r="T954" s="120"/>
    </row>
    <row r="955">
      <c r="A955" s="291"/>
      <c r="B955" s="120"/>
      <c r="C955" s="120"/>
      <c r="D955" s="120"/>
      <c r="E955" s="120"/>
      <c r="F955" s="120"/>
      <c r="G955" s="120"/>
      <c r="L955" s="120"/>
      <c r="M955" s="120"/>
      <c r="N955" s="120"/>
      <c r="O955" s="120"/>
      <c r="P955" s="120"/>
      <c r="Q955" s="120"/>
      <c r="R955" s="120"/>
      <c r="S955" s="120"/>
      <c r="T955" s="120"/>
    </row>
    <row r="956">
      <c r="A956" s="291"/>
      <c r="B956" s="120"/>
      <c r="C956" s="120"/>
      <c r="D956" s="120"/>
      <c r="E956" s="120"/>
      <c r="F956" s="120"/>
      <c r="G956" s="120"/>
      <c r="L956" s="120"/>
      <c r="M956" s="120"/>
      <c r="N956" s="120"/>
      <c r="O956" s="120"/>
      <c r="P956" s="120"/>
      <c r="Q956" s="120"/>
      <c r="R956" s="120"/>
      <c r="S956" s="120"/>
      <c r="T956" s="120"/>
    </row>
    <row r="957">
      <c r="A957" s="291"/>
      <c r="B957" s="120"/>
      <c r="C957" s="120"/>
      <c r="D957" s="120"/>
      <c r="E957" s="120"/>
      <c r="F957" s="120"/>
      <c r="G957" s="120"/>
      <c r="L957" s="120"/>
      <c r="M957" s="120"/>
      <c r="N957" s="120"/>
      <c r="O957" s="120"/>
      <c r="P957" s="120"/>
      <c r="Q957" s="120"/>
      <c r="R957" s="120"/>
      <c r="S957" s="120"/>
      <c r="T957" s="120"/>
    </row>
    <row r="958">
      <c r="A958" s="291"/>
      <c r="B958" s="120"/>
      <c r="C958" s="120"/>
      <c r="D958" s="120"/>
      <c r="E958" s="120"/>
      <c r="F958" s="120"/>
      <c r="G958" s="120"/>
      <c r="L958" s="120"/>
      <c r="M958" s="120"/>
      <c r="N958" s="120"/>
      <c r="O958" s="120"/>
      <c r="P958" s="120"/>
      <c r="Q958" s="120"/>
      <c r="R958" s="120"/>
      <c r="S958" s="120"/>
      <c r="T958" s="120"/>
    </row>
    <row r="959">
      <c r="A959" s="291"/>
      <c r="B959" s="120"/>
      <c r="C959" s="120"/>
      <c r="D959" s="120"/>
      <c r="E959" s="120"/>
      <c r="F959" s="120"/>
      <c r="G959" s="120"/>
      <c r="L959" s="120"/>
      <c r="M959" s="120"/>
      <c r="N959" s="120"/>
      <c r="O959" s="120"/>
      <c r="P959" s="120"/>
      <c r="Q959" s="120"/>
      <c r="R959" s="120"/>
      <c r="S959" s="120"/>
      <c r="T959" s="120"/>
    </row>
    <row r="960">
      <c r="A960" s="291"/>
      <c r="B960" s="120"/>
      <c r="C960" s="120"/>
      <c r="D960" s="120"/>
      <c r="E960" s="120"/>
      <c r="F960" s="120"/>
      <c r="G960" s="120"/>
      <c r="L960" s="120"/>
      <c r="M960" s="120"/>
      <c r="N960" s="120"/>
      <c r="O960" s="120"/>
      <c r="P960" s="120"/>
      <c r="Q960" s="120"/>
      <c r="R960" s="120"/>
      <c r="S960" s="120"/>
      <c r="T960" s="120"/>
    </row>
    <row r="961">
      <c r="A961" s="291"/>
      <c r="B961" s="120"/>
      <c r="C961" s="120"/>
      <c r="D961" s="120"/>
      <c r="E961" s="120"/>
      <c r="F961" s="120"/>
      <c r="G961" s="120"/>
      <c r="L961" s="120"/>
      <c r="M961" s="120"/>
      <c r="N961" s="120"/>
      <c r="O961" s="120"/>
      <c r="P961" s="120"/>
      <c r="Q961" s="120"/>
      <c r="R961" s="120"/>
      <c r="S961" s="120"/>
      <c r="T961" s="120"/>
    </row>
    <row r="962">
      <c r="A962" s="291"/>
      <c r="B962" s="120"/>
      <c r="C962" s="120"/>
      <c r="D962" s="120"/>
      <c r="E962" s="120"/>
      <c r="F962" s="120"/>
      <c r="G962" s="120"/>
      <c r="L962" s="120"/>
      <c r="M962" s="120"/>
      <c r="N962" s="120"/>
      <c r="O962" s="120"/>
      <c r="P962" s="120"/>
      <c r="Q962" s="120"/>
      <c r="R962" s="120"/>
      <c r="S962" s="120"/>
      <c r="T962" s="120"/>
    </row>
    <row r="963">
      <c r="A963" s="291"/>
      <c r="B963" s="120"/>
      <c r="C963" s="120"/>
      <c r="D963" s="120"/>
      <c r="E963" s="120"/>
      <c r="F963" s="120"/>
      <c r="G963" s="120"/>
      <c r="L963" s="120"/>
      <c r="M963" s="120"/>
      <c r="N963" s="120"/>
      <c r="O963" s="120"/>
      <c r="P963" s="120"/>
      <c r="Q963" s="120"/>
      <c r="R963" s="120"/>
      <c r="S963" s="120"/>
      <c r="T963" s="120"/>
    </row>
    <row r="964">
      <c r="A964" s="291"/>
      <c r="B964" s="120"/>
      <c r="C964" s="120"/>
      <c r="D964" s="120"/>
      <c r="E964" s="120"/>
      <c r="F964" s="120"/>
      <c r="G964" s="120"/>
      <c r="L964" s="120"/>
      <c r="M964" s="120"/>
      <c r="N964" s="120"/>
      <c r="O964" s="120"/>
      <c r="P964" s="120"/>
      <c r="Q964" s="120"/>
      <c r="R964" s="120"/>
      <c r="S964" s="120"/>
      <c r="T964" s="120"/>
    </row>
    <row r="965">
      <c r="A965" s="291"/>
      <c r="B965" s="120"/>
      <c r="C965" s="120"/>
      <c r="D965" s="120"/>
      <c r="E965" s="120"/>
      <c r="F965" s="120"/>
      <c r="G965" s="120"/>
      <c r="L965" s="120"/>
      <c r="M965" s="120"/>
      <c r="N965" s="120"/>
      <c r="O965" s="120"/>
      <c r="P965" s="120"/>
      <c r="Q965" s="120"/>
      <c r="R965" s="120"/>
      <c r="S965" s="120"/>
      <c r="T965" s="120"/>
    </row>
    <row r="966">
      <c r="A966" s="291"/>
      <c r="B966" s="120"/>
      <c r="C966" s="120"/>
      <c r="D966" s="120"/>
      <c r="E966" s="120"/>
      <c r="F966" s="120"/>
      <c r="G966" s="120"/>
      <c r="L966" s="120"/>
      <c r="M966" s="120"/>
      <c r="N966" s="120"/>
      <c r="O966" s="120"/>
      <c r="P966" s="120"/>
      <c r="Q966" s="120"/>
      <c r="R966" s="120"/>
      <c r="S966" s="120"/>
      <c r="T966" s="120"/>
    </row>
    <row r="967">
      <c r="A967" s="291"/>
      <c r="B967" s="120"/>
      <c r="C967" s="120"/>
      <c r="D967" s="120"/>
      <c r="E967" s="120"/>
      <c r="F967" s="120"/>
      <c r="G967" s="120"/>
      <c r="L967" s="120"/>
      <c r="M967" s="120"/>
      <c r="N967" s="120"/>
      <c r="O967" s="120"/>
      <c r="P967" s="120"/>
      <c r="Q967" s="120"/>
      <c r="R967" s="120"/>
      <c r="S967" s="120"/>
      <c r="T967" s="120"/>
    </row>
    <row r="968">
      <c r="A968" s="291"/>
      <c r="B968" s="120"/>
      <c r="C968" s="120"/>
      <c r="D968" s="120"/>
      <c r="E968" s="120"/>
      <c r="F968" s="120"/>
      <c r="G968" s="120"/>
      <c r="L968" s="120"/>
      <c r="M968" s="120"/>
      <c r="N968" s="120"/>
      <c r="O968" s="120"/>
      <c r="P968" s="120"/>
      <c r="Q968" s="120"/>
      <c r="R968" s="120"/>
      <c r="S968" s="120"/>
      <c r="T968" s="120"/>
    </row>
    <row r="969">
      <c r="A969" s="291"/>
      <c r="B969" s="120"/>
      <c r="C969" s="120"/>
      <c r="D969" s="120"/>
      <c r="E969" s="120"/>
      <c r="F969" s="120"/>
      <c r="G969" s="120"/>
      <c r="L969" s="120"/>
      <c r="M969" s="120"/>
      <c r="N969" s="120"/>
      <c r="O969" s="120"/>
      <c r="P969" s="120"/>
      <c r="Q969" s="120"/>
      <c r="R969" s="120"/>
      <c r="S969" s="120"/>
      <c r="T969" s="120"/>
    </row>
    <row r="970">
      <c r="A970" s="291"/>
      <c r="B970" s="120"/>
      <c r="C970" s="120"/>
      <c r="D970" s="120"/>
      <c r="E970" s="120"/>
      <c r="F970" s="120"/>
      <c r="G970" s="120"/>
      <c r="L970" s="120"/>
      <c r="M970" s="120"/>
      <c r="N970" s="120"/>
      <c r="O970" s="120"/>
      <c r="P970" s="120"/>
      <c r="Q970" s="120"/>
      <c r="R970" s="120"/>
      <c r="S970" s="120"/>
      <c r="T970" s="120"/>
    </row>
    <row r="971">
      <c r="A971" s="291"/>
      <c r="B971" s="120"/>
      <c r="C971" s="120"/>
      <c r="D971" s="120"/>
      <c r="E971" s="120"/>
      <c r="F971" s="120"/>
      <c r="G971" s="120"/>
      <c r="L971" s="120"/>
      <c r="M971" s="120"/>
      <c r="N971" s="120"/>
      <c r="O971" s="120"/>
      <c r="P971" s="120"/>
      <c r="Q971" s="120"/>
      <c r="R971" s="120"/>
      <c r="S971" s="120"/>
      <c r="T971" s="120"/>
    </row>
    <row r="972">
      <c r="A972" s="291"/>
      <c r="B972" s="120"/>
      <c r="C972" s="120"/>
      <c r="D972" s="120"/>
      <c r="E972" s="120"/>
      <c r="F972" s="120"/>
      <c r="G972" s="120"/>
      <c r="L972" s="120"/>
      <c r="M972" s="120"/>
      <c r="N972" s="120"/>
      <c r="O972" s="120"/>
      <c r="P972" s="120"/>
      <c r="Q972" s="120"/>
      <c r="R972" s="120"/>
      <c r="S972" s="120"/>
      <c r="T972" s="120"/>
    </row>
    <row r="973">
      <c r="A973" s="291"/>
      <c r="B973" s="120"/>
      <c r="C973" s="120"/>
      <c r="D973" s="120"/>
      <c r="E973" s="120"/>
      <c r="F973" s="120"/>
      <c r="G973" s="120"/>
      <c r="L973" s="120"/>
      <c r="M973" s="120"/>
      <c r="N973" s="120"/>
      <c r="O973" s="120"/>
      <c r="P973" s="120"/>
      <c r="Q973" s="120"/>
      <c r="R973" s="120"/>
      <c r="S973" s="120"/>
      <c r="T973" s="120"/>
    </row>
    <row r="974">
      <c r="A974" s="291"/>
      <c r="B974" s="120"/>
      <c r="C974" s="120"/>
      <c r="D974" s="120"/>
      <c r="E974" s="120"/>
      <c r="F974" s="120"/>
      <c r="G974" s="120"/>
      <c r="L974" s="120"/>
      <c r="M974" s="120"/>
      <c r="N974" s="120"/>
      <c r="O974" s="120"/>
      <c r="P974" s="120"/>
      <c r="Q974" s="120"/>
      <c r="R974" s="120"/>
      <c r="S974" s="120"/>
      <c r="T974" s="120"/>
    </row>
    <row r="975">
      <c r="A975" s="291"/>
      <c r="B975" s="120"/>
      <c r="C975" s="120"/>
      <c r="D975" s="120"/>
      <c r="E975" s="120"/>
      <c r="F975" s="120"/>
      <c r="G975" s="120"/>
      <c r="L975" s="120"/>
      <c r="M975" s="120"/>
      <c r="N975" s="120"/>
      <c r="O975" s="120"/>
      <c r="P975" s="120"/>
      <c r="Q975" s="120"/>
      <c r="R975" s="120"/>
      <c r="S975" s="120"/>
      <c r="T975" s="120"/>
    </row>
    <row r="976">
      <c r="A976" s="291"/>
      <c r="B976" s="120"/>
      <c r="C976" s="120"/>
      <c r="D976" s="120"/>
      <c r="E976" s="120"/>
      <c r="F976" s="120"/>
      <c r="G976" s="120"/>
      <c r="L976" s="120"/>
      <c r="M976" s="120"/>
      <c r="N976" s="120"/>
      <c r="O976" s="120"/>
      <c r="P976" s="120"/>
      <c r="Q976" s="120"/>
      <c r="R976" s="120"/>
      <c r="S976" s="120"/>
      <c r="T976" s="120"/>
    </row>
    <row r="977">
      <c r="A977" s="291"/>
      <c r="B977" s="120"/>
      <c r="C977" s="120"/>
      <c r="D977" s="120"/>
      <c r="E977" s="120"/>
      <c r="F977" s="120"/>
      <c r="G977" s="120"/>
      <c r="L977" s="120"/>
      <c r="M977" s="120"/>
      <c r="N977" s="120"/>
      <c r="O977" s="120"/>
      <c r="P977" s="120"/>
      <c r="Q977" s="120"/>
      <c r="R977" s="120"/>
      <c r="S977" s="120"/>
      <c r="T977" s="120"/>
    </row>
    <row r="978">
      <c r="A978" s="291"/>
      <c r="B978" s="120"/>
      <c r="C978" s="120"/>
      <c r="D978" s="120"/>
      <c r="E978" s="120"/>
      <c r="F978" s="120"/>
      <c r="G978" s="120"/>
      <c r="L978" s="120"/>
      <c r="M978" s="120"/>
      <c r="N978" s="120"/>
      <c r="O978" s="120"/>
      <c r="P978" s="120"/>
      <c r="Q978" s="120"/>
      <c r="R978" s="120"/>
      <c r="S978" s="120"/>
      <c r="T978" s="120"/>
    </row>
    <row r="979">
      <c r="A979" s="291"/>
      <c r="B979" s="120"/>
      <c r="C979" s="120"/>
      <c r="D979" s="120"/>
      <c r="E979" s="120"/>
      <c r="F979" s="120"/>
      <c r="G979" s="120"/>
      <c r="L979" s="120"/>
      <c r="M979" s="120"/>
      <c r="N979" s="120"/>
      <c r="O979" s="120"/>
      <c r="P979" s="120"/>
      <c r="Q979" s="120"/>
      <c r="R979" s="120"/>
      <c r="S979" s="120"/>
      <c r="T979" s="120"/>
    </row>
    <row r="980">
      <c r="A980" s="291"/>
      <c r="B980" s="120"/>
      <c r="C980" s="120"/>
      <c r="D980" s="120"/>
      <c r="E980" s="120"/>
      <c r="F980" s="120"/>
      <c r="G980" s="120"/>
      <c r="L980" s="120"/>
      <c r="M980" s="120"/>
      <c r="N980" s="120"/>
      <c r="O980" s="120"/>
      <c r="P980" s="120"/>
      <c r="Q980" s="120"/>
      <c r="R980" s="120"/>
      <c r="S980" s="120"/>
      <c r="T980" s="120"/>
    </row>
    <row r="981">
      <c r="A981" s="291"/>
      <c r="B981" s="120"/>
      <c r="C981" s="120"/>
      <c r="D981" s="120"/>
      <c r="E981" s="120"/>
      <c r="F981" s="120"/>
      <c r="G981" s="120"/>
      <c r="L981" s="120"/>
      <c r="M981" s="120"/>
      <c r="N981" s="120"/>
      <c r="O981" s="120"/>
      <c r="P981" s="120"/>
      <c r="Q981" s="120"/>
      <c r="R981" s="120"/>
      <c r="S981" s="120"/>
      <c r="T981" s="120"/>
    </row>
    <row r="982">
      <c r="A982" s="291"/>
      <c r="B982" s="120"/>
      <c r="C982" s="120"/>
      <c r="D982" s="120"/>
      <c r="E982" s="120"/>
      <c r="F982" s="120"/>
      <c r="G982" s="120"/>
      <c r="L982" s="120"/>
      <c r="M982" s="120"/>
      <c r="N982" s="120"/>
      <c r="O982" s="120"/>
      <c r="P982" s="120"/>
      <c r="Q982" s="120"/>
      <c r="R982" s="120"/>
      <c r="S982" s="120"/>
      <c r="T982" s="120"/>
    </row>
    <row r="983">
      <c r="A983" s="291"/>
      <c r="B983" s="120"/>
      <c r="C983" s="120"/>
      <c r="D983" s="120"/>
      <c r="E983" s="120"/>
      <c r="F983" s="120"/>
      <c r="G983" s="120"/>
      <c r="L983" s="120"/>
      <c r="M983" s="120"/>
      <c r="N983" s="120"/>
      <c r="O983" s="120"/>
      <c r="P983" s="120"/>
      <c r="Q983" s="120"/>
      <c r="R983" s="120"/>
      <c r="S983" s="120"/>
      <c r="T983" s="120"/>
    </row>
    <row r="984">
      <c r="A984" s="291"/>
      <c r="B984" s="120"/>
      <c r="C984" s="120"/>
      <c r="D984" s="120"/>
      <c r="E984" s="120"/>
      <c r="F984" s="120"/>
      <c r="G984" s="120"/>
      <c r="L984" s="120"/>
      <c r="M984" s="120"/>
      <c r="N984" s="120"/>
      <c r="O984" s="120"/>
      <c r="P984" s="120"/>
      <c r="Q984" s="120"/>
      <c r="R984" s="120"/>
      <c r="S984" s="120"/>
      <c r="T984" s="120"/>
    </row>
    <row r="985">
      <c r="A985" s="291"/>
      <c r="B985" s="120"/>
      <c r="C985" s="120"/>
      <c r="D985" s="120"/>
      <c r="E985" s="120"/>
      <c r="F985" s="120"/>
      <c r="G985" s="120"/>
      <c r="L985" s="120"/>
      <c r="M985" s="120"/>
      <c r="N985" s="120"/>
      <c r="O985" s="120"/>
      <c r="P985" s="120"/>
      <c r="Q985" s="120"/>
      <c r="R985" s="120"/>
      <c r="S985" s="120"/>
      <c r="T985" s="120"/>
    </row>
    <row r="986">
      <c r="A986" s="291"/>
      <c r="B986" s="120"/>
      <c r="C986" s="120"/>
      <c r="D986" s="120"/>
      <c r="E986" s="120"/>
      <c r="F986" s="120"/>
      <c r="G986" s="120"/>
      <c r="L986" s="120"/>
      <c r="M986" s="120"/>
      <c r="N986" s="120"/>
      <c r="O986" s="120"/>
      <c r="P986" s="120"/>
      <c r="Q986" s="120"/>
      <c r="R986" s="120"/>
      <c r="S986" s="120"/>
      <c r="T986" s="120"/>
    </row>
    <row r="987">
      <c r="A987" s="291"/>
      <c r="B987" s="120"/>
      <c r="C987" s="120"/>
      <c r="D987" s="120"/>
      <c r="E987" s="120"/>
      <c r="F987" s="120"/>
      <c r="G987" s="120"/>
      <c r="L987" s="120"/>
      <c r="M987" s="120"/>
      <c r="N987" s="120"/>
      <c r="O987" s="120"/>
      <c r="P987" s="120"/>
      <c r="Q987" s="120"/>
      <c r="R987" s="120"/>
      <c r="S987" s="120"/>
      <c r="T987" s="120"/>
    </row>
    <row r="988">
      <c r="A988" s="291"/>
      <c r="B988" s="120"/>
      <c r="C988" s="120"/>
      <c r="D988" s="120"/>
      <c r="E988" s="120"/>
      <c r="F988" s="120"/>
      <c r="G988" s="120"/>
      <c r="L988" s="120"/>
      <c r="M988" s="120"/>
      <c r="N988" s="120"/>
      <c r="O988" s="120"/>
      <c r="P988" s="120"/>
      <c r="Q988" s="120"/>
      <c r="R988" s="120"/>
      <c r="S988" s="120"/>
      <c r="T988" s="120"/>
    </row>
    <row r="989">
      <c r="A989" s="291"/>
      <c r="B989" s="120"/>
      <c r="C989" s="120"/>
      <c r="D989" s="120"/>
      <c r="E989" s="120"/>
      <c r="F989" s="120"/>
      <c r="G989" s="120"/>
      <c r="L989" s="120"/>
      <c r="M989" s="120"/>
      <c r="N989" s="120"/>
      <c r="O989" s="120"/>
      <c r="P989" s="120"/>
      <c r="Q989" s="120"/>
      <c r="R989" s="120"/>
      <c r="S989" s="120"/>
      <c r="T989" s="120"/>
    </row>
    <row r="990">
      <c r="A990" s="291"/>
      <c r="B990" s="120"/>
      <c r="C990" s="120"/>
      <c r="D990" s="120"/>
      <c r="E990" s="120"/>
      <c r="F990" s="120"/>
      <c r="G990" s="120"/>
      <c r="L990" s="120"/>
      <c r="M990" s="120"/>
      <c r="N990" s="120"/>
      <c r="O990" s="120"/>
      <c r="P990" s="120"/>
      <c r="Q990" s="120"/>
      <c r="R990" s="120"/>
      <c r="S990" s="120"/>
      <c r="T990" s="120"/>
    </row>
    <row r="991">
      <c r="A991" s="291"/>
      <c r="B991" s="120"/>
      <c r="C991" s="120"/>
      <c r="D991" s="120"/>
      <c r="E991" s="120"/>
      <c r="F991" s="120"/>
      <c r="G991" s="120"/>
      <c r="L991" s="120"/>
      <c r="M991" s="120"/>
      <c r="N991" s="120"/>
      <c r="O991" s="120"/>
      <c r="P991" s="120"/>
      <c r="Q991" s="120"/>
      <c r="R991" s="120"/>
      <c r="S991" s="120"/>
      <c r="T991" s="120"/>
    </row>
    <row r="992">
      <c r="A992" s="291"/>
      <c r="B992" s="120"/>
      <c r="C992" s="120"/>
      <c r="D992" s="120"/>
      <c r="E992" s="120"/>
      <c r="F992" s="120"/>
      <c r="G992" s="120"/>
      <c r="L992" s="120"/>
      <c r="M992" s="120"/>
      <c r="N992" s="120"/>
      <c r="O992" s="120"/>
      <c r="P992" s="120"/>
      <c r="Q992" s="120"/>
      <c r="R992" s="120"/>
      <c r="S992" s="120"/>
      <c r="T992" s="120"/>
    </row>
    <row r="993">
      <c r="A993" s="291"/>
      <c r="B993" s="120"/>
      <c r="C993" s="120"/>
      <c r="D993" s="120"/>
      <c r="E993" s="120"/>
      <c r="F993" s="120"/>
      <c r="G993" s="120"/>
      <c r="L993" s="120"/>
      <c r="M993" s="120"/>
      <c r="N993" s="120"/>
      <c r="O993" s="120"/>
      <c r="P993" s="120"/>
      <c r="Q993" s="120"/>
      <c r="R993" s="120"/>
      <c r="S993" s="120"/>
      <c r="T993" s="120"/>
    </row>
    <row r="994">
      <c r="A994" s="291"/>
      <c r="B994" s="120"/>
      <c r="C994" s="120"/>
      <c r="D994" s="120"/>
      <c r="E994" s="120"/>
      <c r="F994" s="120"/>
      <c r="G994" s="120"/>
      <c r="L994" s="120"/>
      <c r="M994" s="120"/>
      <c r="N994" s="120"/>
      <c r="O994" s="120"/>
      <c r="P994" s="120"/>
      <c r="Q994" s="120"/>
      <c r="R994" s="120"/>
      <c r="S994" s="120"/>
      <c r="T994" s="120"/>
    </row>
    <row r="995">
      <c r="A995" s="291"/>
      <c r="B995" s="120"/>
      <c r="C995" s="120"/>
      <c r="D995" s="120"/>
      <c r="E995" s="120"/>
      <c r="F995" s="120"/>
      <c r="G995" s="120"/>
      <c r="L995" s="120"/>
      <c r="M995" s="120"/>
      <c r="N995" s="120"/>
      <c r="O995" s="120"/>
      <c r="P995" s="120"/>
      <c r="Q995" s="120"/>
      <c r="R995" s="120"/>
      <c r="S995" s="120"/>
      <c r="T995" s="120"/>
    </row>
    <row r="996">
      <c r="A996" s="291"/>
      <c r="B996" s="120"/>
      <c r="C996" s="120"/>
      <c r="D996" s="120"/>
      <c r="E996" s="120"/>
      <c r="F996" s="120"/>
      <c r="G996" s="120"/>
      <c r="L996" s="120"/>
      <c r="M996" s="120"/>
      <c r="N996" s="120"/>
      <c r="O996" s="120"/>
      <c r="P996" s="120"/>
      <c r="Q996" s="120"/>
      <c r="R996" s="120"/>
      <c r="S996" s="120"/>
      <c r="T996" s="120"/>
    </row>
    <row r="997">
      <c r="A997" s="291"/>
      <c r="B997" s="120"/>
      <c r="C997" s="120"/>
      <c r="D997" s="120"/>
      <c r="E997" s="120"/>
      <c r="F997" s="120"/>
      <c r="G997" s="120"/>
      <c r="L997" s="120"/>
      <c r="M997" s="120"/>
      <c r="N997" s="120"/>
      <c r="O997" s="120"/>
      <c r="P997" s="120"/>
      <c r="Q997" s="120"/>
      <c r="R997" s="120"/>
      <c r="S997" s="120"/>
      <c r="T997" s="120"/>
    </row>
    <row r="998">
      <c r="A998" s="291"/>
      <c r="B998" s="120"/>
      <c r="C998" s="120"/>
      <c r="D998" s="120"/>
      <c r="E998" s="120"/>
      <c r="F998" s="120"/>
      <c r="G998" s="120"/>
      <c r="L998" s="120"/>
      <c r="M998" s="120"/>
      <c r="N998" s="120"/>
      <c r="O998" s="120"/>
      <c r="P998" s="120"/>
      <c r="Q998" s="120"/>
      <c r="R998" s="120"/>
      <c r="S998" s="120"/>
      <c r="T998" s="120"/>
    </row>
    <row r="999">
      <c r="A999" s="291"/>
      <c r="B999" s="120"/>
      <c r="C999" s="120"/>
      <c r="D999" s="120"/>
      <c r="E999" s="120"/>
      <c r="F999" s="120"/>
      <c r="G999" s="120"/>
      <c r="L999" s="120"/>
      <c r="M999" s="120"/>
      <c r="N999" s="120"/>
      <c r="O999" s="120"/>
      <c r="P999" s="120"/>
      <c r="Q999" s="120"/>
      <c r="R999" s="120"/>
      <c r="S999" s="120"/>
      <c r="T999" s="120"/>
    </row>
    <row r="1000">
      <c r="A1000" s="291"/>
      <c r="B1000" s="120"/>
      <c r="C1000" s="120"/>
      <c r="D1000" s="120"/>
      <c r="E1000" s="120"/>
      <c r="F1000" s="120"/>
      <c r="G1000" s="120"/>
      <c r="L1000" s="120"/>
      <c r="M1000" s="120"/>
      <c r="N1000" s="120"/>
      <c r="O1000" s="120"/>
      <c r="P1000" s="120"/>
      <c r="Q1000" s="120"/>
      <c r="R1000" s="120"/>
      <c r="S1000" s="120"/>
      <c r="T1000" s="120"/>
    </row>
  </sheetData>
  <autoFilter ref="$A$1:$AQ$217">
    <filterColumn colId="2">
      <filters>
        <filter val="NDados"/>
      </filters>
    </filterColumn>
  </autoFil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5"/>
    <col customWidth="1" min="2" max="2" width="17.63"/>
    <col customWidth="1" min="3" max="3" width="17.75"/>
  </cols>
  <sheetData>
    <row r="2" ht="26.25" customHeight="1">
      <c r="B2" s="242" t="s">
        <v>454</v>
      </c>
      <c r="C2" s="242" t="s">
        <v>120</v>
      </c>
    </row>
    <row r="7" ht="32.25" customHeight="1"/>
    <row r="11">
      <c r="B11" s="93" t="str">
        <f t="array" ref="B11">IFERROR(
    INDEX('Acompanhamento quinzenal'!$O:$AG,
        SMALL(
            IF(
                ('Acompanhamento quinzenal'!$N:$N=$C$2) + 
                ('Acompanhamento quinzenal'!$T:$T=$C$2) + 
                ('Acompanhamento quinzenal'!$Z:$Z=$C$2) + 
                ('Acompanhamento quinzenal'!$AF:$AF=$C$2), 
                ROW('Acompanhamento quinzenal'!$N:$N)-MIN(ROW('Acompanhamento quinzenal'!$N:$N))+1, 
                ""
            ), 
            ROW(A4)
        ), 
        COLUMN(A4)
    ), 
    ""
)
</f>
        <v/>
      </c>
    </row>
    <row r="12">
      <c r="B12" s="93" t="str">
        <f t="array" ref="B12">IFERROR(
    INDEX('Acompanhamento quinzenal'!$O:$AG,
        SMALL(
            IF(
                ('Acompanhamento quinzenal'!$N:$N=$C$2) + 
                ('Acompanhamento quinzenal'!$T:$T=$C$2) + 
                ('Acompanhamento quinzenal'!$Z:$Z=$C$2) + 
                ('Acompanhamento quinzenal'!$AF:$AF=$C$2), 
                ROW('Acompanhamento quinzenal'!$N:$N)-MIN(ROW('Acompanhamento quinzenal'!$N:$N))+1, 
                ""
            ), 
            ROW(A5)
        ), 
        COLUMN(A5)
    ), 
    ""
)
</f>
        <v/>
      </c>
    </row>
    <row r="13">
      <c r="B13" s="93" t="str">
        <f t="array" ref="B13">IFERROR(
    INDEX('Acompanhamento quinzenal'!$O:$AG,
        SMALL(
            IF(
                ('Acompanhamento quinzenal'!$N:$N=$C$2) + 
                ('Acompanhamento quinzenal'!$T:$T=$C$2) + 
                ('Acompanhamento quinzenal'!$Z:$Z=$C$2) + 
                ('Acompanhamento quinzenal'!$AF:$AF=$C$2), 
                ROW('Acompanhamento quinzenal'!$N:$N)-MIN(ROW('Acompanhamento quinzenal'!$N:$N))+1, 
                ""
            ), 
            ROW(A6)
        ), 
        COLUMN(A6)
    ), 
    ""
)
</f>
        <v/>
      </c>
    </row>
    <row r="14">
      <c r="B14" s="93" t="str">
        <f t="array" ref="B14">IFERROR(
    INDEX('Acompanhamento quinzenal'!$O:$AG,
        SMALL(
            IF(
                ('Acompanhamento quinzenal'!$N:$N=$C$2) + 
                ('Acompanhamento quinzenal'!$T:$T=$C$2) + 
                ('Acompanhamento quinzenal'!$Z:$Z=$C$2) + 
                ('Acompanhamento quinzenal'!$AF:$AF=$C$2), 
                ROW('Acompanhamento quinzenal'!$N:$N)-MIN(ROW('Acompanhamento quinzenal'!$N:$N))+1, 
                ""
            ), 
            ROW(A7)
        ), 
        COLUMN(A7)
    ), 
    ""
)
</f>
        <v/>
      </c>
    </row>
    <row r="15">
      <c r="B15" s="93" t="str">
        <f t="array" ref="B15">IFERROR(
    INDEX('Acompanhamento quinzenal'!$O:$AG,
        SMALL(
            IF(
                ('Acompanhamento quinzenal'!$N:$N=$C$2) + 
                ('Acompanhamento quinzenal'!$T:$T=$C$2) + 
                ('Acompanhamento quinzenal'!$Z:$Z=$C$2) + 
                ('Acompanhamento quinzenal'!$AF:$AF=$C$2), 
                ROW('Acompanhamento quinzenal'!$N:$N)-MIN(ROW('Acompanhamento quinzenal'!$N:$N))+1, 
                ""
            ), 
            ROW(A8)
        ), 
        COLUMN(A8)
    ), 
    ""
)
</f>
        <v/>
      </c>
    </row>
    <row r="16">
      <c r="B16" s="93" t="str">
        <f t="array" ref="B16">IFERROR(
    INDEX('Acompanhamento quinzenal'!$O:$AG,
        SMALL(
            IF(
                ('Acompanhamento quinzenal'!$N:$N=$C$2) + 
                ('Acompanhamento quinzenal'!$T:$T=$C$2) + 
                ('Acompanhamento quinzenal'!$Z:$Z=$C$2) + 
                ('Acompanhamento quinzenal'!$AF:$AF=$C$2), 
                ROW('Acompanhamento quinzenal'!$N:$N)-MIN(ROW('Acompanhamento quinzenal'!$N:$N))+1, 
                ""
            ), 
            ROW(A9)
        ), 
        COLUMN(A9)
    ), 
    ""
)
</f>
        <v/>
      </c>
    </row>
    <row r="17">
      <c r="B17" s="93" t="str">
        <f t="array" ref="B17">IFERROR(
    INDEX('Acompanhamento quinzenal'!$O:$AG,
        SMALL(
            IF(
                ('Acompanhamento quinzenal'!$N:$N=$C$2) + 
                ('Acompanhamento quinzenal'!$T:$T=$C$2) + 
                ('Acompanhamento quinzenal'!$Z:$Z=$C$2) + 
                ('Acompanhamento quinzenal'!$AF:$AF=$C$2), 
                ROW('Acompanhamento quinzenal'!$N:$N)-MIN(ROW('Acompanhamento quinzenal'!$N:$N))+1, 
                ""
            ), 
            ROW(A10)
        ), 
        COLUMN(A10)
    ), 
    ""
)
</f>
        <v/>
      </c>
    </row>
  </sheetData>
  <dataValidations>
    <dataValidation type="list" allowBlank="1" showErrorMessage="1" sqref="C2">
      <formula1>Membros!$A2:$A1000</formula1>
    </dataValidation>
  </dataValidation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8430CE"/>
    <outlinePr summaryBelow="0" summaryRight="0"/>
  </sheetPr>
  <sheetViews>
    <sheetView workbookViewId="0"/>
  </sheetViews>
  <sheetFormatPr customHeight="1" defaultColWidth="12.63" defaultRowHeight="15.75"/>
  <cols>
    <col customWidth="1" min="1" max="1" width="18.88"/>
    <col customWidth="1" min="2" max="2" width="18.5"/>
    <col customWidth="1" min="3" max="19" width="18.88"/>
  </cols>
  <sheetData>
    <row r="1" ht="18.0" customHeight="1">
      <c r="A1" s="296" t="s">
        <v>494</v>
      </c>
      <c r="B1" s="296" t="s">
        <v>495</v>
      </c>
      <c r="C1" s="296" t="s">
        <v>2</v>
      </c>
      <c r="D1" s="296" t="s">
        <v>496</v>
      </c>
      <c r="E1" s="296" t="s">
        <v>497</v>
      </c>
      <c r="F1" s="296" t="s">
        <v>498</v>
      </c>
      <c r="G1" s="296" t="s">
        <v>499</v>
      </c>
      <c r="H1" s="296" t="s">
        <v>500</v>
      </c>
      <c r="I1" s="296" t="s">
        <v>501</v>
      </c>
      <c r="J1" s="297" t="s">
        <v>502</v>
      </c>
      <c r="K1" s="297" t="s">
        <v>503</v>
      </c>
      <c r="L1" s="297" t="s">
        <v>504</v>
      </c>
      <c r="M1" s="297" t="s">
        <v>505</v>
      </c>
      <c r="N1" s="298"/>
      <c r="O1" s="298"/>
      <c r="P1" s="298"/>
      <c r="Q1" s="298"/>
      <c r="R1" s="298"/>
      <c r="S1" s="298"/>
    </row>
    <row r="2" ht="18.0" customHeight="1">
      <c r="A2" s="299">
        <v>45307.70598596065</v>
      </c>
      <c r="B2" s="300" t="s">
        <v>506</v>
      </c>
      <c r="C2" s="300" t="s">
        <v>507</v>
      </c>
      <c r="D2" s="300">
        <v>8.0</v>
      </c>
      <c r="E2" s="298"/>
      <c r="F2" s="298"/>
      <c r="G2" s="298"/>
      <c r="H2" s="300" t="s">
        <v>508</v>
      </c>
      <c r="I2" s="298"/>
      <c r="J2" s="298"/>
      <c r="K2" s="298"/>
      <c r="L2" s="298"/>
      <c r="M2" s="298"/>
      <c r="N2" s="298"/>
      <c r="O2" s="298"/>
      <c r="P2" s="298"/>
      <c r="Q2" s="298"/>
      <c r="R2" s="298"/>
      <c r="S2" s="298"/>
    </row>
    <row r="3" ht="18.0" customHeight="1">
      <c r="A3" s="299">
        <v>45327.59181131945</v>
      </c>
      <c r="B3" s="300" t="s">
        <v>509</v>
      </c>
      <c r="C3" s="300" t="s">
        <v>510</v>
      </c>
      <c r="D3" s="300">
        <v>10.0</v>
      </c>
      <c r="E3" s="300" t="s">
        <v>511</v>
      </c>
      <c r="F3" s="300" t="s">
        <v>512</v>
      </c>
      <c r="G3" s="300" t="s">
        <v>513</v>
      </c>
      <c r="H3" s="300" t="s">
        <v>514</v>
      </c>
      <c r="I3" s="298"/>
      <c r="J3" s="298"/>
      <c r="K3" s="298"/>
      <c r="L3" s="298"/>
      <c r="M3" s="298"/>
      <c r="N3" s="298"/>
      <c r="O3" s="298"/>
      <c r="P3" s="298"/>
      <c r="Q3" s="298"/>
      <c r="R3" s="298"/>
      <c r="S3" s="298"/>
    </row>
    <row r="4" ht="18.0" customHeight="1">
      <c r="A4" s="299">
        <v>45338.43793888889</v>
      </c>
      <c r="B4" s="300" t="s">
        <v>509</v>
      </c>
      <c r="C4" s="300" t="s">
        <v>515</v>
      </c>
      <c r="D4" s="300">
        <v>8.0</v>
      </c>
      <c r="E4" s="300" t="s">
        <v>516</v>
      </c>
      <c r="F4" s="300" t="s">
        <v>517</v>
      </c>
      <c r="G4" s="300" t="s">
        <v>518</v>
      </c>
      <c r="H4" s="300" t="s">
        <v>519</v>
      </c>
      <c r="I4" s="298"/>
      <c r="J4" s="298"/>
      <c r="K4" s="298"/>
      <c r="L4" s="298"/>
      <c r="M4" s="298"/>
      <c r="N4" s="298"/>
      <c r="O4" s="298"/>
      <c r="P4" s="298"/>
      <c r="Q4" s="298"/>
      <c r="R4" s="298"/>
      <c r="S4" s="298"/>
    </row>
    <row r="5" ht="18.0" customHeight="1">
      <c r="A5" s="299">
        <v>45345.66822391204</v>
      </c>
      <c r="B5" s="300" t="s">
        <v>520</v>
      </c>
      <c r="C5" s="300" t="s">
        <v>521</v>
      </c>
      <c r="D5" s="300">
        <v>10.0</v>
      </c>
      <c r="E5" s="300" t="s">
        <v>522</v>
      </c>
      <c r="F5" s="300" t="s">
        <v>523</v>
      </c>
      <c r="G5" s="300" t="s">
        <v>524</v>
      </c>
      <c r="H5" s="300" t="s">
        <v>525</v>
      </c>
      <c r="I5" s="300" t="s">
        <v>526</v>
      </c>
      <c r="J5" s="301"/>
      <c r="K5" s="301"/>
      <c r="L5" s="301"/>
      <c r="M5" s="301"/>
      <c r="N5" s="298"/>
      <c r="O5" s="298"/>
      <c r="P5" s="298"/>
      <c r="Q5" s="298"/>
      <c r="R5" s="298"/>
      <c r="S5" s="298"/>
    </row>
    <row r="6" ht="18.0" customHeight="1">
      <c r="A6" s="299">
        <v>45348.460833564815</v>
      </c>
      <c r="B6" s="300" t="s">
        <v>509</v>
      </c>
      <c r="C6" s="300" t="s">
        <v>527</v>
      </c>
      <c r="D6" s="300">
        <v>9.0</v>
      </c>
      <c r="E6" s="300" t="s">
        <v>528</v>
      </c>
      <c r="F6" s="300" t="s">
        <v>529</v>
      </c>
      <c r="G6" s="300" t="s">
        <v>528</v>
      </c>
      <c r="H6" s="298"/>
      <c r="I6" s="300" t="s">
        <v>530</v>
      </c>
      <c r="J6" s="301"/>
      <c r="K6" s="301"/>
      <c r="L6" s="301"/>
      <c r="M6" s="301"/>
      <c r="N6" s="298"/>
      <c r="O6" s="298"/>
      <c r="P6" s="298"/>
      <c r="Q6" s="298"/>
      <c r="R6" s="298"/>
      <c r="S6" s="298"/>
    </row>
    <row r="7" ht="18.0" customHeight="1">
      <c r="A7" s="299">
        <v>45349.4005324537</v>
      </c>
      <c r="B7" s="300" t="s">
        <v>509</v>
      </c>
      <c r="C7" s="300" t="s">
        <v>531</v>
      </c>
      <c r="D7" s="300">
        <v>10.0</v>
      </c>
      <c r="E7" s="300" t="s">
        <v>532</v>
      </c>
      <c r="F7" s="300" t="s">
        <v>533</v>
      </c>
      <c r="G7" s="300" t="s">
        <v>528</v>
      </c>
      <c r="H7" s="298"/>
      <c r="I7" s="298"/>
      <c r="J7" s="298"/>
      <c r="K7" s="298"/>
      <c r="L7" s="298"/>
      <c r="M7" s="298"/>
      <c r="N7" s="298"/>
      <c r="O7" s="298"/>
      <c r="P7" s="298"/>
      <c r="Q7" s="298"/>
      <c r="R7" s="298"/>
      <c r="S7" s="298"/>
    </row>
    <row r="8" ht="18.0" customHeight="1">
      <c r="A8" s="299">
        <v>45349.43176828704</v>
      </c>
      <c r="B8" s="300" t="s">
        <v>509</v>
      </c>
      <c r="C8" s="300" t="s">
        <v>158</v>
      </c>
      <c r="D8" s="300">
        <v>9.0</v>
      </c>
      <c r="E8" s="300" t="s">
        <v>534</v>
      </c>
      <c r="F8" s="300" t="s">
        <v>535</v>
      </c>
      <c r="G8" s="298"/>
      <c r="H8" s="298"/>
      <c r="I8" s="298"/>
      <c r="J8" s="298"/>
      <c r="K8" s="298"/>
      <c r="L8" s="298"/>
      <c r="M8" s="298"/>
      <c r="N8" s="298"/>
      <c r="O8" s="298"/>
      <c r="P8" s="298"/>
      <c r="Q8" s="298"/>
      <c r="R8" s="298"/>
      <c r="S8" s="298"/>
    </row>
    <row r="9" ht="18.0" customHeight="1">
      <c r="A9" s="299">
        <v>45349.48452091435</v>
      </c>
      <c r="B9" s="300" t="s">
        <v>509</v>
      </c>
      <c r="C9" s="300" t="s">
        <v>536</v>
      </c>
      <c r="D9" s="300">
        <v>10.0</v>
      </c>
      <c r="E9" s="300" t="s">
        <v>537</v>
      </c>
      <c r="F9" s="300" t="s">
        <v>538</v>
      </c>
      <c r="G9" s="298"/>
      <c r="H9" s="298"/>
      <c r="I9" s="298"/>
      <c r="J9" s="298"/>
      <c r="K9" s="298"/>
      <c r="L9" s="298"/>
      <c r="M9" s="298"/>
      <c r="N9" s="298"/>
      <c r="O9" s="298"/>
      <c r="P9" s="298"/>
      <c r="Q9" s="298"/>
      <c r="R9" s="298"/>
      <c r="S9" s="298"/>
    </row>
    <row r="10" ht="18.0" customHeight="1">
      <c r="A10" s="299">
        <v>45350.76095403935</v>
      </c>
      <c r="B10" s="300" t="s">
        <v>520</v>
      </c>
      <c r="C10" s="300" t="s">
        <v>539</v>
      </c>
      <c r="D10" s="300">
        <v>8.0</v>
      </c>
      <c r="E10" s="300" t="s">
        <v>540</v>
      </c>
      <c r="F10" s="300" t="s">
        <v>541</v>
      </c>
      <c r="G10" s="300" t="s">
        <v>542</v>
      </c>
      <c r="H10" s="300" t="s">
        <v>543</v>
      </c>
      <c r="I10" s="300" t="s">
        <v>544</v>
      </c>
      <c r="J10" s="301"/>
      <c r="K10" s="301"/>
      <c r="L10" s="301"/>
      <c r="M10" s="301"/>
      <c r="N10" s="298"/>
      <c r="O10" s="298"/>
      <c r="P10" s="298"/>
      <c r="Q10" s="298"/>
      <c r="R10" s="298"/>
      <c r="S10" s="298"/>
    </row>
    <row r="11" ht="18.0" customHeight="1">
      <c r="A11" s="299">
        <v>45362.53395774306</v>
      </c>
      <c r="B11" s="300" t="s">
        <v>545</v>
      </c>
      <c r="C11" s="300" t="s">
        <v>152</v>
      </c>
      <c r="D11" s="300">
        <v>10.0</v>
      </c>
      <c r="E11" s="298"/>
      <c r="F11" s="298"/>
      <c r="G11" s="300" t="s">
        <v>546</v>
      </c>
      <c r="H11" s="300" t="s">
        <v>547</v>
      </c>
      <c r="I11" s="298"/>
      <c r="J11" s="298"/>
      <c r="K11" s="298"/>
      <c r="L11" s="298"/>
      <c r="M11" s="298"/>
      <c r="N11" s="298"/>
      <c r="O11" s="298"/>
      <c r="P11" s="298"/>
      <c r="Q11" s="298"/>
      <c r="R11" s="298"/>
      <c r="S11" s="298"/>
    </row>
    <row r="12" ht="18.0" customHeight="1">
      <c r="A12" s="299">
        <v>45364.431361724535</v>
      </c>
      <c r="B12" s="300" t="s">
        <v>545</v>
      </c>
      <c r="C12" s="300" t="s">
        <v>141</v>
      </c>
      <c r="D12" s="300">
        <v>10.0</v>
      </c>
      <c r="E12" s="298"/>
      <c r="F12" s="300" t="s">
        <v>548</v>
      </c>
      <c r="G12" s="300" t="s">
        <v>549</v>
      </c>
      <c r="H12" s="300" t="s">
        <v>550</v>
      </c>
      <c r="I12" s="298"/>
      <c r="J12" s="298"/>
      <c r="K12" s="298"/>
      <c r="L12" s="298"/>
      <c r="M12" s="298"/>
      <c r="N12" s="298"/>
      <c r="O12" s="298"/>
      <c r="P12" s="298"/>
      <c r="Q12" s="298"/>
      <c r="R12" s="298"/>
      <c r="S12" s="298"/>
    </row>
    <row r="13" ht="18.0" customHeight="1">
      <c r="A13" s="299">
        <v>45364.553307615744</v>
      </c>
      <c r="B13" s="300" t="s">
        <v>509</v>
      </c>
      <c r="C13" s="300" t="s">
        <v>551</v>
      </c>
      <c r="D13" s="300">
        <v>10.0</v>
      </c>
      <c r="E13" s="298"/>
      <c r="F13" s="300" t="s">
        <v>552</v>
      </c>
      <c r="G13" s="298"/>
      <c r="H13" s="298"/>
      <c r="I13" s="298"/>
      <c r="J13" s="298"/>
      <c r="K13" s="298"/>
      <c r="L13" s="298"/>
      <c r="M13" s="298"/>
      <c r="N13" s="298"/>
      <c r="O13" s="298"/>
      <c r="P13" s="298"/>
      <c r="Q13" s="298"/>
      <c r="R13" s="298"/>
      <c r="S13" s="298"/>
    </row>
    <row r="14" ht="18.0" customHeight="1">
      <c r="A14" s="299">
        <v>45371.70316347222</v>
      </c>
      <c r="B14" s="300" t="s">
        <v>509</v>
      </c>
      <c r="C14" s="300" t="s">
        <v>172</v>
      </c>
      <c r="D14" s="300">
        <v>8.0</v>
      </c>
      <c r="E14" s="300" t="s">
        <v>553</v>
      </c>
      <c r="F14" s="300" t="s">
        <v>554</v>
      </c>
      <c r="G14" s="300" t="s">
        <v>555</v>
      </c>
      <c r="H14" s="298"/>
      <c r="I14" s="298"/>
      <c r="J14" s="300" t="s">
        <v>556</v>
      </c>
      <c r="K14" s="301"/>
      <c r="L14" s="301"/>
      <c r="M14" s="301"/>
      <c r="N14" s="298"/>
      <c r="O14" s="298"/>
      <c r="P14" s="298"/>
      <c r="Q14" s="298"/>
      <c r="R14" s="298"/>
      <c r="S14" s="298"/>
    </row>
    <row r="15" ht="18.0" customHeight="1">
      <c r="A15" s="299">
        <v>45373.45445081018</v>
      </c>
      <c r="B15" s="300" t="s">
        <v>520</v>
      </c>
      <c r="C15" s="300" t="s">
        <v>557</v>
      </c>
      <c r="D15" s="300">
        <v>10.0</v>
      </c>
      <c r="E15" s="300" t="s">
        <v>558</v>
      </c>
      <c r="F15" s="300" t="s">
        <v>559</v>
      </c>
      <c r="G15" s="300" t="s">
        <v>560</v>
      </c>
      <c r="H15" s="298"/>
      <c r="I15" s="300" t="s">
        <v>561</v>
      </c>
      <c r="J15" s="300" t="s">
        <v>556</v>
      </c>
      <c r="K15" s="301"/>
      <c r="L15" s="301"/>
      <c r="M15" s="301"/>
      <c r="N15" s="298"/>
      <c r="O15" s="298"/>
      <c r="P15" s="298"/>
      <c r="Q15" s="298"/>
      <c r="R15" s="298"/>
      <c r="S15" s="298"/>
    </row>
    <row r="16" ht="18.0" customHeight="1">
      <c r="A16" s="299">
        <v>45377.382555358796</v>
      </c>
      <c r="B16" s="300" t="s">
        <v>509</v>
      </c>
      <c r="C16" s="300" t="s">
        <v>562</v>
      </c>
      <c r="D16" s="300">
        <v>8.0</v>
      </c>
      <c r="E16" s="300" t="s">
        <v>563</v>
      </c>
      <c r="F16" s="300" t="s">
        <v>564</v>
      </c>
      <c r="G16" s="300" t="s">
        <v>565</v>
      </c>
      <c r="H16" s="298"/>
      <c r="I16" s="298"/>
      <c r="J16" s="300" t="s">
        <v>556</v>
      </c>
      <c r="K16" s="301"/>
      <c r="L16" s="301"/>
      <c r="M16" s="301"/>
      <c r="N16" s="298"/>
      <c r="O16" s="298"/>
      <c r="P16" s="298"/>
      <c r="Q16" s="298"/>
      <c r="R16" s="298"/>
      <c r="S16" s="298"/>
    </row>
    <row r="17" ht="18.0" customHeight="1">
      <c r="A17" s="299">
        <v>45378.6197684838</v>
      </c>
      <c r="B17" s="300" t="s">
        <v>509</v>
      </c>
      <c r="C17" s="300" t="s">
        <v>566</v>
      </c>
      <c r="D17" s="300">
        <v>10.0</v>
      </c>
      <c r="E17" s="298"/>
      <c r="F17" s="300" t="s">
        <v>567</v>
      </c>
      <c r="G17" s="300" t="s">
        <v>568</v>
      </c>
      <c r="H17" s="298"/>
      <c r="I17" s="298"/>
      <c r="J17" s="300" t="s">
        <v>556</v>
      </c>
      <c r="K17" s="301"/>
      <c r="L17" s="301"/>
      <c r="M17" s="301"/>
      <c r="N17" s="298"/>
      <c r="O17" s="298"/>
      <c r="P17" s="298"/>
      <c r="Q17" s="298"/>
      <c r="R17" s="298"/>
      <c r="S17" s="298"/>
    </row>
    <row r="18" ht="18.0" customHeight="1">
      <c r="A18" s="299">
        <v>45379.44869650463</v>
      </c>
      <c r="B18" s="300" t="s">
        <v>520</v>
      </c>
      <c r="C18" s="300" t="s">
        <v>289</v>
      </c>
      <c r="D18" s="300">
        <v>8.0</v>
      </c>
      <c r="E18" s="300" t="s">
        <v>569</v>
      </c>
      <c r="F18" s="300" t="s">
        <v>570</v>
      </c>
      <c r="G18" s="300" t="s">
        <v>571</v>
      </c>
      <c r="H18" s="298"/>
      <c r="I18" s="300" t="s">
        <v>572</v>
      </c>
      <c r="J18" s="300" t="s">
        <v>556</v>
      </c>
      <c r="K18" s="301"/>
      <c r="L18" s="301"/>
      <c r="M18" s="301"/>
      <c r="N18" s="298"/>
      <c r="O18" s="298"/>
      <c r="P18" s="298"/>
      <c r="Q18" s="298"/>
      <c r="R18" s="298"/>
      <c r="S18" s="298"/>
    </row>
    <row r="19" ht="18.0" customHeight="1">
      <c r="A19" s="299">
        <v>45384.65342104167</v>
      </c>
      <c r="B19" s="300" t="s">
        <v>509</v>
      </c>
      <c r="C19" s="300" t="s">
        <v>573</v>
      </c>
      <c r="D19" s="300">
        <v>8.0</v>
      </c>
      <c r="E19" s="300" t="s">
        <v>574</v>
      </c>
      <c r="F19" s="300" t="s">
        <v>575</v>
      </c>
      <c r="G19" s="300" t="s">
        <v>576</v>
      </c>
      <c r="H19" s="298"/>
      <c r="I19" s="298"/>
      <c r="J19" s="300" t="s">
        <v>556</v>
      </c>
      <c r="K19" s="301"/>
      <c r="L19" s="301"/>
      <c r="M19" s="301"/>
      <c r="N19" s="298"/>
      <c r="O19" s="298"/>
      <c r="P19" s="298"/>
      <c r="Q19" s="298"/>
      <c r="R19" s="298"/>
      <c r="S19" s="298"/>
    </row>
    <row r="20" ht="18.0" customHeight="1">
      <c r="A20" s="299">
        <v>45401.612340127314</v>
      </c>
      <c r="B20" s="300" t="s">
        <v>545</v>
      </c>
      <c r="C20" s="300" t="s">
        <v>577</v>
      </c>
      <c r="D20" s="300">
        <v>9.0</v>
      </c>
      <c r="E20" s="298"/>
      <c r="F20" s="298"/>
      <c r="G20" s="298"/>
      <c r="H20" s="300" t="s">
        <v>578</v>
      </c>
      <c r="I20" s="298"/>
      <c r="J20" s="298"/>
      <c r="K20" s="298"/>
      <c r="L20" s="298"/>
      <c r="M20" s="298"/>
      <c r="N20" s="298"/>
      <c r="O20" s="298"/>
      <c r="P20" s="298"/>
      <c r="Q20" s="298"/>
      <c r="R20" s="298"/>
      <c r="S20" s="298"/>
    </row>
    <row r="21" ht="18.0" customHeight="1">
      <c r="A21" s="299">
        <v>45405.47305434028</v>
      </c>
      <c r="B21" s="300" t="s">
        <v>545</v>
      </c>
      <c r="C21" s="300" t="s">
        <v>579</v>
      </c>
      <c r="D21" s="300">
        <v>8.0</v>
      </c>
      <c r="E21" s="298"/>
      <c r="F21" s="300" t="s">
        <v>580</v>
      </c>
      <c r="G21" s="300" t="s">
        <v>581</v>
      </c>
      <c r="H21" s="300" t="s">
        <v>582</v>
      </c>
      <c r="I21" s="300" t="s">
        <v>579</v>
      </c>
      <c r="J21" s="300" t="s">
        <v>556</v>
      </c>
      <c r="K21" s="301"/>
      <c r="L21" s="301"/>
      <c r="M21" s="301"/>
      <c r="N21" s="298"/>
      <c r="O21" s="298"/>
      <c r="P21" s="298"/>
      <c r="Q21" s="298"/>
      <c r="R21" s="298"/>
      <c r="S21" s="298"/>
    </row>
    <row r="22" ht="18.0" customHeight="1">
      <c r="A22" s="299">
        <v>45408.44349197917</v>
      </c>
      <c r="B22" s="300" t="s">
        <v>509</v>
      </c>
      <c r="C22" s="300" t="s">
        <v>583</v>
      </c>
      <c r="D22" s="300">
        <v>10.0</v>
      </c>
      <c r="E22" s="298"/>
      <c r="F22" s="300" t="s">
        <v>584</v>
      </c>
      <c r="G22" s="300" t="s">
        <v>585</v>
      </c>
      <c r="H22" s="298"/>
      <c r="I22" s="298"/>
      <c r="J22" s="300" t="s">
        <v>42</v>
      </c>
      <c r="K22" s="301"/>
      <c r="L22" s="301"/>
      <c r="M22" s="301"/>
      <c r="N22" s="298"/>
      <c r="O22" s="298"/>
      <c r="P22" s="298"/>
      <c r="Q22" s="298"/>
      <c r="R22" s="298"/>
      <c r="S22" s="298"/>
    </row>
    <row r="23" ht="18.0" customHeight="1">
      <c r="A23" s="299">
        <v>45411.386597951394</v>
      </c>
      <c r="B23" s="300" t="s">
        <v>509</v>
      </c>
      <c r="C23" s="300" t="s">
        <v>130</v>
      </c>
      <c r="D23" s="300">
        <v>7.0</v>
      </c>
      <c r="E23" s="300" t="s">
        <v>586</v>
      </c>
      <c r="F23" s="300" t="s">
        <v>587</v>
      </c>
      <c r="G23" s="300" t="s">
        <v>588</v>
      </c>
      <c r="H23" s="300" t="s">
        <v>589</v>
      </c>
      <c r="I23" s="298"/>
      <c r="J23" s="300" t="s">
        <v>556</v>
      </c>
      <c r="K23" s="301"/>
      <c r="L23" s="301"/>
      <c r="M23" s="301"/>
      <c r="N23" s="298"/>
      <c r="O23" s="298"/>
      <c r="P23" s="298"/>
      <c r="Q23" s="298"/>
      <c r="R23" s="298"/>
      <c r="S23" s="298"/>
    </row>
    <row r="24" ht="18.0" customHeight="1">
      <c r="A24" s="299">
        <v>45411.785872650464</v>
      </c>
      <c r="B24" s="300" t="s">
        <v>509</v>
      </c>
      <c r="C24" s="300" t="s">
        <v>590</v>
      </c>
      <c r="D24" s="300">
        <v>10.0</v>
      </c>
      <c r="E24" s="298"/>
      <c r="F24" s="300" t="s">
        <v>591</v>
      </c>
      <c r="G24" s="300" t="s">
        <v>592</v>
      </c>
      <c r="H24" s="298"/>
      <c r="I24" s="298"/>
      <c r="J24" s="300" t="s">
        <v>556</v>
      </c>
      <c r="K24" s="301"/>
      <c r="L24" s="301"/>
      <c r="M24" s="301"/>
      <c r="N24" s="298"/>
      <c r="O24" s="298"/>
      <c r="P24" s="298"/>
      <c r="Q24" s="298"/>
      <c r="R24" s="298"/>
      <c r="S24" s="298"/>
    </row>
    <row r="25" ht="18.0" customHeight="1">
      <c r="A25" s="299">
        <v>45415.38831784722</v>
      </c>
      <c r="B25" s="300" t="s">
        <v>509</v>
      </c>
      <c r="C25" s="300" t="s">
        <v>593</v>
      </c>
      <c r="D25" s="300">
        <v>9.0</v>
      </c>
      <c r="E25" s="298"/>
      <c r="F25" s="300" t="s">
        <v>594</v>
      </c>
      <c r="G25" s="298"/>
      <c r="H25" s="298"/>
      <c r="I25" s="298"/>
      <c r="J25" s="300" t="s">
        <v>556</v>
      </c>
      <c r="K25" s="301"/>
      <c r="L25" s="301"/>
      <c r="M25" s="301"/>
      <c r="N25" s="298"/>
      <c r="O25" s="298"/>
      <c r="P25" s="298"/>
      <c r="Q25" s="298"/>
      <c r="R25" s="298"/>
      <c r="S25" s="298"/>
    </row>
    <row r="26" ht="18.0" customHeight="1">
      <c r="A26" s="299">
        <v>45420.52426388889</v>
      </c>
      <c r="B26" s="300" t="s">
        <v>509</v>
      </c>
      <c r="C26" s="300" t="s">
        <v>595</v>
      </c>
      <c r="D26" s="300">
        <v>8.0</v>
      </c>
      <c r="E26" s="298"/>
      <c r="F26" s="300" t="s">
        <v>596</v>
      </c>
      <c r="G26" s="298"/>
      <c r="H26" s="298"/>
      <c r="I26" s="298"/>
      <c r="J26" s="300" t="s">
        <v>556</v>
      </c>
      <c r="K26" s="301"/>
      <c r="L26" s="301"/>
      <c r="M26" s="301"/>
      <c r="N26" s="298"/>
      <c r="O26" s="298"/>
      <c r="P26" s="298"/>
      <c r="Q26" s="298"/>
      <c r="R26" s="298"/>
      <c r="S26" s="298"/>
    </row>
    <row r="27" ht="18.0" customHeight="1">
      <c r="A27" s="299">
        <v>45421.440015949076</v>
      </c>
      <c r="B27" s="300" t="s">
        <v>520</v>
      </c>
      <c r="C27" s="300" t="s">
        <v>597</v>
      </c>
      <c r="D27" s="300">
        <v>9.0</v>
      </c>
      <c r="E27" s="300" t="s">
        <v>598</v>
      </c>
      <c r="F27" s="300" t="s">
        <v>599</v>
      </c>
      <c r="G27" s="300" t="s">
        <v>600</v>
      </c>
      <c r="H27" s="300" t="s">
        <v>601</v>
      </c>
      <c r="I27" s="300" t="s">
        <v>602</v>
      </c>
      <c r="J27" s="300" t="s">
        <v>556</v>
      </c>
      <c r="K27" s="301"/>
      <c r="L27" s="301"/>
      <c r="M27" s="301"/>
      <c r="N27" s="298"/>
      <c r="O27" s="298"/>
      <c r="P27" s="298"/>
      <c r="Q27" s="298"/>
      <c r="R27" s="298"/>
      <c r="S27" s="298"/>
    </row>
    <row r="28" ht="18.0" customHeight="1">
      <c r="A28" s="299">
        <v>45421.65706607639</v>
      </c>
      <c r="B28" s="300" t="s">
        <v>603</v>
      </c>
      <c r="C28" s="300" t="s">
        <v>43</v>
      </c>
      <c r="D28" s="300">
        <v>10.0</v>
      </c>
      <c r="E28" s="298"/>
      <c r="F28" s="300" t="s">
        <v>604</v>
      </c>
      <c r="G28" s="300" t="s">
        <v>605</v>
      </c>
      <c r="H28" s="298"/>
      <c r="I28" s="298"/>
      <c r="J28" s="300" t="s">
        <v>556</v>
      </c>
      <c r="K28" s="301"/>
      <c r="L28" s="301"/>
      <c r="M28" s="301"/>
      <c r="N28" s="298"/>
      <c r="O28" s="298"/>
      <c r="P28" s="298"/>
      <c r="Q28" s="298"/>
      <c r="R28" s="298"/>
      <c r="S28" s="298"/>
    </row>
    <row r="29" ht="18.0" customHeight="1">
      <c r="A29" s="299">
        <v>45422.469617152776</v>
      </c>
      <c r="B29" s="300" t="s">
        <v>520</v>
      </c>
      <c r="C29" s="300" t="s">
        <v>260</v>
      </c>
      <c r="D29" s="300">
        <v>9.0</v>
      </c>
      <c r="E29" s="300" t="s">
        <v>606</v>
      </c>
      <c r="F29" s="300" t="s">
        <v>607</v>
      </c>
      <c r="G29" s="300" t="s">
        <v>608</v>
      </c>
      <c r="H29" s="300" t="s">
        <v>609</v>
      </c>
      <c r="I29" s="300" t="s">
        <v>610</v>
      </c>
      <c r="J29" s="300" t="s">
        <v>556</v>
      </c>
      <c r="K29" s="301"/>
      <c r="L29" s="301"/>
      <c r="M29" s="301"/>
      <c r="N29" s="298"/>
      <c r="O29" s="298"/>
      <c r="P29" s="298"/>
      <c r="Q29" s="298"/>
      <c r="R29" s="298"/>
      <c r="S29" s="298"/>
    </row>
    <row r="30" ht="18.0" customHeight="1">
      <c r="A30" s="299">
        <v>45422.632023495375</v>
      </c>
      <c r="B30" s="300" t="s">
        <v>509</v>
      </c>
      <c r="C30" s="300" t="s">
        <v>181</v>
      </c>
      <c r="D30" s="300">
        <v>9.0</v>
      </c>
      <c r="E30" s="298"/>
      <c r="F30" s="300" t="s">
        <v>611</v>
      </c>
      <c r="G30" s="300" t="s">
        <v>612</v>
      </c>
      <c r="H30" s="298"/>
      <c r="I30" s="298"/>
      <c r="J30" s="300" t="s">
        <v>556</v>
      </c>
      <c r="K30" s="301"/>
      <c r="L30" s="301"/>
      <c r="M30" s="301"/>
      <c r="N30" s="298"/>
      <c r="O30" s="298"/>
      <c r="P30" s="298"/>
      <c r="Q30" s="298"/>
      <c r="R30" s="298"/>
      <c r="S30" s="298"/>
    </row>
    <row r="31" ht="18.0" customHeight="1">
      <c r="A31" s="299">
        <v>45425.409819259265</v>
      </c>
      <c r="B31" s="300" t="s">
        <v>520</v>
      </c>
      <c r="C31" s="300" t="s">
        <v>613</v>
      </c>
      <c r="D31" s="300">
        <v>10.0</v>
      </c>
      <c r="E31" s="300" t="s">
        <v>614</v>
      </c>
      <c r="F31" s="300" t="s">
        <v>615</v>
      </c>
      <c r="G31" s="300" t="s">
        <v>616</v>
      </c>
      <c r="H31" s="300" t="s">
        <v>617</v>
      </c>
      <c r="I31" s="298"/>
      <c r="J31" s="300" t="s">
        <v>556</v>
      </c>
      <c r="K31" s="301"/>
      <c r="L31" s="301"/>
      <c r="M31" s="301"/>
      <c r="N31" s="298"/>
      <c r="O31" s="298"/>
      <c r="P31" s="298"/>
      <c r="Q31" s="298"/>
      <c r="R31" s="298"/>
      <c r="S31" s="298"/>
    </row>
    <row r="32" ht="18.0" customHeight="1">
      <c r="A32" s="299">
        <v>45425.58893701389</v>
      </c>
      <c r="B32" s="300" t="s">
        <v>509</v>
      </c>
      <c r="C32" s="300" t="s">
        <v>618</v>
      </c>
      <c r="D32" s="300">
        <v>10.0</v>
      </c>
      <c r="E32" s="298"/>
      <c r="F32" s="300" t="s">
        <v>619</v>
      </c>
      <c r="G32" s="300" t="s">
        <v>620</v>
      </c>
      <c r="H32" s="298"/>
      <c r="I32" s="298"/>
      <c r="J32" s="300" t="s">
        <v>556</v>
      </c>
      <c r="K32" s="300">
        <v>5.0</v>
      </c>
      <c r="L32" s="300">
        <v>5.0</v>
      </c>
      <c r="M32" s="300">
        <v>5.0</v>
      </c>
      <c r="N32" s="298"/>
      <c r="O32" s="298"/>
      <c r="P32" s="298"/>
      <c r="Q32" s="298"/>
      <c r="R32" s="298"/>
      <c r="S32" s="298"/>
    </row>
    <row r="33" ht="18.0" customHeight="1">
      <c r="A33" s="302">
        <v>45429.485613530094</v>
      </c>
      <c r="B33" s="96" t="s">
        <v>509</v>
      </c>
      <c r="C33" s="96" t="s">
        <v>621</v>
      </c>
      <c r="D33" s="96">
        <v>10.0</v>
      </c>
      <c r="G33" s="96" t="s">
        <v>622</v>
      </c>
      <c r="J33" s="96" t="s">
        <v>556</v>
      </c>
      <c r="K33" s="96">
        <v>5.0</v>
      </c>
      <c r="L33" s="96">
        <v>5.0</v>
      </c>
      <c r="M33" s="96">
        <v>5.0</v>
      </c>
    </row>
    <row r="34" ht="18.0" customHeight="1">
      <c r="A34" s="302">
        <v>45432.71386133102</v>
      </c>
      <c r="B34" s="96" t="s">
        <v>509</v>
      </c>
      <c r="C34" s="96" t="s">
        <v>623</v>
      </c>
      <c r="D34" s="96">
        <v>9.0</v>
      </c>
      <c r="E34" s="96" t="s">
        <v>624</v>
      </c>
      <c r="F34" s="96" t="s">
        <v>625</v>
      </c>
      <c r="J34" s="96" t="s">
        <v>556</v>
      </c>
      <c r="K34" s="96">
        <v>4.0</v>
      </c>
      <c r="L34" s="96">
        <v>4.0</v>
      </c>
      <c r="M34" s="96">
        <v>4.0</v>
      </c>
    </row>
    <row r="35" ht="18.0" customHeight="1">
      <c r="A35" s="302">
        <v>45435.48367077546</v>
      </c>
      <c r="B35" s="96" t="s">
        <v>509</v>
      </c>
      <c r="C35" s="96" t="s">
        <v>626</v>
      </c>
      <c r="D35" s="96">
        <v>10.0</v>
      </c>
      <c r="E35" s="96" t="s">
        <v>627</v>
      </c>
      <c r="F35" s="96" t="s">
        <v>628</v>
      </c>
      <c r="G35" s="96" t="s">
        <v>629</v>
      </c>
      <c r="J35" s="96" t="s">
        <v>556</v>
      </c>
      <c r="K35" s="96">
        <v>4.0</v>
      </c>
      <c r="L35" s="96">
        <v>5.0</v>
      </c>
      <c r="M35" s="96">
        <v>5.0</v>
      </c>
    </row>
    <row r="36">
      <c r="A36" s="302">
        <v>45439.715762604166</v>
      </c>
      <c r="B36" s="96" t="s">
        <v>509</v>
      </c>
      <c r="C36" s="96" t="s">
        <v>183</v>
      </c>
      <c r="D36" s="96">
        <v>10.0</v>
      </c>
      <c r="F36" s="96" t="s">
        <v>630</v>
      </c>
      <c r="J36" s="96" t="s">
        <v>556</v>
      </c>
      <c r="K36" s="96">
        <v>5.0</v>
      </c>
      <c r="L36" s="96">
        <v>5.0</v>
      </c>
      <c r="M36" s="96">
        <v>5.0</v>
      </c>
    </row>
    <row r="37">
      <c r="A37" s="302">
        <v>45440.64739262732</v>
      </c>
      <c r="B37" s="96" t="s">
        <v>520</v>
      </c>
      <c r="C37" s="96" t="s">
        <v>631</v>
      </c>
      <c r="D37" s="96">
        <v>10.0</v>
      </c>
      <c r="E37" s="96" t="s">
        <v>632</v>
      </c>
      <c r="F37" s="96" t="s">
        <v>633</v>
      </c>
      <c r="G37" s="96" t="s">
        <v>634</v>
      </c>
      <c r="H37" s="96" t="s">
        <v>635</v>
      </c>
      <c r="J37" s="96" t="s">
        <v>556</v>
      </c>
      <c r="K37" s="96">
        <v>4.0</v>
      </c>
      <c r="L37" s="96">
        <v>4.0</v>
      </c>
      <c r="M37" s="96">
        <v>4.0</v>
      </c>
    </row>
    <row r="38">
      <c r="A38" s="302">
        <v>45441.5872371875</v>
      </c>
      <c r="B38" s="96" t="s">
        <v>520</v>
      </c>
      <c r="C38" s="96" t="s">
        <v>636</v>
      </c>
      <c r="D38" s="96">
        <v>10.0</v>
      </c>
      <c r="E38" s="96" t="s">
        <v>637</v>
      </c>
      <c r="F38" s="96" t="s">
        <v>638</v>
      </c>
      <c r="G38" s="96" t="s">
        <v>639</v>
      </c>
      <c r="H38" s="96" t="s">
        <v>640</v>
      </c>
      <c r="J38" s="96" t="s">
        <v>556</v>
      </c>
      <c r="K38" s="96">
        <v>5.0</v>
      </c>
      <c r="L38" s="96">
        <v>5.0</v>
      </c>
      <c r="M38" s="96">
        <v>5.0</v>
      </c>
    </row>
    <row r="39">
      <c r="A39" s="302">
        <v>45441.63076454861</v>
      </c>
      <c r="B39" s="96" t="s">
        <v>603</v>
      </c>
      <c r="C39" s="96" t="s">
        <v>106</v>
      </c>
      <c r="D39" s="96">
        <v>8.0</v>
      </c>
      <c r="E39" s="96" t="s">
        <v>641</v>
      </c>
      <c r="F39" s="96" t="s">
        <v>642</v>
      </c>
      <c r="G39" s="96" t="s">
        <v>643</v>
      </c>
      <c r="H39" s="96" t="s">
        <v>644</v>
      </c>
      <c r="J39" s="96" t="s">
        <v>556</v>
      </c>
      <c r="K39" s="96">
        <v>4.0</v>
      </c>
      <c r="L39" s="96">
        <v>4.0</v>
      </c>
      <c r="M39" s="96">
        <v>4.0</v>
      </c>
    </row>
    <row r="40">
      <c r="A40" s="302">
        <v>45449.679253912036</v>
      </c>
      <c r="B40" s="96" t="s">
        <v>645</v>
      </c>
      <c r="C40" s="96" t="s">
        <v>83</v>
      </c>
      <c r="D40" s="96">
        <v>8.0</v>
      </c>
      <c r="F40" s="96" t="s">
        <v>646</v>
      </c>
      <c r="I40" s="96" t="s">
        <v>647</v>
      </c>
      <c r="J40" s="96" t="s">
        <v>556</v>
      </c>
      <c r="K40" s="96">
        <v>4.0</v>
      </c>
      <c r="L40" s="96">
        <v>5.0</v>
      </c>
      <c r="M40" s="96">
        <v>3.0</v>
      </c>
    </row>
    <row r="41">
      <c r="A41" s="302">
        <v>45450.67078622685</v>
      </c>
      <c r="B41" s="96" t="s">
        <v>520</v>
      </c>
      <c r="C41" s="96" t="s">
        <v>648</v>
      </c>
      <c r="D41" s="96">
        <v>10.0</v>
      </c>
      <c r="E41" s="96" t="s">
        <v>649</v>
      </c>
      <c r="F41" s="96" t="s">
        <v>650</v>
      </c>
      <c r="G41" s="96" t="s">
        <v>651</v>
      </c>
      <c r="H41" s="96" t="s">
        <v>652</v>
      </c>
      <c r="J41" s="96" t="s">
        <v>556</v>
      </c>
      <c r="K41" s="96">
        <v>5.0</v>
      </c>
      <c r="L41" s="96">
        <v>5.0</v>
      </c>
      <c r="M41" s="96">
        <v>5.0</v>
      </c>
    </row>
    <row r="42">
      <c r="A42" s="302">
        <v>45468.67373480324</v>
      </c>
      <c r="B42" s="96" t="s">
        <v>545</v>
      </c>
      <c r="C42" s="96" t="s">
        <v>163</v>
      </c>
      <c r="D42" s="96">
        <v>10.0</v>
      </c>
      <c r="E42" s="96" t="s">
        <v>653</v>
      </c>
      <c r="F42" s="96" t="s">
        <v>654</v>
      </c>
      <c r="K42" s="96">
        <v>5.0</v>
      </c>
      <c r="L42" s="96">
        <v>4.0</v>
      </c>
      <c r="M42" s="96">
        <v>5.0</v>
      </c>
    </row>
    <row r="43" ht="18.0" customHeight="1">
      <c r="A43" s="298"/>
      <c r="B43" s="298"/>
      <c r="C43" s="298"/>
      <c r="D43" s="298"/>
      <c r="E43" s="298"/>
      <c r="F43" s="298"/>
      <c r="G43" s="298"/>
      <c r="H43" s="298"/>
      <c r="I43" s="298"/>
      <c r="J43" s="298"/>
      <c r="K43" s="298"/>
      <c r="L43" s="298"/>
      <c r="M43" s="298"/>
      <c r="N43" s="298"/>
      <c r="O43" s="298"/>
      <c r="P43" s="298"/>
      <c r="Q43" s="298"/>
      <c r="R43" s="298"/>
      <c r="S43" s="298"/>
    </row>
    <row r="44" ht="18.0" customHeight="1">
      <c r="A44" s="298"/>
      <c r="B44" s="298"/>
      <c r="C44" s="298"/>
      <c r="D44" s="298"/>
      <c r="E44" s="298"/>
      <c r="F44" s="298"/>
      <c r="G44" s="298"/>
      <c r="H44" s="298"/>
      <c r="I44" s="298"/>
      <c r="J44" s="298"/>
      <c r="K44" s="298"/>
      <c r="L44" s="298"/>
      <c r="M44" s="298"/>
      <c r="N44" s="298"/>
      <c r="O44" s="298"/>
      <c r="P44" s="298"/>
      <c r="Q44" s="298"/>
      <c r="R44" s="298"/>
      <c r="S44" s="298"/>
    </row>
    <row r="45" ht="18.0" customHeight="1">
      <c r="A45" s="298"/>
      <c r="B45" s="298"/>
      <c r="C45" s="298"/>
      <c r="D45" s="298"/>
      <c r="E45" s="298"/>
      <c r="F45" s="298"/>
      <c r="G45" s="298"/>
      <c r="H45" s="298"/>
      <c r="I45" s="298"/>
      <c r="J45" s="298"/>
      <c r="K45" s="298"/>
      <c r="L45" s="298"/>
      <c r="M45" s="298"/>
      <c r="N45" s="298"/>
      <c r="O45" s="298"/>
      <c r="P45" s="298"/>
      <c r="Q45" s="298"/>
      <c r="R45" s="298"/>
      <c r="S45" s="298"/>
    </row>
    <row r="46" ht="18.0" customHeight="1">
      <c r="A46" s="298"/>
      <c r="B46" s="298"/>
      <c r="C46" s="298"/>
      <c r="D46" s="298"/>
      <c r="E46" s="298"/>
      <c r="F46" s="298"/>
      <c r="G46" s="298"/>
      <c r="H46" s="298"/>
      <c r="I46" s="298"/>
      <c r="J46" s="298"/>
      <c r="K46" s="298"/>
      <c r="L46" s="298"/>
      <c r="M46" s="298"/>
      <c r="N46" s="298"/>
      <c r="O46" s="298"/>
      <c r="P46" s="298"/>
      <c r="Q46" s="298"/>
      <c r="R46" s="298"/>
      <c r="S46" s="298"/>
    </row>
    <row r="47" ht="18.0" customHeight="1">
      <c r="A47" s="298"/>
      <c r="B47" s="298"/>
      <c r="C47" s="298"/>
      <c r="D47" s="298"/>
      <c r="E47" s="298"/>
      <c r="F47" s="298"/>
      <c r="G47" s="298"/>
      <c r="H47" s="298"/>
      <c r="I47" s="298"/>
      <c r="J47" s="298"/>
      <c r="K47" s="298"/>
      <c r="L47" s="298"/>
      <c r="M47" s="298"/>
      <c r="N47" s="298"/>
      <c r="O47" s="298"/>
      <c r="P47" s="298"/>
      <c r="Q47" s="298"/>
      <c r="R47" s="298"/>
      <c r="S47" s="298"/>
    </row>
    <row r="48" ht="18.0" customHeight="1">
      <c r="A48" s="298"/>
      <c r="B48" s="298"/>
      <c r="C48" s="298"/>
      <c r="D48" s="298"/>
      <c r="E48" s="298"/>
      <c r="F48" s="298"/>
      <c r="G48" s="298"/>
      <c r="H48" s="298"/>
      <c r="I48" s="298"/>
      <c r="J48" s="298"/>
      <c r="K48" s="298"/>
      <c r="L48" s="298"/>
      <c r="M48" s="298"/>
      <c r="N48" s="298"/>
      <c r="O48" s="298"/>
      <c r="P48" s="298"/>
      <c r="Q48" s="298"/>
      <c r="R48" s="298"/>
      <c r="S48" s="298"/>
    </row>
    <row r="49" ht="18.0" customHeight="1">
      <c r="A49" s="298"/>
      <c r="B49" s="298"/>
      <c r="C49" s="298"/>
      <c r="D49" s="298"/>
      <c r="E49" s="298"/>
      <c r="F49" s="298"/>
      <c r="G49" s="298"/>
      <c r="H49" s="298"/>
      <c r="I49" s="298"/>
      <c r="J49" s="298"/>
      <c r="K49" s="298"/>
      <c r="L49" s="298"/>
      <c r="M49" s="298"/>
      <c r="N49" s="298"/>
      <c r="O49" s="298"/>
      <c r="P49" s="298"/>
      <c r="Q49" s="298"/>
      <c r="R49" s="298"/>
      <c r="S49" s="298"/>
    </row>
    <row r="50" ht="18.0" customHeight="1">
      <c r="A50" s="298"/>
      <c r="B50" s="298"/>
      <c r="C50" s="298"/>
      <c r="D50" s="298"/>
      <c r="E50" s="298"/>
      <c r="F50" s="298"/>
      <c r="G50" s="298"/>
      <c r="H50" s="298"/>
      <c r="I50" s="298"/>
      <c r="J50" s="298"/>
      <c r="K50" s="298"/>
      <c r="L50" s="298"/>
      <c r="M50" s="298"/>
      <c r="N50" s="298"/>
      <c r="O50" s="298"/>
      <c r="P50" s="298"/>
      <c r="Q50" s="298"/>
      <c r="R50" s="298"/>
      <c r="S50" s="298"/>
    </row>
    <row r="51" ht="18.0" customHeight="1">
      <c r="A51" s="298"/>
      <c r="B51" s="298"/>
      <c r="C51" s="298"/>
      <c r="D51" s="298"/>
      <c r="E51" s="298"/>
      <c r="F51" s="298"/>
      <c r="G51" s="298"/>
      <c r="H51" s="298"/>
      <c r="I51" s="298"/>
      <c r="J51" s="298"/>
      <c r="K51" s="298"/>
      <c r="L51" s="298"/>
      <c r="M51" s="298"/>
      <c r="N51" s="298"/>
      <c r="O51" s="298"/>
      <c r="P51" s="298"/>
      <c r="Q51" s="298"/>
      <c r="R51" s="298"/>
      <c r="S51" s="298"/>
    </row>
    <row r="52" ht="18.0" customHeight="1">
      <c r="A52" s="298"/>
      <c r="B52" s="298"/>
      <c r="C52" s="298"/>
      <c r="D52" s="298"/>
      <c r="E52" s="298"/>
      <c r="F52" s="298"/>
      <c r="G52" s="298"/>
      <c r="H52" s="298"/>
      <c r="I52" s="298"/>
      <c r="J52" s="298"/>
      <c r="K52" s="298"/>
      <c r="L52" s="298"/>
      <c r="M52" s="298"/>
      <c r="N52" s="298"/>
      <c r="O52" s="298"/>
      <c r="P52" s="298"/>
      <c r="Q52" s="298"/>
      <c r="R52" s="298"/>
      <c r="S52" s="298"/>
    </row>
    <row r="53" ht="18.0" customHeight="1">
      <c r="A53" s="298"/>
      <c r="B53" s="298"/>
      <c r="C53" s="298"/>
      <c r="D53" s="298"/>
      <c r="E53" s="298"/>
      <c r="F53" s="298"/>
      <c r="G53" s="298"/>
      <c r="H53" s="298"/>
      <c r="I53" s="298"/>
      <c r="J53" s="298"/>
      <c r="K53" s="298"/>
      <c r="L53" s="298"/>
      <c r="M53" s="298"/>
      <c r="N53" s="298"/>
      <c r="O53" s="298"/>
      <c r="P53" s="298"/>
      <c r="Q53" s="298"/>
      <c r="R53" s="298"/>
      <c r="S53" s="298"/>
    </row>
    <row r="54" ht="18.0" customHeight="1">
      <c r="A54" s="298"/>
      <c r="B54" s="298"/>
      <c r="C54" s="298"/>
      <c r="D54" s="298"/>
      <c r="E54" s="298"/>
      <c r="F54" s="298"/>
      <c r="G54" s="298"/>
      <c r="H54" s="298"/>
      <c r="I54" s="298"/>
      <c r="J54" s="298"/>
      <c r="K54" s="298"/>
      <c r="L54" s="298"/>
      <c r="M54" s="298"/>
      <c r="N54" s="298"/>
      <c r="O54" s="298"/>
      <c r="P54" s="298"/>
      <c r="Q54" s="298"/>
      <c r="R54" s="298"/>
      <c r="S54" s="298"/>
    </row>
    <row r="55" ht="18.0" customHeight="1">
      <c r="A55" s="298"/>
      <c r="B55" s="298"/>
      <c r="C55" s="298"/>
      <c r="D55" s="298"/>
      <c r="E55" s="298"/>
      <c r="F55" s="298"/>
      <c r="G55" s="298"/>
      <c r="H55" s="298"/>
      <c r="I55" s="298"/>
      <c r="J55" s="298"/>
      <c r="K55" s="298"/>
      <c r="L55" s="298"/>
      <c r="M55" s="298"/>
      <c r="N55" s="298"/>
      <c r="O55" s="298"/>
      <c r="P55" s="298"/>
      <c r="Q55" s="298"/>
      <c r="R55" s="298"/>
      <c r="S55" s="298"/>
    </row>
    <row r="56" ht="18.0" customHeight="1">
      <c r="A56" s="298"/>
      <c r="B56" s="298"/>
      <c r="C56" s="298"/>
      <c r="D56" s="298"/>
      <c r="E56" s="298"/>
      <c r="F56" s="298"/>
      <c r="G56" s="298"/>
      <c r="H56" s="298"/>
      <c r="I56" s="298"/>
      <c r="J56" s="298"/>
      <c r="K56" s="298"/>
      <c r="L56" s="298"/>
      <c r="M56" s="298"/>
      <c r="N56" s="298"/>
      <c r="O56" s="298"/>
      <c r="P56" s="298"/>
      <c r="Q56" s="298"/>
      <c r="R56" s="298"/>
      <c r="S56" s="298"/>
    </row>
    <row r="57" ht="18.0" customHeight="1">
      <c r="A57" s="298"/>
      <c r="B57" s="298"/>
      <c r="C57" s="298"/>
      <c r="D57" s="298"/>
      <c r="E57" s="298"/>
      <c r="F57" s="298"/>
      <c r="G57" s="298"/>
      <c r="H57" s="298"/>
      <c r="I57" s="298"/>
      <c r="J57" s="298"/>
      <c r="K57" s="298"/>
      <c r="L57" s="298"/>
      <c r="M57" s="298"/>
      <c r="N57" s="298"/>
      <c r="O57" s="298"/>
      <c r="P57" s="298"/>
      <c r="Q57" s="298"/>
      <c r="R57" s="298"/>
      <c r="S57" s="298"/>
    </row>
    <row r="58" ht="18.0" customHeight="1">
      <c r="A58" s="298"/>
      <c r="B58" s="298"/>
      <c r="C58" s="298"/>
      <c r="D58" s="298"/>
      <c r="E58" s="298"/>
      <c r="F58" s="298"/>
      <c r="G58" s="298"/>
      <c r="H58" s="298"/>
      <c r="I58" s="298"/>
      <c r="J58" s="298"/>
      <c r="K58" s="298"/>
      <c r="L58" s="298"/>
      <c r="M58" s="298"/>
      <c r="N58" s="298"/>
      <c r="O58" s="298"/>
      <c r="P58" s="298"/>
      <c r="Q58" s="298"/>
      <c r="R58" s="298"/>
      <c r="S58" s="298"/>
    </row>
    <row r="59" ht="18.0" customHeight="1">
      <c r="A59" s="298"/>
      <c r="B59" s="298"/>
      <c r="C59" s="298"/>
      <c r="D59" s="298"/>
      <c r="E59" s="298"/>
      <c r="F59" s="298"/>
      <c r="G59" s="298"/>
      <c r="H59" s="298"/>
      <c r="I59" s="298"/>
      <c r="J59" s="298"/>
      <c r="K59" s="298"/>
      <c r="L59" s="298"/>
      <c r="M59" s="298"/>
      <c r="N59" s="298"/>
      <c r="O59" s="298"/>
      <c r="P59" s="298"/>
      <c r="Q59" s="298"/>
      <c r="R59" s="298"/>
      <c r="S59" s="298"/>
    </row>
    <row r="60" ht="18.0" customHeight="1">
      <c r="A60" s="298"/>
      <c r="B60" s="298"/>
      <c r="C60" s="298"/>
      <c r="D60" s="298"/>
      <c r="E60" s="298"/>
      <c r="F60" s="298"/>
      <c r="G60" s="298"/>
      <c r="H60" s="298"/>
      <c r="I60" s="298"/>
      <c r="J60" s="298"/>
      <c r="K60" s="298"/>
      <c r="L60" s="298"/>
      <c r="M60" s="298"/>
      <c r="N60" s="298"/>
      <c r="O60" s="298"/>
      <c r="P60" s="298"/>
      <c r="Q60" s="298"/>
      <c r="R60" s="298"/>
      <c r="S60" s="298"/>
    </row>
    <row r="61" ht="18.0" customHeight="1">
      <c r="A61" s="298"/>
      <c r="B61" s="298"/>
      <c r="C61" s="298"/>
      <c r="D61" s="298"/>
      <c r="E61" s="298"/>
      <c r="F61" s="298"/>
      <c r="G61" s="298"/>
      <c r="H61" s="298"/>
      <c r="I61" s="298"/>
      <c r="J61" s="298"/>
      <c r="K61" s="298"/>
      <c r="L61" s="298"/>
      <c r="M61" s="298"/>
      <c r="N61" s="298"/>
      <c r="O61" s="298"/>
      <c r="P61" s="298"/>
      <c r="Q61" s="298"/>
      <c r="R61" s="298"/>
      <c r="S61" s="298"/>
    </row>
    <row r="62" ht="18.0" customHeight="1">
      <c r="A62" s="298"/>
      <c r="B62" s="298"/>
      <c r="C62" s="298"/>
      <c r="D62" s="298"/>
      <c r="E62" s="298"/>
      <c r="F62" s="298"/>
      <c r="G62" s="298"/>
      <c r="H62" s="298"/>
      <c r="I62" s="298"/>
      <c r="J62" s="298"/>
      <c r="K62" s="298"/>
      <c r="L62" s="298"/>
      <c r="M62" s="298"/>
      <c r="N62" s="298"/>
      <c r="O62" s="298"/>
      <c r="P62" s="298"/>
      <c r="Q62" s="298"/>
      <c r="R62" s="298"/>
      <c r="S62" s="298"/>
    </row>
    <row r="63" ht="18.0" customHeight="1">
      <c r="A63" s="298"/>
      <c r="B63" s="298"/>
      <c r="C63" s="298"/>
      <c r="D63" s="298"/>
      <c r="E63" s="298"/>
      <c r="F63" s="298"/>
      <c r="G63" s="298"/>
      <c r="H63" s="298"/>
      <c r="I63" s="298"/>
      <c r="J63" s="298"/>
      <c r="K63" s="298"/>
      <c r="L63" s="298"/>
      <c r="M63" s="298"/>
      <c r="N63" s="298"/>
      <c r="O63" s="298"/>
      <c r="P63" s="298"/>
      <c r="Q63" s="298"/>
      <c r="R63" s="298"/>
      <c r="S63" s="298"/>
    </row>
    <row r="64" ht="18.0" customHeight="1">
      <c r="A64" s="298"/>
      <c r="B64" s="298"/>
      <c r="C64" s="298"/>
      <c r="D64" s="298"/>
      <c r="E64" s="298"/>
      <c r="F64" s="298"/>
      <c r="G64" s="298"/>
      <c r="H64" s="298"/>
      <c r="I64" s="298"/>
      <c r="J64" s="298"/>
      <c r="K64" s="298"/>
      <c r="L64" s="298"/>
      <c r="M64" s="298"/>
      <c r="N64" s="298"/>
      <c r="O64" s="298"/>
      <c r="P64" s="298"/>
      <c r="Q64" s="298"/>
      <c r="R64" s="298"/>
      <c r="S64" s="298"/>
    </row>
    <row r="65" ht="18.0" customHeight="1">
      <c r="A65" s="298"/>
      <c r="B65" s="298"/>
      <c r="C65" s="298"/>
      <c r="D65" s="298"/>
      <c r="E65" s="298"/>
      <c r="F65" s="298"/>
      <c r="G65" s="298"/>
      <c r="H65" s="298"/>
      <c r="I65" s="298"/>
      <c r="J65" s="298"/>
      <c r="K65" s="298"/>
      <c r="L65" s="298"/>
      <c r="M65" s="298"/>
      <c r="N65" s="298"/>
      <c r="O65" s="298"/>
      <c r="P65" s="298"/>
      <c r="Q65" s="298"/>
      <c r="R65" s="298"/>
      <c r="S65" s="298"/>
    </row>
    <row r="66" ht="18.0" customHeight="1">
      <c r="A66" s="298"/>
      <c r="B66" s="298"/>
      <c r="C66" s="298"/>
      <c r="D66" s="298"/>
      <c r="E66" s="298"/>
      <c r="F66" s="298"/>
      <c r="G66" s="298"/>
      <c r="H66" s="298"/>
      <c r="I66" s="298"/>
      <c r="J66" s="298"/>
      <c r="K66" s="298"/>
      <c r="L66" s="298"/>
      <c r="M66" s="298"/>
      <c r="N66" s="298"/>
      <c r="O66" s="298"/>
      <c r="P66" s="298"/>
      <c r="Q66" s="298"/>
      <c r="R66" s="298"/>
      <c r="S66" s="298"/>
    </row>
    <row r="67" ht="18.0" customHeight="1">
      <c r="A67" s="298"/>
      <c r="B67" s="298"/>
      <c r="C67" s="298"/>
      <c r="D67" s="298"/>
      <c r="E67" s="298"/>
      <c r="F67" s="298"/>
      <c r="G67" s="298"/>
      <c r="H67" s="298"/>
      <c r="I67" s="298"/>
      <c r="J67" s="298"/>
      <c r="K67" s="298"/>
      <c r="L67" s="298"/>
      <c r="M67" s="298"/>
      <c r="N67" s="298"/>
      <c r="O67" s="298"/>
      <c r="P67" s="298"/>
      <c r="Q67" s="298"/>
      <c r="R67" s="298"/>
      <c r="S67" s="298"/>
    </row>
    <row r="68" ht="18.0" customHeight="1">
      <c r="A68" s="298"/>
      <c r="B68" s="298"/>
      <c r="C68" s="298"/>
      <c r="D68" s="298"/>
      <c r="E68" s="298"/>
      <c r="F68" s="298"/>
      <c r="G68" s="298"/>
      <c r="H68" s="298"/>
      <c r="I68" s="298"/>
      <c r="J68" s="298"/>
      <c r="K68" s="298"/>
      <c r="L68" s="298"/>
      <c r="M68" s="298"/>
      <c r="N68" s="298"/>
      <c r="O68" s="298"/>
      <c r="P68" s="298"/>
      <c r="Q68" s="298"/>
      <c r="R68" s="298"/>
      <c r="S68" s="298"/>
    </row>
    <row r="69" ht="18.0" customHeight="1">
      <c r="A69" s="298"/>
      <c r="B69" s="298"/>
      <c r="C69" s="298"/>
      <c r="D69" s="298"/>
      <c r="E69" s="298"/>
      <c r="F69" s="298"/>
      <c r="G69" s="298"/>
      <c r="H69" s="298"/>
      <c r="I69" s="298"/>
      <c r="J69" s="298"/>
      <c r="K69" s="298"/>
      <c r="L69" s="298"/>
      <c r="M69" s="298"/>
      <c r="N69" s="298"/>
      <c r="O69" s="298"/>
      <c r="P69" s="298"/>
      <c r="Q69" s="298"/>
      <c r="R69" s="298"/>
      <c r="S69" s="298"/>
    </row>
    <row r="70" ht="18.0" customHeight="1">
      <c r="A70" s="298"/>
      <c r="B70" s="298"/>
      <c r="C70" s="298"/>
      <c r="D70" s="298"/>
      <c r="E70" s="298"/>
      <c r="F70" s="298"/>
      <c r="G70" s="298"/>
      <c r="H70" s="298"/>
      <c r="I70" s="298"/>
      <c r="J70" s="298"/>
      <c r="K70" s="298"/>
      <c r="L70" s="298"/>
      <c r="M70" s="298"/>
      <c r="N70" s="298"/>
      <c r="O70" s="298"/>
      <c r="P70" s="298"/>
      <c r="Q70" s="298"/>
      <c r="R70" s="298"/>
      <c r="S70" s="298"/>
    </row>
    <row r="71" ht="18.0" customHeight="1">
      <c r="A71" s="298"/>
      <c r="B71" s="298"/>
      <c r="C71" s="298"/>
      <c r="D71" s="298"/>
      <c r="E71" s="298"/>
      <c r="F71" s="298"/>
      <c r="G71" s="298"/>
      <c r="H71" s="298"/>
      <c r="I71" s="298"/>
      <c r="J71" s="298"/>
      <c r="K71" s="298"/>
      <c r="L71" s="298"/>
      <c r="M71" s="298"/>
      <c r="N71" s="298"/>
      <c r="O71" s="298"/>
      <c r="P71" s="298"/>
      <c r="Q71" s="298"/>
      <c r="R71" s="298"/>
      <c r="S71" s="298"/>
    </row>
    <row r="72" ht="18.0" customHeight="1">
      <c r="A72" s="298"/>
      <c r="B72" s="298"/>
      <c r="C72" s="298"/>
      <c r="D72" s="298"/>
      <c r="E72" s="298"/>
      <c r="F72" s="298"/>
      <c r="G72" s="298"/>
      <c r="H72" s="298"/>
      <c r="I72" s="298"/>
      <c r="J72" s="298"/>
      <c r="K72" s="298"/>
      <c r="L72" s="298"/>
      <c r="M72" s="298"/>
      <c r="N72" s="298"/>
      <c r="O72" s="298"/>
      <c r="P72" s="298"/>
      <c r="Q72" s="298"/>
      <c r="R72" s="298"/>
      <c r="S72" s="298"/>
    </row>
    <row r="73" ht="18.0" customHeight="1">
      <c r="A73" s="298"/>
      <c r="B73" s="298"/>
      <c r="C73" s="298"/>
      <c r="D73" s="298"/>
      <c r="E73" s="298"/>
      <c r="F73" s="298"/>
      <c r="G73" s="298"/>
      <c r="H73" s="298"/>
      <c r="I73" s="298"/>
      <c r="J73" s="298"/>
      <c r="K73" s="298"/>
      <c r="L73" s="298"/>
      <c r="M73" s="298"/>
      <c r="N73" s="298"/>
      <c r="O73" s="298"/>
      <c r="P73" s="298"/>
      <c r="Q73" s="298"/>
      <c r="R73" s="298"/>
      <c r="S73" s="298"/>
    </row>
    <row r="74" ht="18.0" customHeight="1">
      <c r="A74" s="298"/>
      <c r="B74" s="298"/>
      <c r="C74" s="298"/>
      <c r="D74" s="298"/>
      <c r="E74" s="298"/>
      <c r="F74" s="298"/>
      <c r="G74" s="298"/>
      <c r="H74" s="298"/>
      <c r="I74" s="298"/>
      <c r="J74" s="298"/>
      <c r="K74" s="298"/>
      <c r="L74" s="298"/>
      <c r="M74" s="298"/>
      <c r="N74" s="298"/>
      <c r="O74" s="298"/>
      <c r="P74" s="298"/>
      <c r="Q74" s="298"/>
      <c r="R74" s="298"/>
      <c r="S74" s="298"/>
    </row>
    <row r="75" ht="18.0" customHeight="1">
      <c r="A75" s="298"/>
      <c r="B75" s="298"/>
      <c r="C75" s="298"/>
      <c r="D75" s="298"/>
      <c r="E75" s="298"/>
      <c r="F75" s="298"/>
      <c r="G75" s="298"/>
      <c r="H75" s="298"/>
      <c r="I75" s="298"/>
      <c r="J75" s="298"/>
      <c r="K75" s="298"/>
      <c r="L75" s="298"/>
      <c r="M75" s="298"/>
      <c r="N75" s="298"/>
      <c r="O75" s="298"/>
      <c r="P75" s="298"/>
      <c r="Q75" s="298"/>
      <c r="R75" s="298"/>
      <c r="S75" s="298"/>
    </row>
    <row r="76" ht="18.0" customHeight="1">
      <c r="A76" s="298"/>
      <c r="B76" s="298"/>
      <c r="C76" s="298"/>
      <c r="D76" s="298"/>
      <c r="E76" s="298"/>
      <c r="F76" s="298"/>
      <c r="G76" s="298"/>
      <c r="H76" s="298"/>
      <c r="I76" s="298"/>
      <c r="J76" s="298"/>
      <c r="K76" s="298"/>
      <c r="L76" s="298"/>
      <c r="M76" s="298"/>
      <c r="N76" s="298"/>
      <c r="O76" s="298"/>
      <c r="P76" s="298"/>
      <c r="Q76" s="298"/>
      <c r="R76" s="298"/>
      <c r="S76" s="298"/>
    </row>
    <row r="77" ht="18.0" customHeight="1">
      <c r="A77" s="298"/>
      <c r="B77" s="298"/>
      <c r="C77" s="298"/>
      <c r="D77" s="298"/>
      <c r="E77" s="298"/>
      <c r="F77" s="298"/>
      <c r="G77" s="298"/>
      <c r="H77" s="298"/>
      <c r="I77" s="298"/>
      <c r="J77" s="298"/>
      <c r="K77" s="298"/>
      <c r="L77" s="298"/>
      <c r="M77" s="298"/>
      <c r="N77" s="298"/>
      <c r="O77" s="298"/>
      <c r="P77" s="298"/>
      <c r="Q77" s="298"/>
      <c r="R77" s="298"/>
      <c r="S77" s="298"/>
    </row>
    <row r="78" ht="18.0" customHeight="1">
      <c r="A78" s="298"/>
      <c r="B78" s="298"/>
      <c r="C78" s="298"/>
      <c r="D78" s="298"/>
      <c r="E78" s="298"/>
      <c r="F78" s="298"/>
      <c r="G78" s="298"/>
      <c r="H78" s="298"/>
      <c r="I78" s="298"/>
      <c r="J78" s="298"/>
      <c r="K78" s="298"/>
      <c r="L78" s="298"/>
      <c r="M78" s="298"/>
      <c r="N78" s="298"/>
      <c r="O78" s="298"/>
      <c r="P78" s="298"/>
      <c r="Q78" s="298"/>
      <c r="R78" s="298"/>
      <c r="S78" s="298"/>
    </row>
    <row r="79" ht="18.0" customHeight="1">
      <c r="A79" s="298"/>
      <c r="B79" s="298"/>
      <c r="C79" s="298"/>
      <c r="D79" s="298"/>
      <c r="E79" s="298"/>
      <c r="F79" s="298"/>
      <c r="G79" s="298"/>
      <c r="H79" s="298"/>
      <c r="I79" s="298"/>
      <c r="J79" s="298"/>
      <c r="K79" s="298"/>
      <c r="L79" s="298"/>
      <c r="M79" s="298"/>
      <c r="N79" s="298"/>
      <c r="O79" s="298"/>
      <c r="P79" s="298"/>
      <c r="Q79" s="298"/>
      <c r="R79" s="298"/>
      <c r="S79" s="298"/>
    </row>
    <row r="80" ht="18.0" customHeight="1">
      <c r="A80" s="298"/>
      <c r="B80" s="298"/>
      <c r="C80" s="298"/>
      <c r="D80" s="298"/>
      <c r="E80" s="298"/>
      <c r="F80" s="298"/>
      <c r="G80" s="298"/>
      <c r="H80" s="298"/>
      <c r="I80" s="298"/>
      <c r="J80" s="298"/>
      <c r="K80" s="298"/>
      <c r="L80" s="298"/>
      <c r="M80" s="298"/>
      <c r="N80" s="298"/>
      <c r="O80" s="298"/>
      <c r="P80" s="298"/>
      <c r="Q80" s="298"/>
      <c r="R80" s="298"/>
      <c r="S80" s="298"/>
    </row>
    <row r="81" ht="18.0" customHeight="1">
      <c r="A81" s="298"/>
      <c r="B81" s="298"/>
      <c r="C81" s="298"/>
      <c r="D81" s="298"/>
      <c r="E81" s="298"/>
      <c r="F81" s="298"/>
      <c r="G81" s="298"/>
      <c r="H81" s="298"/>
      <c r="I81" s="298"/>
      <c r="J81" s="298"/>
      <c r="K81" s="298"/>
      <c r="L81" s="298"/>
      <c r="M81" s="298"/>
      <c r="N81" s="298"/>
      <c r="O81" s="298"/>
      <c r="P81" s="298"/>
      <c r="Q81" s="298"/>
      <c r="R81" s="298"/>
      <c r="S81" s="298"/>
    </row>
    <row r="82" ht="18.0" customHeight="1">
      <c r="A82" s="298"/>
      <c r="B82" s="298"/>
      <c r="C82" s="298"/>
      <c r="D82" s="298"/>
      <c r="E82" s="298"/>
      <c r="F82" s="298"/>
      <c r="G82" s="298"/>
      <c r="H82" s="298"/>
      <c r="I82" s="298"/>
      <c r="J82" s="298"/>
      <c r="K82" s="298"/>
      <c r="L82" s="298"/>
      <c r="M82" s="298"/>
      <c r="N82" s="298"/>
      <c r="O82" s="298"/>
      <c r="P82" s="298"/>
      <c r="Q82" s="298"/>
      <c r="R82" s="298"/>
      <c r="S82" s="298"/>
    </row>
    <row r="83" ht="18.0" customHeight="1">
      <c r="A83" s="298"/>
      <c r="B83" s="298"/>
      <c r="C83" s="298"/>
      <c r="D83" s="298"/>
      <c r="E83" s="298"/>
      <c r="F83" s="298"/>
      <c r="G83" s="298"/>
      <c r="H83" s="298"/>
      <c r="I83" s="298"/>
      <c r="J83" s="298"/>
      <c r="K83" s="298"/>
      <c r="L83" s="298"/>
      <c r="M83" s="298"/>
      <c r="N83" s="298"/>
      <c r="O83" s="298"/>
      <c r="P83" s="298"/>
      <c r="Q83" s="298"/>
      <c r="R83" s="298"/>
      <c r="S83" s="298"/>
    </row>
    <row r="84" ht="18.0" customHeight="1">
      <c r="A84" s="298"/>
      <c r="B84" s="298"/>
      <c r="C84" s="298"/>
      <c r="D84" s="298"/>
      <c r="E84" s="298"/>
      <c r="F84" s="298"/>
      <c r="G84" s="298"/>
      <c r="H84" s="298"/>
      <c r="I84" s="298"/>
      <c r="J84" s="298"/>
      <c r="K84" s="298"/>
      <c r="L84" s="298"/>
      <c r="M84" s="298"/>
      <c r="N84" s="298"/>
      <c r="O84" s="298"/>
      <c r="P84" s="298"/>
      <c r="Q84" s="298"/>
      <c r="R84" s="298"/>
      <c r="S84" s="298"/>
    </row>
    <row r="85" ht="18.0" customHeight="1">
      <c r="A85" s="298"/>
      <c r="B85" s="298"/>
      <c r="C85" s="298"/>
      <c r="D85" s="298"/>
      <c r="E85" s="298"/>
      <c r="F85" s="298"/>
      <c r="G85" s="298"/>
      <c r="H85" s="298"/>
      <c r="I85" s="298"/>
      <c r="J85" s="298"/>
      <c r="K85" s="298"/>
      <c r="L85" s="298"/>
      <c r="M85" s="298"/>
      <c r="N85" s="298"/>
      <c r="O85" s="298"/>
      <c r="P85" s="298"/>
      <c r="Q85" s="298"/>
      <c r="R85" s="298"/>
      <c r="S85" s="298"/>
    </row>
    <row r="86" ht="18.0" customHeight="1">
      <c r="A86" s="298"/>
      <c r="B86" s="298"/>
      <c r="C86" s="298"/>
      <c r="D86" s="298"/>
      <c r="E86" s="298"/>
      <c r="F86" s="298"/>
      <c r="G86" s="298"/>
      <c r="H86" s="298"/>
      <c r="I86" s="298"/>
      <c r="J86" s="298"/>
      <c r="K86" s="298"/>
      <c r="L86" s="298"/>
      <c r="M86" s="298"/>
      <c r="N86" s="298"/>
      <c r="O86" s="298"/>
      <c r="P86" s="298"/>
      <c r="Q86" s="298"/>
      <c r="R86" s="298"/>
      <c r="S86" s="298"/>
    </row>
    <row r="87" ht="18.0" customHeight="1">
      <c r="A87" s="298"/>
      <c r="B87" s="298"/>
      <c r="C87" s="298"/>
      <c r="D87" s="298"/>
      <c r="E87" s="298"/>
      <c r="F87" s="298"/>
      <c r="G87" s="298"/>
      <c r="H87" s="298"/>
      <c r="I87" s="298"/>
      <c r="J87" s="298"/>
      <c r="K87" s="298"/>
      <c r="L87" s="298"/>
      <c r="M87" s="298"/>
      <c r="N87" s="298"/>
      <c r="O87" s="298"/>
      <c r="P87" s="298"/>
      <c r="Q87" s="298"/>
      <c r="R87" s="298"/>
      <c r="S87" s="298"/>
    </row>
    <row r="88" ht="18.0" customHeight="1">
      <c r="A88" s="298"/>
      <c r="B88" s="298"/>
      <c r="C88" s="298"/>
      <c r="D88" s="298"/>
      <c r="E88" s="298"/>
      <c r="F88" s="298"/>
      <c r="G88" s="298"/>
      <c r="H88" s="298"/>
      <c r="I88" s="298"/>
      <c r="J88" s="298"/>
      <c r="K88" s="298"/>
      <c r="L88" s="298"/>
      <c r="M88" s="298"/>
      <c r="N88" s="298"/>
      <c r="O88" s="298"/>
      <c r="P88" s="298"/>
      <c r="Q88" s="298"/>
      <c r="R88" s="298"/>
      <c r="S88" s="298"/>
    </row>
    <row r="89" ht="18.0" customHeight="1">
      <c r="A89" s="298"/>
      <c r="B89" s="298"/>
      <c r="C89" s="298"/>
      <c r="D89" s="298"/>
      <c r="E89" s="298"/>
      <c r="F89" s="298"/>
      <c r="G89" s="298"/>
      <c r="H89" s="298"/>
      <c r="I89" s="298"/>
      <c r="J89" s="298"/>
      <c r="K89" s="298"/>
      <c r="L89" s="298"/>
      <c r="M89" s="298"/>
      <c r="N89" s="298"/>
      <c r="O89" s="298"/>
      <c r="P89" s="298"/>
      <c r="Q89" s="298"/>
      <c r="R89" s="298"/>
      <c r="S89" s="298"/>
    </row>
    <row r="90" ht="18.0" customHeight="1">
      <c r="A90" s="298"/>
      <c r="B90" s="298"/>
      <c r="C90" s="298"/>
      <c r="D90" s="298"/>
      <c r="E90" s="298"/>
      <c r="F90" s="298"/>
      <c r="G90" s="298"/>
      <c r="H90" s="298"/>
      <c r="I90" s="298"/>
      <c r="J90" s="298"/>
      <c r="K90" s="298"/>
      <c r="L90" s="298"/>
      <c r="M90" s="298"/>
      <c r="N90" s="298"/>
      <c r="O90" s="298"/>
      <c r="P90" s="298"/>
      <c r="Q90" s="298"/>
      <c r="R90" s="298"/>
      <c r="S90" s="298"/>
    </row>
    <row r="91" ht="18.0" customHeight="1">
      <c r="A91" s="298"/>
      <c r="B91" s="298"/>
      <c r="C91" s="298"/>
      <c r="D91" s="298"/>
      <c r="E91" s="298"/>
      <c r="F91" s="298"/>
      <c r="G91" s="298"/>
      <c r="H91" s="298"/>
      <c r="I91" s="298"/>
      <c r="J91" s="298"/>
      <c r="K91" s="298"/>
      <c r="L91" s="298"/>
      <c r="M91" s="298"/>
      <c r="N91" s="298"/>
      <c r="O91" s="298"/>
      <c r="P91" s="298"/>
      <c r="Q91" s="298"/>
      <c r="R91" s="298"/>
      <c r="S91" s="298"/>
    </row>
    <row r="92" ht="18.0" customHeight="1">
      <c r="A92" s="298"/>
      <c r="B92" s="298"/>
      <c r="C92" s="298"/>
      <c r="D92" s="298"/>
      <c r="E92" s="298"/>
      <c r="F92" s="298"/>
      <c r="G92" s="298"/>
      <c r="H92" s="298"/>
      <c r="I92" s="298"/>
      <c r="J92" s="298"/>
      <c r="K92" s="298"/>
      <c r="L92" s="298"/>
      <c r="M92" s="298"/>
      <c r="N92" s="298"/>
      <c r="O92" s="298"/>
      <c r="P92" s="298"/>
      <c r="Q92" s="298"/>
      <c r="R92" s="298"/>
      <c r="S92" s="298"/>
    </row>
    <row r="93" ht="18.0" customHeight="1">
      <c r="A93" s="298"/>
      <c r="B93" s="298"/>
      <c r="C93" s="298"/>
      <c r="D93" s="298"/>
      <c r="E93" s="298"/>
      <c r="F93" s="298"/>
      <c r="G93" s="298"/>
      <c r="H93" s="298"/>
      <c r="I93" s="298"/>
      <c r="J93" s="298"/>
      <c r="K93" s="298"/>
      <c r="L93" s="298"/>
      <c r="M93" s="298"/>
      <c r="N93" s="298"/>
      <c r="O93" s="298"/>
      <c r="P93" s="298"/>
      <c r="Q93" s="298"/>
      <c r="R93" s="298"/>
      <c r="S93" s="298"/>
    </row>
    <row r="94" ht="18.0" customHeight="1">
      <c r="A94" s="298"/>
      <c r="B94" s="298"/>
      <c r="C94" s="298"/>
      <c r="D94" s="298"/>
      <c r="E94" s="298"/>
      <c r="F94" s="298"/>
      <c r="G94" s="298"/>
      <c r="H94" s="298"/>
      <c r="I94" s="298"/>
      <c r="J94" s="298"/>
      <c r="K94" s="298"/>
      <c r="L94" s="298"/>
      <c r="M94" s="298"/>
      <c r="N94" s="298"/>
      <c r="O94" s="298"/>
      <c r="P94" s="298"/>
      <c r="Q94" s="298"/>
      <c r="R94" s="298"/>
      <c r="S94" s="298"/>
    </row>
    <row r="95" ht="18.0" customHeight="1">
      <c r="A95" s="298"/>
      <c r="B95" s="298"/>
      <c r="C95" s="298"/>
      <c r="D95" s="298"/>
      <c r="E95" s="298"/>
      <c r="F95" s="298"/>
      <c r="G95" s="298"/>
      <c r="H95" s="298"/>
      <c r="I95" s="298"/>
      <c r="J95" s="298"/>
      <c r="K95" s="298"/>
      <c r="L95" s="298"/>
      <c r="M95" s="298"/>
      <c r="N95" s="298"/>
      <c r="O95" s="298"/>
      <c r="P95" s="298"/>
      <c r="Q95" s="298"/>
      <c r="R95" s="298"/>
      <c r="S95" s="298"/>
    </row>
    <row r="96" ht="18.0" customHeight="1">
      <c r="A96" s="298"/>
      <c r="B96" s="298"/>
      <c r="C96" s="298"/>
      <c r="D96" s="298"/>
      <c r="E96" s="298"/>
      <c r="F96" s="298"/>
      <c r="G96" s="298"/>
      <c r="H96" s="298"/>
      <c r="I96" s="298"/>
      <c r="J96" s="298"/>
      <c r="K96" s="298"/>
      <c r="L96" s="298"/>
      <c r="M96" s="298"/>
      <c r="N96" s="298"/>
      <c r="O96" s="298"/>
      <c r="P96" s="298"/>
      <c r="Q96" s="298"/>
      <c r="R96" s="298"/>
      <c r="S96" s="298"/>
    </row>
    <row r="97" ht="18.0" customHeight="1">
      <c r="A97" s="298"/>
      <c r="B97" s="298"/>
      <c r="C97" s="298"/>
      <c r="D97" s="298"/>
      <c r="E97" s="298"/>
      <c r="F97" s="298"/>
      <c r="G97" s="298"/>
      <c r="H97" s="298"/>
      <c r="I97" s="298"/>
      <c r="J97" s="298"/>
      <c r="K97" s="298"/>
      <c r="L97" s="298"/>
      <c r="M97" s="298"/>
      <c r="N97" s="298"/>
      <c r="O97" s="298"/>
      <c r="P97" s="298"/>
      <c r="Q97" s="298"/>
      <c r="R97" s="298"/>
      <c r="S97" s="298"/>
    </row>
    <row r="98" ht="18.0" customHeight="1">
      <c r="A98" s="298"/>
      <c r="B98" s="298"/>
      <c r="C98" s="298"/>
      <c r="D98" s="298"/>
      <c r="E98" s="298"/>
      <c r="F98" s="298"/>
      <c r="G98" s="298"/>
      <c r="H98" s="298"/>
      <c r="I98" s="298"/>
      <c r="J98" s="298"/>
      <c r="K98" s="298"/>
      <c r="L98" s="298"/>
      <c r="M98" s="298"/>
      <c r="N98" s="298"/>
      <c r="O98" s="298"/>
      <c r="P98" s="298"/>
      <c r="Q98" s="298"/>
      <c r="R98" s="298"/>
      <c r="S98" s="298"/>
    </row>
    <row r="99" ht="18.0" customHeight="1">
      <c r="A99" s="298"/>
      <c r="B99" s="298"/>
      <c r="C99" s="298"/>
      <c r="D99" s="298"/>
      <c r="E99" s="298"/>
      <c r="F99" s="298"/>
      <c r="G99" s="298"/>
      <c r="H99" s="298"/>
      <c r="I99" s="298"/>
      <c r="J99" s="298"/>
      <c r="K99" s="298"/>
      <c r="L99" s="298"/>
      <c r="M99" s="298"/>
      <c r="N99" s="298"/>
      <c r="O99" s="298"/>
      <c r="P99" s="298"/>
      <c r="Q99" s="298"/>
      <c r="R99" s="298"/>
      <c r="S99" s="298"/>
    </row>
    <row r="100" ht="18.0" customHeight="1">
      <c r="A100" s="298"/>
      <c r="B100" s="298"/>
      <c r="C100" s="298"/>
      <c r="D100" s="298"/>
      <c r="E100" s="298"/>
      <c r="F100" s="298"/>
      <c r="G100" s="298"/>
      <c r="H100" s="298"/>
      <c r="I100" s="298"/>
      <c r="J100" s="298"/>
      <c r="K100" s="298"/>
      <c r="L100" s="298"/>
      <c r="M100" s="298"/>
      <c r="N100" s="298"/>
      <c r="O100" s="298"/>
      <c r="P100" s="298"/>
      <c r="Q100" s="298"/>
      <c r="R100" s="298"/>
      <c r="S100" s="298"/>
    </row>
    <row r="101" ht="18.0" customHeight="1">
      <c r="A101" s="298"/>
      <c r="B101" s="298"/>
      <c r="C101" s="298"/>
      <c r="D101" s="298"/>
      <c r="E101" s="298"/>
      <c r="F101" s="298"/>
      <c r="G101" s="298"/>
      <c r="H101" s="298"/>
      <c r="I101" s="298"/>
      <c r="J101" s="298"/>
      <c r="K101" s="298"/>
      <c r="L101" s="298"/>
      <c r="M101" s="298"/>
      <c r="N101" s="298"/>
      <c r="O101" s="298"/>
      <c r="P101" s="298"/>
      <c r="Q101" s="298"/>
      <c r="R101" s="298"/>
      <c r="S101" s="298"/>
    </row>
    <row r="102" ht="18.0" customHeight="1">
      <c r="A102" s="298"/>
      <c r="B102" s="298"/>
      <c r="C102" s="298"/>
      <c r="D102" s="298"/>
      <c r="E102" s="298"/>
      <c r="F102" s="298"/>
      <c r="G102" s="298"/>
      <c r="H102" s="298"/>
      <c r="I102" s="298"/>
      <c r="J102" s="298"/>
      <c r="K102" s="298"/>
      <c r="L102" s="298"/>
      <c r="M102" s="298"/>
      <c r="N102" s="298"/>
      <c r="O102" s="298"/>
      <c r="P102" s="298"/>
      <c r="Q102" s="298"/>
      <c r="R102" s="298"/>
      <c r="S102" s="298"/>
    </row>
    <row r="103" ht="18.0" customHeight="1">
      <c r="A103" s="298"/>
      <c r="B103" s="298"/>
      <c r="C103" s="298"/>
      <c r="D103" s="298"/>
      <c r="E103" s="298"/>
      <c r="F103" s="298"/>
      <c r="G103" s="298"/>
      <c r="H103" s="298"/>
      <c r="I103" s="298"/>
      <c r="J103" s="298"/>
      <c r="K103" s="298"/>
      <c r="L103" s="298"/>
      <c r="M103" s="298"/>
      <c r="N103" s="298"/>
      <c r="O103" s="298"/>
      <c r="P103" s="298"/>
      <c r="Q103" s="298"/>
      <c r="R103" s="298"/>
      <c r="S103" s="298"/>
    </row>
    <row r="104" ht="18.0" customHeight="1">
      <c r="A104" s="298"/>
      <c r="B104" s="298"/>
      <c r="C104" s="298"/>
      <c r="D104" s="298"/>
      <c r="E104" s="298"/>
      <c r="F104" s="298"/>
      <c r="G104" s="298"/>
      <c r="H104" s="298"/>
      <c r="I104" s="298"/>
      <c r="J104" s="298"/>
      <c r="K104" s="298"/>
      <c r="L104" s="298"/>
      <c r="M104" s="298"/>
      <c r="N104" s="298"/>
      <c r="O104" s="298"/>
      <c r="P104" s="298"/>
      <c r="Q104" s="298"/>
      <c r="R104" s="298"/>
      <c r="S104" s="298"/>
    </row>
    <row r="105" ht="18.0" customHeight="1">
      <c r="A105" s="298"/>
      <c r="B105" s="298"/>
      <c r="C105" s="298"/>
      <c r="D105" s="298"/>
      <c r="E105" s="298"/>
      <c r="F105" s="298"/>
      <c r="G105" s="298"/>
      <c r="H105" s="298"/>
      <c r="I105" s="298"/>
      <c r="J105" s="298"/>
      <c r="K105" s="298"/>
      <c r="L105" s="298"/>
      <c r="M105" s="298"/>
      <c r="N105" s="298"/>
      <c r="O105" s="298"/>
      <c r="P105" s="298"/>
      <c r="Q105" s="298"/>
      <c r="R105" s="298"/>
      <c r="S105" s="298"/>
    </row>
    <row r="106" ht="18.0" customHeight="1">
      <c r="A106" s="298"/>
      <c r="B106" s="298"/>
      <c r="C106" s="298"/>
      <c r="D106" s="298"/>
      <c r="E106" s="298"/>
      <c r="F106" s="298"/>
      <c r="G106" s="298"/>
      <c r="H106" s="298"/>
      <c r="I106" s="298"/>
      <c r="J106" s="298"/>
      <c r="K106" s="298"/>
      <c r="L106" s="298"/>
      <c r="M106" s="298"/>
      <c r="N106" s="298"/>
      <c r="O106" s="298"/>
      <c r="P106" s="298"/>
      <c r="Q106" s="298"/>
      <c r="R106" s="298"/>
      <c r="S106" s="298"/>
    </row>
    <row r="107" ht="18.0" customHeight="1">
      <c r="A107" s="298"/>
      <c r="B107" s="298"/>
      <c r="C107" s="298"/>
      <c r="D107" s="298"/>
      <c r="E107" s="298"/>
      <c r="F107" s="298"/>
      <c r="G107" s="298"/>
      <c r="H107" s="298"/>
      <c r="I107" s="298"/>
      <c r="J107" s="298"/>
      <c r="K107" s="298"/>
      <c r="L107" s="298"/>
      <c r="M107" s="298"/>
      <c r="N107" s="298"/>
      <c r="O107" s="298"/>
      <c r="P107" s="298"/>
      <c r="Q107" s="298"/>
      <c r="R107" s="298"/>
      <c r="S107" s="298"/>
    </row>
    <row r="108" ht="18.0" customHeight="1">
      <c r="A108" s="298"/>
      <c r="B108" s="298"/>
      <c r="C108" s="298"/>
      <c r="D108" s="298"/>
      <c r="E108" s="298"/>
      <c r="F108" s="298"/>
      <c r="G108" s="298"/>
      <c r="H108" s="298"/>
      <c r="I108" s="298"/>
      <c r="J108" s="298"/>
      <c r="K108" s="298"/>
      <c r="L108" s="298"/>
      <c r="M108" s="298"/>
      <c r="N108" s="298"/>
      <c r="O108" s="298"/>
      <c r="P108" s="298"/>
      <c r="Q108" s="298"/>
      <c r="R108" s="298"/>
      <c r="S108" s="298"/>
    </row>
    <row r="109" ht="18.0" customHeight="1">
      <c r="A109" s="298"/>
      <c r="B109" s="298"/>
      <c r="C109" s="298"/>
      <c r="D109" s="298"/>
      <c r="E109" s="298"/>
      <c r="F109" s="298"/>
      <c r="G109" s="298"/>
      <c r="H109" s="298"/>
      <c r="I109" s="298"/>
      <c r="J109" s="298"/>
      <c r="K109" s="298"/>
      <c r="L109" s="298"/>
      <c r="M109" s="298"/>
      <c r="N109" s="298"/>
      <c r="O109" s="298"/>
      <c r="P109" s="298"/>
      <c r="Q109" s="298"/>
      <c r="R109" s="298"/>
      <c r="S109" s="298"/>
    </row>
    <row r="110" ht="18.0" customHeight="1">
      <c r="A110" s="298"/>
      <c r="B110" s="298"/>
      <c r="C110" s="298"/>
      <c r="D110" s="298"/>
      <c r="E110" s="298"/>
      <c r="F110" s="298"/>
      <c r="G110" s="298"/>
      <c r="H110" s="298"/>
      <c r="I110" s="298"/>
      <c r="J110" s="298"/>
      <c r="K110" s="298"/>
      <c r="L110" s="298"/>
      <c r="M110" s="298"/>
      <c r="N110" s="298"/>
      <c r="O110" s="298"/>
      <c r="P110" s="298"/>
      <c r="Q110" s="298"/>
      <c r="R110" s="298"/>
      <c r="S110" s="298"/>
    </row>
    <row r="111" ht="18.0" customHeight="1">
      <c r="A111" s="298"/>
      <c r="B111" s="298"/>
      <c r="C111" s="298"/>
      <c r="D111" s="298"/>
      <c r="E111" s="298"/>
      <c r="F111" s="298"/>
      <c r="G111" s="298"/>
      <c r="H111" s="298"/>
      <c r="I111" s="298"/>
      <c r="J111" s="298"/>
      <c r="K111" s="298"/>
      <c r="L111" s="298"/>
      <c r="M111" s="298"/>
      <c r="N111" s="298"/>
      <c r="O111" s="298"/>
      <c r="P111" s="298"/>
      <c r="Q111" s="298"/>
      <c r="R111" s="298"/>
      <c r="S111" s="298"/>
    </row>
    <row r="112" ht="18.0" customHeight="1">
      <c r="A112" s="298"/>
      <c r="B112" s="298"/>
      <c r="C112" s="298"/>
      <c r="D112" s="298"/>
      <c r="E112" s="298"/>
      <c r="F112" s="298"/>
      <c r="G112" s="298"/>
      <c r="H112" s="298"/>
      <c r="I112" s="298"/>
      <c r="J112" s="298"/>
      <c r="K112" s="298"/>
      <c r="L112" s="298"/>
      <c r="M112" s="298"/>
      <c r="N112" s="298"/>
      <c r="O112" s="298"/>
      <c r="P112" s="298"/>
      <c r="Q112" s="298"/>
      <c r="R112" s="298"/>
      <c r="S112" s="298"/>
    </row>
    <row r="113" ht="18.0" customHeight="1">
      <c r="A113" s="298"/>
      <c r="B113" s="298"/>
      <c r="C113" s="298"/>
      <c r="D113" s="298"/>
      <c r="E113" s="298"/>
      <c r="F113" s="298"/>
      <c r="G113" s="298"/>
      <c r="H113" s="298"/>
      <c r="I113" s="298"/>
      <c r="J113" s="298"/>
      <c r="K113" s="298"/>
      <c r="L113" s="298"/>
      <c r="M113" s="298"/>
      <c r="N113" s="298"/>
      <c r="O113" s="298"/>
      <c r="P113" s="298"/>
      <c r="Q113" s="298"/>
      <c r="R113" s="298"/>
      <c r="S113" s="298"/>
    </row>
    <row r="114" ht="18.0" customHeight="1">
      <c r="A114" s="298"/>
      <c r="B114" s="298"/>
      <c r="C114" s="298"/>
      <c r="D114" s="298"/>
      <c r="E114" s="298"/>
      <c r="F114" s="298"/>
      <c r="G114" s="298"/>
      <c r="H114" s="298"/>
      <c r="I114" s="298"/>
      <c r="J114" s="298"/>
      <c r="K114" s="298"/>
      <c r="L114" s="298"/>
      <c r="M114" s="298"/>
      <c r="N114" s="298"/>
      <c r="O114" s="298"/>
      <c r="P114" s="298"/>
      <c r="Q114" s="298"/>
      <c r="R114" s="298"/>
      <c r="S114" s="298"/>
    </row>
    <row r="115" ht="18.0" customHeight="1">
      <c r="A115" s="298"/>
      <c r="B115" s="298"/>
      <c r="C115" s="298"/>
      <c r="D115" s="298"/>
      <c r="E115" s="298"/>
      <c r="F115" s="298"/>
      <c r="G115" s="298"/>
      <c r="H115" s="298"/>
      <c r="I115" s="298"/>
      <c r="J115" s="298"/>
      <c r="K115" s="298"/>
      <c r="L115" s="298"/>
      <c r="M115" s="298"/>
      <c r="N115" s="298"/>
      <c r="O115" s="298"/>
      <c r="P115" s="298"/>
      <c r="Q115" s="298"/>
      <c r="R115" s="298"/>
      <c r="S115" s="298"/>
    </row>
    <row r="116" ht="18.0" customHeight="1">
      <c r="A116" s="298"/>
      <c r="B116" s="298"/>
      <c r="C116" s="298"/>
      <c r="D116" s="298"/>
      <c r="E116" s="298"/>
      <c r="F116" s="298"/>
      <c r="G116" s="298"/>
      <c r="H116" s="298"/>
      <c r="I116" s="298"/>
      <c r="J116" s="298"/>
      <c r="K116" s="298"/>
      <c r="L116" s="298"/>
      <c r="M116" s="298"/>
      <c r="N116" s="298"/>
      <c r="O116" s="298"/>
      <c r="P116" s="298"/>
      <c r="Q116" s="298"/>
      <c r="R116" s="298"/>
      <c r="S116" s="298"/>
    </row>
    <row r="117" ht="18.0" customHeight="1">
      <c r="A117" s="298"/>
      <c r="B117" s="298"/>
      <c r="C117" s="298"/>
      <c r="D117" s="298"/>
      <c r="E117" s="298"/>
      <c r="F117" s="298"/>
      <c r="G117" s="298"/>
      <c r="H117" s="298"/>
      <c r="I117" s="298"/>
      <c r="J117" s="298"/>
      <c r="K117" s="298"/>
      <c r="L117" s="298"/>
      <c r="M117" s="298"/>
      <c r="N117" s="298"/>
      <c r="O117" s="298"/>
      <c r="P117" s="298"/>
      <c r="Q117" s="298"/>
      <c r="R117" s="298"/>
      <c r="S117" s="298"/>
    </row>
    <row r="118" ht="18.0" customHeight="1">
      <c r="A118" s="298"/>
      <c r="B118" s="298"/>
      <c r="C118" s="298"/>
      <c r="D118" s="298"/>
      <c r="E118" s="298"/>
      <c r="F118" s="298"/>
      <c r="G118" s="298"/>
      <c r="H118" s="298"/>
      <c r="I118" s="298"/>
      <c r="J118" s="298"/>
      <c r="K118" s="298"/>
      <c r="L118" s="298"/>
      <c r="M118" s="298"/>
      <c r="N118" s="298"/>
      <c r="O118" s="298"/>
      <c r="P118" s="298"/>
      <c r="Q118" s="298"/>
      <c r="R118" s="298"/>
      <c r="S118" s="298"/>
    </row>
    <row r="119" ht="18.0" customHeight="1">
      <c r="A119" s="298"/>
      <c r="B119" s="298"/>
      <c r="C119" s="298"/>
      <c r="D119" s="298"/>
      <c r="E119" s="298"/>
      <c r="F119" s="298"/>
      <c r="G119" s="298"/>
      <c r="H119" s="298"/>
      <c r="I119" s="298"/>
      <c r="J119" s="298"/>
      <c r="K119" s="298"/>
      <c r="L119" s="298"/>
      <c r="M119" s="298"/>
      <c r="N119" s="298"/>
      <c r="O119" s="298"/>
      <c r="P119" s="298"/>
      <c r="Q119" s="298"/>
      <c r="R119" s="298"/>
      <c r="S119" s="298"/>
    </row>
    <row r="120" ht="18.0" customHeight="1">
      <c r="A120" s="298"/>
      <c r="B120" s="298"/>
      <c r="C120" s="298"/>
      <c r="D120" s="298"/>
      <c r="E120" s="298"/>
      <c r="F120" s="298"/>
      <c r="G120" s="298"/>
      <c r="H120" s="298"/>
      <c r="I120" s="298"/>
      <c r="J120" s="298"/>
      <c r="K120" s="298"/>
      <c r="L120" s="298"/>
      <c r="M120" s="298"/>
      <c r="N120" s="298"/>
      <c r="O120" s="298"/>
      <c r="P120" s="298"/>
      <c r="Q120" s="298"/>
      <c r="R120" s="298"/>
      <c r="S120" s="298"/>
    </row>
    <row r="121" ht="18.0" customHeight="1">
      <c r="A121" s="298"/>
      <c r="B121" s="298"/>
      <c r="C121" s="298"/>
      <c r="D121" s="298"/>
      <c r="E121" s="298"/>
      <c r="F121" s="298"/>
      <c r="G121" s="298"/>
      <c r="H121" s="298"/>
      <c r="I121" s="298"/>
      <c r="J121" s="298"/>
      <c r="K121" s="298"/>
      <c r="L121" s="298"/>
      <c r="M121" s="298"/>
      <c r="N121" s="298"/>
      <c r="O121" s="298"/>
      <c r="P121" s="298"/>
      <c r="Q121" s="298"/>
      <c r="R121" s="298"/>
      <c r="S121" s="298"/>
    </row>
    <row r="122" ht="18.0" customHeight="1">
      <c r="A122" s="298"/>
      <c r="B122" s="298"/>
      <c r="C122" s="298"/>
      <c r="D122" s="298"/>
      <c r="E122" s="298"/>
      <c r="F122" s="298"/>
      <c r="G122" s="298"/>
      <c r="H122" s="298"/>
      <c r="I122" s="298"/>
      <c r="J122" s="298"/>
      <c r="K122" s="298"/>
      <c r="L122" s="298"/>
      <c r="M122" s="298"/>
      <c r="N122" s="298"/>
      <c r="O122" s="298"/>
      <c r="P122" s="298"/>
      <c r="Q122" s="298"/>
      <c r="R122" s="298"/>
      <c r="S122" s="298"/>
    </row>
    <row r="123" ht="18.0" customHeight="1">
      <c r="A123" s="298"/>
      <c r="B123" s="298"/>
      <c r="C123" s="298"/>
      <c r="D123" s="298"/>
      <c r="E123" s="298"/>
      <c r="F123" s="298"/>
      <c r="G123" s="298"/>
      <c r="H123" s="298"/>
      <c r="I123" s="298"/>
      <c r="J123" s="298"/>
      <c r="K123" s="298"/>
      <c r="L123" s="298"/>
      <c r="M123" s="298"/>
      <c r="N123" s="298"/>
      <c r="O123" s="298"/>
      <c r="P123" s="298"/>
      <c r="Q123" s="298"/>
      <c r="R123" s="298"/>
      <c r="S123" s="298"/>
    </row>
    <row r="124" ht="18.0" customHeight="1">
      <c r="A124" s="298"/>
      <c r="B124" s="298"/>
      <c r="C124" s="298"/>
      <c r="D124" s="298"/>
      <c r="E124" s="298"/>
      <c r="F124" s="298"/>
      <c r="G124" s="298"/>
      <c r="H124" s="298"/>
      <c r="I124" s="298"/>
      <c r="J124" s="298"/>
      <c r="K124" s="298"/>
      <c r="L124" s="298"/>
      <c r="M124" s="298"/>
      <c r="N124" s="298"/>
      <c r="O124" s="298"/>
      <c r="P124" s="298"/>
      <c r="Q124" s="298"/>
      <c r="R124" s="298"/>
      <c r="S124" s="298"/>
    </row>
    <row r="125" ht="18.0" customHeight="1">
      <c r="A125" s="298"/>
      <c r="B125" s="298"/>
      <c r="C125" s="298"/>
      <c r="D125" s="298"/>
      <c r="E125" s="298"/>
      <c r="F125" s="298"/>
      <c r="G125" s="298"/>
      <c r="H125" s="298"/>
      <c r="I125" s="298"/>
      <c r="J125" s="298"/>
      <c r="K125" s="298"/>
      <c r="L125" s="298"/>
      <c r="M125" s="298"/>
      <c r="N125" s="298"/>
      <c r="O125" s="298"/>
      <c r="P125" s="298"/>
      <c r="Q125" s="298"/>
      <c r="R125" s="298"/>
      <c r="S125" s="298"/>
    </row>
    <row r="126" ht="18.0" customHeight="1">
      <c r="A126" s="298"/>
      <c r="B126" s="298"/>
      <c r="C126" s="298"/>
      <c r="D126" s="298"/>
      <c r="E126" s="298"/>
      <c r="F126" s="298"/>
      <c r="G126" s="298"/>
      <c r="H126" s="298"/>
      <c r="I126" s="298"/>
      <c r="J126" s="298"/>
      <c r="K126" s="298"/>
      <c r="L126" s="298"/>
      <c r="M126" s="298"/>
      <c r="N126" s="298"/>
      <c r="O126" s="298"/>
      <c r="P126" s="298"/>
      <c r="Q126" s="298"/>
      <c r="R126" s="298"/>
      <c r="S126" s="298"/>
    </row>
    <row r="127" ht="18.0" customHeight="1">
      <c r="A127" s="298"/>
      <c r="B127" s="298"/>
      <c r="C127" s="298"/>
      <c r="D127" s="298"/>
      <c r="E127" s="298"/>
      <c r="F127" s="298"/>
      <c r="G127" s="298"/>
      <c r="H127" s="298"/>
      <c r="I127" s="298"/>
      <c r="J127" s="298"/>
      <c r="K127" s="298"/>
      <c r="L127" s="298"/>
      <c r="M127" s="298"/>
      <c r="N127" s="298"/>
      <c r="O127" s="298"/>
      <c r="P127" s="298"/>
      <c r="Q127" s="298"/>
      <c r="R127" s="298"/>
      <c r="S127" s="298"/>
    </row>
    <row r="128" ht="18.0" customHeight="1">
      <c r="A128" s="298"/>
      <c r="B128" s="298"/>
      <c r="C128" s="298"/>
      <c r="D128" s="298"/>
      <c r="E128" s="298"/>
      <c r="F128" s="298"/>
      <c r="G128" s="298"/>
      <c r="H128" s="298"/>
      <c r="I128" s="298"/>
      <c r="J128" s="298"/>
      <c r="K128" s="298"/>
      <c r="L128" s="298"/>
      <c r="M128" s="298"/>
      <c r="N128" s="298"/>
      <c r="O128" s="298"/>
      <c r="P128" s="298"/>
      <c r="Q128" s="298"/>
      <c r="R128" s="298"/>
      <c r="S128" s="298"/>
    </row>
    <row r="129" ht="18.0" customHeight="1">
      <c r="A129" s="298"/>
      <c r="B129" s="298"/>
      <c r="C129" s="298"/>
      <c r="D129" s="298"/>
      <c r="E129" s="298"/>
      <c r="F129" s="298"/>
      <c r="G129" s="298"/>
      <c r="H129" s="298"/>
      <c r="I129" s="298"/>
      <c r="J129" s="298"/>
      <c r="K129" s="298"/>
      <c r="L129" s="298"/>
      <c r="M129" s="298"/>
      <c r="N129" s="298"/>
      <c r="O129" s="298"/>
      <c r="P129" s="298"/>
      <c r="Q129" s="298"/>
      <c r="R129" s="298"/>
      <c r="S129" s="298"/>
    </row>
    <row r="130" ht="18.0" customHeight="1">
      <c r="A130" s="298"/>
      <c r="B130" s="298"/>
      <c r="C130" s="298"/>
      <c r="D130" s="298"/>
      <c r="E130" s="298"/>
      <c r="F130" s="298"/>
      <c r="G130" s="298"/>
      <c r="H130" s="298"/>
      <c r="I130" s="298"/>
      <c r="J130" s="298"/>
      <c r="K130" s="298"/>
      <c r="L130" s="298"/>
      <c r="M130" s="298"/>
      <c r="N130" s="298"/>
      <c r="O130" s="298"/>
      <c r="P130" s="298"/>
      <c r="Q130" s="298"/>
      <c r="R130" s="298"/>
      <c r="S130" s="298"/>
    </row>
    <row r="131" ht="18.0" customHeight="1">
      <c r="A131" s="298"/>
      <c r="B131" s="298"/>
      <c r="C131" s="298"/>
      <c r="D131" s="298"/>
      <c r="E131" s="298"/>
      <c r="F131" s="298"/>
      <c r="G131" s="298"/>
      <c r="H131" s="298"/>
      <c r="I131" s="298"/>
      <c r="J131" s="298"/>
      <c r="K131" s="298"/>
      <c r="L131" s="298"/>
      <c r="M131" s="298"/>
      <c r="N131" s="298"/>
      <c r="O131" s="298"/>
      <c r="P131" s="298"/>
      <c r="Q131" s="298"/>
      <c r="R131" s="298"/>
      <c r="S131" s="298"/>
    </row>
    <row r="132" ht="18.0" customHeight="1">
      <c r="A132" s="298"/>
      <c r="B132" s="298"/>
      <c r="C132" s="298"/>
      <c r="D132" s="298"/>
      <c r="E132" s="298"/>
      <c r="F132" s="298"/>
      <c r="G132" s="298"/>
      <c r="H132" s="298"/>
      <c r="I132" s="298"/>
      <c r="J132" s="298"/>
      <c r="K132" s="298"/>
      <c r="L132" s="298"/>
      <c r="M132" s="298"/>
      <c r="N132" s="298"/>
      <c r="O132" s="298"/>
      <c r="P132" s="298"/>
      <c r="Q132" s="298"/>
      <c r="R132" s="298"/>
      <c r="S132" s="298"/>
    </row>
    <row r="133" ht="18.0" customHeight="1">
      <c r="A133" s="298"/>
      <c r="B133" s="298"/>
      <c r="C133" s="298"/>
      <c r="D133" s="298"/>
      <c r="E133" s="298"/>
      <c r="F133" s="298"/>
      <c r="G133" s="298"/>
      <c r="H133" s="298"/>
      <c r="I133" s="298"/>
      <c r="J133" s="298"/>
      <c r="K133" s="298"/>
      <c r="L133" s="298"/>
      <c r="M133" s="298"/>
      <c r="N133" s="298"/>
      <c r="O133" s="298"/>
      <c r="P133" s="298"/>
      <c r="Q133" s="298"/>
      <c r="R133" s="298"/>
      <c r="S133" s="298"/>
    </row>
    <row r="134" ht="18.0" customHeight="1">
      <c r="A134" s="298"/>
      <c r="B134" s="298"/>
      <c r="C134" s="298"/>
      <c r="D134" s="298"/>
      <c r="E134" s="298"/>
      <c r="F134" s="298"/>
      <c r="G134" s="298"/>
      <c r="H134" s="298"/>
      <c r="I134" s="298"/>
      <c r="J134" s="298"/>
      <c r="K134" s="298"/>
      <c r="L134" s="298"/>
      <c r="M134" s="298"/>
      <c r="N134" s="298"/>
      <c r="O134" s="298"/>
      <c r="P134" s="298"/>
      <c r="Q134" s="298"/>
      <c r="R134" s="298"/>
      <c r="S134" s="298"/>
    </row>
    <row r="135" ht="18.0" customHeight="1">
      <c r="A135" s="298"/>
      <c r="B135" s="298"/>
      <c r="C135" s="298"/>
      <c r="D135" s="298"/>
      <c r="E135" s="298"/>
      <c r="F135" s="298"/>
      <c r="G135" s="298"/>
      <c r="H135" s="298"/>
      <c r="I135" s="298"/>
      <c r="J135" s="298"/>
      <c r="K135" s="298"/>
      <c r="L135" s="298"/>
      <c r="M135" s="298"/>
      <c r="N135" s="298"/>
      <c r="O135" s="298"/>
      <c r="P135" s="298"/>
      <c r="Q135" s="298"/>
      <c r="R135" s="298"/>
      <c r="S135" s="298"/>
    </row>
    <row r="136" ht="18.0" customHeight="1">
      <c r="A136" s="298"/>
      <c r="B136" s="298"/>
      <c r="C136" s="298"/>
      <c r="D136" s="298"/>
      <c r="E136" s="298"/>
      <c r="F136" s="298"/>
      <c r="G136" s="298"/>
      <c r="H136" s="298"/>
      <c r="I136" s="298"/>
      <c r="J136" s="298"/>
      <c r="K136" s="298"/>
      <c r="L136" s="298"/>
      <c r="M136" s="298"/>
      <c r="N136" s="298"/>
      <c r="O136" s="298"/>
      <c r="P136" s="298"/>
      <c r="Q136" s="298"/>
      <c r="R136" s="298"/>
      <c r="S136" s="298"/>
    </row>
    <row r="137" ht="18.0" customHeight="1">
      <c r="A137" s="298"/>
      <c r="B137" s="298"/>
      <c r="C137" s="298"/>
      <c r="D137" s="298"/>
      <c r="E137" s="298"/>
      <c r="F137" s="298"/>
      <c r="G137" s="298"/>
      <c r="H137" s="298"/>
      <c r="I137" s="298"/>
      <c r="J137" s="298"/>
      <c r="K137" s="298"/>
      <c r="L137" s="298"/>
      <c r="M137" s="298"/>
      <c r="N137" s="298"/>
      <c r="O137" s="298"/>
      <c r="P137" s="298"/>
      <c r="Q137" s="298"/>
      <c r="R137" s="298"/>
      <c r="S137" s="298"/>
    </row>
    <row r="138" ht="18.0" customHeight="1">
      <c r="A138" s="298"/>
      <c r="B138" s="298"/>
      <c r="C138" s="298"/>
      <c r="D138" s="298"/>
      <c r="E138" s="298"/>
      <c r="F138" s="298"/>
      <c r="G138" s="298"/>
      <c r="H138" s="298"/>
      <c r="I138" s="298"/>
      <c r="J138" s="298"/>
      <c r="K138" s="298"/>
      <c r="L138" s="298"/>
      <c r="M138" s="298"/>
      <c r="N138" s="298"/>
      <c r="O138" s="298"/>
      <c r="P138" s="298"/>
      <c r="Q138" s="298"/>
      <c r="R138" s="298"/>
      <c r="S138" s="298"/>
    </row>
    <row r="139" ht="18.0" customHeight="1">
      <c r="A139" s="298"/>
      <c r="B139" s="298"/>
      <c r="C139" s="298"/>
      <c r="D139" s="298"/>
      <c r="E139" s="298"/>
      <c r="F139" s="298"/>
      <c r="G139" s="298"/>
      <c r="H139" s="298"/>
      <c r="I139" s="298"/>
      <c r="J139" s="298"/>
      <c r="K139" s="298"/>
      <c r="L139" s="298"/>
      <c r="M139" s="298"/>
      <c r="N139" s="298"/>
      <c r="O139" s="298"/>
      <c r="P139" s="298"/>
      <c r="Q139" s="298"/>
      <c r="R139" s="298"/>
      <c r="S139" s="298"/>
    </row>
    <row r="140" ht="18.0" customHeight="1">
      <c r="A140" s="298"/>
      <c r="B140" s="298"/>
      <c r="C140" s="298"/>
      <c r="D140" s="298"/>
      <c r="E140" s="298"/>
      <c r="F140" s="298"/>
      <c r="G140" s="298"/>
      <c r="H140" s="298"/>
      <c r="I140" s="298"/>
      <c r="J140" s="298"/>
      <c r="K140" s="298"/>
      <c r="L140" s="298"/>
      <c r="M140" s="298"/>
      <c r="N140" s="298"/>
      <c r="O140" s="298"/>
      <c r="P140" s="298"/>
      <c r="Q140" s="298"/>
      <c r="R140" s="298"/>
      <c r="S140" s="298"/>
    </row>
    <row r="141" ht="18.0" customHeight="1">
      <c r="A141" s="298"/>
      <c r="B141" s="298"/>
      <c r="C141" s="298"/>
      <c r="D141" s="298"/>
      <c r="E141" s="298"/>
      <c r="F141" s="298"/>
      <c r="G141" s="298"/>
      <c r="H141" s="298"/>
      <c r="I141" s="298"/>
      <c r="J141" s="298"/>
      <c r="K141" s="298"/>
      <c r="L141" s="298"/>
      <c r="M141" s="298"/>
      <c r="N141" s="298"/>
      <c r="O141" s="298"/>
      <c r="P141" s="298"/>
      <c r="Q141" s="298"/>
      <c r="R141" s="298"/>
      <c r="S141" s="298"/>
    </row>
    <row r="142" ht="18.0" customHeight="1">
      <c r="A142" s="298"/>
      <c r="B142" s="298"/>
      <c r="C142" s="298"/>
      <c r="D142" s="298"/>
      <c r="E142" s="298"/>
      <c r="F142" s="298"/>
      <c r="G142" s="298"/>
      <c r="H142" s="298"/>
      <c r="I142" s="298"/>
      <c r="J142" s="298"/>
      <c r="K142" s="298"/>
      <c r="L142" s="298"/>
      <c r="M142" s="298"/>
      <c r="N142" s="298"/>
      <c r="O142" s="298"/>
      <c r="P142" s="298"/>
      <c r="Q142" s="298"/>
      <c r="R142" s="298"/>
      <c r="S142" s="298"/>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8430CE"/>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8" width="18.88"/>
  </cols>
  <sheetData>
    <row r="1">
      <c r="A1" s="303" t="s">
        <v>494</v>
      </c>
      <c r="B1" s="303" t="s">
        <v>495</v>
      </c>
      <c r="C1" s="303" t="s">
        <v>2</v>
      </c>
      <c r="D1" s="303" t="s">
        <v>496</v>
      </c>
      <c r="E1" s="303" t="s">
        <v>655</v>
      </c>
      <c r="F1" s="303" t="s">
        <v>656</v>
      </c>
      <c r="G1" s="303" t="s">
        <v>497</v>
      </c>
      <c r="H1" s="303" t="s">
        <v>657</v>
      </c>
      <c r="I1" s="303" t="s">
        <v>658</v>
      </c>
      <c r="J1" s="303" t="s">
        <v>500</v>
      </c>
      <c r="K1" s="303" t="s">
        <v>501</v>
      </c>
      <c r="L1" s="303" t="s">
        <v>502</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8430CE"/>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28.88"/>
    <col customWidth="1" min="3" max="4" width="18.88"/>
    <col customWidth="1" min="5" max="5" width="21.25"/>
    <col customWidth="1" min="6" max="7" width="18.88"/>
    <col customWidth="1" min="8" max="8" width="23.38"/>
    <col customWidth="1" min="9" max="38" width="18.88"/>
    <col customWidth="1" hidden="1" min="39" max="39" width="18.88"/>
    <col customWidth="1" min="40" max="44" width="18.88"/>
  </cols>
  <sheetData>
    <row r="1">
      <c r="A1" s="304" t="s">
        <v>494</v>
      </c>
      <c r="B1" s="304" t="s">
        <v>495</v>
      </c>
      <c r="C1" s="304" t="s">
        <v>3</v>
      </c>
      <c r="D1" s="304" t="s">
        <v>659</v>
      </c>
      <c r="E1" s="304" t="s">
        <v>660</v>
      </c>
      <c r="F1" s="304" t="s">
        <v>661</v>
      </c>
      <c r="G1" s="304" t="s">
        <v>662</v>
      </c>
      <c r="H1" s="305" t="s">
        <v>663</v>
      </c>
      <c r="I1" s="304" t="s">
        <v>664</v>
      </c>
      <c r="J1" s="304" t="s">
        <v>665</v>
      </c>
      <c r="K1" s="304" t="s">
        <v>666</v>
      </c>
      <c r="L1" s="304" t="s">
        <v>667</v>
      </c>
      <c r="M1" s="304" t="s">
        <v>668</v>
      </c>
      <c r="N1" s="304" t="s">
        <v>24</v>
      </c>
      <c r="O1" s="304" t="s">
        <v>669</v>
      </c>
      <c r="P1" s="304" t="s">
        <v>670</v>
      </c>
      <c r="Q1" s="304" t="s">
        <v>671</v>
      </c>
      <c r="R1" s="304" t="s">
        <v>672</v>
      </c>
      <c r="S1" s="306" t="s">
        <v>673</v>
      </c>
      <c r="T1" s="306" t="s">
        <v>25</v>
      </c>
      <c r="U1" s="304" t="s">
        <v>674</v>
      </c>
      <c r="V1" s="304" t="s">
        <v>675</v>
      </c>
      <c r="W1" s="304" t="s">
        <v>676</v>
      </c>
      <c r="X1" s="304" t="s">
        <v>672</v>
      </c>
      <c r="Y1" s="306" t="s">
        <v>677</v>
      </c>
      <c r="Z1" s="306" t="s">
        <v>26</v>
      </c>
      <c r="AA1" s="304" t="s">
        <v>678</v>
      </c>
      <c r="AB1" s="304" t="s">
        <v>679</v>
      </c>
      <c r="AC1" s="304" t="s">
        <v>680</v>
      </c>
      <c r="AD1" s="304" t="s">
        <v>672</v>
      </c>
      <c r="AE1" s="306" t="s">
        <v>681</v>
      </c>
      <c r="AF1" s="306" t="s">
        <v>27</v>
      </c>
      <c r="AG1" s="304" t="s">
        <v>682</v>
      </c>
      <c r="AH1" s="304" t="s">
        <v>683</v>
      </c>
      <c r="AI1" s="304" t="s">
        <v>684</v>
      </c>
      <c r="AJ1" s="304" t="s">
        <v>672</v>
      </c>
      <c r="AK1" s="306" t="s">
        <v>685</v>
      </c>
      <c r="AL1" s="304" t="s">
        <v>686</v>
      </c>
      <c r="AM1" s="307"/>
      <c r="AN1" s="307"/>
      <c r="AO1" s="307"/>
      <c r="AP1" s="307"/>
      <c r="AQ1" s="307"/>
      <c r="AR1" s="307"/>
    </row>
    <row r="2" hidden="1">
      <c r="A2" s="302">
        <v>45387.50733112269</v>
      </c>
      <c r="B2" s="96" t="s">
        <v>687</v>
      </c>
      <c r="C2" s="96" t="s">
        <v>36</v>
      </c>
      <c r="E2" s="96" t="s">
        <v>688</v>
      </c>
      <c r="H2" s="308">
        <v>45387.0</v>
      </c>
      <c r="I2" s="96" t="s">
        <v>42</v>
      </c>
      <c r="J2" s="96">
        <v>5.0</v>
      </c>
      <c r="K2" s="96" t="s">
        <v>689</v>
      </c>
      <c r="L2" s="96" t="s">
        <v>690</v>
      </c>
      <c r="M2" s="96" t="s">
        <v>691</v>
      </c>
      <c r="N2" s="96" t="s">
        <v>303</v>
      </c>
      <c r="O2" s="96">
        <v>4.0</v>
      </c>
      <c r="P2" s="96">
        <v>5.0</v>
      </c>
      <c r="Q2" s="96">
        <v>5.0</v>
      </c>
      <c r="R2" s="96" t="s">
        <v>692</v>
      </c>
      <c r="S2" s="309">
        <f t="shared" ref="S2:S138" si="1">(O2+P2+Q2)/3</f>
        <v>4.666666667</v>
      </c>
      <c r="T2" s="96" t="s">
        <v>317</v>
      </c>
      <c r="U2" s="96">
        <v>4.0</v>
      </c>
      <c r="V2" s="96">
        <v>4.0</v>
      </c>
      <c r="W2" s="96">
        <v>4.0</v>
      </c>
      <c r="X2" s="96" t="s">
        <v>693</v>
      </c>
      <c r="Y2" s="96">
        <f t="shared" ref="Y2:Y138" si="2">(U2+V2+W2)/3</f>
        <v>4</v>
      </c>
      <c r="AE2" s="93">
        <f t="shared" ref="AE2:AE91" si="3">(AA2+AB2+AC2)/3</f>
        <v>0</v>
      </c>
      <c r="AK2" s="93">
        <f t="shared" ref="AK2:AK138" si="4">(AG2+AH2+AI2)/3</f>
        <v>0</v>
      </c>
      <c r="AL2" s="96" t="s">
        <v>694</v>
      </c>
      <c r="AM2" s="310">
        <f>AVERAGE(Q20:Q72,W20:W72,AC20:AC72,AI20:AI72)</f>
        <v>3.247311828</v>
      </c>
    </row>
    <row r="3" hidden="1">
      <c r="A3" s="302">
        <v>45387.54136967592</v>
      </c>
      <c r="B3" s="96" t="s">
        <v>695</v>
      </c>
      <c r="C3" s="96" t="s">
        <v>44</v>
      </c>
      <c r="D3" s="96" t="s">
        <v>63</v>
      </c>
      <c r="H3" s="308">
        <v>45383.0</v>
      </c>
      <c r="I3" s="96" t="s">
        <v>556</v>
      </c>
      <c r="J3" s="96">
        <v>3.0</v>
      </c>
      <c r="K3" s="96" t="s">
        <v>696</v>
      </c>
      <c r="L3" s="96" t="s">
        <v>690</v>
      </c>
      <c r="N3" s="96" t="s">
        <v>66</v>
      </c>
      <c r="O3" s="96">
        <v>3.0</v>
      </c>
      <c r="P3" s="96">
        <v>2.0</v>
      </c>
      <c r="Q3" s="96">
        <v>2.0</v>
      </c>
      <c r="R3" s="96" t="s">
        <v>697</v>
      </c>
      <c r="S3" s="309">
        <f t="shared" si="1"/>
        <v>2.333333333</v>
      </c>
      <c r="Y3" s="96">
        <f t="shared" si="2"/>
        <v>0</v>
      </c>
      <c r="AE3" s="93">
        <f t="shared" si="3"/>
        <v>0</v>
      </c>
      <c r="AK3" s="93">
        <f t="shared" si="4"/>
        <v>0</v>
      </c>
      <c r="AM3" s="311"/>
    </row>
    <row r="4">
      <c r="A4" s="312">
        <v>45387.5888440625</v>
      </c>
      <c r="B4" s="313" t="s">
        <v>545</v>
      </c>
      <c r="C4" s="313" t="s">
        <v>116</v>
      </c>
      <c r="D4" s="314"/>
      <c r="E4" s="314"/>
      <c r="F4" s="314"/>
      <c r="G4" s="313" t="s">
        <v>160</v>
      </c>
      <c r="H4" s="315">
        <v>45387.0</v>
      </c>
      <c r="I4" s="313" t="s">
        <v>556</v>
      </c>
      <c r="J4" s="314"/>
      <c r="K4" s="314"/>
      <c r="L4" s="313" t="s">
        <v>690</v>
      </c>
      <c r="M4" s="314"/>
      <c r="N4" s="313" t="s">
        <v>161</v>
      </c>
      <c r="O4" s="313">
        <v>3.0</v>
      </c>
      <c r="P4" s="313">
        <v>3.0</v>
      </c>
      <c r="Q4" s="313">
        <v>3.0</v>
      </c>
      <c r="R4" s="314"/>
      <c r="S4" s="316">
        <f t="shared" si="1"/>
        <v>3</v>
      </c>
      <c r="T4" s="314"/>
      <c r="U4" s="314"/>
      <c r="V4" s="314"/>
      <c r="W4" s="314"/>
      <c r="X4" s="314"/>
      <c r="Y4" s="313">
        <f t="shared" si="2"/>
        <v>0</v>
      </c>
      <c r="Z4" s="314"/>
      <c r="AA4" s="314"/>
      <c r="AB4" s="314"/>
      <c r="AC4" s="314"/>
      <c r="AD4" s="314"/>
      <c r="AE4" s="314">
        <f t="shared" si="3"/>
        <v>0</v>
      </c>
      <c r="AF4" s="314"/>
      <c r="AG4" s="314"/>
      <c r="AH4" s="314"/>
      <c r="AI4" s="313"/>
      <c r="AJ4" s="314"/>
      <c r="AK4" s="314">
        <f t="shared" si="4"/>
        <v>0</v>
      </c>
      <c r="AL4" s="314"/>
      <c r="AM4" s="314"/>
      <c r="AN4" s="314"/>
      <c r="AO4" s="314"/>
      <c r="AP4" s="314"/>
      <c r="AQ4" s="314"/>
      <c r="AR4" s="314"/>
    </row>
    <row r="5" hidden="1">
      <c r="A5" s="302">
        <v>45387.59878922453</v>
      </c>
      <c r="B5" s="96" t="s">
        <v>698</v>
      </c>
      <c r="C5" s="96" t="s">
        <v>36</v>
      </c>
      <c r="E5" s="96" t="s">
        <v>325</v>
      </c>
      <c r="H5" s="308">
        <v>45387.0</v>
      </c>
      <c r="I5" s="96" t="s">
        <v>556</v>
      </c>
      <c r="L5" s="96" t="s">
        <v>690</v>
      </c>
      <c r="M5" s="96" t="s">
        <v>691</v>
      </c>
      <c r="N5" s="96" t="s">
        <v>309</v>
      </c>
      <c r="O5" s="96">
        <v>2.0</v>
      </c>
      <c r="P5" s="96">
        <v>2.0</v>
      </c>
      <c r="Q5" s="96">
        <v>2.0</v>
      </c>
      <c r="R5" s="96" t="s">
        <v>699</v>
      </c>
      <c r="S5" s="309">
        <f t="shared" si="1"/>
        <v>2</v>
      </c>
      <c r="T5" s="96" t="s">
        <v>326</v>
      </c>
      <c r="U5" s="96">
        <v>4.0</v>
      </c>
      <c r="V5" s="96">
        <v>3.0</v>
      </c>
      <c r="W5" s="96">
        <v>3.0</v>
      </c>
      <c r="X5" s="96" t="s">
        <v>700</v>
      </c>
      <c r="Y5" s="96">
        <f t="shared" si="2"/>
        <v>3.333333333</v>
      </c>
      <c r="AE5" s="93">
        <f t="shared" si="3"/>
        <v>0</v>
      </c>
      <c r="AK5" s="93">
        <f t="shared" si="4"/>
        <v>0</v>
      </c>
    </row>
    <row r="6" hidden="1">
      <c r="A6" s="302">
        <v>45387.604410914355</v>
      </c>
      <c r="B6" s="96" t="s">
        <v>698</v>
      </c>
      <c r="C6" s="96" t="s">
        <v>36</v>
      </c>
      <c r="E6" s="96" t="s">
        <v>291</v>
      </c>
      <c r="H6" s="308">
        <v>45387.0</v>
      </c>
      <c r="I6" s="96" t="s">
        <v>556</v>
      </c>
      <c r="L6" s="96" t="s">
        <v>690</v>
      </c>
      <c r="M6" s="96" t="s">
        <v>691</v>
      </c>
      <c r="N6" s="96" t="s">
        <v>294</v>
      </c>
      <c r="O6" s="96">
        <v>5.0</v>
      </c>
      <c r="P6" s="96">
        <v>5.0</v>
      </c>
      <c r="Q6" s="96">
        <v>4.0</v>
      </c>
      <c r="R6" s="96" t="s">
        <v>701</v>
      </c>
      <c r="S6" s="309">
        <f t="shared" si="1"/>
        <v>4.666666667</v>
      </c>
      <c r="T6" s="96" t="s">
        <v>272</v>
      </c>
      <c r="U6" s="96">
        <v>5.0</v>
      </c>
      <c r="V6" s="96">
        <v>4.0</v>
      </c>
      <c r="W6" s="96">
        <v>5.0</v>
      </c>
      <c r="X6" s="96" t="s">
        <v>702</v>
      </c>
      <c r="Y6" s="96">
        <f t="shared" si="2"/>
        <v>4.666666667</v>
      </c>
      <c r="AE6" s="93">
        <f t="shared" si="3"/>
        <v>0</v>
      </c>
      <c r="AK6" s="93">
        <f t="shared" si="4"/>
        <v>0</v>
      </c>
      <c r="AL6" s="96" t="s">
        <v>703</v>
      </c>
    </row>
    <row r="7" hidden="1">
      <c r="A7" s="302">
        <v>45387.61662847223</v>
      </c>
      <c r="B7" s="96" t="s">
        <v>695</v>
      </c>
      <c r="C7" s="96" t="s">
        <v>44</v>
      </c>
      <c r="D7" s="96" t="s">
        <v>83</v>
      </c>
      <c r="H7" s="308">
        <v>45383.0</v>
      </c>
      <c r="I7" s="96" t="s">
        <v>556</v>
      </c>
      <c r="J7" s="96">
        <v>3.0</v>
      </c>
      <c r="K7" s="96" t="s">
        <v>704</v>
      </c>
      <c r="L7" s="96" t="s">
        <v>705</v>
      </c>
      <c r="M7" s="96" t="s">
        <v>706</v>
      </c>
      <c r="N7" s="96" t="s">
        <v>85</v>
      </c>
      <c r="O7" s="96">
        <v>3.0</v>
      </c>
      <c r="P7" s="96">
        <v>3.0</v>
      </c>
      <c r="Q7" s="96">
        <v>2.0</v>
      </c>
      <c r="R7" s="96" t="s">
        <v>707</v>
      </c>
      <c r="S7" s="309">
        <f t="shared" si="1"/>
        <v>2.666666667</v>
      </c>
      <c r="T7" s="96" t="s">
        <v>62</v>
      </c>
      <c r="U7" s="96">
        <v>3.0</v>
      </c>
      <c r="V7" s="96">
        <v>3.0</v>
      </c>
      <c r="W7" s="96">
        <v>3.0</v>
      </c>
      <c r="X7" s="96" t="s">
        <v>708</v>
      </c>
      <c r="Y7" s="96">
        <f t="shared" si="2"/>
        <v>3</v>
      </c>
      <c r="AE7" s="93">
        <f t="shared" si="3"/>
        <v>0</v>
      </c>
      <c r="AK7" s="93">
        <f t="shared" si="4"/>
        <v>0</v>
      </c>
    </row>
    <row r="8" hidden="1">
      <c r="A8" s="302">
        <v>45387.618101087966</v>
      </c>
      <c r="B8" s="96" t="s">
        <v>695</v>
      </c>
      <c r="C8" s="96" t="s">
        <v>44</v>
      </c>
      <c r="D8" s="96" t="s">
        <v>106</v>
      </c>
      <c r="H8" s="308">
        <v>45383.0</v>
      </c>
      <c r="I8" s="96" t="s">
        <v>42</v>
      </c>
      <c r="J8" s="96">
        <v>3.0</v>
      </c>
      <c r="K8" s="96" t="s">
        <v>709</v>
      </c>
      <c r="L8" s="96" t="s">
        <v>705</v>
      </c>
      <c r="M8" s="96" t="s">
        <v>706</v>
      </c>
      <c r="N8" s="96" t="s">
        <v>70</v>
      </c>
      <c r="O8" s="96">
        <v>4.0</v>
      </c>
      <c r="P8" s="96">
        <v>3.0</v>
      </c>
      <c r="Q8" s="96">
        <v>3.0</v>
      </c>
      <c r="R8" s="96" t="s">
        <v>710</v>
      </c>
      <c r="S8" s="309">
        <f t="shared" si="1"/>
        <v>3.333333333</v>
      </c>
      <c r="Y8" s="96">
        <f t="shared" si="2"/>
        <v>0</v>
      </c>
      <c r="AE8" s="93">
        <f t="shared" si="3"/>
        <v>0</v>
      </c>
      <c r="AK8" s="93">
        <f t="shared" si="4"/>
        <v>0</v>
      </c>
    </row>
    <row r="9">
      <c r="A9" s="312">
        <v>45387.648284097224</v>
      </c>
      <c r="B9" s="313" t="s">
        <v>711</v>
      </c>
      <c r="C9" s="313" t="s">
        <v>116</v>
      </c>
      <c r="D9" s="314"/>
      <c r="E9" s="314"/>
      <c r="F9" s="314"/>
      <c r="G9" s="313" t="s">
        <v>182</v>
      </c>
      <c r="H9" s="315">
        <v>45387.0</v>
      </c>
      <c r="I9" s="313" t="s">
        <v>42</v>
      </c>
      <c r="J9" s="313">
        <v>4.0</v>
      </c>
      <c r="K9" s="314"/>
      <c r="L9" s="313" t="s">
        <v>705</v>
      </c>
      <c r="M9" s="313" t="s">
        <v>706</v>
      </c>
      <c r="N9" s="313" t="s">
        <v>149</v>
      </c>
      <c r="O9" s="313">
        <v>4.0</v>
      </c>
      <c r="P9" s="313">
        <v>4.0</v>
      </c>
      <c r="Q9" s="313">
        <v>4.0</v>
      </c>
      <c r="R9" s="313" t="s">
        <v>712</v>
      </c>
      <c r="S9" s="316">
        <f t="shared" si="1"/>
        <v>4</v>
      </c>
      <c r="T9" s="313" t="s">
        <v>170</v>
      </c>
      <c r="U9" s="313">
        <v>3.0</v>
      </c>
      <c r="V9" s="313">
        <v>2.0</v>
      </c>
      <c r="W9" s="313">
        <v>2.0</v>
      </c>
      <c r="X9" s="313" t="s">
        <v>713</v>
      </c>
      <c r="Y9" s="313">
        <f t="shared" si="2"/>
        <v>2.333333333</v>
      </c>
      <c r="Z9" s="314"/>
      <c r="AA9" s="314"/>
      <c r="AB9" s="314"/>
      <c r="AC9" s="314"/>
      <c r="AD9" s="314"/>
      <c r="AE9" s="314">
        <f t="shared" si="3"/>
        <v>0</v>
      </c>
      <c r="AF9" s="314"/>
      <c r="AG9" s="314"/>
      <c r="AH9" s="314"/>
      <c r="AI9" s="314"/>
      <c r="AJ9" s="314"/>
      <c r="AK9" s="314">
        <f t="shared" si="4"/>
        <v>0</v>
      </c>
      <c r="AL9" s="314"/>
      <c r="AM9" s="314"/>
      <c r="AN9" s="314"/>
      <c r="AO9" s="314"/>
      <c r="AP9" s="314"/>
      <c r="AQ9" s="314"/>
      <c r="AR9" s="314"/>
    </row>
    <row r="10">
      <c r="A10" s="312">
        <v>45387.65134658565</v>
      </c>
      <c r="B10" s="313" t="s">
        <v>711</v>
      </c>
      <c r="C10" s="313" t="s">
        <v>116</v>
      </c>
      <c r="D10" s="314"/>
      <c r="E10" s="314"/>
      <c r="F10" s="314"/>
      <c r="G10" s="313" t="s">
        <v>714</v>
      </c>
      <c r="H10" s="315">
        <v>45387.0</v>
      </c>
      <c r="I10" s="313" t="s">
        <v>42</v>
      </c>
      <c r="J10" s="313">
        <v>5.0</v>
      </c>
      <c r="K10" s="314"/>
      <c r="L10" s="313" t="s">
        <v>705</v>
      </c>
      <c r="M10" s="313" t="s">
        <v>715</v>
      </c>
      <c r="N10" s="313" t="s">
        <v>151</v>
      </c>
      <c r="O10" s="313">
        <v>4.0</v>
      </c>
      <c r="P10" s="313">
        <v>3.0</v>
      </c>
      <c r="Q10" s="313">
        <v>2.0</v>
      </c>
      <c r="R10" s="313" t="s">
        <v>716</v>
      </c>
      <c r="S10" s="316">
        <f t="shared" si="1"/>
        <v>3</v>
      </c>
      <c r="T10" s="313" t="s">
        <v>157</v>
      </c>
      <c r="U10" s="313">
        <v>4.0</v>
      </c>
      <c r="V10" s="313">
        <v>3.0</v>
      </c>
      <c r="W10" s="313">
        <v>3.0</v>
      </c>
      <c r="X10" s="313" t="s">
        <v>717</v>
      </c>
      <c r="Y10" s="313">
        <f t="shared" si="2"/>
        <v>3.333333333</v>
      </c>
      <c r="Z10" s="314"/>
      <c r="AA10" s="314"/>
      <c r="AB10" s="314"/>
      <c r="AC10" s="314"/>
      <c r="AD10" s="314"/>
      <c r="AE10" s="314">
        <f t="shared" si="3"/>
        <v>0</v>
      </c>
      <c r="AF10" s="314"/>
      <c r="AG10" s="314"/>
      <c r="AH10" s="314"/>
      <c r="AI10" s="314"/>
      <c r="AJ10" s="314"/>
      <c r="AK10" s="314">
        <f t="shared" si="4"/>
        <v>0</v>
      </c>
      <c r="AL10" s="314"/>
      <c r="AM10" s="314"/>
      <c r="AN10" s="313"/>
      <c r="AO10" s="314"/>
      <c r="AP10" s="314"/>
      <c r="AQ10" s="314"/>
      <c r="AR10" s="314"/>
    </row>
    <row r="11">
      <c r="A11" s="312">
        <v>45387.65304252315</v>
      </c>
      <c r="B11" s="313" t="s">
        <v>711</v>
      </c>
      <c r="C11" s="313" t="s">
        <v>116</v>
      </c>
      <c r="D11" s="314"/>
      <c r="E11" s="314"/>
      <c r="F11" s="314"/>
      <c r="G11" s="313" t="s">
        <v>718</v>
      </c>
      <c r="H11" s="315">
        <v>45387.0</v>
      </c>
      <c r="I11" s="313" t="s">
        <v>42</v>
      </c>
      <c r="J11" s="313">
        <v>4.0</v>
      </c>
      <c r="K11" s="314"/>
      <c r="L11" s="313" t="s">
        <v>705</v>
      </c>
      <c r="M11" s="313" t="s">
        <v>715</v>
      </c>
      <c r="N11" s="313" t="s">
        <v>132</v>
      </c>
      <c r="O11" s="313">
        <v>3.0</v>
      </c>
      <c r="P11" s="313">
        <v>4.0</v>
      </c>
      <c r="Q11" s="313">
        <v>3.0</v>
      </c>
      <c r="R11" s="313" t="s">
        <v>719</v>
      </c>
      <c r="S11" s="316">
        <f t="shared" si="1"/>
        <v>3.333333333</v>
      </c>
      <c r="T11" s="314"/>
      <c r="U11" s="314"/>
      <c r="V11" s="314"/>
      <c r="W11" s="314"/>
      <c r="X11" s="314"/>
      <c r="Y11" s="313">
        <f t="shared" si="2"/>
        <v>0</v>
      </c>
      <c r="Z11" s="314"/>
      <c r="AA11" s="314"/>
      <c r="AB11" s="314"/>
      <c r="AC11" s="314"/>
      <c r="AD11" s="314"/>
      <c r="AE11" s="314">
        <f t="shared" si="3"/>
        <v>0</v>
      </c>
      <c r="AF11" s="314"/>
      <c r="AG11" s="314"/>
      <c r="AH11" s="314"/>
      <c r="AI11" s="314"/>
      <c r="AJ11" s="314"/>
      <c r="AK11" s="314">
        <f t="shared" si="4"/>
        <v>0</v>
      </c>
      <c r="AL11" s="314"/>
      <c r="AM11" s="314"/>
      <c r="AN11" s="314"/>
      <c r="AO11" s="314"/>
      <c r="AP11" s="314"/>
      <c r="AQ11" s="314"/>
      <c r="AR11" s="314"/>
    </row>
    <row r="12">
      <c r="A12" s="312">
        <v>45387.654317824075</v>
      </c>
      <c r="B12" s="313" t="s">
        <v>711</v>
      </c>
      <c r="C12" s="313" t="s">
        <v>116</v>
      </c>
      <c r="D12" s="314"/>
      <c r="E12" s="314"/>
      <c r="F12" s="314"/>
      <c r="G12" s="313" t="s">
        <v>720</v>
      </c>
      <c r="H12" s="315">
        <v>45387.0</v>
      </c>
      <c r="I12" s="313" t="s">
        <v>42</v>
      </c>
      <c r="J12" s="313">
        <v>3.0</v>
      </c>
      <c r="K12" s="314"/>
      <c r="L12" s="313" t="s">
        <v>705</v>
      </c>
      <c r="M12" s="313" t="s">
        <v>715</v>
      </c>
      <c r="N12" s="313" t="s">
        <v>149</v>
      </c>
      <c r="O12" s="313">
        <v>3.0</v>
      </c>
      <c r="P12" s="313">
        <v>3.0</v>
      </c>
      <c r="Q12" s="313">
        <v>4.0</v>
      </c>
      <c r="R12" s="313" t="s">
        <v>721</v>
      </c>
      <c r="S12" s="316">
        <f t="shared" si="1"/>
        <v>3.333333333</v>
      </c>
      <c r="T12" s="314"/>
      <c r="U12" s="314"/>
      <c r="V12" s="314"/>
      <c r="W12" s="314"/>
      <c r="X12" s="314"/>
      <c r="Y12" s="313">
        <f t="shared" si="2"/>
        <v>0</v>
      </c>
      <c r="Z12" s="314"/>
      <c r="AA12" s="314"/>
      <c r="AB12" s="314"/>
      <c r="AC12" s="314"/>
      <c r="AD12" s="314"/>
      <c r="AE12" s="314">
        <f t="shared" si="3"/>
        <v>0</v>
      </c>
      <c r="AF12" s="314"/>
      <c r="AG12" s="314"/>
      <c r="AH12" s="314"/>
      <c r="AI12" s="314"/>
      <c r="AJ12" s="314"/>
      <c r="AK12" s="314">
        <f t="shared" si="4"/>
        <v>0</v>
      </c>
      <c r="AL12" s="314"/>
      <c r="AM12" s="314"/>
      <c r="AN12" s="314"/>
      <c r="AO12" s="314"/>
      <c r="AP12" s="314"/>
      <c r="AQ12" s="314"/>
      <c r="AR12" s="314"/>
    </row>
    <row r="13" hidden="1">
      <c r="A13" s="302">
        <v>45387.68930896991</v>
      </c>
      <c r="B13" s="96" t="s">
        <v>722</v>
      </c>
      <c r="C13" s="96" t="s">
        <v>187</v>
      </c>
      <c r="F13" s="96" t="s">
        <v>723</v>
      </c>
      <c r="H13" s="308">
        <v>45387.0</v>
      </c>
      <c r="I13" s="96" t="s">
        <v>556</v>
      </c>
      <c r="L13" s="96" t="s">
        <v>705</v>
      </c>
      <c r="M13" s="96" t="s">
        <v>715</v>
      </c>
      <c r="N13" s="96" t="s">
        <v>203</v>
      </c>
      <c r="O13" s="96">
        <v>3.0</v>
      </c>
      <c r="P13" s="96">
        <v>4.0</v>
      </c>
      <c r="Q13" s="96">
        <v>4.0</v>
      </c>
      <c r="R13" s="96" t="s">
        <v>724</v>
      </c>
      <c r="S13" s="309">
        <f t="shared" si="1"/>
        <v>3.666666667</v>
      </c>
      <c r="Y13" s="96">
        <f t="shared" si="2"/>
        <v>0</v>
      </c>
      <c r="AE13" s="93">
        <f t="shared" si="3"/>
        <v>0</v>
      </c>
      <c r="AK13" s="93">
        <f t="shared" si="4"/>
        <v>0</v>
      </c>
    </row>
    <row r="14" hidden="1">
      <c r="A14" s="302">
        <v>45387.69223788194</v>
      </c>
      <c r="B14" s="96" t="s">
        <v>722</v>
      </c>
      <c r="C14" s="96" t="s">
        <v>187</v>
      </c>
      <c r="F14" s="96" t="s">
        <v>240</v>
      </c>
      <c r="H14" s="308">
        <v>45387.0</v>
      </c>
      <c r="I14" s="96" t="s">
        <v>556</v>
      </c>
      <c r="L14" s="96" t="s">
        <v>705</v>
      </c>
      <c r="M14" s="96" t="s">
        <v>706</v>
      </c>
      <c r="N14" s="96" t="s">
        <v>241</v>
      </c>
      <c r="O14" s="96">
        <v>3.0</v>
      </c>
      <c r="P14" s="96">
        <v>3.0</v>
      </c>
      <c r="Q14" s="96">
        <v>3.0</v>
      </c>
      <c r="R14" s="96" t="s">
        <v>725</v>
      </c>
      <c r="S14" s="309">
        <f t="shared" si="1"/>
        <v>3</v>
      </c>
      <c r="T14" s="96" t="s">
        <v>195</v>
      </c>
      <c r="U14" s="96">
        <v>1.0</v>
      </c>
      <c r="V14" s="96">
        <v>1.0</v>
      </c>
      <c r="W14" s="96">
        <v>2.0</v>
      </c>
      <c r="X14" s="96" t="s">
        <v>726</v>
      </c>
      <c r="Y14" s="96">
        <f t="shared" si="2"/>
        <v>1.333333333</v>
      </c>
      <c r="AE14" s="93">
        <f t="shared" si="3"/>
        <v>0</v>
      </c>
      <c r="AK14" s="93">
        <f t="shared" si="4"/>
        <v>0</v>
      </c>
    </row>
    <row r="15" hidden="1">
      <c r="A15" s="302">
        <v>45387.698201273146</v>
      </c>
      <c r="B15" s="96" t="s">
        <v>722</v>
      </c>
      <c r="C15" s="96" t="s">
        <v>187</v>
      </c>
      <c r="F15" s="96" t="s">
        <v>229</v>
      </c>
      <c r="H15" s="308">
        <v>45387.0</v>
      </c>
      <c r="I15" s="96" t="s">
        <v>556</v>
      </c>
      <c r="L15" s="96" t="s">
        <v>690</v>
      </c>
      <c r="N15" s="96" t="s">
        <v>205</v>
      </c>
      <c r="O15" s="96">
        <v>1.0</v>
      </c>
      <c r="P15" s="96">
        <v>1.0</v>
      </c>
      <c r="Q15" s="96">
        <v>1.0</v>
      </c>
      <c r="R15" s="96" t="s">
        <v>727</v>
      </c>
      <c r="S15" s="309">
        <f t="shared" si="1"/>
        <v>1</v>
      </c>
      <c r="T15" s="96" t="s">
        <v>231</v>
      </c>
      <c r="U15" s="96">
        <v>1.0</v>
      </c>
      <c r="V15" s="96">
        <v>1.0</v>
      </c>
      <c r="W15" s="96">
        <v>1.0</v>
      </c>
      <c r="X15" s="96" t="s">
        <v>727</v>
      </c>
      <c r="Y15" s="96">
        <f t="shared" si="2"/>
        <v>1</v>
      </c>
      <c r="Z15" s="96" t="s">
        <v>232</v>
      </c>
      <c r="AA15" s="96">
        <v>3.0</v>
      </c>
      <c r="AB15" s="96">
        <v>3.0</v>
      </c>
      <c r="AC15" s="96">
        <v>4.0</v>
      </c>
      <c r="AD15" s="96" t="s">
        <v>728</v>
      </c>
      <c r="AE15" s="93">
        <f t="shared" si="3"/>
        <v>3.333333333</v>
      </c>
      <c r="AK15" s="93">
        <f t="shared" si="4"/>
        <v>0</v>
      </c>
    </row>
    <row r="16" hidden="1">
      <c r="A16" s="302">
        <v>45387.69943709491</v>
      </c>
      <c r="B16" s="96" t="s">
        <v>722</v>
      </c>
      <c r="C16" s="96" t="s">
        <v>187</v>
      </c>
      <c r="F16" s="96" t="s">
        <v>255</v>
      </c>
      <c r="H16" s="308">
        <v>45387.0</v>
      </c>
      <c r="I16" s="96" t="s">
        <v>556</v>
      </c>
      <c r="L16" s="96" t="s">
        <v>705</v>
      </c>
      <c r="M16" s="96" t="s">
        <v>715</v>
      </c>
      <c r="N16" s="96" t="s">
        <v>238</v>
      </c>
      <c r="O16" s="96">
        <v>4.0</v>
      </c>
      <c r="P16" s="96">
        <v>4.0</v>
      </c>
      <c r="Q16" s="96">
        <v>4.0</v>
      </c>
      <c r="R16" s="96" t="s">
        <v>729</v>
      </c>
      <c r="S16" s="309">
        <f t="shared" si="1"/>
        <v>4</v>
      </c>
      <c r="T16" s="96" t="s">
        <v>247</v>
      </c>
      <c r="U16" s="96">
        <v>2.0</v>
      </c>
      <c r="V16" s="96">
        <v>2.0</v>
      </c>
      <c r="W16" s="96">
        <v>3.0</v>
      </c>
      <c r="X16" s="96" t="s">
        <v>730</v>
      </c>
      <c r="Y16" s="96">
        <f t="shared" si="2"/>
        <v>2.333333333</v>
      </c>
      <c r="AE16" s="93">
        <f t="shared" si="3"/>
        <v>0</v>
      </c>
      <c r="AK16" s="93">
        <f t="shared" si="4"/>
        <v>0</v>
      </c>
    </row>
    <row r="17" hidden="1">
      <c r="A17" s="302">
        <v>45387.70238746528</v>
      </c>
      <c r="B17" s="96" t="s">
        <v>722</v>
      </c>
      <c r="C17" s="96" t="s">
        <v>187</v>
      </c>
      <c r="F17" s="96" t="s">
        <v>731</v>
      </c>
      <c r="H17" s="308">
        <v>45387.0</v>
      </c>
      <c r="I17" s="96" t="s">
        <v>556</v>
      </c>
      <c r="L17" s="96" t="s">
        <v>705</v>
      </c>
      <c r="M17" s="96" t="s">
        <v>732</v>
      </c>
      <c r="N17" s="96" t="s">
        <v>253</v>
      </c>
      <c r="O17" s="96">
        <v>4.0</v>
      </c>
      <c r="P17" s="96">
        <v>3.0</v>
      </c>
      <c r="Q17" s="96">
        <v>3.0</v>
      </c>
      <c r="R17" s="96" t="s">
        <v>733</v>
      </c>
      <c r="S17" s="309">
        <f t="shared" si="1"/>
        <v>3.333333333</v>
      </c>
      <c r="Y17" s="96">
        <f t="shared" si="2"/>
        <v>0</v>
      </c>
      <c r="AE17" s="93">
        <f t="shared" si="3"/>
        <v>0</v>
      </c>
      <c r="AK17" s="93">
        <f t="shared" si="4"/>
        <v>0</v>
      </c>
    </row>
    <row r="18" hidden="1">
      <c r="A18" s="302">
        <v>45387.70507207176</v>
      </c>
      <c r="B18" s="96" t="s">
        <v>722</v>
      </c>
      <c r="C18" s="96" t="s">
        <v>187</v>
      </c>
      <c r="F18" s="96" t="s">
        <v>734</v>
      </c>
      <c r="H18" s="308">
        <v>45387.0</v>
      </c>
      <c r="I18" s="96" t="s">
        <v>556</v>
      </c>
      <c r="L18" s="96" t="s">
        <v>705</v>
      </c>
      <c r="M18" s="96" t="s">
        <v>706</v>
      </c>
      <c r="N18" s="96" t="s">
        <v>241</v>
      </c>
      <c r="O18" s="96">
        <v>1.0</v>
      </c>
      <c r="P18" s="96">
        <v>1.0</v>
      </c>
      <c r="Q18" s="96">
        <v>2.0</v>
      </c>
      <c r="R18" s="96" t="s">
        <v>735</v>
      </c>
      <c r="S18" s="309">
        <f t="shared" si="1"/>
        <v>1.333333333</v>
      </c>
      <c r="T18" s="96" t="s">
        <v>227</v>
      </c>
      <c r="U18" s="96">
        <v>2.0</v>
      </c>
      <c r="V18" s="96">
        <v>2.0</v>
      </c>
      <c r="W18" s="96">
        <v>2.0</v>
      </c>
      <c r="X18" s="96" t="s">
        <v>736</v>
      </c>
      <c r="Y18" s="96">
        <f t="shared" si="2"/>
        <v>2</v>
      </c>
      <c r="AE18" s="93">
        <f t="shared" si="3"/>
        <v>0</v>
      </c>
      <c r="AK18" s="93">
        <f t="shared" si="4"/>
        <v>0</v>
      </c>
      <c r="AL18" s="96" t="s">
        <v>737</v>
      </c>
    </row>
    <row r="19" hidden="1">
      <c r="A19" s="302">
        <v>45387.79241126157</v>
      </c>
      <c r="B19" s="96" t="s">
        <v>738</v>
      </c>
      <c r="C19" s="96" t="s">
        <v>44</v>
      </c>
      <c r="D19" s="96" t="s">
        <v>71</v>
      </c>
      <c r="H19" s="308">
        <v>45387.0</v>
      </c>
      <c r="I19" s="96" t="s">
        <v>42</v>
      </c>
      <c r="J19" s="96">
        <v>4.0</v>
      </c>
      <c r="K19" s="96" t="s">
        <v>739</v>
      </c>
      <c r="L19" s="96" t="s">
        <v>690</v>
      </c>
      <c r="N19" s="96" t="s">
        <v>73</v>
      </c>
      <c r="O19" s="96">
        <v>3.0</v>
      </c>
      <c r="P19" s="96">
        <v>4.0</v>
      </c>
      <c r="Q19" s="96">
        <v>3.0</v>
      </c>
      <c r="R19" s="96" t="s">
        <v>740</v>
      </c>
      <c r="S19" s="309">
        <f t="shared" si="1"/>
        <v>3.333333333</v>
      </c>
      <c r="Y19" s="96">
        <f t="shared" si="2"/>
        <v>0</v>
      </c>
      <c r="AE19" s="93">
        <f t="shared" si="3"/>
        <v>0</v>
      </c>
      <c r="AK19" s="93">
        <f t="shared" si="4"/>
        <v>0</v>
      </c>
    </row>
    <row r="20">
      <c r="A20" s="312">
        <v>45387.79326525463</v>
      </c>
      <c r="B20" s="313" t="s">
        <v>741</v>
      </c>
      <c r="C20" s="313" t="s">
        <v>116</v>
      </c>
      <c r="D20" s="314"/>
      <c r="E20" s="314"/>
      <c r="F20" s="314"/>
      <c r="G20" s="313" t="s">
        <v>579</v>
      </c>
      <c r="H20" s="315">
        <v>45387.0</v>
      </c>
      <c r="I20" s="313" t="s">
        <v>42</v>
      </c>
      <c r="J20" s="313">
        <v>4.0</v>
      </c>
      <c r="K20" s="314"/>
      <c r="L20" s="313" t="s">
        <v>690</v>
      </c>
      <c r="M20" s="314"/>
      <c r="N20" s="313" t="s">
        <v>164</v>
      </c>
      <c r="O20" s="313">
        <v>3.0</v>
      </c>
      <c r="P20" s="313">
        <v>2.0</v>
      </c>
      <c r="Q20" s="313">
        <v>2.0</v>
      </c>
      <c r="R20" s="314"/>
      <c r="S20" s="316">
        <f t="shared" si="1"/>
        <v>2.333333333</v>
      </c>
      <c r="T20" s="314"/>
      <c r="U20" s="314"/>
      <c r="V20" s="314"/>
      <c r="W20" s="314"/>
      <c r="X20" s="314"/>
      <c r="Y20" s="313">
        <f t="shared" si="2"/>
        <v>0</v>
      </c>
      <c r="Z20" s="314"/>
      <c r="AA20" s="314"/>
      <c r="AB20" s="314"/>
      <c r="AC20" s="314"/>
      <c r="AD20" s="314"/>
      <c r="AE20" s="314">
        <f t="shared" si="3"/>
        <v>0</v>
      </c>
      <c r="AF20" s="314"/>
      <c r="AG20" s="314"/>
      <c r="AH20" s="314"/>
      <c r="AI20" s="314"/>
      <c r="AJ20" s="314"/>
      <c r="AK20" s="314">
        <f t="shared" si="4"/>
        <v>0</v>
      </c>
      <c r="AL20" s="313" t="s">
        <v>742</v>
      </c>
      <c r="AM20" s="314"/>
      <c r="AN20" s="314"/>
      <c r="AO20" s="314"/>
      <c r="AP20" s="314"/>
      <c r="AQ20" s="314"/>
      <c r="AR20" s="314"/>
    </row>
    <row r="21">
      <c r="A21" s="312">
        <v>45387.797351747686</v>
      </c>
      <c r="B21" s="313" t="s">
        <v>741</v>
      </c>
      <c r="C21" s="313" t="s">
        <v>116</v>
      </c>
      <c r="D21" s="314"/>
      <c r="E21" s="314"/>
      <c r="F21" s="314"/>
      <c r="G21" s="313" t="s">
        <v>183</v>
      </c>
      <c r="H21" s="315">
        <v>45387.0</v>
      </c>
      <c r="I21" s="313" t="s">
        <v>556</v>
      </c>
      <c r="J21" s="313">
        <v>5.0</v>
      </c>
      <c r="K21" s="314"/>
      <c r="L21" s="313" t="s">
        <v>705</v>
      </c>
      <c r="M21" s="313" t="s">
        <v>715</v>
      </c>
      <c r="N21" s="313" t="s">
        <v>153</v>
      </c>
      <c r="O21" s="313">
        <v>3.0</v>
      </c>
      <c r="P21" s="313">
        <v>4.0</v>
      </c>
      <c r="Q21" s="313">
        <v>4.0</v>
      </c>
      <c r="R21" s="313" t="s">
        <v>743</v>
      </c>
      <c r="S21" s="316">
        <f t="shared" si="1"/>
        <v>3.666666667</v>
      </c>
      <c r="T21" s="313" t="s">
        <v>124</v>
      </c>
      <c r="U21" s="313">
        <v>3.0</v>
      </c>
      <c r="V21" s="313">
        <v>2.0</v>
      </c>
      <c r="W21" s="313">
        <v>3.0</v>
      </c>
      <c r="X21" s="313" t="s">
        <v>744</v>
      </c>
      <c r="Y21" s="313">
        <f t="shared" si="2"/>
        <v>2.666666667</v>
      </c>
      <c r="Z21" s="314"/>
      <c r="AA21" s="314"/>
      <c r="AB21" s="314"/>
      <c r="AC21" s="314"/>
      <c r="AD21" s="314"/>
      <c r="AE21" s="314">
        <f t="shared" si="3"/>
        <v>0</v>
      </c>
      <c r="AF21" s="314"/>
      <c r="AG21" s="314"/>
      <c r="AH21" s="314"/>
      <c r="AI21" s="314"/>
      <c r="AJ21" s="314"/>
      <c r="AK21" s="314">
        <f t="shared" si="4"/>
        <v>0</v>
      </c>
      <c r="AL21" s="314"/>
      <c r="AM21" s="314"/>
      <c r="AN21" s="314"/>
      <c r="AO21" s="314"/>
      <c r="AP21" s="314"/>
      <c r="AQ21" s="314"/>
      <c r="AR21" s="314"/>
    </row>
    <row r="22">
      <c r="A22" s="312">
        <v>45387.799923136576</v>
      </c>
      <c r="B22" s="313" t="s">
        <v>741</v>
      </c>
      <c r="C22" s="313" t="s">
        <v>116</v>
      </c>
      <c r="D22" s="314"/>
      <c r="E22" s="314"/>
      <c r="F22" s="314"/>
      <c r="G22" s="313" t="s">
        <v>177</v>
      </c>
      <c r="H22" s="315">
        <v>45387.0</v>
      </c>
      <c r="I22" s="313" t="s">
        <v>42</v>
      </c>
      <c r="J22" s="313">
        <v>5.0</v>
      </c>
      <c r="K22" s="314"/>
      <c r="L22" s="313" t="s">
        <v>705</v>
      </c>
      <c r="M22" s="313" t="s">
        <v>745</v>
      </c>
      <c r="N22" s="313" t="s">
        <v>178</v>
      </c>
      <c r="O22" s="313">
        <v>4.0</v>
      </c>
      <c r="P22" s="313">
        <v>4.0</v>
      </c>
      <c r="Q22" s="313">
        <v>4.0</v>
      </c>
      <c r="R22" s="313" t="s">
        <v>746</v>
      </c>
      <c r="S22" s="316">
        <f t="shared" si="1"/>
        <v>4</v>
      </c>
      <c r="T22" s="313" t="s">
        <v>179</v>
      </c>
      <c r="U22" s="313">
        <v>4.0</v>
      </c>
      <c r="V22" s="313">
        <v>4.0</v>
      </c>
      <c r="W22" s="313">
        <v>4.0</v>
      </c>
      <c r="X22" s="313" t="s">
        <v>746</v>
      </c>
      <c r="Y22" s="313">
        <f t="shared" si="2"/>
        <v>4</v>
      </c>
      <c r="Z22" s="314"/>
      <c r="AA22" s="314"/>
      <c r="AB22" s="314"/>
      <c r="AC22" s="314"/>
      <c r="AD22" s="314"/>
      <c r="AE22" s="314">
        <f t="shared" si="3"/>
        <v>0</v>
      </c>
      <c r="AF22" s="314"/>
      <c r="AG22" s="314"/>
      <c r="AH22" s="314"/>
      <c r="AI22" s="314"/>
      <c r="AJ22" s="314"/>
      <c r="AK22" s="314">
        <f t="shared" si="4"/>
        <v>0</v>
      </c>
      <c r="AL22" s="314"/>
      <c r="AM22" s="314"/>
      <c r="AN22" s="314"/>
      <c r="AO22" s="314"/>
      <c r="AP22" s="314"/>
      <c r="AQ22" s="314"/>
      <c r="AR22" s="314"/>
    </row>
    <row r="23">
      <c r="A23" s="312">
        <v>45387.802057928246</v>
      </c>
      <c r="B23" s="313" t="s">
        <v>741</v>
      </c>
      <c r="C23" s="313" t="s">
        <v>116</v>
      </c>
      <c r="D23" s="314"/>
      <c r="E23" s="314"/>
      <c r="F23" s="314"/>
      <c r="G23" s="313" t="s">
        <v>747</v>
      </c>
      <c r="H23" s="315">
        <v>45387.0</v>
      </c>
      <c r="I23" s="313" t="s">
        <v>42</v>
      </c>
      <c r="J23" s="313">
        <v>3.0</v>
      </c>
      <c r="K23" s="314"/>
      <c r="L23" s="313" t="s">
        <v>705</v>
      </c>
      <c r="M23" s="313" t="s">
        <v>706</v>
      </c>
      <c r="N23" s="313" t="s">
        <v>132</v>
      </c>
      <c r="O23" s="313">
        <v>2.0</v>
      </c>
      <c r="P23" s="313">
        <v>3.0</v>
      </c>
      <c r="Q23" s="313">
        <v>3.0</v>
      </c>
      <c r="R23" s="313" t="s">
        <v>748</v>
      </c>
      <c r="S23" s="316">
        <f t="shared" si="1"/>
        <v>2.666666667</v>
      </c>
      <c r="T23" s="313" t="s">
        <v>149</v>
      </c>
      <c r="U23" s="313">
        <v>2.0</v>
      </c>
      <c r="V23" s="313">
        <v>2.0</v>
      </c>
      <c r="W23" s="313">
        <v>3.0</v>
      </c>
      <c r="X23" s="313" t="s">
        <v>748</v>
      </c>
      <c r="Y23" s="313">
        <f t="shared" si="2"/>
        <v>2.333333333</v>
      </c>
      <c r="Z23" s="314"/>
      <c r="AA23" s="314"/>
      <c r="AB23" s="314"/>
      <c r="AC23" s="314"/>
      <c r="AD23" s="314"/>
      <c r="AE23" s="314">
        <f t="shared" si="3"/>
        <v>0</v>
      </c>
      <c r="AF23" s="314"/>
      <c r="AG23" s="314"/>
      <c r="AH23" s="314"/>
      <c r="AI23" s="314"/>
      <c r="AJ23" s="314"/>
      <c r="AK23" s="314">
        <f t="shared" si="4"/>
        <v>0</v>
      </c>
      <c r="AL23" s="314"/>
      <c r="AM23" s="314"/>
      <c r="AN23" s="314"/>
      <c r="AO23" s="314"/>
      <c r="AP23" s="314"/>
      <c r="AQ23" s="314"/>
      <c r="AR23" s="314"/>
    </row>
    <row r="24" hidden="1">
      <c r="A24" s="302">
        <v>45388.48012152778</v>
      </c>
      <c r="B24" s="96" t="s">
        <v>749</v>
      </c>
      <c r="C24" s="96" t="s">
        <v>44</v>
      </c>
      <c r="D24" s="96" t="s">
        <v>79</v>
      </c>
      <c r="H24" s="308">
        <v>45387.0</v>
      </c>
      <c r="I24" s="96" t="s">
        <v>556</v>
      </c>
      <c r="J24" s="96">
        <v>4.0</v>
      </c>
      <c r="K24" s="96" t="s">
        <v>750</v>
      </c>
      <c r="L24" s="96" t="s">
        <v>690</v>
      </c>
      <c r="M24" s="96" t="s">
        <v>691</v>
      </c>
      <c r="N24" s="96" t="s">
        <v>77</v>
      </c>
      <c r="O24" s="96">
        <v>3.0</v>
      </c>
      <c r="P24" s="96">
        <v>4.0</v>
      </c>
      <c r="Q24" s="96">
        <v>4.0</v>
      </c>
      <c r="S24" s="309">
        <f t="shared" si="1"/>
        <v>3.666666667</v>
      </c>
      <c r="T24" s="96" t="s">
        <v>82</v>
      </c>
      <c r="U24" s="96">
        <v>4.0</v>
      </c>
      <c r="V24" s="96">
        <v>3.0</v>
      </c>
      <c r="W24" s="96">
        <v>5.0</v>
      </c>
      <c r="Y24" s="96">
        <f t="shared" si="2"/>
        <v>4</v>
      </c>
      <c r="AE24" s="93">
        <f t="shared" si="3"/>
        <v>0</v>
      </c>
      <c r="AK24" s="93">
        <f t="shared" si="4"/>
        <v>0</v>
      </c>
    </row>
    <row r="25">
      <c r="A25" s="312">
        <v>45388.70685059028</v>
      </c>
      <c r="B25" s="313" t="s">
        <v>751</v>
      </c>
      <c r="C25" s="313" t="s">
        <v>116</v>
      </c>
      <c r="D25" s="314"/>
      <c r="E25" s="314"/>
      <c r="F25" s="314"/>
      <c r="G25" s="313" t="s">
        <v>185</v>
      </c>
      <c r="H25" s="315">
        <v>45387.0</v>
      </c>
      <c r="I25" s="313" t="s">
        <v>42</v>
      </c>
      <c r="J25" s="313">
        <v>3.0</v>
      </c>
      <c r="K25" s="313" t="s">
        <v>752</v>
      </c>
      <c r="L25" s="313" t="s">
        <v>705</v>
      </c>
      <c r="M25" s="313" t="s">
        <v>715</v>
      </c>
      <c r="N25" s="313" t="s">
        <v>132</v>
      </c>
      <c r="O25" s="313">
        <v>3.0</v>
      </c>
      <c r="P25" s="313">
        <v>3.0</v>
      </c>
      <c r="Q25" s="313">
        <v>2.0</v>
      </c>
      <c r="R25" s="313" t="s">
        <v>753</v>
      </c>
      <c r="S25" s="316">
        <f t="shared" si="1"/>
        <v>2.666666667</v>
      </c>
      <c r="T25" s="313" t="s">
        <v>157</v>
      </c>
      <c r="U25" s="313">
        <v>3.0</v>
      </c>
      <c r="V25" s="313">
        <v>3.0</v>
      </c>
      <c r="W25" s="313">
        <v>2.0</v>
      </c>
      <c r="X25" s="313" t="s">
        <v>753</v>
      </c>
      <c r="Y25" s="313">
        <f t="shared" si="2"/>
        <v>2.666666667</v>
      </c>
      <c r="Z25" s="314"/>
      <c r="AA25" s="314"/>
      <c r="AB25" s="314"/>
      <c r="AC25" s="314"/>
      <c r="AD25" s="314"/>
      <c r="AE25" s="314">
        <f t="shared" si="3"/>
        <v>0</v>
      </c>
      <c r="AF25" s="314"/>
      <c r="AG25" s="314"/>
      <c r="AH25" s="314"/>
      <c r="AI25" s="314"/>
      <c r="AJ25" s="314"/>
      <c r="AK25" s="314">
        <f t="shared" si="4"/>
        <v>0</v>
      </c>
      <c r="AL25" s="314"/>
      <c r="AM25" s="314"/>
      <c r="AN25" s="314"/>
      <c r="AO25" s="314"/>
      <c r="AP25" s="314"/>
      <c r="AQ25" s="314"/>
      <c r="AR25" s="314"/>
    </row>
    <row r="26">
      <c r="A26" s="312">
        <v>45388.720197800925</v>
      </c>
      <c r="B26" s="313" t="s">
        <v>751</v>
      </c>
      <c r="C26" s="313" t="s">
        <v>116</v>
      </c>
      <c r="D26" s="314"/>
      <c r="E26" s="314"/>
      <c r="F26" s="314"/>
      <c r="G26" s="313" t="s">
        <v>754</v>
      </c>
      <c r="H26" s="315">
        <v>45387.0</v>
      </c>
      <c r="I26" s="313" t="s">
        <v>556</v>
      </c>
      <c r="J26" s="314"/>
      <c r="K26" s="314"/>
      <c r="L26" s="313" t="s">
        <v>690</v>
      </c>
      <c r="M26" s="314"/>
      <c r="N26" s="313" t="s">
        <v>119</v>
      </c>
      <c r="O26" s="313">
        <v>4.0</v>
      </c>
      <c r="P26" s="313">
        <v>3.0</v>
      </c>
      <c r="Q26" s="313">
        <v>2.0</v>
      </c>
      <c r="R26" s="313" t="s">
        <v>755</v>
      </c>
      <c r="S26" s="316">
        <f t="shared" si="1"/>
        <v>3</v>
      </c>
      <c r="T26" s="314"/>
      <c r="U26" s="314"/>
      <c r="V26" s="314"/>
      <c r="W26" s="314"/>
      <c r="X26" s="314"/>
      <c r="Y26" s="313">
        <f t="shared" si="2"/>
        <v>0</v>
      </c>
      <c r="Z26" s="314"/>
      <c r="AA26" s="314"/>
      <c r="AB26" s="314"/>
      <c r="AC26" s="314"/>
      <c r="AD26" s="314"/>
      <c r="AE26" s="314">
        <f t="shared" si="3"/>
        <v>0</v>
      </c>
      <c r="AF26" s="314"/>
      <c r="AG26" s="314"/>
      <c r="AH26" s="314"/>
      <c r="AI26" s="314"/>
      <c r="AJ26" s="314"/>
      <c r="AK26" s="314">
        <f t="shared" si="4"/>
        <v>0</v>
      </c>
      <c r="AL26" s="314"/>
      <c r="AM26" s="314"/>
      <c r="AN26" s="314"/>
      <c r="AO26" s="314"/>
      <c r="AP26" s="314"/>
      <c r="AQ26" s="314"/>
      <c r="AR26" s="314"/>
    </row>
    <row r="27">
      <c r="A27" s="312">
        <v>45388.730783611114</v>
      </c>
      <c r="B27" s="313" t="s">
        <v>751</v>
      </c>
      <c r="C27" s="313" t="s">
        <v>116</v>
      </c>
      <c r="D27" s="314"/>
      <c r="E27" s="314"/>
      <c r="F27" s="314"/>
      <c r="G27" s="313" t="s">
        <v>756</v>
      </c>
      <c r="H27" s="315">
        <v>45387.0</v>
      </c>
      <c r="I27" s="313" t="s">
        <v>42</v>
      </c>
      <c r="J27" s="313">
        <v>4.0</v>
      </c>
      <c r="K27" s="313" t="s">
        <v>757</v>
      </c>
      <c r="L27" s="313" t="s">
        <v>705</v>
      </c>
      <c r="M27" s="313" t="s">
        <v>706</v>
      </c>
      <c r="N27" s="313" t="s">
        <v>168</v>
      </c>
      <c r="O27" s="313">
        <v>3.0</v>
      </c>
      <c r="P27" s="313">
        <v>4.0</v>
      </c>
      <c r="Q27" s="313">
        <v>4.0</v>
      </c>
      <c r="R27" s="313" t="s">
        <v>758</v>
      </c>
      <c r="S27" s="316">
        <f t="shared" si="1"/>
        <v>3.666666667</v>
      </c>
      <c r="T27" s="313" t="s">
        <v>123</v>
      </c>
      <c r="U27" s="313">
        <v>3.0</v>
      </c>
      <c r="V27" s="313">
        <v>4.0</v>
      </c>
      <c r="W27" s="313">
        <v>4.0</v>
      </c>
      <c r="X27" s="313" t="s">
        <v>759</v>
      </c>
      <c r="Y27" s="313">
        <f t="shared" si="2"/>
        <v>3.666666667</v>
      </c>
      <c r="Z27" s="314"/>
      <c r="AA27" s="314"/>
      <c r="AB27" s="314"/>
      <c r="AC27" s="314"/>
      <c r="AD27" s="314"/>
      <c r="AE27" s="314">
        <f t="shared" si="3"/>
        <v>0</v>
      </c>
      <c r="AF27" s="314"/>
      <c r="AG27" s="314"/>
      <c r="AH27" s="314"/>
      <c r="AI27" s="314"/>
      <c r="AJ27" s="314"/>
      <c r="AK27" s="314">
        <f t="shared" si="4"/>
        <v>0</v>
      </c>
      <c r="AL27" s="314"/>
      <c r="AM27" s="314"/>
      <c r="AN27" s="314"/>
      <c r="AO27" s="314"/>
      <c r="AP27" s="314"/>
      <c r="AQ27" s="314"/>
      <c r="AR27" s="314"/>
    </row>
    <row r="28">
      <c r="A28" s="312">
        <v>45388.73851972222</v>
      </c>
      <c r="B28" s="313" t="s">
        <v>751</v>
      </c>
      <c r="C28" s="313" t="s">
        <v>116</v>
      </c>
      <c r="D28" s="314"/>
      <c r="E28" s="314"/>
      <c r="F28" s="314"/>
      <c r="G28" s="313" t="s">
        <v>760</v>
      </c>
      <c r="H28" s="315">
        <v>45387.0</v>
      </c>
      <c r="I28" s="313" t="s">
        <v>42</v>
      </c>
      <c r="J28" s="313">
        <v>3.0</v>
      </c>
      <c r="K28" s="313" t="s">
        <v>761</v>
      </c>
      <c r="L28" s="313" t="s">
        <v>705</v>
      </c>
      <c r="M28" s="313" t="s">
        <v>715</v>
      </c>
      <c r="N28" s="313" t="s">
        <v>168</v>
      </c>
      <c r="O28" s="313">
        <v>4.0</v>
      </c>
      <c r="P28" s="313">
        <v>3.0</v>
      </c>
      <c r="Q28" s="313">
        <v>3.0</v>
      </c>
      <c r="R28" s="313" t="s">
        <v>762</v>
      </c>
      <c r="S28" s="316">
        <f t="shared" si="1"/>
        <v>3.333333333</v>
      </c>
      <c r="T28" s="314"/>
      <c r="U28" s="314"/>
      <c r="V28" s="314"/>
      <c r="W28" s="314"/>
      <c r="X28" s="314"/>
      <c r="Y28" s="313">
        <f t="shared" si="2"/>
        <v>0</v>
      </c>
      <c r="Z28" s="314"/>
      <c r="AA28" s="314"/>
      <c r="AB28" s="314"/>
      <c r="AC28" s="314"/>
      <c r="AD28" s="314"/>
      <c r="AE28" s="314">
        <f t="shared" si="3"/>
        <v>0</v>
      </c>
      <c r="AF28" s="314"/>
      <c r="AG28" s="314"/>
      <c r="AH28" s="314"/>
      <c r="AI28" s="314"/>
      <c r="AJ28" s="314"/>
      <c r="AK28" s="314">
        <f t="shared" si="4"/>
        <v>0</v>
      </c>
      <c r="AL28" s="314"/>
      <c r="AM28" s="314"/>
      <c r="AN28" s="314"/>
      <c r="AO28" s="314"/>
      <c r="AP28" s="314"/>
      <c r="AQ28" s="314"/>
      <c r="AR28" s="314"/>
    </row>
    <row r="29">
      <c r="A29" s="312">
        <v>45388.74451583333</v>
      </c>
      <c r="B29" s="313" t="s">
        <v>751</v>
      </c>
      <c r="C29" s="313" t="s">
        <v>116</v>
      </c>
      <c r="D29" s="314"/>
      <c r="E29" s="314"/>
      <c r="F29" s="314"/>
      <c r="G29" s="313" t="s">
        <v>763</v>
      </c>
      <c r="H29" s="315">
        <v>45387.0</v>
      </c>
      <c r="I29" s="313" t="s">
        <v>42</v>
      </c>
      <c r="J29" s="313">
        <v>4.0</v>
      </c>
      <c r="K29" s="313" t="s">
        <v>764</v>
      </c>
      <c r="L29" s="313" t="s">
        <v>705</v>
      </c>
      <c r="M29" s="313" t="s">
        <v>715</v>
      </c>
      <c r="N29" s="313" t="s">
        <v>123</v>
      </c>
      <c r="O29" s="313">
        <v>4.0</v>
      </c>
      <c r="P29" s="313">
        <v>4.0</v>
      </c>
      <c r="Q29" s="313">
        <v>3.0</v>
      </c>
      <c r="R29" s="313" t="s">
        <v>765</v>
      </c>
      <c r="S29" s="316">
        <f t="shared" si="1"/>
        <v>3.666666667</v>
      </c>
      <c r="T29" s="314"/>
      <c r="U29" s="314"/>
      <c r="V29" s="314"/>
      <c r="W29" s="314"/>
      <c r="X29" s="314"/>
      <c r="Y29" s="313">
        <f t="shared" si="2"/>
        <v>0</v>
      </c>
      <c r="Z29" s="314"/>
      <c r="AA29" s="314"/>
      <c r="AB29" s="314"/>
      <c r="AC29" s="314"/>
      <c r="AD29" s="314"/>
      <c r="AE29" s="314">
        <f t="shared" si="3"/>
        <v>0</v>
      </c>
      <c r="AF29" s="314"/>
      <c r="AG29" s="314"/>
      <c r="AH29" s="314"/>
      <c r="AI29" s="314"/>
      <c r="AJ29" s="314"/>
      <c r="AK29" s="314">
        <f t="shared" si="4"/>
        <v>0</v>
      </c>
      <c r="AL29" s="314"/>
      <c r="AM29" s="314"/>
      <c r="AN29" s="314"/>
      <c r="AO29" s="314"/>
      <c r="AP29" s="314"/>
      <c r="AQ29" s="314"/>
      <c r="AR29" s="314"/>
    </row>
    <row r="30">
      <c r="A30" s="312">
        <v>45389.052075451385</v>
      </c>
      <c r="B30" s="313" t="s">
        <v>766</v>
      </c>
      <c r="C30" s="313" t="s">
        <v>116</v>
      </c>
      <c r="D30" s="314"/>
      <c r="E30" s="314"/>
      <c r="F30" s="314"/>
      <c r="G30" s="313" t="s">
        <v>767</v>
      </c>
      <c r="H30" s="315">
        <v>45387.0</v>
      </c>
      <c r="I30" s="313" t="s">
        <v>42</v>
      </c>
      <c r="J30" s="313">
        <v>3.0</v>
      </c>
      <c r="K30" s="313" t="s">
        <v>768</v>
      </c>
      <c r="L30" s="313" t="s">
        <v>690</v>
      </c>
      <c r="M30" s="313" t="s">
        <v>691</v>
      </c>
      <c r="N30" s="313" t="s">
        <v>159</v>
      </c>
      <c r="O30" s="313">
        <v>3.0</v>
      </c>
      <c r="P30" s="313">
        <v>2.0</v>
      </c>
      <c r="Q30" s="313">
        <v>2.0</v>
      </c>
      <c r="R30" s="313" t="s">
        <v>769</v>
      </c>
      <c r="S30" s="316">
        <f t="shared" si="1"/>
        <v>2.333333333</v>
      </c>
      <c r="T30" s="314"/>
      <c r="U30" s="314"/>
      <c r="V30" s="314"/>
      <c r="W30" s="314"/>
      <c r="X30" s="314"/>
      <c r="Y30" s="313">
        <f t="shared" si="2"/>
        <v>0</v>
      </c>
      <c r="Z30" s="314"/>
      <c r="AA30" s="314"/>
      <c r="AB30" s="314"/>
      <c r="AC30" s="314"/>
      <c r="AD30" s="314"/>
      <c r="AE30" s="314">
        <f t="shared" si="3"/>
        <v>0</v>
      </c>
      <c r="AF30" s="314"/>
      <c r="AG30" s="314"/>
      <c r="AH30" s="314"/>
      <c r="AI30" s="314"/>
      <c r="AJ30" s="314"/>
      <c r="AK30" s="314">
        <f t="shared" si="4"/>
        <v>0</v>
      </c>
      <c r="AL30" s="314"/>
      <c r="AM30" s="314"/>
      <c r="AN30" s="314"/>
      <c r="AO30" s="314"/>
      <c r="AP30" s="314"/>
      <c r="AQ30" s="314"/>
      <c r="AR30" s="314"/>
    </row>
    <row r="31">
      <c r="A31" s="312">
        <v>45389.05657497685</v>
      </c>
      <c r="B31" s="313" t="s">
        <v>766</v>
      </c>
      <c r="C31" s="313" t="s">
        <v>116</v>
      </c>
      <c r="D31" s="314"/>
      <c r="E31" s="314"/>
      <c r="F31" s="314"/>
      <c r="G31" s="313" t="s">
        <v>770</v>
      </c>
      <c r="H31" s="315">
        <v>45387.0</v>
      </c>
      <c r="I31" s="313" t="s">
        <v>42</v>
      </c>
      <c r="J31" s="313">
        <v>4.0</v>
      </c>
      <c r="K31" s="313" t="s">
        <v>771</v>
      </c>
      <c r="L31" s="313" t="s">
        <v>705</v>
      </c>
      <c r="M31" s="313" t="s">
        <v>715</v>
      </c>
      <c r="N31" s="313" t="s">
        <v>143</v>
      </c>
      <c r="O31" s="313">
        <v>3.0</v>
      </c>
      <c r="P31" s="313">
        <v>4.0</v>
      </c>
      <c r="Q31" s="313">
        <v>4.0</v>
      </c>
      <c r="R31" s="313" t="s">
        <v>772</v>
      </c>
      <c r="S31" s="316">
        <f t="shared" si="1"/>
        <v>3.666666667</v>
      </c>
      <c r="T31" s="313" t="s">
        <v>153</v>
      </c>
      <c r="U31" s="313">
        <v>3.0</v>
      </c>
      <c r="V31" s="313">
        <v>4.0</v>
      </c>
      <c r="W31" s="313">
        <v>4.0</v>
      </c>
      <c r="X31" s="313" t="s">
        <v>773</v>
      </c>
      <c r="Y31" s="313">
        <f t="shared" si="2"/>
        <v>3.666666667</v>
      </c>
      <c r="Z31" s="314"/>
      <c r="AA31" s="314"/>
      <c r="AB31" s="314"/>
      <c r="AC31" s="314"/>
      <c r="AD31" s="314"/>
      <c r="AE31" s="314">
        <f t="shared" si="3"/>
        <v>0</v>
      </c>
      <c r="AF31" s="314"/>
      <c r="AG31" s="314"/>
      <c r="AH31" s="314"/>
      <c r="AI31" s="314"/>
      <c r="AJ31" s="314"/>
      <c r="AK31" s="314">
        <f t="shared" si="4"/>
        <v>0</v>
      </c>
      <c r="AL31" s="314"/>
      <c r="AM31" s="314"/>
      <c r="AN31" s="314"/>
      <c r="AO31" s="314"/>
      <c r="AP31" s="314"/>
      <c r="AQ31" s="314"/>
      <c r="AR31" s="314"/>
    </row>
    <row r="32">
      <c r="A32" s="312">
        <v>45389.05806797453</v>
      </c>
      <c r="B32" s="313" t="s">
        <v>766</v>
      </c>
      <c r="C32" s="313" t="s">
        <v>116</v>
      </c>
      <c r="D32" s="314"/>
      <c r="E32" s="314"/>
      <c r="F32" s="314"/>
      <c r="G32" s="313" t="s">
        <v>774</v>
      </c>
      <c r="H32" s="315">
        <v>45387.0</v>
      </c>
      <c r="I32" s="313" t="s">
        <v>42</v>
      </c>
      <c r="J32" s="313">
        <v>5.0</v>
      </c>
      <c r="K32" s="313" t="s">
        <v>775</v>
      </c>
      <c r="L32" s="313" t="s">
        <v>705</v>
      </c>
      <c r="M32" s="313" t="s">
        <v>745</v>
      </c>
      <c r="N32" s="313" t="s">
        <v>193</v>
      </c>
      <c r="O32" s="313">
        <v>4.0</v>
      </c>
      <c r="P32" s="313">
        <v>4.0</v>
      </c>
      <c r="Q32" s="313">
        <v>3.0</v>
      </c>
      <c r="R32" s="313" t="s">
        <v>776</v>
      </c>
      <c r="S32" s="316">
        <f t="shared" si="1"/>
        <v>3.666666667</v>
      </c>
      <c r="T32" s="313" t="s">
        <v>153</v>
      </c>
      <c r="U32" s="313">
        <v>3.0</v>
      </c>
      <c r="V32" s="313">
        <v>3.0</v>
      </c>
      <c r="W32" s="313">
        <v>3.0</v>
      </c>
      <c r="X32" s="313" t="s">
        <v>777</v>
      </c>
      <c r="Y32" s="313">
        <f t="shared" si="2"/>
        <v>3</v>
      </c>
      <c r="Z32" s="314"/>
      <c r="AA32" s="314"/>
      <c r="AB32" s="314"/>
      <c r="AC32" s="314"/>
      <c r="AD32" s="314"/>
      <c r="AE32" s="314">
        <f t="shared" si="3"/>
        <v>0</v>
      </c>
      <c r="AF32" s="314"/>
      <c r="AG32" s="314"/>
      <c r="AH32" s="314"/>
      <c r="AI32" s="314"/>
      <c r="AJ32" s="314"/>
      <c r="AK32" s="314">
        <f t="shared" si="4"/>
        <v>0</v>
      </c>
      <c r="AL32" s="314"/>
      <c r="AM32" s="314"/>
      <c r="AN32" s="314"/>
      <c r="AO32" s="314"/>
      <c r="AP32" s="314"/>
      <c r="AQ32" s="314"/>
      <c r="AR32" s="314"/>
    </row>
    <row r="33" hidden="1">
      <c r="A33" s="302">
        <v>45389.644595844904</v>
      </c>
      <c r="B33" s="96" t="s">
        <v>778</v>
      </c>
      <c r="C33" s="96" t="s">
        <v>187</v>
      </c>
      <c r="F33" s="96" t="s">
        <v>186</v>
      </c>
      <c r="H33" s="308">
        <v>45387.0</v>
      </c>
      <c r="I33" s="96" t="s">
        <v>42</v>
      </c>
      <c r="J33" s="96">
        <v>3.0</v>
      </c>
      <c r="K33" s="96" t="s">
        <v>779</v>
      </c>
      <c r="L33" s="96" t="s">
        <v>705</v>
      </c>
      <c r="M33" s="96" t="s">
        <v>715</v>
      </c>
      <c r="N33" s="96" t="s">
        <v>192</v>
      </c>
      <c r="O33" s="96">
        <v>3.0</v>
      </c>
      <c r="P33" s="96">
        <v>3.0</v>
      </c>
      <c r="Q33" s="96">
        <v>3.0</v>
      </c>
      <c r="R33" s="96" t="s">
        <v>780</v>
      </c>
      <c r="S33" s="309">
        <f t="shared" si="1"/>
        <v>3</v>
      </c>
      <c r="Y33" s="96">
        <f t="shared" si="2"/>
        <v>0</v>
      </c>
      <c r="AE33" s="93">
        <f t="shared" si="3"/>
        <v>0</v>
      </c>
      <c r="AK33" s="93">
        <f t="shared" si="4"/>
        <v>0</v>
      </c>
    </row>
    <row r="34" hidden="1">
      <c r="A34" s="302">
        <v>45389.64713806713</v>
      </c>
      <c r="B34" s="96" t="s">
        <v>778</v>
      </c>
      <c r="C34" s="96" t="s">
        <v>187</v>
      </c>
      <c r="F34" s="96" t="s">
        <v>194</v>
      </c>
      <c r="H34" s="308">
        <v>45387.0</v>
      </c>
      <c r="I34" s="96" t="s">
        <v>42</v>
      </c>
      <c r="J34" s="96">
        <v>4.0</v>
      </c>
      <c r="K34" s="96" t="s">
        <v>781</v>
      </c>
      <c r="L34" s="96" t="s">
        <v>705</v>
      </c>
      <c r="M34" s="96" t="s">
        <v>745</v>
      </c>
      <c r="N34" s="96" t="s">
        <v>193</v>
      </c>
      <c r="O34" s="96">
        <v>3.0</v>
      </c>
      <c r="P34" s="96">
        <v>4.0</v>
      </c>
      <c r="Q34" s="96">
        <v>3.0</v>
      </c>
      <c r="R34" s="96" t="s">
        <v>782</v>
      </c>
      <c r="S34" s="309">
        <f t="shared" si="1"/>
        <v>3.333333333</v>
      </c>
      <c r="Y34" s="96">
        <f t="shared" si="2"/>
        <v>0</v>
      </c>
      <c r="AE34" s="93">
        <f t="shared" si="3"/>
        <v>0</v>
      </c>
      <c r="AK34" s="93">
        <f t="shared" si="4"/>
        <v>0</v>
      </c>
    </row>
    <row r="35" hidden="1">
      <c r="A35" s="302">
        <v>45389.64940784722</v>
      </c>
      <c r="B35" s="96" t="s">
        <v>778</v>
      </c>
      <c r="C35" s="96" t="s">
        <v>187</v>
      </c>
      <c r="F35" s="96" t="s">
        <v>783</v>
      </c>
      <c r="H35" s="308">
        <v>45387.0</v>
      </c>
      <c r="I35" s="96" t="s">
        <v>42</v>
      </c>
      <c r="J35" s="96">
        <v>5.0</v>
      </c>
      <c r="K35" s="96" t="s">
        <v>784</v>
      </c>
      <c r="L35" s="96" t="s">
        <v>705</v>
      </c>
      <c r="M35" s="96" t="s">
        <v>715</v>
      </c>
      <c r="N35" s="96" t="s">
        <v>243</v>
      </c>
      <c r="O35" s="96">
        <v>4.0</v>
      </c>
      <c r="P35" s="96">
        <v>4.0</v>
      </c>
      <c r="Q35" s="96">
        <v>4.0</v>
      </c>
      <c r="R35" s="96" t="s">
        <v>785</v>
      </c>
      <c r="S35" s="309">
        <f t="shared" si="1"/>
        <v>4</v>
      </c>
      <c r="T35" s="96" t="s">
        <v>334</v>
      </c>
      <c r="U35" s="96">
        <v>3.0</v>
      </c>
      <c r="V35" s="96">
        <v>4.0</v>
      </c>
      <c r="W35" s="96">
        <v>3.0</v>
      </c>
      <c r="X35" s="96" t="s">
        <v>786</v>
      </c>
      <c r="Y35" s="96">
        <f t="shared" si="2"/>
        <v>3.333333333</v>
      </c>
      <c r="AE35" s="93">
        <f t="shared" si="3"/>
        <v>0</v>
      </c>
      <c r="AK35" s="93">
        <f t="shared" si="4"/>
        <v>0</v>
      </c>
    </row>
    <row r="36" hidden="1">
      <c r="A36" s="302">
        <v>45389.65423398148</v>
      </c>
      <c r="B36" s="96" t="s">
        <v>778</v>
      </c>
      <c r="C36" s="96" t="s">
        <v>187</v>
      </c>
      <c r="F36" s="96" t="s">
        <v>787</v>
      </c>
      <c r="H36" s="308">
        <v>45387.0</v>
      </c>
      <c r="I36" s="96" t="s">
        <v>42</v>
      </c>
      <c r="J36" s="96">
        <v>4.0</v>
      </c>
      <c r="K36" s="96" t="s">
        <v>788</v>
      </c>
      <c r="L36" s="96" t="s">
        <v>705</v>
      </c>
      <c r="M36" s="96" t="s">
        <v>715</v>
      </c>
      <c r="N36" s="96" t="s">
        <v>227</v>
      </c>
      <c r="O36" s="96">
        <v>4.0</v>
      </c>
      <c r="P36" s="96">
        <v>4.0</v>
      </c>
      <c r="Q36" s="96">
        <v>2.0</v>
      </c>
      <c r="R36" s="96" t="s">
        <v>789</v>
      </c>
      <c r="S36" s="309">
        <f t="shared" si="1"/>
        <v>3.333333333</v>
      </c>
      <c r="T36" s="96" t="s">
        <v>253</v>
      </c>
      <c r="U36" s="96">
        <v>3.0</v>
      </c>
      <c r="V36" s="96">
        <v>2.0</v>
      </c>
      <c r="W36" s="96">
        <v>2.0</v>
      </c>
      <c r="X36" s="96" t="s">
        <v>790</v>
      </c>
      <c r="Y36" s="96">
        <f t="shared" si="2"/>
        <v>2.333333333</v>
      </c>
      <c r="AE36" s="93">
        <f t="shared" si="3"/>
        <v>0</v>
      </c>
      <c r="AK36" s="93">
        <f t="shared" si="4"/>
        <v>0</v>
      </c>
    </row>
    <row r="37" hidden="1">
      <c r="A37" s="302">
        <v>45389.65585917824</v>
      </c>
      <c r="B37" s="96" t="s">
        <v>778</v>
      </c>
      <c r="C37" s="96" t="s">
        <v>187</v>
      </c>
      <c r="F37" s="96" t="s">
        <v>791</v>
      </c>
      <c r="H37" s="308">
        <v>45387.0</v>
      </c>
      <c r="I37" s="96" t="s">
        <v>556</v>
      </c>
      <c r="J37" s="96">
        <v>3.0</v>
      </c>
      <c r="K37" s="96" t="s">
        <v>792</v>
      </c>
      <c r="L37" s="96" t="s">
        <v>705</v>
      </c>
      <c r="M37" s="96" t="s">
        <v>706</v>
      </c>
      <c r="N37" s="96" t="s">
        <v>243</v>
      </c>
      <c r="O37" s="96">
        <v>3.0</v>
      </c>
      <c r="P37" s="96">
        <v>3.0</v>
      </c>
      <c r="Q37" s="96">
        <v>3.0</v>
      </c>
      <c r="S37" s="309">
        <f t="shared" si="1"/>
        <v>3</v>
      </c>
      <c r="T37" s="96" t="s">
        <v>241</v>
      </c>
      <c r="U37" s="96">
        <v>3.0</v>
      </c>
      <c r="V37" s="96">
        <v>2.0</v>
      </c>
      <c r="W37" s="96">
        <v>2.0</v>
      </c>
      <c r="X37" s="96" t="s">
        <v>793</v>
      </c>
      <c r="Y37" s="96">
        <f t="shared" si="2"/>
        <v>2.333333333</v>
      </c>
      <c r="AE37" s="93">
        <f t="shared" si="3"/>
        <v>0</v>
      </c>
      <c r="AK37" s="93">
        <f t="shared" si="4"/>
        <v>0</v>
      </c>
    </row>
    <row r="38" hidden="1">
      <c r="A38" s="302">
        <v>45389.657005347224</v>
      </c>
      <c r="B38" s="96" t="s">
        <v>778</v>
      </c>
      <c r="C38" s="96" t="s">
        <v>187</v>
      </c>
      <c r="F38" s="96" t="s">
        <v>794</v>
      </c>
      <c r="H38" s="308">
        <v>45387.0</v>
      </c>
      <c r="I38" s="96" t="s">
        <v>42</v>
      </c>
      <c r="J38" s="96">
        <v>4.0</v>
      </c>
      <c r="K38" s="96" t="s">
        <v>795</v>
      </c>
      <c r="L38" s="96" t="s">
        <v>705</v>
      </c>
      <c r="M38" s="96" t="s">
        <v>715</v>
      </c>
      <c r="N38" s="96" t="s">
        <v>247</v>
      </c>
      <c r="O38" s="96">
        <v>4.0</v>
      </c>
      <c r="P38" s="96">
        <v>3.0</v>
      </c>
      <c r="Q38" s="96">
        <v>4.0</v>
      </c>
      <c r="R38" s="96" t="s">
        <v>796</v>
      </c>
      <c r="S38" s="309">
        <f t="shared" si="1"/>
        <v>3.666666667</v>
      </c>
      <c r="Y38" s="96">
        <f t="shared" si="2"/>
        <v>0</v>
      </c>
      <c r="AE38" s="93">
        <f t="shared" si="3"/>
        <v>0</v>
      </c>
      <c r="AK38" s="93">
        <f t="shared" si="4"/>
        <v>0</v>
      </c>
    </row>
    <row r="39" hidden="1">
      <c r="A39" s="302">
        <v>45389.65869763889</v>
      </c>
      <c r="B39" s="96" t="s">
        <v>778</v>
      </c>
      <c r="C39" s="96" t="s">
        <v>187</v>
      </c>
      <c r="F39" s="96" t="s">
        <v>797</v>
      </c>
      <c r="H39" s="308">
        <v>45387.0</v>
      </c>
      <c r="I39" s="96" t="s">
        <v>42</v>
      </c>
      <c r="J39" s="96">
        <v>4.0</v>
      </c>
      <c r="K39" s="96" t="s">
        <v>798</v>
      </c>
      <c r="L39" s="96" t="s">
        <v>705</v>
      </c>
      <c r="M39" s="96" t="s">
        <v>715</v>
      </c>
      <c r="N39" s="96" t="s">
        <v>235</v>
      </c>
      <c r="O39" s="96">
        <v>3.0</v>
      </c>
      <c r="P39" s="96">
        <v>2.0</v>
      </c>
      <c r="Q39" s="96">
        <v>3.0</v>
      </c>
      <c r="R39" s="96" t="s">
        <v>799</v>
      </c>
      <c r="S39" s="309">
        <f t="shared" si="1"/>
        <v>2.666666667</v>
      </c>
      <c r="Y39" s="96">
        <f t="shared" si="2"/>
        <v>0</v>
      </c>
      <c r="AE39" s="93">
        <f t="shared" si="3"/>
        <v>0</v>
      </c>
      <c r="AK39" s="93">
        <f t="shared" si="4"/>
        <v>0</v>
      </c>
    </row>
    <row r="40" hidden="1">
      <c r="A40" s="302">
        <v>45389.66118674769</v>
      </c>
      <c r="B40" s="96" t="s">
        <v>778</v>
      </c>
      <c r="C40" s="96" t="s">
        <v>187</v>
      </c>
      <c r="F40" s="96" t="s">
        <v>226</v>
      </c>
      <c r="H40" s="308">
        <v>45387.0</v>
      </c>
      <c r="I40" s="96" t="s">
        <v>556</v>
      </c>
      <c r="J40" s="96">
        <v>2.0</v>
      </c>
      <c r="K40" s="96" t="s">
        <v>800</v>
      </c>
      <c r="L40" s="96" t="s">
        <v>690</v>
      </c>
      <c r="M40" s="96" t="s">
        <v>691</v>
      </c>
      <c r="N40" s="96" t="s">
        <v>227</v>
      </c>
      <c r="O40" s="96">
        <v>3.0</v>
      </c>
      <c r="P40" s="96">
        <v>3.0</v>
      </c>
      <c r="Q40" s="96">
        <v>3.0</v>
      </c>
      <c r="S40" s="309">
        <f t="shared" si="1"/>
        <v>3</v>
      </c>
      <c r="Y40" s="96">
        <f t="shared" si="2"/>
        <v>0</v>
      </c>
      <c r="AE40" s="93">
        <f t="shared" si="3"/>
        <v>0</v>
      </c>
      <c r="AK40" s="93">
        <f t="shared" si="4"/>
        <v>0</v>
      </c>
    </row>
    <row r="41" hidden="1">
      <c r="A41" s="302">
        <v>45389.825833634255</v>
      </c>
      <c r="B41" s="96" t="s">
        <v>645</v>
      </c>
      <c r="C41" s="96" t="s">
        <v>44</v>
      </c>
      <c r="D41" s="96" t="s">
        <v>108</v>
      </c>
      <c r="H41" s="308">
        <v>45387.0</v>
      </c>
      <c r="I41" s="96" t="s">
        <v>42</v>
      </c>
      <c r="J41" s="96">
        <v>5.0</v>
      </c>
      <c r="K41" s="96" t="s">
        <v>801</v>
      </c>
      <c r="L41" s="96" t="s">
        <v>705</v>
      </c>
      <c r="M41" s="96" t="s">
        <v>706</v>
      </c>
      <c r="N41" s="96" t="s">
        <v>91</v>
      </c>
      <c r="O41" s="96">
        <v>5.0</v>
      </c>
      <c r="P41" s="96">
        <v>5.0</v>
      </c>
      <c r="Q41" s="96">
        <v>5.0</v>
      </c>
      <c r="R41" s="96" t="s">
        <v>802</v>
      </c>
      <c r="S41" s="309">
        <f t="shared" si="1"/>
        <v>5</v>
      </c>
      <c r="Y41" s="96">
        <f t="shared" si="2"/>
        <v>0</v>
      </c>
      <c r="AE41" s="93">
        <f t="shared" si="3"/>
        <v>0</v>
      </c>
      <c r="AK41" s="93">
        <f t="shared" si="4"/>
        <v>0</v>
      </c>
    </row>
    <row r="42" hidden="1">
      <c r="A42" s="302">
        <v>45389.82902148148</v>
      </c>
      <c r="B42" s="96" t="s">
        <v>645</v>
      </c>
      <c r="C42" s="96" t="s">
        <v>44</v>
      </c>
      <c r="D42" s="96" t="s">
        <v>803</v>
      </c>
      <c r="H42" s="308">
        <v>45387.0</v>
      </c>
      <c r="I42" s="96" t="s">
        <v>42</v>
      </c>
      <c r="J42" s="96">
        <v>4.0</v>
      </c>
      <c r="K42" s="96" t="s">
        <v>804</v>
      </c>
      <c r="L42" s="96" t="s">
        <v>705</v>
      </c>
      <c r="M42" s="96" t="s">
        <v>715</v>
      </c>
      <c r="N42" s="96" t="s">
        <v>84</v>
      </c>
      <c r="O42" s="96">
        <v>4.0</v>
      </c>
      <c r="P42" s="96">
        <v>5.0</v>
      </c>
      <c r="Q42" s="96">
        <v>4.0</v>
      </c>
      <c r="R42" s="96" t="s">
        <v>805</v>
      </c>
      <c r="S42" s="309">
        <f t="shared" si="1"/>
        <v>4.333333333</v>
      </c>
      <c r="Y42" s="96">
        <f t="shared" si="2"/>
        <v>0</v>
      </c>
      <c r="AE42" s="93">
        <f t="shared" si="3"/>
        <v>0</v>
      </c>
      <c r="AK42" s="93">
        <f t="shared" si="4"/>
        <v>0</v>
      </c>
    </row>
    <row r="43">
      <c r="A43" s="312">
        <v>45389.94520032407</v>
      </c>
      <c r="B43" s="313" t="s">
        <v>545</v>
      </c>
      <c r="C43" s="313" t="s">
        <v>116</v>
      </c>
      <c r="D43" s="314"/>
      <c r="E43" s="314"/>
      <c r="F43" s="314"/>
      <c r="G43" s="313" t="s">
        <v>165</v>
      </c>
      <c r="H43" s="315">
        <v>45387.0</v>
      </c>
      <c r="I43" s="313" t="s">
        <v>42</v>
      </c>
      <c r="J43" s="313">
        <v>2.0</v>
      </c>
      <c r="K43" s="314"/>
      <c r="L43" s="313" t="s">
        <v>690</v>
      </c>
      <c r="M43" s="314"/>
      <c r="N43" s="313" t="s">
        <v>166</v>
      </c>
      <c r="O43" s="313">
        <v>2.0</v>
      </c>
      <c r="P43" s="313">
        <v>3.0</v>
      </c>
      <c r="Q43" s="313">
        <v>3.0</v>
      </c>
      <c r="R43" s="314"/>
      <c r="S43" s="316">
        <f t="shared" si="1"/>
        <v>2.666666667</v>
      </c>
      <c r="T43" s="313" t="s">
        <v>157</v>
      </c>
      <c r="U43" s="313">
        <v>2.0</v>
      </c>
      <c r="V43" s="313">
        <v>3.0</v>
      </c>
      <c r="W43" s="313">
        <v>3.0</v>
      </c>
      <c r="X43" s="314"/>
      <c r="Y43" s="313">
        <f t="shared" si="2"/>
        <v>2.666666667</v>
      </c>
      <c r="Z43" s="314"/>
      <c r="AA43" s="314"/>
      <c r="AB43" s="314"/>
      <c r="AC43" s="314"/>
      <c r="AD43" s="314"/>
      <c r="AE43" s="314">
        <f t="shared" si="3"/>
        <v>0</v>
      </c>
      <c r="AF43" s="314"/>
      <c r="AG43" s="314"/>
      <c r="AH43" s="314"/>
      <c r="AI43" s="314"/>
      <c r="AJ43" s="314"/>
      <c r="AK43" s="314">
        <f t="shared" si="4"/>
        <v>0</v>
      </c>
      <c r="AL43" s="314"/>
      <c r="AM43" s="314"/>
      <c r="AN43" s="314"/>
      <c r="AO43" s="314"/>
      <c r="AP43" s="314"/>
      <c r="AQ43" s="314"/>
      <c r="AR43" s="314"/>
    </row>
    <row r="44">
      <c r="A44" s="312">
        <v>45389.94636482639</v>
      </c>
      <c r="B44" s="313" t="s">
        <v>545</v>
      </c>
      <c r="C44" s="313" t="s">
        <v>116</v>
      </c>
      <c r="D44" s="314"/>
      <c r="E44" s="314"/>
      <c r="F44" s="314"/>
      <c r="G44" s="313" t="s">
        <v>806</v>
      </c>
      <c r="H44" s="315">
        <v>45387.0</v>
      </c>
      <c r="I44" s="313" t="s">
        <v>42</v>
      </c>
      <c r="J44" s="313">
        <v>3.0</v>
      </c>
      <c r="K44" s="314"/>
      <c r="L44" s="313" t="s">
        <v>690</v>
      </c>
      <c r="M44" s="314"/>
      <c r="N44" s="313" t="s">
        <v>159</v>
      </c>
      <c r="O44" s="313">
        <v>3.0</v>
      </c>
      <c r="P44" s="313">
        <v>3.0</v>
      </c>
      <c r="Q44" s="313">
        <v>3.0</v>
      </c>
      <c r="R44" s="314"/>
      <c r="S44" s="316">
        <f t="shared" si="1"/>
        <v>3</v>
      </c>
      <c r="T44" s="314"/>
      <c r="U44" s="314"/>
      <c r="V44" s="314"/>
      <c r="W44" s="314"/>
      <c r="X44" s="314"/>
      <c r="Y44" s="313">
        <f t="shared" si="2"/>
        <v>0</v>
      </c>
      <c r="Z44" s="314"/>
      <c r="AA44" s="314"/>
      <c r="AB44" s="314"/>
      <c r="AC44" s="314"/>
      <c r="AD44" s="314"/>
      <c r="AE44" s="314">
        <f t="shared" si="3"/>
        <v>0</v>
      </c>
      <c r="AF44" s="314"/>
      <c r="AG44" s="314"/>
      <c r="AH44" s="314"/>
      <c r="AI44" s="314"/>
      <c r="AJ44" s="314"/>
      <c r="AK44" s="314">
        <f t="shared" si="4"/>
        <v>0</v>
      </c>
      <c r="AL44" s="314"/>
      <c r="AM44" s="314"/>
      <c r="AN44" s="314"/>
      <c r="AO44" s="314"/>
      <c r="AP44" s="314"/>
      <c r="AQ44" s="314"/>
      <c r="AR44" s="314"/>
    </row>
    <row r="45" hidden="1">
      <c r="A45" s="302">
        <v>45399.530716319445</v>
      </c>
      <c r="B45" s="96" t="s">
        <v>807</v>
      </c>
      <c r="C45" s="96" t="s">
        <v>36</v>
      </c>
      <c r="E45" s="96" t="s">
        <v>808</v>
      </c>
      <c r="H45" s="308">
        <v>45387.0</v>
      </c>
      <c r="I45" s="96" t="s">
        <v>42</v>
      </c>
      <c r="J45" s="96">
        <v>5.0</v>
      </c>
      <c r="K45" s="96" t="s">
        <v>809</v>
      </c>
      <c r="L45" s="96" t="s">
        <v>705</v>
      </c>
      <c r="M45" s="96" t="s">
        <v>715</v>
      </c>
      <c r="N45" s="96" t="s">
        <v>302</v>
      </c>
      <c r="O45" s="96">
        <v>5.0</v>
      </c>
      <c r="P45" s="96">
        <v>4.0</v>
      </c>
      <c r="Q45" s="96">
        <v>5.0</v>
      </c>
      <c r="S45" s="309">
        <f t="shared" si="1"/>
        <v>4.666666667</v>
      </c>
      <c r="T45" s="96" t="s">
        <v>303</v>
      </c>
      <c r="U45" s="96">
        <v>5.0</v>
      </c>
      <c r="V45" s="96">
        <v>5.0</v>
      </c>
      <c r="W45" s="96">
        <v>5.0</v>
      </c>
      <c r="Y45" s="96">
        <f t="shared" si="2"/>
        <v>5</v>
      </c>
      <c r="AE45" s="93">
        <f t="shared" si="3"/>
        <v>0</v>
      </c>
      <c r="AK45" s="93">
        <f t="shared" si="4"/>
        <v>0</v>
      </c>
    </row>
    <row r="46">
      <c r="A46" s="312">
        <v>45401.58000645833</v>
      </c>
      <c r="B46" s="313" t="s">
        <v>545</v>
      </c>
      <c r="C46" s="313" t="s">
        <v>116</v>
      </c>
      <c r="D46" s="314"/>
      <c r="E46" s="314"/>
      <c r="F46" s="314"/>
      <c r="G46" s="313" t="s">
        <v>160</v>
      </c>
      <c r="H46" s="315">
        <v>45401.0</v>
      </c>
      <c r="I46" s="313" t="s">
        <v>556</v>
      </c>
      <c r="J46" s="314"/>
      <c r="K46" s="314"/>
      <c r="L46" s="313" t="s">
        <v>690</v>
      </c>
      <c r="M46" s="314"/>
      <c r="N46" s="313" t="s">
        <v>161</v>
      </c>
      <c r="O46" s="313">
        <v>3.0</v>
      </c>
      <c r="P46" s="313">
        <v>3.0</v>
      </c>
      <c r="Q46" s="313">
        <v>3.0</v>
      </c>
      <c r="R46" s="314"/>
      <c r="S46" s="316">
        <f t="shared" si="1"/>
        <v>3</v>
      </c>
      <c r="T46" s="314"/>
      <c r="U46" s="314"/>
      <c r="V46" s="314"/>
      <c r="W46" s="314"/>
      <c r="X46" s="314"/>
      <c r="Y46" s="313">
        <f t="shared" si="2"/>
        <v>0</v>
      </c>
      <c r="Z46" s="314"/>
      <c r="AA46" s="314"/>
      <c r="AB46" s="314"/>
      <c r="AC46" s="314"/>
      <c r="AD46" s="314"/>
      <c r="AE46" s="314">
        <f t="shared" si="3"/>
        <v>0</v>
      </c>
      <c r="AF46" s="314"/>
      <c r="AG46" s="314"/>
      <c r="AH46" s="314"/>
      <c r="AI46" s="314"/>
      <c r="AJ46" s="314"/>
      <c r="AK46" s="314">
        <f t="shared" si="4"/>
        <v>0</v>
      </c>
      <c r="AL46" s="314"/>
      <c r="AM46" s="314"/>
      <c r="AN46" s="314"/>
      <c r="AO46" s="314"/>
      <c r="AP46" s="314"/>
      <c r="AQ46" s="314"/>
      <c r="AR46" s="314"/>
    </row>
    <row r="47">
      <c r="A47" s="312">
        <v>45401.58427299769</v>
      </c>
      <c r="B47" s="313" t="s">
        <v>545</v>
      </c>
      <c r="C47" s="313" t="s">
        <v>116</v>
      </c>
      <c r="D47" s="314"/>
      <c r="E47" s="314"/>
      <c r="F47" s="314"/>
      <c r="G47" s="313" t="s">
        <v>165</v>
      </c>
      <c r="H47" s="315">
        <v>45401.0</v>
      </c>
      <c r="I47" s="313" t="s">
        <v>556</v>
      </c>
      <c r="J47" s="314"/>
      <c r="K47" s="314"/>
      <c r="L47" s="313" t="s">
        <v>690</v>
      </c>
      <c r="M47" s="314"/>
      <c r="N47" s="313" t="s">
        <v>157</v>
      </c>
      <c r="O47" s="313">
        <v>3.0</v>
      </c>
      <c r="P47" s="313">
        <v>2.0</v>
      </c>
      <c r="Q47" s="313">
        <v>2.0</v>
      </c>
      <c r="R47" s="313" t="s">
        <v>810</v>
      </c>
      <c r="S47" s="316">
        <f t="shared" si="1"/>
        <v>2.333333333</v>
      </c>
      <c r="T47" s="313" t="s">
        <v>166</v>
      </c>
      <c r="U47" s="313">
        <v>3.0</v>
      </c>
      <c r="V47" s="313">
        <v>2.0</v>
      </c>
      <c r="W47" s="313">
        <v>2.0</v>
      </c>
      <c r="X47" s="313" t="s">
        <v>811</v>
      </c>
      <c r="Y47" s="313">
        <f t="shared" si="2"/>
        <v>2.333333333</v>
      </c>
      <c r="Z47" s="314"/>
      <c r="AA47" s="314"/>
      <c r="AB47" s="314"/>
      <c r="AC47" s="314"/>
      <c r="AD47" s="314"/>
      <c r="AE47" s="314">
        <f t="shared" si="3"/>
        <v>0</v>
      </c>
      <c r="AF47" s="314"/>
      <c r="AG47" s="314"/>
      <c r="AH47" s="314"/>
      <c r="AI47" s="314"/>
      <c r="AJ47" s="314"/>
      <c r="AK47" s="314">
        <f t="shared" si="4"/>
        <v>0</v>
      </c>
      <c r="AL47" s="314"/>
      <c r="AM47" s="314"/>
      <c r="AN47" s="314"/>
      <c r="AO47" s="314"/>
      <c r="AP47" s="314"/>
      <c r="AQ47" s="314"/>
      <c r="AR47" s="314"/>
    </row>
    <row r="48">
      <c r="A48" s="312">
        <v>45401.5856</v>
      </c>
      <c r="B48" s="313" t="s">
        <v>545</v>
      </c>
      <c r="C48" s="313" t="s">
        <v>116</v>
      </c>
      <c r="D48" s="314"/>
      <c r="E48" s="314"/>
      <c r="F48" s="314"/>
      <c r="G48" s="313" t="s">
        <v>806</v>
      </c>
      <c r="H48" s="315">
        <v>45401.0</v>
      </c>
      <c r="I48" s="313" t="s">
        <v>556</v>
      </c>
      <c r="J48" s="314"/>
      <c r="K48" s="314"/>
      <c r="L48" s="313" t="s">
        <v>690</v>
      </c>
      <c r="M48" s="314"/>
      <c r="N48" s="313" t="s">
        <v>159</v>
      </c>
      <c r="O48" s="313">
        <v>3.0</v>
      </c>
      <c r="P48" s="313">
        <v>4.0</v>
      </c>
      <c r="Q48" s="313">
        <v>3.0</v>
      </c>
      <c r="R48" s="313" t="s">
        <v>812</v>
      </c>
      <c r="S48" s="316">
        <f t="shared" si="1"/>
        <v>3.333333333</v>
      </c>
      <c r="T48" s="314"/>
      <c r="U48" s="314"/>
      <c r="V48" s="314"/>
      <c r="W48" s="314"/>
      <c r="X48" s="314"/>
      <c r="Y48" s="313">
        <f t="shared" si="2"/>
        <v>0</v>
      </c>
      <c r="Z48" s="314"/>
      <c r="AA48" s="314"/>
      <c r="AB48" s="314"/>
      <c r="AC48" s="314"/>
      <c r="AD48" s="314"/>
      <c r="AE48" s="314">
        <f t="shared" si="3"/>
        <v>0</v>
      </c>
      <c r="AF48" s="314"/>
      <c r="AG48" s="314"/>
      <c r="AH48" s="314"/>
      <c r="AI48" s="314"/>
      <c r="AJ48" s="314"/>
      <c r="AK48" s="314">
        <f t="shared" si="4"/>
        <v>0</v>
      </c>
      <c r="AL48" s="314"/>
      <c r="AM48" s="314"/>
      <c r="AN48" s="314"/>
      <c r="AO48" s="314"/>
      <c r="AP48" s="314"/>
      <c r="AQ48" s="314"/>
      <c r="AR48" s="314"/>
    </row>
    <row r="49" hidden="1">
      <c r="A49" s="302">
        <v>45401.625773402775</v>
      </c>
      <c r="B49" s="96" t="s">
        <v>738</v>
      </c>
      <c r="C49" s="96" t="s">
        <v>44</v>
      </c>
      <c r="D49" s="96" t="s">
        <v>71</v>
      </c>
      <c r="H49" s="308">
        <v>45401.0</v>
      </c>
      <c r="I49" s="96" t="s">
        <v>556</v>
      </c>
      <c r="L49" s="96" t="s">
        <v>690</v>
      </c>
      <c r="M49" s="96" t="s">
        <v>691</v>
      </c>
      <c r="N49" s="96" t="s">
        <v>73</v>
      </c>
      <c r="O49" s="96">
        <v>3.0</v>
      </c>
      <c r="P49" s="96">
        <v>3.0</v>
      </c>
      <c r="Q49" s="96">
        <v>3.0</v>
      </c>
      <c r="R49" s="96" t="s">
        <v>813</v>
      </c>
      <c r="S49" s="309">
        <f t="shared" si="1"/>
        <v>3</v>
      </c>
      <c r="T49" s="96" t="s">
        <v>66</v>
      </c>
      <c r="U49" s="96">
        <v>3.0</v>
      </c>
      <c r="V49" s="96">
        <v>3.0</v>
      </c>
      <c r="W49" s="96">
        <v>3.0</v>
      </c>
      <c r="X49" s="96" t="s">
        <v>814</v>
      </c>
      <c r="Y49" s="96">
        <f t="shared" si="2"/>
        <v>3</v>
      </c>
      <c r="Z49" s="96" t="s">
        <v>57</v>
      </c>
      <c r="AA49" s="96">
        <v>3.0</v>
      </c>
      <c r="AB49" s="96">
        <v>3.0</v>
      </c>
      <c r="AC49" s="96">
        <v>3.0</v>
      </c>
      <c r="AD49" s="96" t="s">
        <v>815</v>
      </c>
      <c r="AE49" s="93">
        <f t="shared" si="3"/>
        <v>3</v>
      </c>
      <c r="AK49" s="93">
        <f t="shared" si="4"/>
        <v>0</v>
      </c>
    </row>
    <row r="50" hidden="1">
      <c r="A50" s="302">
        <v>45401.6354284375</v>
      </c>
      <c r="B50" s="96" t="s">
        <v>698</v>
      </c>
      <c r="C50" s="96" t="s">
        <v>36</v>
      </c>
      <c r="E50" s="96" t="s">
        <v>291</v>
      </c>
      <c r="H50" s="308">
        <v>45401.0</v>
      </c>
      <c r="I50" s="96" t="s">
        <v>42</v>
      </c>
      <c r="J50" s="96">
        <v>5.0</v>
      </c>
      <c r="K50" s="96" t="s">
        <v>816</v>
      </c>
      <c r="L50" s="96" t="s">
        <v>690</v>
      </c>
      <c r="M50" s="96" t="s">
        <v>691</v>
      </c>
      <c r="N50" s="96" t="s">
        <v>294</v>
      </c>
      <c r="O50" s="96">
        <v>5.0</v>
      </c>
      <c r="P50" s="96">
        <v>5.0</v>
      </c>
      <c r="Q50" s="96">
        <v>4.0</v>
      </c>
      <c r="R50" s="96" t="s">
        <v>817</v>
      </c>
      <c r="S50" s="309">
        <f t="shared" si="1"/>
        <v>4.666666667</v>
      </c>
      <c r="T50" s="96" t="s">
        <v>272</v>
      </c>
      <c r="U50" s="96">
        <v>5.0</v>
      </c>
      <c r="V50" s="96">
        <v>5.0</v>
      </c>
      <c r="W50" s="96">
        <v>5.0</v>
      </c>
      <c r="X50" s="96" t="s">
        <v>818</v>
      </c>
      <c r="Y50" s="96">
        <f t="shared" si="2"/>
        <v>5</v>
      </c>
      <c r="AE50" s="93">
        <f t="shared" si="3"/>
        <v>0</v>
      </c>
      <c r="AK50" s="93">
        <f t="shared" si="4"/>
        <v>0</v>
      </c>
    </row>
    <row r="51" hidden="1">
      <c r="A51" s="302">
        <v>45401.64036795139</v>
      </c>
      <c r="B51" s="96" t="s">
        <v>698</v>
      </c>
      <c r="C51" s="96" t="s">
        <v>36</v>
      </c>
      <c r="E51" s="96" t="s">
        <v>325</v>
      </c>
      <c r="H51" s="308">
        <v>45401.0</v>
      </c>
      <c r="I51" s="96" t="s">
        <v>42</v>
      </c>
      <c r="J51" s="96">
        <v>5.0</v>
      </c>
      <c r="K51" s="96" t="s">
        <v>819</v>
      </c>
      <c r="L51" s="96" t="s">
        <v>690</v>
      </c>
      <c r="M51" s="96" t="s">
        <v>691</v>
      </c>
      <c r="N51" s="96" t="s">
        <v>326</v>
      </c>
      <c r="O51" s="96">
        <v>4.0</v>
      </c>
      <c r="P51" s="96">
        <v>4.0</v>
      </c>
      <c r="Q51" s="96">
        <v>3.0</v>
      </c>
      <c r="R51" s="96" t="s">
        <v>820</v>
      </c>
      <c r="S51" s="309">
        <f t="shared" si="1"/>
        <v>3.666666667</v>
      </c>
      <c r="T51" s="96" t="s">
        <v>309</v>
      </c>
      <c r="U51" s="96">
        <v>2.0</v>
      </c>
      <c r="V51" s="96">
        <v>2.0</v>
      </c>
      <c r="W51" s="96">
        <v>2.0</v>
      </c>
      <c r="X51" s="96" t="s">
        <v>821</v>
      </c>
      <c r="Y51" s="96">
        <f t="shared" si="2"/>
        <v>2</v>
      </c>
      <c r="AE51" s="93">
        <f t="shared" si="3"/>
        <v>0</v>
      </c>
      <c r="AK51" s="93">
        <f t="shared" si="4"/>
        <v>0</v>
      </c>
    </row>
    <row r="52" hidden="1">
      <c r="A52" s="302">
        <v>45401.64642984954</v>
      </c>
      <c r="B52" s="96" t="s">
        <v>722</v>
      </c>
      <c r="C52" s="96" t="s">
        <v>187</v>
      </c>
      <c r="F52" s="96" t="s">
        <v>229</v>
      </c>
      <c r="H52" s="308">
        <v>45401.0</v>
      </c>
      <c r="I52" s="96" t="s">
        <v>556</v>
      </c>
      <c r="L52" s="96" t="s">
        <v>690</v>
      </c>
      <c r="N52" s="96" t="s">
        <v>205</v>
      </c>
      <c r="O52" s="96">
        <v>1.0</v>
      </c>
      <c r="P52" s="96">
        <v>1.0</v>
      </c>
      <c r="Q52" s="96">
        <v>1.0</v>
      </c>
      <c r="R52" s="96" t="s">
        <v>822</v>
      </c>
      <c r="S52" s="309">
        <f t="shared" si="1"/>
        <v>1</v>
      </c>
      <c r="T52" s="96" t="s">
        <v>231</v>
      </c>
      <c r="U52" s="96">
        <v>1.0</v>
      </c>
      <c r="V52" s="96">
        <v>1.0</v>
      </c>
      <c r="W52" s="96">
        <v>2.0</v>
      </c>
      <c r="X52" s="96" t="s">
        <v>822</v>
      </c>
      <c r="Y52" s="96">
        <f t="shared" si="2"/>
        <v>1.333333333</v>
      </c>
      <c r="Z52" s="96" t="s">
        <v>232</v>
      </c>
      <c r="AA52" s="96">
        <v>3.0</v>
      </c>
      <c r="AB52" s="96">
        <v>2.0</v>
      </c>
      <c r="AC52" s="96">
        <v>2.0</v>
      </c>
      <c r="AD52" s="96" t="s">
        <v>823</v>
      </c>
      <c r="AE52" s="93">
        <f t="shared" si="3"/>
        <v>2.333333333</v>
      </c>
      <c r="AK52" s="93">
        <f t="shared" si="4"/>
        <v>0</v>
      </c>
    </row>
    <row r="53" hidden="1">
      <c r="A53" s="302">
        <v>45401.64785662037</v>
      </c>
      <c r="B53" s="96" t="s">
        <v>722</v>
      </c>
      <c r="C53" s="96" t="s">
        <v>187</v>
      </c>
      <c r="F53" s="96" t="s">
        <v>240</v>
      </c>
      <c r="H53" s="308">
        <v>45401.0</v>
      </c>
      <c r="I53" s="96" t="s">
        <v>556</v>
      </c>
      <c r="L53" s="96" t="s">
        <v>705</v>
      </c>
      <c r="M53" s="96" t="s">
        <v>715</v>
      </c>
      <c r="N53" s="96" t="s">
        <v>241</v>
      </c>
      <c r="O53" s="96">
        <v>3.0</v>
      </c>
      <c r="P53" s="96">
        <v>3.0</v>
      </c>
      <c r="Q53" s="96">
        <v>4.0</v>
      </c>
      <c r="R53" s="96" t="s">
        <v>824</v>
      </c>
      <c r="S53" s="309">
        <f t="shared" si="1"/>
        <v>3.333333333</v>
      </c>
      <c r="T53" s="96" t="s">
        <v>195</v>
      </c>
      <c r="U53" s="96">
        <v>2.0</v>
      </c>
      <c r="V53" s="96">
        <v>2.0</v>
      </c>
      <c r="W53" s="96">
        <v>2.0</v>
      </c>
      <c r="X53" s="96" t="s">
        <v>825</v>
      </c>
      <c r="Y53" s="96">
        <f t="shared" si="2"/>
        <v>2</v>
      </c>
      <c r="AE53" s="93">
        <f t="shared" si="3"/>
        <v>0</v>
      </c>
      <c r="AK53" s="93">
        <f t="shared" si="4"/>
        <v>0</v>
      </c>
    </row>
    <row r="54" hidden="1">
      <c r="A54" s="302">
        <v>45401.6512692824</v>
      </c>
      <c r="B54" s="96" t="s">
        <v>722</v>
      </c>
      <c r="C54" s="96" t="s">
        <v>187</v>
      </c>
      <c r="F54" s="96" t="s">
        <v>255</v>
      </c>
      <c r="H54" s="308">
        <v>45401.0</v>
      </c>
      <c r="I54" s="96" t="s">
        <v>556</v>
      </c>
      <c r="L54" s="96" t="s">
        <v>705</v>
      </c>
      <c r="M54" s="96" t="s">
        <v>706</v>
      </c>
      <c r="N54" s="96" t="s">
        <v>247</v>
      </c>
      <c r="O54" s="96">
        <v>2.0</v>
      </c>
      <c r="P54" s="96">
        <v>2.0</v>
      </c>
      <c r="Q54" s="96">
        <v>3.0</v>
      </c>
      <c r="R54" s="96" t="s">
        <v>826</v>
      </c>
      <c r="S54" s="309">
        <f t="shared" si="1"/>
        <v>2.333333333</v>
      </c>
      <c r="T54" s="96" t="s">
        <v>238</v>
      </c>
      <c r="U54" s="96">
        <v>4.0</v>
      </c>
      <c r="V54" s="96">
        <v>4.0</v>
      </c>
      <c r="W54" s="96">
        <v>4.0</v>
      </c>
      <c r="X54" s="96" t="s">
        <v>827</v>
      </c>
      <c r="Y54" s="96">
        <f t="shared" si="2"/>
        <v>4</v>
      </c>
      <c r="AE54" s="93">
        <f t="shared" si="3"/>
        <v>0</v>
      </c>
      <c r="AK54" s="93">
        <f t="shared" si="4"/>
        <v>0</v>
      </c>
    </row>
    <row r="55" hidden="1">
      <c r="A55" s="302">
        <v>45401.652160625</v>
      </c>
      <c r="B55" s="96" t="s">
        <v>722</v>
      </c>
      <c r="C55" s="96" t="s">
        <v>187</v>
      </c>
      <c r="F55" s="96" t="s">
        <v>828</v>
      </c>
      <c r="H55" s="308">
        <v>45401.0</v>
      </c>
      <c r="I55" s="96" t="s">
        <v>556</v>
      </c>
      <c r="L55" s="96" t="s">
        <v>705</v>
      </c>
      <c r="M55" s="96" t="s">
        <v>706</v>
      </c>
      <c r="N55" s="96" t="s">
        <v>219</v>
      </c>
      <c r="O55" s="96">
        <v>3.0</v>
      </c>
      <c r="P55" s="96">
        <v>3.0</v>
      </c>
      <c r="Q55" s="96">
        <v>3.0</v>
      </c>
      <c r="S55" s="309">
        <f t="shared" si="1"/>
        <v>3</v>
      </c>
      <c r="T55" s="96" t="s">
        <v>345</v>
      </c>
      <c r="U55" s="96">
        <v>3.0</v>
      </c>
      <c r="V55" s="96">
        <v>3.0</v>
      </c>
      <c r="W55" s="96">
        <v>3.0</v>
      </c>
      <c r="Y55" s="96">
        <f t="shared" si="2"/>
        <v>3</v>
      </c>
      <c r="AE55" s="93">
        <f t="shared" si="3"/>
        <v>0</v>
      </c>
      <c r="AK55" s="93">
        <f t="shared" si="4"/>
        <v>0</v>
      </c>
      <c r="AL55" s="96" t="s">
        <v>829</v>
      </c>
    </row>
    <row r="56" hidden="1">
      <c r="A56" s="302">
        <v>45401.653734189815</v>
      </c>
      <c r="B56" s="96" t="s">
        <v>722</v>
      </c>
      <c r="C56" s="96" t="s">
        <v>187</v>
      </c>
      <c r="F56" s="96" t="s">
        <v>731</v>
      </c>
      <c r="H56" s="308">
        <v>45401.0</v>
      </c>
      <c r="I56" s="96" t="s">
        <v>556</v>
      </c>
      <c r="L56" s="96" t="s">
        <v>705</v>
      </c>
      <c r="M56" s="96" t="s">
        <v>715</v>
      </c>
      <c r="N56" s="96" t="s">
        <v>253</v>
      </c>
      <c r="O56" s="96">
        <v>3.0</v>
      </c>
      <c r="P56" s="96">
        <v>2.0</v>
      </c>
      <c r="Q56" s="96">
        <v>2.0</v>
      </c>
      <c r="R56" s="96" t="s">
        <v>830</v>
      </c>
      <c r="S56" s="309">
        <f t="shared" si="1"/>
        <v>2.333333333</v>
      </c>
      <c r="Y56" s="96">
        <f t="shared" si="2"/>
        <v>0</v>
      </c>
      <c r="AE56" s="93">
        <f t="shared" si="3"/>
        <v>0</v>
      </c>
      <c r="AK56" s="93">
        <f t="shared" si="4"/>
        <v>0</v>
      </c>
    </row>
    <row r="57" hidden="1">
      <c r="A57" s="302">
        <v>45401.65524196759</v>
      </c>
      <c r="B57" s="96" t="s">
        <v>722</v>
      </c>
      <c r="C57" s="96" t="s">
        <v>187</v>
      </c>
      <c r="F57" s="96" t="s">
        <v>723</v>
      </c>
      <c r="H57" s="308">
        <v>45401.0</v>
      </c>
      <c r="I57" s="96" t="s">
        <v>556</v>
      </c>
      <c r="L57" s="96" t="s">
        <v>705</v>
      </c>
      <c r="M57" s="96" t="s">
        <v>745</v>
      </c>
      <c r="N57" s="96" t="s">
        <v>203</v>
      </c>
      <c r="O57" s="96">
        <v>4.0</v>
      </c>
      <c r="P57" s="96">
        <v>3.0</v>
      </c>
      <c r="Q57" s="96">
        <v>2.0</v>
      </c>
      <c r="R57" s="96" t="s">
        <v>831</v>
      </c>
      <c r="S57" s="309">
        <f t="shared" si="1"/>
        <v>3</v>
      </c>
      <c r="Y57" s="96">
        <f t="shared" si="2"/>
        <v>0</v>
      </c>
      <c r="AE57" s="93">
        <f t="shared" si="3"/>
        <v>0</v>
      </c>
      <c r="AK57" s="93">
        <f t="shared" si="4"/>
        <v>0</v>
      </c>
    </row>
    <row r="58">
      <c r="A58" s="312">
        <v>45401.69583045139</v>
      </c>
      <c r="B58" s="313" t="s">
        <v>741</v>
      </c>
      <c r="C58" s="313" t="s">
        <v>116</v>
      </c>
      <c r="D58" s="314"/>
      <c r="E58" s="314"/>
      <c r="F58" s="314"/>
      <c r="G58" s="313" t="s">
        <v>183</v>
      </c>
      <c r="H58" s="315">
        <v>45401.0</v>
      </c>
      <c r="I58" s="313" t="s">
        <v>42</v>
      </c>
      <c r="J58" s="313">
        <v>5.0</v>
      </c>
      <c r="K58" s="314"/>
      <c r="L58" s="313" t="s">
        <v>705</v>
      </c>
      <c r="M58" s="313" t="s">
        <v>715</v>
      </c>
      <c r="N58" s="313" t="s">
        <v>153</v>
      </c>
      <c r="O58" s="313">
        <v>4.0</v>
      </c>
      <c r="P58" s="313">
        <v>5.0</v>
      </c>
      <c r="Q58" s="313">
        <v>4.0</v>
      </c>
      <c r="R58" s="314"/>
      <c r="S58" s="316">
        <f t="shared" si="1"/>
        <v>4.333333333</v>
      </c>
      <c r="T58" s="313" t="s">
        <v>124</v>
      </c>
      <c r="U58" s="313">
        <v>4.0</v>
      </c>
      <c r="V58" s="313">
        <v>3.0</v>
      </c>
      <c r="W58" s="313">
        <v>3.0</v>
      </c>
      <c r="X58" s="314"/>
      <c r="Y58" s="313">
        <f t="shared" si="2"/>
        <v>3.333333333</v>
      </c>
      <c r="Z58" s="314"/>
      <c r="AA58" s="314"/>
      <c r="AB58" s="314"/>
      <c r="AC58" s="314"/>
      <c r="AD58" s="314"/>
      <c r="AE58" s="314">
        <f t="shared" si="3"/>
        <v>0</v>
      </c>
      <c r="AF58" s="314"/>
      <c r="AG58" s="314"/>
      <c r="AH58" s="314"/>
      <c r="AI58" s="314"/>
      <c r="AJ58" s="314"/>
      <c r="AK58" s="314">
        <f t="shared" si="4"/>
        <v>0</v>
      </c>
      <c r="AL58" s="314"/>
      <c r="AM58" s="314"/>
      <c r="AN58" s="314"/>
      <c r="AO58" s="314"/>
      <c r="AP58" s="314"/>
      <c r="AQ58" s="314"/>
      <c r="AR58" s="314"/>
    </row>
    <row r="59" hidden="1">
      <c r="A59" s="302">
        <v>45401.7587728588</v>
      </c>
      <c r="B59" s="96" t="s">
        <v>832</v>
      </c>
      <c r="C59" s="96" t="s">
        <v>36</v>
      </c>
      <c r="E59" s="96" t="s">
        <v>833</v>
      </c>
      <c r="H59" s="308">
        <v>45397.0</v>
      </c>
      <c r="I59" s="96" t="s">
        <v>42</v>
      </c>
      <c r="J59" s="96">
        <v>4.0</v>
      </c>
      <c r="K59" s="96" t="s">
        <v>834</v>
      </c>
      <c r="L59" s="96" t="s">
        <v>690</v>
      </c>
      <c r="N59" s="96" t="s">
        <v>329</v>
      </c>
      <c r="O59" s="96">
        <v>3.0</v>
      </c>
      <c r="P59" s="96">
        <v>4.0</v>
      </c>
      <c r="Q59" s="96">
        <v>3.0</v>
      </c>
      <c r="R59" s="96" t="s">
        <v>835</v>
      </c>
      <c r="S59" s="309">
        <f t="shared" si="1"/>
        <v>3.333333333</v>
      </c>
      <c r="Y59" s="96">
        <f t="shared" si="2"/>
        <v>0</v>
      </c>
      <c r="AE59" s="93">
        <f t="shared" si="3"/>
        <v>0</v>
      </c>
      <c r="AK59" s="93">
        <f t="shared" si="4"/>
        <v>0</v>
      </c>
    </row>
    <row r="60">
      <c r="A60" s="312">
        <v>45401.758984722226</v>
      </c>
      <c r="B60" s="313" t="s">
        <v>711</v>
      </c>
      <c r="C60" s="313" t="s">
        <v>116</v>
      </c>
      <c r="D60" s="314"/>
      <c r="E60" s="314"/>
      <c r="F60" s="314"/>
      <c r="G60" s="313" t="s">
        <v>183</v>
      </c>
      <c r="H60" s="315">
        <v>45554.0</v>
      </c>
      <c r="I60" s="313" t="s">
        <v>556</v>
      </c>
      <c r="J60" s="313">
        <v>3.0</v>
      </c>
      <c r="K60" s="314"/>
      <c r="L60" s="313" t="s">
        <v>705</v>
      </c>
      <c r="M60" s="313" t="s">
        <v>715</v>
      </c>
      <c r="N60" s="313" t="s">
        <v>157</v>
      </c>
      <c r="O60" s="313">
        <v>3.0</v>
      </c>
      <c r="P60" s="313">
        <v>3.0</v>
      </c>
      <c r="Q60" s="313">
        <v>3.0</v>
      </c>
      <c r="R60" s="314"/>
      <c r="S60" s="316">
        <f t="shared" si="1"/>
        <v>3</v>
      </c>
      <c r="T60" s="313" t="s">
        <v>151</v>
      </c>
      <c r="U60" s="313">
        <v>3.0</v>
      </c>
      <c r="V60" s="313">
        <v>2.0</v>
      </c>
      <c r="W60" s="313">
        <v>2.0</v>
      </c>
      <c r="X60" s="314"/>
      <c r="Y60" s="313">
        <f t="shared" si="2"/>
        <v>2.333333333</v>
      </c>
      <c r="Z60" s="314"/>
      <c r="AA60" s="314"/>
      <c r="AB60" s="314"/>
      <c r="AC60" s="314"/>
      <c r="AD60" s="314"/>
      <c r="AE60" s="314">
        <f t="shared" si="3"/>
        <v>0</v>
      </c>
      <c r="AF60" s="314"/>
      <c r="AG60" s="314"/>
      <c r="AH60" s="314"/>
      <c r="AI60" s="314"/>
      <c r="AJ60" s="314"/>
      <c r="AK60" s="314">
        <f t="shared" si="4"/>
        <v>0</v>
      </c>
      <c r="AL60" s="314"/>
      <c r="AM60" s="314"/>
      <c r="AN60" s="314"/>
      <c r="AO60" s="314"/>
      <c r="AP60" s="314"/>
      <c r="AQ60" s="314"/>
      <c r="AR60" s="314"/>
    </row>
    <row r="61">
      <c r="A61" s="312">
        <v>45401.76189351852</v>
      </c>
      <c r="B61" s="313" t="s">
        <v>711</v>
      </c>
      <c r="C61" s="313" t="s">
        <v>116</v>
      </c>
      <c r="D61" s="314"/>
      <c r="E61" s="314"/>
      <c r="F61" s="314"/>
      <c r="G61" s="313" t="s">
        <v>182</v>
      </c>
      <c r="H61" s="315">
        <v>45411.0</v>
      </c>
      <c r="I61" s="313" t="s">
        <v>556</v>
      </c>
      <c r="J61" s="313">
        <v>3.0</v>
      </c>
      <c r="K61" s="314"/>
      <c r="L61" s="313" t="s">
        <v>705</v>
      </c>
      <c r="M61" s="313" t="s">
        <v>706</v>
      </c>
      <c r="N61" s="313" t="s">
        <v>149</v>
      </c>
      <c r="O61" s="313">
        <v>3.0</v>
      </c>
      <c r="P61" s="313">
        <v>3.0</v>
      </c>
      <c r="Q61" s="313">
        <v>4.0</v>
      </c>
      <c r="R61" s="313" t="s">
        <v>836</v>
      </c>
      <c r="S61" s="316">
        <f t="shared" si="1"/>
        <v>3.333333333</v>
      </c>
      <c r="T61" s="313" t="s">
        <v>170</v>
      </c>
      <c r="U61" s="313">
        <v>3.0</v>
      </c>
      <c r="V61" s="313">
        <v>2.0</v>
      </c>
      <c r="W61" s="313">
        <v>2.0</v>
      </c>
      <c r="X61" s="313" t="s">
        <v>837</v>
      </c>
      <c r="Y61" s="313">
        <f t="shared" si="2"/>
        <v>2.333333333</v>
      </c>
      <c r="Z61" s="314"/>
      <c r="AA61" s="314"/>
      <c r="AB61" s="314"/>
      <c r="AC61" s="314"/>
      <c r="AD61" s="314"/>
      <c r="AE61" s="314">
        <f t="shared" si="3"/>
        <v>0</v>
      </c>
      <c r="AF61" s="314"/>
      <c r="AG61" s="314"/>
      <c r="AH61" s="314"/>
      <c r="AI61" s="314"/>
      <c r="AJ61" s="314"/>
      <c r="AK61" s="314">
        <f t="shared" si="4"/>
        <v>0</v>
      </c>
      <c r="AL61" s="314"/>
      <c r="AM61" s="314"/>
      <c r="AN61" s="314"/>
      <c r="AO61" s="314"/>
      <c r="AP61" s="314"/>
      <c r="AQ61" s="314"/>
      <c r="AR61" s="314"/>
    </row>
    <row r="62">
      <c r="A62" s="312">
        <v>45401.76379606481</v>
      </c>
      <c r="B62" s="313" t="s">
        <v>711</v>
      </c>
      <c r="C62" s="313" t="s">
        <v>116</v>
      </c>
      <c r="D62" s="314"/>
      <c r="E62" s="314"/>
      <c r="F62" s="314"/>
      <c r="G62" s="313" t="s">
        <v>838</v>
      </c>
      <c r="H62" s="315">
        <v>45392.0</v>
      </c>
      <c r="I62" s="313" t="s">
        <v>556</v>
      </c>
      <c r="J62" s="313">
        <v>3.0</v>
      </c>
      <c r="K62" s="314"/>
      <c r="L62" s="313" t="s">
        <v>705</v>
      </c>
      <c r="M62" s="313" t="s">
        <v>715</v>
      </c>
      <c r="N62" s="313" t="s">
        <v>123</v>
      </c>
      <c r="O62" s="313">
        <v>3.0</v>
      </c>
      <c r="P62" s="313">
        <v>3.0</v>
      </c>
      <c r="Q62" s="313">
        <v>3.0</v>
      </c>
      <c r="R62" s="313" t="s">
        <v>839</v>
      </c>
      <c r="S62" s="316">
        <f t="shared" si="1"/>
        <v>3</v>
      </c>
      <c r="T62" s="314"/>
      <c r="U62" s="314"/>
      <c r="V62" s="314"/>
      <c r="W62" s="314"/>
      <c r="X62" s="314"/>
      <c r="Y62" s="313">
        <f t="shared" si="2"/>
        <v>0</v>
      </c>
      <c r="Z62" s="314"/>
      <c r="AA62" s="314"/>
      <c r="AB62" s="314"/>
      <c r="AC62" s="314"/>
      <c r="AD62" s="314"/>
      <c r="AE62" s="314">
        <f t="shared" si="3"/>
        <v>0</v>
      </c>
      <c r="AF62" s="314"/>
      <c r="AG62" s="314"/>
      <c r="AH62" s="314"/>
      <c r="AI62" s="314"/>
      <c r="AJ62" s="314"/>
      <c r="AK62" s="314">
        <f t="shared" si="4"/>
        <v>0</v>
      </c>
      <c r="AL62" s="314"/>
      <c r="AM62" s="314"/>
      <c r="AN62" s="314"/>
      <c r="AO62" s="314"/>
      <c r="AP62" s="314"/>
      <c r="AQ62" s="314"/>
      <c r="AR62" s="314"/>
    </row>
    <row r="63">
      <c r="A63" s="312">
        <v>45401.76543505787</v>
      </c>
      <c r="B63" s="313" t="s">
        <v>711</v>
      </c>
      <c r="C63" s="313" t="s">
        <v>116</v>
      </c>
      <c r="D63" s="314"/>
      <c r="E63" s="314"/>
      <c r="F63" s="314"/>
      <c r="G63" s="313" t="s">
        <v>720</v>
      </c>
      <c r="H63" s="315">
        <v>45401.0</v>
      </c>
      <c r="I63" s="313" t="s">
        <v>42</v>
      </c>
      <c r="J63" s="313">
        <v>3.0</v>
      </c>
      <c r="K63" s="314"/>
      <c r="L63" s="313" t="s">
        <v>705</v>
      </c>
      <c r="M63" s="313" t="s">
        <v>715</v>
      </c>
      <c r="N63" s="313" t="s">
        <v>149</v>
      </c>
      <c r="O63" s="313">
        <v>3.0</v>
      </c>
      <c r="P63" s="313">
        <v>3.0</v>
      </c>
      <c r="Q63" s="313">
        <v>3.0</v>
      </c>
      <c r="R63" s="313" t="s">
        <v>840</v>
      </c>
      <c r="S63" s="316">
        <f t="shared" si="1"/>
        <v>3</v>
      </c>
      <c r="T63" s="314"/>
      <c r="U63" s="314"/>
      <c r="V63" s="314"/>
      <c r="W63" s="314"/>
      <c r="X63" s="314"/>
      <c r="Y63" s="313">
        <f t="shared" si="2"/>
        <v>0</v>
      </c>
      <c r="Z63" s="314"/>
      <c r="AA63" s="314"/>
      <c r="AB63" s="314"/>
      <c r="AC63" s="314"/>
      <c r="AD63" s="314"/>
      <c r="AE63" s="314">
        <f t="shared" si="3"/>
        <v>0</v>
      </c>
      <c r="AF63" s="314"/>
      <c r="AG63" s="314"/>
      <c r="AH63" s="314"/>
      <c r="AI63" s="314"/>
      <c r="AJ63" s="314"/>
      <c r="AK63" s="314">
        <f t="shared" si="4"/>
        <v>0</v>
      </c>
      <c r="AL63" s="314"/>
      <c r="AM63" s="314"/>
      <c r="AN63" s="314"/>
      <c r="AO63" s="314"/>
      <c r="AP63" s="314"/>
      <c r="AQ63" s="314"/>
      <c r="AR63" s="314"/>
    </row>
    <row r="64" hidden="1">
      <c r="A64" s="302">
        <v>45401.83135206018</v>
      </c>
      <c r="B64" s="96" t="s">
        <v>841</v>
      </c>
      <c r="C64" s="96" t="s">
        <v>36</v>
      </c>
      <c r="E64" s="96" t="s">
        <v>311</v>
      </c>
      <c r="H64" s="308">
        <v>45401.0</v>
      </c>
      <c r="I64" s="96" t="s">
        <v>556</v>
      </c>
      <c r="K64" s="96" t="s">
        <v>842</v>
      </c>
      <c r="L64" s="96" t="s">
        <v>690</v>
      </c>
      <c r="N64" s="96" t="s">
        <v>302</v>
      </c>
      <c r="O64" s="96">
        <v>4.0</v>
      </c>
      <c r="P64" s="96">
        <v>4.0</v>
      </c>
      <c r="Q64" s="96">
        <v>4.0</v>
      </c>
      <c r="R64" s="96" t="s">
        <v>843</v>
      </c>
      <c r="S64" s="309">
        <f t="shared" si="1"/>
        <v>4</v>
      </c>
      <c r="Y64" s="96">
        <f t="shared" si="2"/>
        <v>0</v>
      </c>
      <c r="AE64" s="93">
        <f t="shared" si="3"/>
        <v>0</v>
      </c>
      <c r="AK64" s="93">
        <f t="shared" si="4"/>
        <v>0</v>
      </c>
    </row>
    <row r="65" hidden="1">
      <c r="A65" s="302">
        <v>45401.83354047454</v>
      </c>
      <c r="B65" s="96" t="s">
        <v>841</v>
      </c>
      <c r="C65" s="96" t="s">
        <v>36</v>
      </c>
      <c r="E65" s="96" t="s">
        <v>278</v>
      </c>
      <c r="H65" s="308">
        <v>45401.0</v>
      </c>
      <c r="I65" s="96" t="s">
        <v>42</v>
      </c>
      <c r="J65" s="96">
        <v>4.0</v>
      </c>
      <c r="K65" s="96" t="s">
        <v>844</v>
      </c>
      <c r="L65" s="96" t="s">
        <v>690</v>
      </c>
      <c r="N65" s="96" t="s">
        <v>281</v>
      </c>
      <c r="O65" s="96">
        <v>5.0</v>
      </c>
      <c r="P65" s="96">
        <v>5.0</v>
      </c>
      <c r="Q65" s="96">
        <v>4.0</v>
      </c>
      <c r="R65" s="96" t="s">
        <v>845</v>
      </c>
      <c r="S65" s="309">
        <f t="shared" si="1"/>
        <v>4.666666667</v>
      </c>
      <c r="Y65" s="96">
        <f t="shared" si="2"/>
        <v>0</v>
      </c>
      <c r="AE65" s="93">
        <f t="shared" si="3"/>
        <v>0</v>
      </c>
      <c r="AK65" s="93">
        <f t="shared" si="4"/>
        <v>0</v>
      </c>
    </row>
    <row r="66" hidden="1">
      <c r="A66" s="302">
        <v>45401.83602362269</v>
      </c>
      <c r="B66" s="96" t="s">
        <v>841</v>
      </c>
      <c r="C66" s="96" t="s">
        <v>36</v>
      </c>
      <c r="E66" s="96" t="s">
        <v>300</v>
      </c>
      <c r="H66" s="308">
        <v>45394.0</v>
      </c>
      <c r="I66" s="96" t="s">
        <v>556</v>
      </c>
      <c r="J66" s="96">
        <v>3.0</v>
      </c>
      <c r="K66" s="96" t="s">
        <v>846</v>
      </c>
      <c r="L66" s="96" t="s">
        <v>690</v>
      </c>
      <c r="N66" s="96" t="s">
        <v>302</v>
      </c>
      <c r="O66" s="96">
        <v>4.0</v>
      </c>
      <c r="P66" s="96">
        <v>4.0</v>
      </c>
      <c r="Q66" s="96">
        <v>4.0</v>
      </c>
      <c r="R66" s="96" t="s">
        <v>847</v>
      </c>
      <c r="S66" s="309">
        <f t="shared" si="1"/>
        <v>4</v>
      </c>
      <c r="T66" s="96" t="s">
        <v>303</v>
      </c>
      <c r="U66" s="96">
        <v>4.0</v>
      </c>
      <c r="V66" s="96">
        <v>4.0</v>
      </c>
      <c r="W66" s="96">
        <v>3.0</v>
      </c>
      <c r="X66" s="96" t="s">
        <v>848</v>
      </c>
      <c r="Y66" s="96">
        <f t="shared" si="2"/>
        <v>3.666666667</v>
      </c>
      <c r="AE66" s="93">
        <f t="shared" si="3"/>
        <v>0</v>
      </c>
      <c r="AK66" s="93">
        <f t="shared" si="4"/>
        <v>0</v>
      </c>
    </row>
    <row r="67" hidden="1">
      <c r="A67" s="302">
        <v>45401.84404747685</v>
      </c>
      <c r="B67" s="96" t="s">
        <v>849</v>
      </c>
      <c r="C67" s="96" t="s">
        <v>36</v>
      </c>
      <c r="E67" s="96" t="s">
        <v>315</v>
      </c>
      <c r="H67" s="308">
        <v>45394.0</v>
      </c>
      <c r="I67" s="96" t="s">
        <v>42</v>
      </c>
      <c r="J67" s="96">
        <v>5.0</v>
      </c>
      <c r="K67" s="96" t="s">
        <v>850</v>
      </c>
      <c r="L67" s="96" t="s">
        <v>705</v>
      </c>
      <c r="M67" s="96" t="s">
        <v>715</v>
      </c>
      <c r="N67" s="96" t="s">
        <v>281</v>
      </c>
      <c r="O67" s="96">
        <v>5.0</v>
      </c>
      <c r="P67" s="96">
        <v>5.0</v>
      </c>
      <c r="Q67" s="96">
        <v>5.0</v>
      </c>
      <c r="R67" s="96" t="s">
        <v>851</v>
      </c>
      <c r="S67" s="309">
        <f t="shared" si="1"/>
        <v>5</v>
      </c>
      <c r="T67" s="96" t="s">
        <v>318</v>
      </c>
      <c r="U67" s="96">
        <v>5.0</v>
      </c>
      <c r="V67" s="96">
        <v>5.0</v>
      </c>
      <c r="W67" s="96">
        <v>5.0</v>
      </c>
      <c r="X67" s="96" t="s">
        <v>852</v>
      </c>
      <c r="Y67" s="96">
        <f t="shared" si="2"/>
        <v>5</v>
      </c>
      <c r="AE67" s="93">
        <f t="shared" si="3"/>
        <v>0</v>
      </c>
      <c r="AK67" s="93">
        <f t="shared" si="4"/>
        <v>0</v>
      </c>
    </row>
    <row r="68" hidden="1">
      <c r="A68" s="302">
        <v>45401.84672035879</v>
      </c>
      <c r="B68" s="96" t="s">
        <v>849</v>
      </c>
      <c r="C68" s="96" t="s">
        <v>36</v>
      </c>
      <c r="E68" s="96" t="s">
        <v>853</v>
      </c>
      <c r="H68" s="308">
        <v>45394.0</v>
      </c>
      <c r="I68" s="96" t="s">
        <v>556</v>
      </c>
      <c r="J68" s="96">
        <v>3.0</v>
      </c>
      <c r="K68" s="96" t="s">
        <v>854</v>
      </c>
      <c r="L68" s="96" t="s">
        <v>705</v>
      </c>
      <c r="M68" s="96" t="s">
        <v>706</v>
      </c>
      <c r="N68" s="96" t="s">
        <v>41</v>
      </c>
      <c r="O68" s="96">
        <v>5.0</v>
      </c>
      <c r="P68" s="96">
        <v>3.0</v>
      </c>
      <c r="Q68" s="96">
        <v>2.0</v>
      </c>
      <c r="R68" s="96" t="s">
        <v>855</v>
      </c>
      <c r="S68" s="309">
        <f t="shared" si="1"/>
        <v>3.333333333</v>
      </c>
      <c r="T68" s="96" t="s">
        <v>333</v>
      </c>
      <c r="U68" s="96">
        <v>3.0</v>
      </c>
      <c r="V68" s="96">
        <v>5.0</v>
      </c>
      <c r="W68" s="96">
        <v>4.0</v>
      </c>
      <c r="X68" s="96" t="s">
        <v>856</v>
      </c>
      <c r="Y68" s="96">
        <f t="shared" si="2"/>
        <v>4</v>
      </c>
      <c r="Z68" s="96" t="s">
        <v>310</v>
      </c>
      <c r="AA68" s="96">
        <v>5.0</v>
      </c>
      <c r="AB68" s="96">
        <v>5.0</v>
      </c>
      <c r="AC68" s="96">
        <v>5.0</v>
      </c>
      <c r="AD68" s="96" t="s">
        <v>857</v>
      </c>
      <c r="AE68" s="93">
        <f t="shared" si="3"/>
        <v>5</v>
      </c>
      <c r="AK68" s="93">
        <f t="shared" si="4"/>
        <v>0</v>
      </c>
    </row>
    <row r="69" hidden="1">
      <c r="A69" s="302">
        <v>45401.954472592595</v>
      </c>
      <c r="B69" s="96" t="s">
        <v>858</v>
      </c>
      <c r="C69" s="96" t="s">
        <v>36</v>
      </c>
      <c r="E69" s="96" t="s">
        <v>307</v>
      </c>
      <c r="H69" s="308">
        <v>45401.0</v>
      </c>
      <c r="I69" s="96" t="s">
        <v>556</v>
      </c>
      <c r="L69" s="96" t="s">
        <v>705</v>
      </c>
      <c r="M69" s="96" t="s">
        <v>715</v>
      </c>
      <c r="N69" s="96" t="s">
        <v>41</v>
      </c>
      <c r="O69" s="96">
        <v>4.0</v>
      </c>
      <c r="P69" s="96">
        <v>4.0</v>
      </c>
      <c r="Q69" s="96">
        <v>4.0</v>
      </c>
      <c r="R69" s="96" t="s">
        <v>859</v>
      </c>
      <c r="S69" s="309">
        <f t="shared" si="1"/>
        <v>4</v>
      </c>
      <c r="T69" s="96" t="s">
        <v>310</v>
      </c>
      <c r="U69" s="96">
        <v>3.0</v>
      </c>
      <c r="V69" s="96">
        <v>4.0</v>
      </c>
      <c r="W69" s="96">
        <v>4.0</v>
      </c>
      <c r="X69" s="96" t="s">
        <v>860</v>
      </c>
      <c r="Y69" s="96">
        <f t="shared" si="2"/>
        <v>3.666666667</v>
      </c>
      <c r="Z69" s="96" t="s">
        <v>333</v>
      </c>
      <c r="AA69" s="96">
        <v>3.0</v>
      </c>
      <c r="AB69" s="96">
        <v>3.0</v>
      </c>
      <c r="AC69" s="96">
        <v>3.0</v>
      </c>
      <c r="AD69" s="96" t="s">
        <v>861</v>
      </c>
      <c r="AE69" s="93">
        <f t="shared" si="3"/>
        <v>3</v>
      </c>
      <c r="AF69" s="96" t="s">
        <v>309</v>
      </c>
      <c r="AG69" s="96">
        <v>2.0</v>
      </c>
      <c r="AH69" s="96">
        <v>3.0</v>
      </c>
      <c r="AI69" s="96">
        <v>2.0</v>
      </c>
      <c r="AJ69" s="96" t="s">
        <v>862</v>
      </c>
      <c r="AK69" s="93">
        <f t="shared" si="4"/>
        <v>2.333333333</v>
      </c>
    </row>
    <row r="70" hidden="1">
      <c r="A70" s="302">
        <v>45401.96690655092</v>
      </c>
      <c r="B70" s="96" t="s">
        <v>858</v>
      </c>
      <c r="C70" s="96" t="s">
        <v>36</v>
      </c>
      <c r="E70" s="96" t="s">
        <v>321</v>
      </c>
      <c r="H70" s="308">
        <v>45401.0</v>
      </c>
      <c r="I70" s="96" t="s">
        <v>556</v>
      </c>
      <c r="L70" s="96" t="s">
        <v>705</v>
      </c>
      <c r="M70" s="96" t="s">
        <v>706</v>
      </c>
      <c r="N70" s="96" t="s">
        <v>310</v>
      </c>
      <c r="O70" s="96">
        <v>4.0</v>
      </c>
      <c r="P70" s="96">
        <v>3.0</v>
      </c>
      <c r="Q70" s="96">
        <v>3.0</v>
      </c>
      <c r="R70" s="96" t="s">
        <v>863</v>
      </c>
      <c r="S70" s="309">
        <f t="shared" si="1"/>
        <v>3.333333333</v>
      </c>
      <c r="T70" s="96" t="s">
        <v>322</v>
      </c>
      <c r="U70" s="96">
        <v>4.0</v>
      </c>
      <c r="V70" s="96">
        <v>3.0</v>
      </c>
      <c r="W70" s="96">
        <v>3.0</v>
      </c>
      <c r="X70" s="96" t="s">
        <v>864</v>
      </c>
      <c r="Y70" s="96">
        <f t="shared" si="2"/>
        <v>3.333333333</v>
      </c>
      <c r="AE70" s="93">
        <f t="shared" si="3"/>
        <v>0</v>
      </c>
      <c r="AK70" s="93">
        <f t="shared" si="4"/>
        <v>0</v>
      </c>
    </row>
    <row r="71" hidden="1">
      <c r="A71" s="302">
        <v>45402.900097986116</v>
      </c>
      <c r="B71" s="96" t="s">
        <v>865</v>
      </c>
      <c r="C71" s="96" t="s">
        <v>36</v>
      </c>
      <c r="E71" s="96" t="s">
        <v>273</v>
      </c>
      <c r="H71" s="308">
        <v>45401.0</v>
      </c>
      <c r="I71" s="96" t="s">
        <v>556</v>
      </c>
      <c r="L71" s="96" t="s">
        <v>705</v>
      </c>
      <c r="M71" s="96" t="s">
        <v>706</v>
      </c>
      <c r="N71" s="96" t="s">
        <v>318</v>
      </c>
      <c r="O71" s="96">
        <v>3.0</v>
      </c>
      <c r="P71" s="96">
        <v>4.0</v>
      </c>
      <c r="Q71" s="96">
        <v>3.0</v>
      </c>
      <c r="R71" s="96" t="s">
        <v>866</v>
      </c>
      <c r="S71" s="309">
        <f t="shared" si="1"/>
        <v>3.333333333</v>
      </c>
      <c r="T71" s="96" t="s">
        <v>336</v>
      </c>
      <c r="U71" s="96">
        <v>4.0</v>
      </c>
      <c r="V71" s="96">
        <v>4.0</v>
      </c>
      <c r="W71" s="96">
        <v>4.0</v>
      </c>
      <c r="X71" s="96" t="s">
        <v>867</v>
      </c>
      <c r="Y71" s="96">
        <f t="shared" si="2"/>
        <v>4</v>
      </c>
      <c r="Z71" s="96" t="s">
        <v>277</v>
      </c>
      <c r="AA71" s="96">
        <v>5.0</v>
      </c>
      <c r="AB71" s="96">
        <v>5.0</v>
      </c>
      <c r="AC71" s="96">
        <v>5.0</v>
      </c>
      <c r="AD71" s="96" t="s">
        <v>868</v>
      </c>
      <c r="AE71" s="93">
        <f t="shared" si="3"/>
        <v>5</v>
      </c>
      <c r="AF71" s="96" t="s">
        <v>276</v>
      </c>
      <c r="AG71" s="96">
        <v>4.0</v>
      </c>
      <c r="AH71" s="96">
        <v>5.0</v>
      </c>
      <c r="AI71" s="96">
        <v>4.0</v>
      </c>
      <c r="AJ71" s="96" t="s">
        <v>869</v>
      </c>
      <c r="AK71" s="93">
        <f t="shared" si="4"/>
        <v>4.333333333</v>
      </c>
    </row>
    <row r="72" hidden="1">
      <c r="A72" s="302">
        <v>45402.902419942126</v>
      </c>
      <c r="B72" s="96" t="s">
        <v>865</v>
      </c>
      <c r="C72" s="96" t="s">
        <v>36</v>
      </c>
      <c r="E72" s="96" t="s">
        <v>319</v>
      </c>
      <c r="H72" s="308">
        <v>45401.0</v>
      </c>
      <c r="I72" s="96" t="s">
        <v>42</v>
      </c>
      <c r="J72" s="96">
        <v>4.0</v>
      </c>
      <c r="K72" s="96" t="s">
        <v>870</v>
      </c>
      <c r="L72" s="96" t="s">
        <v>690</v>
      </c>
      <c r="M72" s="96" t="s">
        <v>691</v>
      </c>
      <c r="N72" s="96" t="s">
        <v>301</v>
      </c>
      <c r="O72" s="96">
        <v>5.0</v>
      </c>
      <c r="P72" s="96">
        <v>4.0</v>
      </c>
      <c r="Q72" s="96">
        <v>4.0</v>
      </c>
      <c r="R72" s="96" t="s">
        <v>871</v>
      </c>
      <c r="S72" s="309">
        <f t="shared" si="1"/>
        <v>4.333333333</v>
      </c>
      <c r="T72" s="96" t="s">
        <v>294</v>
      </c>
      <c r="U72" s="96">
        <v>5.0</v>
      </c>
      <c r="V72" s="96">
        <v>5.0</v>
      </c>
      <c r="W72" s="96">
        <v>5.0</v>
      </c>
      <c r="X72" s="96" t="s">
        <v>872</v>
      </c>
      <c r="Y72" s="96">
        <f t="shared" si="2"/>
        <v>5</v>
      </c>
      <c r="Z72" s="96" t="s">
        <v>322</v>
      </c>
      <c r="AA72" s="96">
        <v>5.0</v>
      </c>
      <c r="AB72" s="96">
        <v>3.0</v>
      </c>
      <c r="AC72" s="96">
        <v>3.0</v>
      </c>
      <c r="AD72" s="96" t="s">
        <v>873</v>
      </c>
      <c r="AE72" s="93">
        <f t="shared" si="3"/>
        <v>3.666666667</v>
      </c>
      <c r="AF72" s="96" t="s">
        <v>328</v>
      </c>
      <c r="AG72" s="96">
        <v>3.0</v>
      </c>
      <c r="AH72" s="96">
        <v>5.0</v>
      </c>
      <c r="AI72" s="96">
        <v>3.0</v>
      </c>
      <c r="AJ72" s="96" t="s">
        <v>874</v>
      </c>
      <c r="AK72" s="93">
        <f t="shared" si="4"/>
        <v>3.666666667</v>
      </c>
    </row>
    <row r="73" hidden="1">
      <c r="A73" s="302">
        <v>45402.90410462963</v>
      </c>
      <c r="B73" s="96" t="s">
        <v>865</v>
      </c>
      <c r="C73" s="96" t="s">
        <v>36</v>
      </c>
      <c r="E73" s="96" t="s">
        <v>875</v>
      </c>
      <c r="H73" s="308">
        <v>45401.0</v>
      </c>
      <c r="I73" s="96" t="s">
        <v>42</v>
      </c>
      <c r="J73" s="96">
        <v>5.0</v>
      </c>
      <c r="K73" s="96" t="s">
        <v>876</v>
      </c>
      <c r="L73" s="96" t="s">
        <v>705</v>
      </c>
      <c r="M73" s="96" t="s">
        <v>715</v>
      </c>
      <c r="N73" s="96" t="s">
        <v>317</v>
      </c>
      <c r="O73" s="96">
        <v>4.0</v>
      </c>
      <c r="P73" s="96">
        <v>4.0</v>
      </c>
      <c r="Q73" s="96">
        <v>4.0</v>
      </c>
      <c r="R73" s="96" t="s">
        <v>877</v>
      </c>
      <c r="S73" s="309">
        <f t="shared" si="1"/>
        <v>4</v>
      </c>
      <c r="T73" s="96" t="s">
        <v>329</v>
      </c>
      <c r="U73" s="96">
        <v>5.0</v>
      </c>
      <c r="V73" s="96">
        <v>4.0</v>
      </c>
      <c r="W73" s="96">
        <v>4.0</v>
      </c>
      <c r="X73" s="96" t="s">
        <v>878</v>
      </c>
      <c r="Y73" s="96">
        <f t="shared" si="2"/>
        <v>4.333333333</v>
      </c>
      <c r="AE73" s="93">
        <f t="shared" si="3"/>
        <v>0</v>
      </c>
      <c r="AK73" s="93">
        <f t="shared" si="4"/>
        <v>0</v>
      </c>
    </row>
    <row r="74" hidden="1">
      <c r="A74" s="302">
        <v>45403.872052175924</v>
      </c>
      <c r="B74" s="96" t="s">
        <v>778</v>
      </c>
      <c r="C74" s="96" t="s">
        <v>187</v>
      </c>
      <c r="F74" s="96" t="s">
        <v>186</v>
      </c>
      <c r="H74" s="308">
        <v>45401.0</v>
      </c>
      <c r="I74" s="96" t="s">
        <v>42</v>
      </c>
      <c r="J74" s="96">
        <v>4.0</v>
      </c>
      <c r="K74" s="96" t="s">
        <v>879</v>
      </c>
      <c r="L74" s="96" t="s">
        <v>705</v>
      </c>
      <c r="M74" s="96" t="s">
        <v>715</v>
      </c>
      <c r="N74" s="96" t="s">
        <v>192</v>
      </c>
      <c r="O74" s="96">
        <v>3.0</v>
      </c>
      <c r="P74" s="96">
        <v>4.0</v>
      </c>
      <c r="Q74" s="96">
        <v>3.0</v>
      </c>
      <c r="S74" s="309">
        <f t="shared" si="1"/>
        <v>3.333333333</v>
      </c>
      <c r="Y74" s="96">
        <f t="shared" si="2"/>
        <v>0</v>
      </c>
      <c r="AE74" s="93">
        <f t="shared" si="3"/>
        <v>0</v>
      </c>
      <c r="AK74" s="93">
        <f t="shared" si="4"/>
        <v>0</v>
      </c>
    </row>
    <row r="75" hidden="1">
      <c r="A75" s="302">
        <v>45403.87254070602</v>
      </c>
      <c r="B75" s="96" t="s">
        <v>778</v>
      </c>
      <c r="C75" s="96" t="s">
        <v>187</v>
      </c>
      <c r="F75" s="96" t="s">
        <v>880</v>
      </c>
      <c r="H75" s="308">
        <v>45401.0</v>
      </c>
      <c r="I75" s="96" t="s">
        <v>42</v>
      </c>
      <c r="J75" s="96">
        <v>4.0</v>
      </c>
      <c r="K75" s="96" t="s">
        <v>881</v>
      </c>
      <c r="L75" s="96" t="s">
        <v>705</v>
      </c>
      <c r="M75" s="96" t="s">
        <v>715</v>
      </c>
      <c r="N75" s="96" t="s">
        <v>193</v>
      </c>
      <c r="O75" s="96">
        <v>3.0</v>
      </c>
      <c r="P75" s="96">
        <v>4.0</v>
      </c>
      <c r="Q75" s="96">
        <v>3.0</v>
      </c>
      <c r="S75" s="309">
        <f t="shared" si="1"/>
        <v>3.333333333</v>
      </c>
      <c r="Y75" s="96">
        <f t="shared" si="2"/>
        <v>0</v>
      </c>
      <c r="AE75" s="93">
        <f t="shared" si="3"/>
        <v>0</v>
      </c>
      <c r="AK75" s="93">
        <f t="shared" si="4"/>
        <v>0</v>
      </c>
    </row>
    <row r="76" hidden="1">
      <c r="A76" s="302">
        <v>45403.87325568287</v>
      </c>
      <c r="B76" s="96" t="s">
        <v>778</v>
      </c>
      <c r="C76" s="96" t="s">
        <v>187</v>
      </c>
      <c r="F76" s="96" t="s">
        <v>194</v>
      </c>
      <c r="H76" s="308">
        <v>45401.0</v>
      </c>
      <c r="I76" s="96" t="s">
        <v>42</v>
      </c>
      <c r="J76" s="96">
        <v>4.0</v>
      </c>
      <c r="K76" s="96" t="s">
        <v>882</v>
      </c>
      <c r="L76" s="96" t="s">
        <v>690</v>
      </c>
      <c r="M76" s="96" t="s">
        <v>691</v>
      </c>
      <c r="N76" s="96" t="s">
        <v>195</v>
      </c>
      <c r="O76" s="96">
        <v>3.0</v>
      </c>
      <c r="P76" s="96">
        <v>4.0</v>
      </c>
      <c r="Q76" s="96">
        <v>5.0</v>
      </c>
      <c r="R76" s="96" t="s">
        <v>883</v>
      </c>
      <c r="S76" s="309">
        <f t="shared" si="1"/>
        <v>4</v>
      </c>
      <c r="Y76" s="96">
        <f t="shared" si="2"/>
        <v>0</v>
      </c>
      <c r="AE76" s="93">
        <f t="shared" si="3"/>
        <v>0</v>
      </c>
      <c r="AK76" s="93">
        <f t="shared" si="4"/>
        <v>0</v>
      </c>
    </row>
    <row r="77" hidden="1">
      <c r="A77" s="302">
        <v>45403.87514665509</v>
      </c>
      <c r="B77" s="96" t="s">
        <v>778</v>
      </c>
      <c r="C77" s="96" t="s">
        <v>187</v>
      </c>
      <c r="F77" s="96" t="s">
        <v>783</v>
      </c>
      <c r="H77" s="308">
        <v>45401.0</v>
      </c>
      <c r="I77" s="96" t="s">
        <v>42</v>
      </c>
      <c r="J77" s="96">
        <v>4.0</v>
      </c>
      <c r="K77" s="96" t="s">
        <v>884</v>
      </c>
      <c r="L77" s="96" t="s">
        <v>705</v>
      </c>
      <c r="M77" s="96" t="s">
        <v>715</v>
      </c>
      <c r="N77" s="96" t="s">
        <v>243</v>
      </c>
      <c r="O77" s="96">
        <v>4.0</v>
      </c>
      <c r="P77" s="96">
        <v>4.0</v>
      </c>
      <c r="Q77" s="96">
        <v>4.0</v>
      </c>
      <c r="S77" s="309">
        <f t="shared" si="1"/>
        <v>4</v>
      </c>
      <c r="T77" s="96" t="s">
        <v>334</v>
      </c>
      <c r="U77" s="96">
        <v>4.0</v>
      </c>
      <c r="V77" s="96">
        <v>4.0</v>
      </c>
      <c r="W77" s="96">
        <v>4.0</v>
      </c>
      <c r="Y77" s="96">
        <f t="shared" si="2"/>
        <v>4</v>
      </c>
      <c r="AE77" s="93">
        <f t="shared" si="3"/>
        <v>0</v>
      </c>
      <c r="AK77" s="93">
        <f t="shared" si="4"/>
        <v>0</v>
      </c>
    </row>
    <row r="78" hidden="1">
      <c r="A78" s="302">
        <v>45403.8763249537</v>
      </c>
      <c r="B78" s="96" t="s">
        <v>778</v>
      </c>
      <c r="C78" s="96" t="s">
        <v>187</v>
      </c>
      <c r="F78" s="96" t="s">
        <v>787</v>
      </c>
      <c r="H78" s="308">
        <v>45401.0</v>
      </c>
      <c r="I78" s="96" t="s">
        <v>42</v>
      </c>
      <c r="J78" s="96">
        <v>4.0</v>
      </c>
      <c r="K78" s="96" t="s">
        <v>885</v>
      </c>
      <c r="L78" s="96" t="s">
        <v>705</v>
      </c>
      <c r="M78" s="96" t="s">
        <v>715</v>
      </c>
      <c r="N78" s="96" t="s">
        <v>227</v>
      </c>
      <c r="O78" s="96">
        <v>3.0</v>
      </c>
      <c r="P78" s="96">
        <v>4.0</v>
      </c>
      <c r="Q78" s="96">
        <v>3.0</v>
      </c>
      <c r="S78" s="309">
        <f t="shared" si="1"/>
        <v>3.333333333</v>
      </c>
      <c r="T78" s="96" t="s">
        <v>253</v>
      </c>
      <c r="U78" s="96">
        <v>3.0</v>
      </c>
      <c r="V78" s="96">
        <v>3.0</v>
      </c>
      <c r="W78" s="96">
        <v>3.0</v>
      </c>
      <c r="Y78" s="96">
        <f t="shared" si="2"/>
        <v>3</v>
      </c>
      <c r="AE78" s="93">
        <f t="shared" si="3"/>
        <v>0</v>
      </c>
      <c r="AK78" s="93">
        <f t="shared" si="4"/>
        <v>0</v>
      </c>
    </row>
    <row r="79" hidden="1">
      <c r="A79" s="302">
        <v>45403.87761277778</v>
      </c>
      <c r="B79" s="96" t="s">
        <v>778</v>
      </c>
      <c r="C79" s="96" t="s">
        <v>187</v>
      </c>
      <c r="F79" s="96" t="s">
        <v>791</v>
      </c>
      <c r="H79" s="308">
        <v>45401.0</v>
      </c>
      <c r="I79" s="96" t="s">
        <v>556</v>
      </c>
      <c r="J79" s="96">
        <v>3.0</v>
      </c>
      <c r="K79" s="96" t="s">
        <v>886</v>
      </c>
      <c r="L79" s="96" t="s">
        <v>705</v>
      </c>
      <c r="M79" s="96" t="s">
        <v>706</v>
      </c>
      <c r="N79" s="96" t="s">
        <v>243</v>
      </c>
      <c r="O79" s="96">
        <v>3.0</v>
      </c>
      <c r="P79" s="96">
        <v>2.0</v>
      </c>
      <c r="Q79" s="96">
        <v>2.0</v>
      </c>
      <c r="R79" s="96" t="s">
        <v>887</v>
      </c>
      <c r="S79" s="309">
        <f t="shared" si="1"/>
        <v>2.333333333</v>
      </c>
      <c r="T79" s="96" t="s">
        <v>241</v>
      </c>
      <c r="U79" s="96">
        <v>2.0</v>
      </c>
      <c r="V79" s="96">
        <v>2.0</v>
      </c>
      <c r="W79" s="96">
        <v>2.0</v>
      </c>
      <c r="X79" s="96" t="s">
        <v>888</v>
      </c>
      <c r="Y79" s="96">
        <f t="shared" si="2"/>
        <v>2</v>
      </c>
      <c r="AE79" s="93">
        <f t="shared" si="3"/>
        <v>0</v>
      </c>
      <c r="AK79" s="93">
        <f t="shared" si="4"/>
        <v>0</v>
      </c>
    </row>
    <row r="80" hidden="1">
      <c r="A80" s="302">
        <v>45403.878673796295</v>
      </c>
      <c r="B80" s="96" t="s">
        <v>778</v>
      </c>
      <c r="C80" s="96" t="s">
        <v>187</v>
      </c>
      <c r="F80" s="96" t="s">
        <v>794</v>
      </c>
      <c r="H80" s="308">
        <v>45401.0</v>
      </c>
      <c r="I80" s="96" t="s">
        <v>42</v>
      </c>
      <c r="J80" s="96">
        <v>4.0</v>
      </c>
      <c r="K80" s="96" t="s">
        <v>889</v>
      </c>
      <c r="L80" s="96" t="s">
        <v>705</v>
      </c>
      <c r="M80" s="96" t="s">
        <v>691</v>
      </c>
      <c r="N80" s="96" t="s">
        <v>247</v>
      </c>
      <c r="O80" s="96">
        <v>3.0</v>
      </c>
      <c r="P80" s="96">
        <v>3.0</v>
      </c>
      <c r="Q80" s="96">
        <v>3.0</v>
      </c>
      <c r="R80" s="96" t="s">
        <v>890</v>
      </c>
      <c r="S80" s="309">
        <f t="shared" si="1"/>
        <v>3</v>
      </c>
      <c r="Y80" s="96">
        <f t="shared" si="2"/>
        <v>0</v>
      </c>
      <c r="AE80" s="93">
        <f t="shared" si="3"/>
        <v>0</v>
      </c>
      <c r="AK80" s="93">
        <f t="shared" si="4"/>
        <v>0</v>
      </c>
    </row>
    <row r="81" hidden="1">
      <c r="A81" s="302">
        <v>45403.87951240741</v>
      </c>
      <c r="B81" s="96" t="s">
        <v>778</v>
      </c>
      <c r="C81" s="96" t="s">
        <v>187</v>
      </c>
      <c r="F81" s="96" t="s">
        <v>797</v>
      </c>
      <c r="H81" s="308">
        <v>45401.0</v>
      </c>
      <c r="I81" s="96" t="s">
        <v>556</v>
      </c>
      <c r="J81" s="96">
        <v>2.0</v>
      </c>
      <c r="K81" s="96" t="s">
        <v>891</v>
      </c>
      <c r="L81" s="96" t="s">
        <v>705</v>
      </c>
      <c r="M81" s="96" t="s">
        <v>706</v>
      </c>
      <c r="N81" s="96" t="s">
        <v>235</v>
      </c>
      <c r="O81" s="96">
        <v>2.0</v>
      </c>
      <c r="P81" s="96">
        <v>2.0</v>
      </c>
      <c r="Q81" s="96">
        <v>2.0</v>
      </c>
      <c r="R81" s="96" t="s">
        <v>892</v>
      </c>
      <c r="S81" s="309">
        <f t="shared" si="1"/>
        <v>2</v>
      </c>
      <c r="Y81" s="96">
        <f t="shared" si="2"/>
        <v>0</v>
      </c>
      <c r="AE81" s="93">
        <f t="shared" si="3"/>
        <v>0</v>
      </c>
      <c r="AK81" s="93">
        <f t="shared" si="4"/>
        <v>0</v>
      </c>
    </row>
    <row r="82" hidden="1">
      <c r="A82" s="302">
        <v>45404.718070532406</v>
      </c>
      <c r="B82" s="96" t="s">
        <v>695</v>
      </c>
      <c r="C82" s="96" t="s">
        <v>44</v>
      </c>
      <c r="D82" s="96" t="s">
        <v>83</v>
      </c>
      <c r="H82" s="308">
        <v>45401.0</v>
      </c>
      <c r="I82" s="96" t="s">
        <v>42</v>
      </c>
      <c r="J82" s="96">
        <v>3.0</v>
      </c>
      <c r="K82" s="96" t="s">
        <v>893</v>
      </c>
      <c r="L82" s="96" t="s">
        <v>705</v>
      </c>
      <c r="M82" s="96" t="s">
        <v>706</v>
      </c>
      <c r="N82" s="96" t="s">
        <v>62</v>
      </c>
      <c r="O82" s="96">
        <v>4.0</v>
      </c>
      <c r="P82" s="96">
        <v>4.0</v>
      </c>
      <c r="Q82" s="96">
        <v>4.0</v>
      </c>
      <c r="R82" s="96" t="s">
        <v>894</v>
      </c>
      <c r="S82" s="309">
        <f t="shared" si="1"/>
        <v>4</v>
      </c>
      <c r="T82" s="96" t="s">
        <v>85</v>
      </c>
      <c r="U82" s="96">
        <v>3.0</v>
      </c>
      <c r="V82" s="96">
        <v>3.0</v>
      </c>
      <c r="W82" s="96">
        <v>2.0</v>
      </c>
      <c r="X82" s="96" t="s">
        <v>895</v>
      </c>
      <c r="Y82" s="96">
        <f t="shared" si="2"/>
        <v>2.666666667</v>
      </c>
      <c r="AE82" s="93">
        <f t="shared" si="3"/>
        <v>0</v>
      </c>
      <c r="AK82" s="93">
        <f t="shared" si="4"/>
        <v>0</v>
      </c>
    </row>
    <row r="83" hidden="1">
      <c r="A83" s="302">
        <v>45404.71938826389</v>
      </c>
      <c r="B83" s="96" t="s">
        <v>695</v>
      </c>
      <c r="C83" s="96" t="s">
        <v>44</v>
      </c>
      <c r="D83" s="96" t="s">
        <v>106</v>
      </c>
      <c r="H83" s="308">
        <v>45401.0</v>
      </c>
      <c r="I83" s="96" t="s">
        <v>42</v>
      </c>
      <c r="J83" s="96">
        <v>3.0</v>
      </c>
      <c r="K83" s="96" t="s">
        <v>896</v>
      </c>
      <c r="L83" s="96" t="s">
        <v>705</v>
      </c>
      <c r="M83" s="96" t="s">
        <v>706</v>
      </c>
      <c r="N83" s="96" t="s">
        <v>70</v>
      </c>
      <c r="O83" s="96">
        <v>4.0</v>
      </c>
      <c r="P83" s="96">
        <v>3.0</v>
      </c>
      <c r="Q83" s="96">
        <v>3.0</v>
      </c>
      <c r="R83" s="96" t="s">
        <v>897</v>
      </c>
      <c r="S83" s="309">
        <f t="shared" si="1"/>
        <v>3.333333333</v>
      </c>
      <c r="Y83" s="96">
        <f t="shared" si="2"/>
        <v>0</v>
      </c>
      <c r="AE83" s="93">
        <f t="shared" si="3"/>
        <v>0</v>
      </c>
      <c r="AK83" s="93">
        <f t="shared" si="4"/>
        <v>0</v>
      </c>
    </row>
    <row r="84" hidden="1">
      <c r="A84" s="302">
        <v>45405.72528755787</v>
      </c>
      <c r="B84" s="96" t="s">
        <v>778</v>
      </c>
      <c r="C84" s="96" t="s">
        <v>187</v>
      </c>
      <c r="F84" s="96" t="s">
        <v>898</v>
      </c>
      <c r="H84" s="308">
        <v>45387.0</v>
      </c>
      <c r="I84" s="96" t="s">
        <v>556</v>
      </c>
      <c r="J84" s="96">
        <v>4.0</v>
      </c>
      <c r="K84" s="96" t="s">
        <v>899</v>
      </c>
      <c r="L84" s="96" t="s">
        <v>705</v>
      </c>
      <c r="M84" s="96" t="s">
        <v>715</v>
      </c>
      <c r="N84" s="96" t="s">
        <v>351</v>
      </c>
      <c r="O84" s="96">
        <v>3.0</v>
      </c>
      <c r="P84" s="96">
        <v>3.0</v>
      </c>
      <c r="Q84" s="96">
        <v>3.0</v>
      </c>
      <c r="R84" s="96" t="s">
        <v>900</v>
      </c>
      <c r="S84" s="309">
        <f t="shared" si="1"/>
        <v>3</v>
      </c>
      <c r="Y84" s="96">
        <f t="shared" si="2"/>
        <v>0</v>
      </c>
      <c r="AE84" s="93">
        <f t="shared" si="3"/>
        <v>0</v>
      </c>
      <c r="AK84" s="93">
        <f t="shared" si="4"/>
        <v>0</v>
      </c>
    </row>
    <row r="85" hidden="1">
      <c r="A85" s="302">
        <v>45405.726073541664</v>
      </c>
      <c r="B85" s="96" t="s">
        <v>778</v>
      </c>
      <c r="C85" s="96" t="s">
        <v>187</v>
      </c>
      <c r="F85" s="96" t="s">
        <v>898</v>
      </c>
      <c r="H85" s="308">
        <v>45401.0</v>
      </c>
      <c r="I85" s="96" t="s">
        <v>556</v>
      </c>
      <c r="J85" s="96">
        <v>3.0</v>
      </c>
      <c r="L85" s="96" t="s">
        <v>705</v>
      </c>
      <c r="M85" s="96" t="s">
        <v>715</v>
      </c>
      <c r="N85" s="96" t="s">
        <v>351</v>
      </c>
      <c r="O85" s="96">
        <v>3.0</v>
      </c>
      <c r="P85" s="96">
        <v>4.0</v>
      </c>
      <c r="Q85" s="96">
        <v>4.0</v>
      </c>
      <c r="R85" s="96" t="s">
        <v>901</v>
      </c>
      <c r="S85" s="309">
        <f t="shared" si="1"/>
        <v>3.666666667</v>
      </c>
      <c r="Y85" s="96">
        <f t="shared" si="2"/>
        <v>0</v>
      </c>
      <c r="AE85" s="93">
        <f t="shared" si="3"/>
        <v>0</v>
      </c>
      <c r="AK85" s="93">
        <f t="shared" si="4"/>
        <v>0</v>
      </c>
    </row>
    <row r="86">
      <c r="A86" s="312">
        <v>45415.44570332176</v>
      </c>
      <c r="B86" s="313" t="s">
        <v>545</v>
      </c>
      <c r="C86" s="313" t="s">
        <v>116</v>
      </c>
      <c r="D86" s="314"/>
      <c r="E86" s="314"/>
      <c r="F86" s="314"/>
      <c r="G86" s="313" t="s">
        <v>160</v>
      </c>
      <c r="H86" s="315">
        <v>45415.0</v>
      </c>
      <c r="I86" s="313" t="s">
        <v>556</v>
      </c>
      <c r="J86" s="314"/>
      <c r="K86" s="314"/>
      <c r="L86" s="313" t="s">
        <v>690</v>
      </c>
      <c r="M86" s="314"/>
      <c r="N86" s="313" t="s">
        <v>161</v>
      </c>
      <c r="O86" s="313">
        <v>3.0</v>
      </c>
      <c r="P86" s="313">
        <v>2.0</v>
      </c>
      <c r="Q86" s="313">
        <v>3.0</v>
      </c>
      <c r="R86" s="314"/>
      <c r="S86" s="309">
        <f t="shared" si="1"/>
        <v>2.666666667</v>
      </c>
      <c r="T86" s="314"/>
      <c r="U86" s="314"/>
      <c r="V86" s="314"/>
      <c r="W86" s="314"/>
      <c r="X86" s="314"/>
      <c r="Y86" s="96">
        <f t="shared" si="2"/>
        <v>0</v>
      </c>
      <c r="Z86" s="314"/>
      <c r="AA86" s="314"/>
      <c r="AB86" s="314"/>
      <c r="AC86" s="314"/>
      <c r="AD86" s="314"/>
      <c r="AE86" s="314">
        <f t="shared" si="3"/>
        <v>0</v>
      </c>
      <c r="AF86" s="314"/>
      <c r="AG86" s="314"/>
      <c r="AH86" s="314"/>
      <c r="AI86" s="314"/>
      <c r="AJ86" s="314"/>
      <c r="AK86" s="314">
        <f t="shared" si="4"/>
        <v>0</v>
      </c>
      <c r="AL86" s="314"/>
      <c r="AM86" s="314"/>
      <c r="AN86" s="314"/>
      <c r="AO86" s="314"/>
      <c r="AP86" s="314"/>
      <c r="AQ86" s="314"/>
      <c r="AR86" s="314"/>
    </row>
    <row r="87">
      <c r="A87" s="312">
        <v>45415.44665777778</v>
      </c>
      <c r="B87" s="313" t="s">
        <v>545</v>
      </c>
      <c r="C87" s="313" t="s">
        <v>116</v>
      </c>
      <c r="D87" s="314"/>
      <c r="E87" s="314"/>
      <c r="F87" s="314"/>
      <c r="G87" s="313" t="s">
        <v>165</v>
      </c>
      <c r="H87" s="315">
        <v>45415.0</v>
      </c>
      <c r="I87" s="313" t="s">
        <v>556</v>
      </c>
      <c r="J87" s="314"/>
      <c r="K87" s="314"/>
      <c r="L87" s="313" t="s">
        <v>690</v>
      </c>
      <c r="M87" s="314"/>
      <c r="N87" s="313" t="s">
        <v>166</v>
      </c>
      <c r="O87" s="313">
        <v>2.0</v>
      </c>
      <c r="P87" s="313">
        <v>2.0</v>
      </c>
      <c r="Q87" s="313">
        <v>2.0</v>
      </c>
      <c r="R87" s="314"/>
      <c r="S87" s="309">
        <f t="shared" si="1"/>
        <v>2</v>
      </c>
      <c r="T87" s="313" t="s">
        <v>157</v>
      </c>
      <c r="U87" s="313">
        <v>3.0</v>
      </c>
      <c r="V87" s="313">
        <v>2.0</v>
      </c>
      <c r="W87" s="313">
        <v>2.0</v>
      </c>
      <c r="X87" s="314"/>
      <c r="Y87" s="96">
        <f t="shared" si="2"/>
        <v>2.333333333</v>
      </c>
      <c r="Z87" s="314"/>
      <c r="AA87" s="314"/>
      <c r="AB87" s="314"/>
      <c r="AC87" s="314"/>
      <c r="AD87" s="314"/>
      <c r="AE87" s="314">
        <f t="shared" si="3"/>
        <v>0</v>
      </c>
      <c r="AF87" s="314"/>
      <c r="AG87" s="314"/>
      <c r="AH87" s="314"/>
      <c r="AI87" s="314"/>
      <c r="AJ87" s="314"/>
      <c r="AK87" s="314">
        <f t="shared" si="4"/>
        <v>0</v>
      </c>
      <c r="AL87" s="314"/>
      <c r="AM87" s="314"/>
      <c r="AN87" s="314"/>
      <c r="AO87" s="314"/>
      <c r="AP87" s="314"/>
      <c r="AQ87" s="314"/>
      <c r="AR87" s="314"/>
    </row>
    <row r="88" hidden="1">
      <c r="A88" s="302">
        <v>45415.46541533565</v>
      </c>
      <c r="B88" s="96" t="s">
        <v>902</v>
      </c>
      <c r="C88" s="96" t="s">
        <v>36</v>
      </c>
      <c r="E88" s="96" t="s">
        <v>903</v>
      </c>
      <c r="H88" s="308">
        <v>45405.0</v>
      </c>
      <c r="I88" s="96" t="s">
        <v>42</v>
      </c>
      <c r="J88" s="96">
        <v>5.0</v>
      </c>
      <c r="K88" s="96" t="s">
        <v>904</v>
      </c>
      <c r="L88" s="96" t="s">
        <v>690</v>
      </c>
      <c r="N88" s="96" t="s">
        <v>331</v>
      </c>
      <c r="O88" s="96">
        <v>4.0</v>
      </c>
      <c r="P88" s="96">
        <v>3.0</v>
      </c>
      <c r="Q88" s="96">
        <v>3.0</v>
      </c>
      <c r="R88" s="96" t="s">
        <v>905</v>
      </c>
      <c r="S88" s="309">
        <f t="shared" si="1"/>
        <v>3.333333333</v>
      </c>
      <c r="T88" s="96" t="s">
        <v>293</v>
      </c>
      <c r="U88" s="96">
        <v>4.0</v>
      </c>
      <c r="V88" s="96">
        <v>3.0</v>
      </c>
      <c r="W88" s="96">
        <v>3.0</v>
      </c>
      <c r="X88" s="96" t="s">
        <v>906</v>
      </c>
      <c r="Y88" s="96">
        <f t="shared" si="2"/>
        <v>3.333333333</v>
      </c>
      <c r="AE88" s="93">
        <f t="shared" si="3"/>
        <v>0</v>
      </c>
      <c r="AK88" s="93">
        <f t="shared" si="4"/>
        <v>0</v>
      </c>
    </row>
    <row r="89" hidden="1">
      <c r="A89" s="302">
        <v>45415.56378773148</v>
      </c>
      <c r="B89" s="96" t="s">
        <v>907</v>
      </c>
      <c r="C89" s="96" t="s">
        <v>187</v>
      </c>
      <c r="F89" s="96" t="s">
        <v>908</v>
      </c>
      <c r="H89" s="308">
        <v>45356.0</v>
      </c>
      <c r="I89" s="96" t="s">
        <v>42</v>
      </c>
      <c r="J89" s="96">
        <v>3.0</v>
      </c>
      <c r="K89" s="96" t="s">
        <v>909</v>
      </c>
      <c r="L89" s="96" t="s">
        <v>705</v>
      </c>
      <c r="M89" s="96" t="s">
        <v>715</v>
      </c>
      <c r="N89" s="96" t="s">
        <v>348</v>
      </c>
      <c r="O89" s="96">
        <v>3.0</v>
      </c>
      <c r="P89" s="96">
        <v>3.0</v>
      </c>
      <c r="Q89" s="96">
        <v>3.0</v>
      </c>
      <c r="S89" s="309">
        <f t="shared" si="1"/>
        <v>3</v>
      </c>
      <c r="Y89" s="96">
        <f t="shared" si="2"/>
        <v>0</v>
      </c>
      <c r="AE89" s="93">
        <f t="shared" si="3"/>
        <v>0</v>
      </c>
      <c r="AK89" s="93">
        <f t="shared" si="4"/>
        <v>0</v>
      </c>
    </row>
    <row r="90" hidden="1">
      <c r="A90" s="302">
        <v>45415.61901013889</v>
      </c>
      <c r="B90" s="96" t="s">
        <v>722</v>
      </c>
      <c r="C90" s="96" t="s">
        <v>187</v>
      </c>
      <c r="F90" s="96" t="s">
        <v>255</v>
      </c>
      <c r="H90" s="308">
        <v>45415.0</v>
      </c>
      <c r="I90" s="96" t="s">
        <v>42</v>
      </c>
      <c r="J90" s="96">
        <v>3.0</v>
      </c>
      <c r="K90" s="96" t="s">
        <v>910</v>
      </c>
      <c r="L90" s="96" t="s">
        <v>690</v>
      </c>
      <c r="M90" s="96" t="s">
        <v>691</v>
      </c>
      <c r="N90" s="96" t="s">
        <v>247</v>
      </c>
      <c r="O90" s="96">
        <v>4.0</v>
      </c>
      <c r="P90" s="96">
        <v>3.0</v>
      </c>
      <c r="Q90" s="96">
        <v>4.0</v>
      </c>
      <c r="R90" s="96" t="s">
        <v>911</v>
      </c>
      <c r="S90" s="309">
        <f t="shared" si="1"/>
        <v>3.666666667</v>
      </c>
      <c r="T90" s="96" t="s">
        <v>238</v>
      </c>
      <c r="U90" s="96">
        <v>3.0</v>
      </c>
      <c r="V90" s="96">
        <v>4.0</v>
      </c>
      <c r="W90" s="96">
        <v>3.0</v>
      </c>
      <c r="X90" s="96" t="s">
        <v>912</v>
      </c>
      <c r="Y90" s="96">
        <f t="shared" si="2"/>
        <v>3.333333333</v>
      </c>
      <c r="AE90" s="93">
        <f t="shared" si="3"/>
        <v>0</v>
      </c>
      <c r="AK90" s="93">
        <f t="shared" si="4"/>
        <v>0</v>
      </c>
    </row>
    <row r="91" hidden="1">
      <c r="A91" s="302">
        <v>45415.62019354167</v>
      </c>
      <c r="B91" s="96" t="s">
        <v>722</v>
      </c>
      <c r="C91" s="96" t="s">
        <v>187</v>
      </c>
      <c r="F91" s="96" t="s">
        <v>828</v>
      </c>
      <c r="H91" s="308">
        <v>45415.0</v>
      </c>
      <c r="I91" s="96" t="s">
        <v>556</v>
      </c>
      <c r="L91" s="96" t="s">
        <v>705</v>
      </c>
      <c r="M91" s="96" t="s">
        <v>691</v>
      </c>
      <c r="N91" s="96" t="s">
        <v>345</v>
      </c>
      <c r="O91" s="96">
        <v>3.0</v>
      </c>
      <c r="P91" s="96">
        <v>3.0</v>
      </c>
      <c r="Q91" s="96">
        <v>3.0</v>
      </c>
      <c r="S91" s="309">
        <f t="shared" si="1"/>
        <v>3</v>
      </c>
      <c r="T91" s="96" t="s">
        <v>219</v>
      </c>
      <c r="U91" s="96">
        <v>3.0</v>
      </c>
      <c r="V91" s="96">
        <v>3.0</v>
      </c>
      <c r="W91" s="96">
        <v>3.0</v>
      </c>
      <c r="Y91" s="96">
        <f t="shared" si="2"/>
        <v>3</v>
      </c>
      <c r="AE91" s="93">
        <f t="shared" si="3"/>
        <v>0</v>
      </c>
      <c r="AK91" s="93">
        <f t="shared" si="4"/>
        <v>0</v>
      </c>
      <c r="AL91" s="96" t="s">
        <v>913</v>
      </c>
    </row>
    <row r="92" hidden="1">
      <c r="A92" s="302">
        <v>45415.746135636575</v>
      </c>
      <c r="B92" s="96" t="s">
        <v>738</v>
      </c>
      <c r="C92" s="96" t="s">
        <v>44</v>
      </c>
      <c r="D92" s="96" t="s">
        <v>71</v>
      </c>
      <c r="H92" s="308">
        <v>45415.0</v>
      </c>
      <c r="I92" s="96" t="s">
        <v>42</v>
      </c>
      <c r="J92" s="96">
        <v>4.0</v>
      </c>
      <c r="K92" s="96" t="s">
        <v>914</v>
      </c>
      <c r="L92" s="96" t="s">
        <v>690</v>
      </c>
      <c r="N92" s="96" t="s">
        <v>57</v>
      </c>
      <c r="O92" s="96">
        <v>4.0</v>
      </c>
      <c r="P92" s="96">
        <v>2.0</v>
      </c>
      <c r="Q92" s="96">
        <v>4.0</v>
      </c>
      <c r="R92" s="96" t="s">
        <v>915</v>
      </c>
      <c r="S92" s="309">
        <f t="shared" si="1"/>
        <v>3.333333333</v>
      </c>
      <c r="T92" s="96" t="s">
        <v>66</v>
      </c>
      <c r="U92" s="96">
        <v>3.0</v>
      </c>
      <c r="V92" s="96">
        <v>3.0</v>
      </c>
      <c r="W92" s="96">
        <v>3.0</v>
      </c>
      <c r="X92" s="96" t="s">
        <v>916</v>
      </c>
      <c r="Y92" s="96">
        <f t="shared" si="2"/>
        <v>3</v>
      </c>
      <c r="Z92" s="96" t="s">
        <v>73</v>
      </c>
      <c r="AA92" s="96">
        <v>3.0</v>
      </c>
      <c r="AB92" s="96">
        <v>3.0</v>
      </c>
      <c r="AC92" s="96">
        <v>3.0</v>
      </c>
      <c r="AD92" s="96" t="s">
        <v>917</v>
      </c>
      <c r="AK92" s="93">
        <f t="shared" si="4"/>
        <v>0</v>
      </c>
    </row>
    <row r="93" hidden="1">
      <c r="A93" s="302">
        <v>45415.770565439816</v>
      </c>
      <c r="B93" s="96" t="s">
        <v>645</v>
      </c>
      <c r="C93" s="96" t="s">
        <v>44</v>
      </c>
      <c r="D93" s="96" t="s">
        <v>108</v>
      </c>
      <c r="H93" s="308">
        <v>45415.0</v>
      </c>
      <c r="I93" s="96" t="s">
        <v>556</v>
      </c>
      <c r="L93" s="96" t="s">
        <v>690</v>
      </c>
      <c r="M93" s="96" t="s">
        <v>691</v>
      </c>
      <c r="N93" s="96" t="s">
        <v>95</v>
      </c>
      <c r="O93" s="96">
        <v>1.0</v>
      </c>
      <c r="P93" s="96">
        <v>2.0</v>
      </c>
      <c r="Q93" s="96">
        <v>3.0</v>
      </c>
      <c r="R93" s="96" t="s">
        <v>918</v>
      </c>
      <c r="S93" s="309">
        <f t="shared" si="1"/>
        <v>2</v>
      </c>
      <c r="T93" s="96" t="s">
        <v>91</v>
      </c>
      <c r="U93" s="96">
        <v>3.0</v>
      </c>
      <c r="V93" s="96">
        <v>2.0</v>
      </c>
      <c r="W93" s="96">
        <v>3.0</v>
      </c>
      <c r="X93" s="96" t="s">
        <v>919</v>
      </c>
      <c r="Y93" s="96">
        <f t="shared" si="2"/>
        <v>2.666666667</v>
      </c>
      <c r="AK93" s="93">
        <f t="shared" si="4"/>
        <v>0</v>
      </c>
    </row>
    <row r="94" hidden="1">
      <c r="A94" s="302">
        <v>45415.773982557876</v>
      </c>
      <c r="B94" s="96" t="s">
        <v>645</v>
      </c>
      <c r="C94" s="96" t="s">
        <v>44</v>
      </c>
      <c r="D94" s="96" t="s">
        <v>803</v>
      </c>
      <c r="H94" s="308">
        <v>45415.0</v>
      </c>
      <c r="I94" s="96" t="s">
        <v>556</v>
      </c>
      <c r="L94" s="96" t="s">
        <v>690</v>
      </c>
      <c r="M94" s="96" t="s">
        <v>706</v>
      </c>
      <c r="N94" s="96" t="s">
        <v>84</v>
      </c>
      <c r="O94" s="96">
        <v>3.0</v>
      </c>
      <c r="P94" s="96">
        <v>3.0</v>
      </c>
      <c r="Q94" s="96">
        <v>3.0</v>
      </c>
      <c r="R94" s="96" t="s">
        <v>920</v>
      </c>
      <c r="S94" s="309">
        <f t="shared" si="1"/>
        <v>3</v>
      </c>
      <c r="Y94" s="96">
        <f t="shared" si="2"/>
        <v>0</v>
      </c>
      <c r="AK94" s="93">
        <f t="shared" si="4"/>
        <v>0</v>
      </c>
    </row>
    <row r="95">
      <c r="A95" s="312">
        <v>45415.953165960644</v>
      </c>
      <c r="B95" s="313" t="s">
        <v>766</v>
      </c>
      <c r="C95" s="313" t="s">
        <v>116</v>
      </c>
      <c r="D95" s="314"/>
      <c r="E95" s="314"/>
      <c r="F95" s="314"/>
      <c r="G95" s="313" t="s">
        <v>770</v>
      </c>
      <c r="H95" s="315">
        <v>45415.0</v>
      </c>
      <c r="I95" s="313" t="s">
        <v>42</v>
      </c>
      <c r="J95" s="313">
        <v>3.0</v>
      </c>
      <c r="K95" s="314"/>
      <c r="L95" s="313" t="s">
        <v>690</v>
      </c>
      <c r="M95" s="314"/>
      <c r="N95" s="313" t="s">
        <v>143</v>
      </c>
      <c r="O95" s="313">
        <v>3.0</v>
      </c>
      <c r="P95" s="313">
        <v>3.0</v>
      </c>
      <c r="Q95" s="313">
        <v>3.0</v>
      </c>
      <c r="R95" s="314"/>
      <c r="S95" s="309">
        <f t="shared" si="1"/>
        <v>3</v>
      </c>
      <c r="T95" s="313" t="s">
        <v>153</v>
      </c>
      <c r="U95" s="313">
        <v>3.0</v>
      </c>
      <c r="V95" s="313">
        <v>4.0</v>
      </c>
      <c r="W95" s="313">
        <v>3.0</v>
      </c>
      <c r="X95" s="313" t="s">
        <v>921</v>
      </c>
      <c r="Y95" s="96">
        <f t="shared" si="2"/>
        <v>3.333333333</v>
      </c>
      <c r="Z95" s="314"/>
      <c r="AA95" s="314"/>
      <c r="AB95" s="314"/>
      <c r="AC95" s="314"/>
      <c r="AD95" s="314"/>
      <c r="AE95" s="314">
        <f t="shared" ref="AE95:AE138" si="5">(AA95+AB95+AC95)/3</f>
        <v>0</v>
      </c>
      <c r="AF95" s="314"/>
      <c r="AG95" s="314"/>
      <c r="AH95" s="314"/>
      <c r="AI95" s="314"/>
      <c r="AJ95" s="314"/>
      <c r="AK95" s="93">
        <f t="shared" si="4"/>
        <v>0</v>
      </c>
      <c r="AL95" s="314"/>
      <c r="AM95" s="314"/>
      <c r="AN95" s="314"/>
      <c r="AO95" s="314"/>
      <c r="AP95" s="314"/>
      <c r="AQ95" s="314"/>
      <c r="AR95" s="314"/>
    </row>
    <row r="96">
      <c r="A96" s="312">
        <v>45415.95446796296</v>
      </c>
      <c r="B96" s="313" t="s">
        <v>766</v>
      </c>
      <c r="C96" s="313" t="s">
        <v>116</v>
      </c>
      <c r="D96" s="314"/>
      <c r="E96" s="314"/>
      <c r="F96" s="314"/>
      <c r="G96" s="313" t="s">
        <v>774</v>
      </c>
      <c r="H96" s="315">
        <v>45415.0</v>
      </c>
      <c r="I96" s="313" t="s">
        <v>42</v>
      </c>
      <c r="J96" s="313">
        <v>4.0</v>
      </c>
      <c r="K96" s="313" t="s">
        <v>922</v>
      </c>
      <c r="L96" s="313" t="s">
        <v>690</v>
      </c>
      <c r="M96" s="314"/>
      <c r="N96" s="313" t="s">
        <v>153</v>
      </c>
      <c r="O96" s="313">
        <v>3.0</v>
      </c>
      <c r="P96" s="313">
        <v>3.0</v>
      </c>
      <c r="Q96" s="313">
        <v>3.0</v>
      </c>
      <c r="R96" s="314"/>
      <c r="S96" s="309">
        <f t="shared" si="1"/>
        <v>3</v>
      </c>
      <c r="T96" s="313" t="s">
        <v>193</v>
      </c>
      <c r="U96" s="313">
        <v>4.0</v>
      </c>
      <c r="V96" s="313">
        <v>4.0</v>
      </c>
      <c r="W96" s="313">
        <v>3.0</v>
      </c>
      <c r="X96" s="313" t="s">
        <v>923</v>
      </c>
      <c r="Y96" s="96">
        <f t="shared" si="2"/>
        <v>3.666666667</v>
      </c>
      <c r="Z96" s="314"/>
      <c r="AA96" s="314"/>
      <c r="AB96" s="314"/>
      <c r="AC96" s="314"/>
      <c r="AD96" s="314"/>
      <c r="AE96" s="314">
        <f t="shared" si="5"/>
        <v>0</v>
      </c>
      <c r="AF96" s="314"/>
      <c r="AG96" s="314"/>
      <c r="AH96" s="314"/>
      <c r="AI96" s="314"/>
      <c r="AJ96" s="314"/>
      <c r="AK96" s="93">
        <f t="shared" si="4"/>
        <v>0</v>
      </c>
      <c r="AL96" s="314"/>
      <c r="AM96" s="314"/>
      <c r="AN96" s="314"/>
      <c r="AO96" s="314"/>
      <c r="AP96" s="314"/>
      <c r="AQ96" s="314"/>
      <c r="AR96" s="314"/>
    </row>
    <row r="97" hidden="1">
      <c r="A97" s="302">
        <v>45416.700869328706</v>
      </c>
      <c r="B97" s="96" t="s">
        <v>687</v>
      </c>
      <c r="C97" s="96" t="s">
        <v>36</v>
      </c>
      <c r="E97" s="96" t="s">
        <v>688</v>
      </c>
      <c r="H97" s="308">
        <v>45401.0</v>
      </c>
      <c r="I97" s="96" t="s">
        <v>556</v>
      </c>
      <c r="J97" s="96">
        <v>5.0</v>
      </c>
      <c r="K97" s="96" t="s">
        <v>924</v>
      </c>
      <c r="L97" s="96" t="s">
        <v>705</v>
      </c>
      <c r="M97" s="96" t="s">
        <v>691</v>
      </c>
      <c r="N97" s="96" t="s">
        <v>303</v>
      </c>
      <c r="O97" s="96">
        <v>5.0</v>
      </c>
      <c r="P97" s="96">
        <v>5.0</v>
      </c>
      <c r="Q97" s="96">
        <v>5.0</v>
      </c>
      <c r="S97" s="309">
        <f t="shared" si="1"/>
        <v>5</v>
      </c>
      <c r="T97" s="96" t="s">
        <v>317</v>
      </c>
      <c r="U97" s="96">
        <v>5.0</v>
      </c>
      <c r="V97" s="96">
        <v>5.0</v>
      </c>
      <c r="W97" s="96">
        <v>5.0</v>
      </c>
      <c r="Y97" s="96">
        <f t="shared" si="2"/>
        <v>5</v>
      </c>
      <c r="AE97" s="93">
        <f t="shared" si="5"/>
        <v>0</v>
      </c>
      <c r="AK97" s="93">
        <f t="shared" si="4"/>
        <v>0</v>
      </c>
    </row>
    <row r="98" hidden="1">
      <c r="A98" s="302">
        <v>45416.73587153935</v>
      </c>
      <c r="B98" s="96" t="s">
        <v>687</v>
      </c>
      <c r="C98" s="96" t="s">
        <v>36</v>
      </c>
      <c r="E98" s="96" t="s">
        <v>925</v>
      </c>
      <c r="H98" s="308">
        <v>37744.0</v>
      </c>
      <c r="I98" s="96" t="s">
        <v>42</v>
      </c>
      <c r="J98" s="96">
        <v>5.0</v>
      </c>
      <c r="K98" s="96" t="s">
        <v>926</v>
      </c>
      <c r="L98" s="96" t="s">
        <v>705</v>
      </c>
      <c r="M98" s="96" t="s">
        <v>715</v>
      </c>
      <c r="N98" s="96" t="s">
        <v>293</v>
      </c>
      <c r="O98" s="96">
        <v>5.0</v>
      </c>
      <c r="P98" s="96">
        <v>5.0</v>
      </c>
      <c r="Q98" s="96">
        <v>5.0</v>
      </c>
      <c r="S98" s="309">
        <f t="shared" si="1"/>
        <v>5</v>
      </c>
      <c r="T98" s="96" t="s">
        <v>303</v>
      </c>
      <c r="U98" s="96">
        <v>5.0</v>
      </c>
      <c r="V98" s="96">
        <v>5.0</v>
      </c>
      <c r="W98" s="96">
        <v>5.0</v>
      </c>
      <c r="Y98" s="96">
        <f t="shared" si="2"/>
        <v>5</v>
      </c>
      <c r="AE98" s="93">
        <f t="shared" si="5"/>
        <v>0</v>
      </c>
      <c r="AK98" s="93">
        <f t="shared" si="4"/>
        <v>0</v>
      </c>
    </row>
    <row r="99" hidden="1">
      <c r="A99" s="302">
        <v>45416.73830877314</v>
      </c>
      <c r="B99" s="96" t="s">
        <v>687</v>
      </c>
      <c r="C99" s="96" t="s">
        <v>36</v>
      </c>
      <c r="E99" s="96" t="s">
        <v>927</v>
      </c>
      <c r="H99" s="308">
        <v>37744.0</v>
      </c>
      <c r="I99" s="96" t="s">
        <v>556</v>
      </c>
      <c r="J99" s="96">
        <v>5.0</v>
      </c>
      <c r="K99" s="96" t="s">
        <v>928</v>
      </c>
      <c r="L99" s="96" t="s">
        <v>705</v>
      </c>
      <c r="M99" s="96" t="s">
        <v>715</v>
      </c>
      <c r="N99" s="96" t="s">
        <v>281</v>
      </c>
      <c r="O99" s="96">
        <v>5.0</v>
      </c>
      <c r="P99" s="96">
        <v>5.0</v>
      </c>
      <c r="Q99" s="96">
        <v>5.0</v>
      </c>
      <c r="S99" s="309">
        <f t="shared" si="1"/>
        <v>5</v>
      </c>
      <c r="T99" s="96" t="s">
        <v>272</v>
      </c>
      <c r="U99" s="96">
        <v>5.0</v>
      </c>
      <c r="V99" s="96">
        <v>5.0</v>
      </c>
      <c r="W99" s="96">
        <v>5.0</v>
      </c>
      <c r="Y99" s="96">
        <f t="shared" si="2"/>
        <v>5</v>
      </c>
      <c r="AE99" s="93">
        <f t="shared" si="5"/>
        <v>0</v>
      </c>
      <c r="AK99" s="93">
        <f t="shared" si="4"/>
        <v>0</v>
      </c>
    </row>
    <row r="100">
      <c r="A100" s="302">
        <v>45429.47746148148</v>
      </c>
      <c r="B100" s="96" t="s">
        <v>741</v>
      </c>
      <c r="C100" s="96" t="s">
        <v>116</v>
      </c>
      <c r="G100" s="96" t="s">
        <v>177</v>
      </c>
      <c r="H100" s="308">
        <v>45429.0</v>
      </c>
      <c r="I100" s="96" t="s">
        <v>42</v>
      </c>
      <c r="J100" s="96">
        <v>3.0</v>
      </c>
      <c r="K100" s="96" t="s">
        <v>929</v>
      </c>
      <c r="L100" s="96" t="s">
        <v>705</v>
      </c>
      <c r="M100" s="96" t="s">
        <v>715</v>
      </c>
      <c r="N100" s="96" t="s">
        <v>178</v>
      </c>
      <c r="O100" s="96">
        <v>3.0</v>
      </c>
      <c r="P100" s="96">
        <v>4.0</v>
      </c>
      <c r="Q100" s="96">
        <v>3.0</v>
      </c>
      <c r="S100" s="309">
        <f t="shared" si="1"/>
        <v>3.333333333</v>
      </c>
      <c r="T100" s="96" t="s">
        <v>179</v>
      </c>
      <c r="U100" s="96">
        <v>3.0</v>
      </c>
      <c r="V100" s="96">
        <v>4.0</v>
      </c>
      <c r="W100" s="96">
        <v>3.0</v>
      </c>
      <c r="Y100" s="96">
        <f t="shared" si="2"/>
        <v>3.333333333</v>
      </c>
      <c r="AE100" s="93">
        <f t="shared" si="5"/>
        <v>0</v>
      </c>
      <c r="AK100" s="93">
        <f t="shared" si="4"/>
        <v>0</v>
      </c>
    </row>
    <row r="101">
      <c r="A101" s="302">
        <v>45429.47952865741</v>
      </c>
      <c r="B101" s="96" t="s">
        <v>741</v>
      </c>
      <c r="C101" s="96" t="s">
        <v>116</v>
      </c>
      <c r="G101" s="96" t="s">
        <v>930</v>
      </c>
      <c r="H101" s="308">
        <v>45429.0</v>
      </c>
      <c r="I101" s="96" t="s">
        <v>556</v>
      </c>
      <c r="L101" s="96" t="s">
        <v>690</v>
      </c>
      <c r="M101" s="96" t="s">
        <v>691</v>
      </c>
      <c r="N101" s="96" t="s">
        <v>159</v>
      </c>
      <c r="O101" s="96">
        <v>3.0</v>
      </c>
      <c r="P101" s="96">
        <v>2.0</v>
      </c>
      <c r="Q101" s="96">
        <v>2.0</v>
      </c>
      <c r="S101" s="309">
        <f t="shared" si="1"/>
        <v>2.333333333</v>
      </c>
      <c r="T101" s="96" t="s">
        <v>166</v>
      </c>
      <c r="U101" s="96">
        <v>3.0</v>
      </c>
      <c r="V101" s="96">
        <v>1.0</v>
      </c>
      <c r="W101" s="96">
        <v>1.0</v>
      </c>
      <c r="Y101" s="96">
        <f t="shared" si="2"/>
        <v>1.666666667</v>
      </c>
      <c r="AE101" s="93">
        <f t="shared" si="5"/>
        <v>0</v>
      </c>
      <c r="AK101" s="93">
        <f t="shared" si="4"/>
        <v>0</v>
      </c>
    </row>
    <row r="102">
      <c r="A102" s="302">
        <v>45429.48118206019</v>
      </c>
      <c r="B102" s="96" t="s">
        <v>741</v>
      </c>
      <c r="C102" s="96" t="s">
        <v>116</v>
      </c>
      <c r="G102" s="96" t="s">
        <v>931</v>
      </c>
      <c r="H102" s="308">
        <v>45429.0</v>
      </c>
      <c r="I102" s="96" t="s">
        <v>42</v>
      </c>
      <c r="J102" s="96">
        <v>4.0</v>
      </c>
      <c r="L102" s="96" t="s">
        <v>705</v>
      </c>
      <c r="M102" s="96" t="s">
        <v>715</v>
      </c>
      <c r="N102" s="96" t="s">
        <v>349</v>
      </c>
      <c r="O102" s="96">
        <v>3.0</v>
      </c>
      <c r="P102" s="96">
        <v>4.0</v>
      </c>
      <c r="Q102" s="96">
        <v>4.0</v>
      </c>
      <c r="R102" s="96" t="s">
        <v>932</v>
      </c>
      <c r="S102" s="309">
        <f t="shared" si="1"/>
        <v>3.666666667</v>
      </c>
      <c r="T102" s="96" t="s">
        <v>124</v>
      </c>
      <c r="U102" s="96">
        <v>3.0</v>
      </c>
      <c r="V102" s="96">
        <v>3.0</v>
      </c>
      <c r="W102" s="96">
        <v>3.0</v>
      </c>
      <c r="X102" s="96" t="s">
        <v>933</v>
      </c>
      <c r="Y102" s="96">
        <f t="shared" si="2"/>
        <v>3</v>
      </c>
      <c r="AE102" s="93">
        <f t="shared" si="5"/>
        <v>0</v>
      </c>
      <c r="AK102" s="93">
        <f t="shared" si="4"/>
        <v>0</v>
      </c>
    </row>
    <row r="103">
      <c r="A103" s="302">
        <v>45429.481855300925</v>
      </c>
      <c r="B103" s="96" t="s">
        <v>741</v>
      </c>
      <c r="C103" s="96" t="s">
        <v>116</v>
      </c>
      <c r="G103" s="96" t="s">
        <v>934</v>
      </c>
      <c r="H103" s="308">
        <v>45429.0</v>
      </c>
      <c r="I103" s="96" t="s">
        <v>42</v>
      </c>
      <c r="J103" s="96">
        <v>3.0</v>
      </c>
      <c r="L103" s="96" t="s">
        <v>705</v>
      </c>
      <c r="M103" s="96" t="s">
        <v>706</v>
      </c>
      <c r="N103" s="96" t="s">
        <v>161</v>
      </c>
      <c r="O103" s="96">
        <v>3.0</v>
      </c>
      <c r="P103" s="96">
        <v>3.0</v>
      </c>
      <c r="Q103" s="96">
        <v>3.0</v>
      </c>
      <c r="S103" s="309">
        <f t="shared" si="1"/>
        <v>3</v>
      </c>
      <c r="Y103" s="96">
        <f t="shared" si="2"/>
        <v>0</v>
      </c>
      <c r="AE103" s="93">
        <f t="shared" si="5"/>
        <v>0</v>
      </c>
      <c r="AK103" s="93">
        <f t="shared" si="4"/>
        <v>0</v>
      </c>
    </row>
    <row r="104">
      <c r="A104" s="302">
        <v>45429.48364501157</v>
      </c>
      <c r="B104" s="96" t="s">
        <v>741</v>
      </c>
      <c r="C104" s="96" t="s">
        <v>116</v>
      </c>
      <c r="G104" s="96" t="s">
        <v>618</v>
      </c>
      <c r="H104" s="308">
        <v>45429.0</v>
      </c>
      <c r="I104" s="96" t="s">
        <v>42</v>
      </c>
      <c r="J104" s="96">
        <v>5.0</v>
      </c>
      <c r="L104" s="96" t="s">
        <v>705</v>
      </c>
      <c r="M104" s="96" t="s">
        <v>715</v>
      </c>
      <c r="N104" s="96" t="s">
        <v>151</v>
      </c>
      <c r="O104" s="96">
        <v>5.0</v>
      </c>
      <c r="P104" s="96">
        <v>3.0</v>
      </c>
      <c r="Q104" s="96">
        <v>3.0</v>
      </c>
      <c r="R104" s="96" t="s">
        <v>935</v>
      </c>
      <c r="S104" s="309">
        <f t="shared" si="1"/>
        <v>3.666666667</v>
      </c>
      <c r="Y104" s="96">
        <f t="shared" si="2"/>
        <v>0</v>
      </c>
      <c r="AE104" s="93">
        <f t="shared" si="5"/>
        <v>0</v>
      </c>
      <c r="AK104" s="93">
        <f t="shared" si="4"/>
        <v>0</v>
      </c>
    </row>
    <row r="105">
      <c r="A105" s="302">
        <v>45429.48438314815</v>
      </c>
      <c r="B105" s="96" t="s">
        <v>741</v>
      </c>
      <c r="C105" s="96" t="s">
        <v>116</v>
      </c>
      <c r="G105" s="96" t="s">
        <v>936</v>
      </c>
      <c r="H105" s="308">
        <v>45429.0</v>
      </c>
      <c r="I105" s="96" t="s">
        <v>42</v>
      </c>
      <c r="J105" s="96">
        <v>4.0</v>
      </c>
      <c r="L105" s="96" t="s">
        <v>705</v>
      </c>
      <c r="M105" s="96" t="s">
        <v>715</v>
      </c>
      <c r="N105" s="96" t="s">
        <v>153</v>
      </c>
      <c r="O105" s="96">
        <v>3.0</v>
      </c>
      <c r="P105" s="96">
        <v>4.0</v>
      </c>
      <c r="Q105" s="96">
        <v>3.0</v>
      </c>
      <c r="S105" s="309">
        <f t="shared" si="1"/>
        <v>3.333333333</v>
      </c>
      <c r="Y105" s="96">
        <f t="shared" si="2"/>
        <v>0</v>
      </c>
      <c r="AE105" s="93">
        <f t="shared" si="5"/>
        <v>0</v>
      </c>
      <c r="AK105" s="93">
        <f t="shared" si="4"/>
        <v>0</v>
      </c>
    </row>
    <row r="106">
      <c r="A106" s="302">
        <v>45429.485101701386</v>
      </c>
      <c r="B106" s="96" t="s">
        <v>741</v>
      </c>
      <c r="C106" s="96" t="s">
        <v>116</v>
      </c>
      <c r="G106" s="96" t="s">
        <v>937</v>
      </c>
      <c r="H106" s="308">
        <v>45429.0</v>
      </c>
      <c r="I106" s="96" t="s">
        <v>42</v>
      </c>
      <c r="J106" s="96">
        <v>2.0</v>
      </c>
      <c r="L106" s="96" t="s">
        <v>705</v>
      </c>
      <c r="M106" s="96" t="s">
        <v>706</v>
      </c>
      <c r="N106" s="96" t="s">
        <v>159</v>
      </c>
      <c r="O106" s="96">
        <v>3.0</v>
      </c>
      <c r="P106" s="96">
        <v>3.0</v>
      </c>
      <c r="Q106" s="96">
        <v>3.0</v>
      </c>
      <c r="S106" s="309">
        <f t="shared" si="1"/>
        <v>3</v>
      </c>
      <c r="T106" s="96" t="s">
        <v>132</v>
      </c>
      <c r="U106" s="96">
        <v>3.0</v>
      </c>
      <c r="V106" s="96">
        <v>3.0</v>
      </c>
      <c r="W106" s="96">
        <v>3.0</v>
      </c>
      <c r="Y106" s="96">
        <f t="shared" si="2"/>
        <v>3</v>
      </c>
      <c r="AE106" s="93">
        <f t="shared" si="5"/>
        <v>0</v>
      </c>
      <c r="AK106" s="93">
        <f t="shared" si="4"/>
        <v>0</v>
      </c>
    </row>
    <row r="107" hidden="1">
      <c r="A107" s="302">
        <v>45429.53122359954</v>
      </c>
      <c r="B107" s="96" t="s">
        <v>858</v>
      </c>
      <c r="C107" s="96" t="s">
        <v>36</v>
      </c>
      <c r="E107" s="96" t="s">
        <v>307</v>
      </c>
      <c r="H107" s="308">
        <v>45429.0</v>
      </c>
      <c r="I107" s="96" t="s">
        <v>42</v>
      </c>
      <c r="J107" s="96">
        <v>5.0</v>
      </c>
      <c r="K107" s="96" t="s">
        <v>938</v>
      </c>
      <c r="L107" s="96" t="s">
        <v>705</v>
      </c>
      <c r="M107" s="96" t="s">
        <v>706</v>
      </c>
      <c r="N107" s="96" t="s">
        <v>41</v>
      </c>
      <c r="O107" s="96">
        <v>4.0</v>
      </c>
      <c r="P107" s="96">
        <v>3.0</v>
      </c>
      <c r="Q107" s="96">
        <v>3.0</v>
      </c>
      <c r="R107" s="96" t="s">
        <v>939</v>
      </c>
      <c r="S107" s="309">
        <f t="shared" si="1"/>
        <v>3.333333333</v>
      </c>
      <c r="T107" s="96" t="s">
        <v>310</v>
      </c>
      <c r="U107" s="96">
        <v>4.0</v>
      </c>
      <c r="V107" s="96">
        <v>3.0</v>
      </c>
      <c r="W107" s="96">
        <v>3.0</v>
      </c>
      <c r="X107" s="96" t="s">
        <v>940</v>
      </c>
      <c r="Y107" s="96">
        <f t="shared" si="2"/>
        <v>3.333333333</v>
      </c>
      <c r="Z107" s="96" t="s">
        <v>309</v>
      </c>
      <c r="AA107" s="96">
        <v>2.0</v>
      </c>
      <c r="AB107" s="96">
        <v>2.0</v>
      </c>
      <c r="AC107" s="96">
        <v>2.0</v>
      </c>
      <c r="AD107" s="96" t="s">
        <v>941</v>
      </c>
      <c r="AE107" s="93">
        <f t="shared" si="5"/>
        <v>2</v>
      </c>
      <c r="AF107" s="96" t="s">
        <v>333</v>
      </c>
      <c r="AG107" s="96">
        <v>3.0</v>
      </c>
      <c r="AH107" s="96">
        <v>3.0</v>
      </c>
      <c r="AI107" s="96">
        <v>3.0</v>
      </c>
      <c r="AJ107" s="96" t="s">
        <v>942</v>
      </c>
      <c r="AK107" s="93">
        <f t="shared" si="4"/>
        <v>3</v>
      </c>
    </row>
    <row r="108" hidden="1">
      <c r="A108" s="302">
        <v>45429.53671619213</v>
      </c>
      <c r="B108" s="96" t="s">
        <v>907</v>
      </c>
      <c r="C108" s="96" t="s">
        <v>187</v>
      </c>
      <c r="F108" s="96" t="s">
        <v>908</v>
      </c>
      <c r="H108" s="308">
        <v>45429.0</v>
      </c>
      <c r="I108" s="96" t="s">
        <v>556</v>
      </c>
      <c r="J108" s="96">
        <v>3.0</v>
      </c>
      <c r="K108" s="96" t="s">
        <v>943</v>
      </c>
      <c r="L108" s="96" t="s">
        <v>705</v>
      </c>
      <c r="M108" s="96" t="s">
        <v>715</v>
      </c>
      <c r="N108" s="96" t="s">
        <v>348</v>
      </c>
      <c r="O108" s="96">
        <v>3.0</v>
      </c>
      <c r="P108" s="96">
        <v>3.0</v>
      </c>
      <c r="Q108" s="96">
        <v>2.0</v>
      </c>
      <c r="R108" s="96" t="s">
        <v>944</v>
      </c>
      <c r="S108" s="309">
        <f t="shared" si="1"/>
        <v>2.666666667</v>
      </c>
      <c r="Y108" s="96">
        <f t="shared" si="2"/>
        <v>0</v>
      </c>
      <c r="AE108" s="93">
        <f t="shared" si="5"/>
        <v>0</v>
      </c>
      <c r="AK108" s="93">
        <f t="shared" si="4"/>
        <v>0</v>
      </c>
    </row>
    <row r="109" hidden="1">
      <c r="A109" s="302">
        <v>45429.537566134255</v>
      </c>
      <c r="B109" s="96" t="s">
        <v>907</v>
      </c>
      <c r="C109" s="96" t="s">
        <v>187</v>
      </c>
      <c r="F109" s="96" t="s">
        <v>945</v>
      </c>
      <c r="H109" s="308">
        <v>45429.0</v>
      </c>
      <c r="I109" s="96" t="s">
        <v>556</v>
      </c>
      <c r="J109" s="96">
        <v>3.0</v>
      </c>
      <c r="L109" s="96" t="s">
        <v>705</v>
      </c>
      <c r="M109" s="96" t="s">
        <v>715</v>
      </c>
      <c r="N109" s="96" t="s">
        <v>204</v>
      </c>
      <c r="O109" s="96">
        <v>3.0</v>
      </c>
      <c r="P109" s="96">
        <v>3.0</v>
      </c>
      <c r="Q109" s="96">
        <v>3.0</v>
      </c>
      <c r="S109" s="309">
        <f t="shared" si="1"/>
        <v>3</v>
      </c>
      <c r="Y109" s="96">
        <f t="shared" si="2"/>
        <v>0</v>
      </c>
      <c r="AE109" s="93">
        <f t="shared" si="5"/>
        <v>0</v>
      </c>
      <c r="AK109" s="93">
        <f t="shared" si="4"/>
        <v>0</v>
      </c>
    </row>
    <row r="110" hidden="1">
      <c r="A110" s="302">
        <v>45429.54064604167</v>
      </c>
      <c r="B110" s="96" t="s">
        <v>907</v>
      </c>
      <c r="C110" s="96" t="s">
        <v>187</v>
      </c>
      <c r="F110" s="96" t="s">
        <v>946</v>
      </c>
      <c r="H110" s="308">
        <v>45429.0</v>
      </c>
      <c r="I110" s="96" t="s">
        <v>42</v>
      </c>
      <c r="J110" s="96">
        <v>3.0</v>
      </c>
      <c r="K110" s="96" t="s">
        <v>947</v>
      </c>
      <c r="L110" s="96" t="s">
        <v>705</v>
      </c>
      <c r="M110" s="96" t="s">
        <v>715</v>
      </c>
      <c r="N110" s="96" t="s">
        <v>341</v>
      </c>
      <c r="O110" s="96">
        <v>3.0</v>
      </c>
      <c r="P110" s="96">
        <v>3.0</v>
      </c>
      <c r="Q110" s="96">
        <v>3.0</v>
      </c>
      <c r="R110" s="96" t="s">
        <v>948</v>
      </c>
      <c r="S110" s="309">
        <f t="shared" si="1"/>
        <v>3</v>
      </c>
      <c r="T110" s="96" t="s">
        <v>235</v>
      </c>
      <c r="U110" s="96">
        <v>3.0</v>
      </c>
      <c r="V110" s="96">
        <v>3.0</v>
      </c>
      <c r="W110" s="96">
        <v>3.0</v>
      </c>
      <c r="Y110" s="96">
        <f t="shared" si="2"/>
        <v>3</v>
      </c>
      <c r="Z110" s="96" t="s">
        <v>342</v>
      </c>
      <c r="AA110" s="96">
        <v>3.0</v>
      </c>
      <c r="AB110" s="96">
        <v>3.0</v>
      </c>
      <c r="AC110" s="96">
        <v>3.0</v>
      </c>
      <c r="AD110" s="96" t="s">
        <v>949</v>
      </c>
      <c r="AE110" s="93">
        <f t="shared" si="5"/>
        <v>3</v>
      </c>
      <c r="AF110" s="96" t="s">
        <v>343</v>
      </c>
      <c r="AG110" s="96">
        <v>3.0</v>
      </c>
      <c r="AH110" s="96">
        <v>3.0</v>
      </c>
      <c r="AI110" s="96">
        <v>3.0</v>
      </c>
      <c r="AK110" s="93">
        <f t="shared" si="4"/>
        <v>3</v>
      </c>
    </row>
    <row r="111" hidden="1">
      <c r="A111" s="302">
        <v>45429.54233939815</v>
      </c>
      <c r="B111" s="96" t="s">
        <v>858</v>
      </c>
      <c r="C111" s="96" t="s">
        <v>36</v>
      </c>
      <c r="E111" s="96" t="s">
        <v>321</v>
      </c>
      <c r="H111" s="308">
        <v>45429.0</v>
      </c>
      <c r="I111" s="96" t="s">
        <v>42</v>
      </c>
      <c r="J111" s="96">
        <v>4.0</v>
      </c>
      <c r="K111" s="96" t="s">
        <v>950</v>
      </c>
      <c r="L111" s="96" t="s">
        <v>705</v>
      </c>
      <c r="M111" s="96" t="s">
        <v>706</v>
      </c>
      <c r="N111" s="96" t="s">
        <v>310</v>
      </c>
      <c r="O111" s="96">
        <v>4.0</v>
      </c>
      <c r="P111" s="96">
        <v>5.0</v>
      </c>
      <c r="Q111" s="96">
        <v>3.0</v>
      </c>
      <c r="R111" s="96" t="s">
        <v>951</v>
      </c>
      <c r="S111" s="309">
        <f t="shared" si="1"/>
        <v>4</v>
      </c>
      <c r="T111" s="96" t="s">
        <v>322</v>
      </c>
      <c r="U111" s="96">
        <v>2.0</v>
      </c>
      <c r="V111" s="96">
        <v>2.0</v>
      </c>
      <c r="W111" s="96">
        <v>2.0</v>
      </c>
      <c r="X111" s="96" t="s">
        <v>952</v>
      </c>
      <c r="Y111" s="96">
        <f t="shared" si="2"/>
        <v>2</v>
      </c>
      <c r="Z111" s="96" t="s">
        <v>313</v>
      </c>
      <c r="AA111" s="96">
        <v>3.0</v>
      </c>
      <c r="AB111" s="96">
        <v>4.0</v>
      </c>
      <c r="AC111" s="96">
        <v>3.0</v>
      </c>
      <c r="AD111" s="96" t="s">
        <v>953</v>
      </c>
      <c r="AE111" s="93">
        <f t="shared" si="5"/>
        <v>3.333333333</v>
      </c>
      <c r="AK111" s="93">
        <f t="shared" si="4"/>
        <v>0</v>
      </c>
    </row>
    <row r="112" hidden="1">
      <c r="A112" s="302">
        <v>45429.545616041665</v>
      </c>
      <c r="B112" s="96" t="s">
        <v>858</v>
      </c>
      <c r="C112" s="96" t="s">
        <v>36</v>
      </c>
      <c r="E112" s="96" t="s">
        <v>954</v>
      </c>
      <c r="H112" s="308">
        <v>45429.0</v>
      </c>
      <c r="I112" s="96" t="s">
        <v>42</v>
      </c>
      <c r="J112" s="96">
        <v>5.0</v>
      </c>
      <c r="K112" s="96" t="s">
        <v>955</v>
      </c>
      <c r="L112" s="96" t="s">
        <v>705</v>
      </c>
      <c r="M112" s="96" t="s">
        <v>715</v>
      </c>
      <c r="N112" s="96" t="s">
        <v>303</v>
      </c>
      <c r="O112" s="96">
        <v>3.0</v>
      </c>
      <c r="P112" s="96">
        <v>4.0</v>
      </c>
      <c r="Q112" s="96">
        <v>4.0</v>
      </c>
      <c r="R112" s="96" t="s">
        <v>956</v>
      </c>
      <c r="S112" s="309">
        <f t="shared" si="1"/>
        <v>3.666666667</v>
      </c>
      <c r="T112" s="96" t="s">
        <v>331</v>
      </c>
      <c r="U112" s="96">
        <v>3.0</v>
      </c>
      <c r="V112" s="96">
        <v>4.0</v>
      </c>
      <c r="W112" s="96">
        <v>4.0</v>
      </c>
      <c r="X112" s="96" t="s">
        <v>957</v>
      </c>
      <c r="Y112" s="96">
        <f t="shared" si="2"/>
        <v>3.666666667</v>
      </c>
      <c r="AE112" s="93">
        <f t="shared" si="5"/>
        <v>0</v>
      </c>
      <c r="AK112" s="93">
        <f t="shared" si="4"/>
        <v>0</v>
      </c>
    </row>
    <row r="113">
      <c r="A113" s="302">
        <v>45429.6816765625</v>
      </c>
      <c r="B113" s="96" t="s">
        <v>545</v>
      </c>
      <c r="C113" s="96" t="s">
        <v>116</v>
      </c>
      <c r="G113" s="96" t="s">
        <v>160</v>
      </c>
      <c r="H113" s="308">
        <v>45429.0</v>
      </c>
      <c r="I113" s="96" t="s">
        <v>42</v>
      </c>
      <c r="J113" s="96">
        <v>4.0</v>
      </c>
      <c r="L113" s="96" t="s">
        <v>690</v>
      </c>
      <c r="N113" s="96" t="s">
        <v>161</v>
      </c>
      <c r="O113" s="96">
        <v>4.0</v>
      </c>
      <c r="P113" s="96">
        <v>3.0</v>
      </c>
      <c r="Q113" s="96">
        <v>3.0</v>
      </c>
      <c r="S113" s="309">
        <f t="shared" si="1"/>
        <v>3.333333333</v>
      </c>
      <c r="Y113" s="96">
        <f t="shared" si="2"/>
        <v>0</v>
      </c>
      <c r="AE113" s="93">
        <f t="shared" si="5"/>
        <v>0</v>
      </c>
      <c r="AK113" s="93">
        <f t="shared" si="4"/>
        <v>0</v>
      </c>
    </row>
    <row r="114">
      <c r="A114" s="302">
        <v>45429.682372650466</v>
      </c>
      <c r="B114" s="96" t="s">
        <v>545</v>
      </c>
      <c r="C114" s="96" t="s">
        <v>116</v>
      </c>
      <c r="G114" s="96" t="s">
        <v>165</v>
      </c>
      <c r="H114" s="308">
        <v>45429.0</v>
      </c>
      <c r="I114" s="96" t="s">
        <v>42</v>
      </c>
      <c r="J114" s="96">
        <v>3.0</v>
      </c>
      <c r="L114" s="96" t="s">
        <v>690</v>
      </c>
      <c r="N114" s="96" t="s">
        <v>157</v>
      </c>
      <c r="O114" s="96">
        <v>3.0</v>
      </c>
      <c r="P114" s="96">
        <v>3.0</v>
      </c>
      <c r="Q114" s="96">
        <v>2.0</v>
      </c>
      <c r="S114" s="309">
        <f t="shared" si="1"/>
        <v>2.666666667</v>
      </c>
      <c r="T114" s="96" t="s">
        <v>166</v>
      </c>
      <c r="U114" s="96">
        <v>3.0</v>
      </c>
      <c r="V114" s="96">
        <v>2.0</v>
      </c>
      <c r="W114" s="96">
        <v>2.0</v>
      </c>
      <c r="Y114" s="96">
        <f t="shared" si="2"/>
        <v>2.333333333</v>
      </c>
      <c r="AE114" s="93">
        <f t="shared" si="5"/>
        <v>0</v>
      </c>
      <c r="AK114" s="93">
        <f t="shared" si="4"/>
        <v>0</v>
      </c>
    </row>
    <row r="115" hidden="1">
      <c r="A115" s="302">
        <v>45429.80384296297</v>
      </c>
      <c r="B115" s="96" t="s">
        <v>738</v>
      </c>
      <c r="C115" s="96" t="s">
        <v>44</v>
      </c>
      <c r="D115" s="96" t="s">
        <v>71</v>
      </c>
      <c r="H115" s="308">
        <v>45429.0</v>
      </c>
      <c r="I115" s="96" t="s">
        <v>42</v>
      </c>
      <c r="J115" s="96">
        <v>5.0</v>
      </c>
      <c r="K115" s="96" t="s">
        <v>958</v>
      </c>
      <c r="L115" s="96" t="s">
        <v>690</v>
      </c>
      <c r="N115" s="96" t="s">
        <v>57</v>
      </c>
      <c r="O115" s="96">
        <v>3.0</v>
      </c>
      <c r="P115" s="96">
        <v>2.0</v>
      </c>
      <c r="Q115" s="96">
        <v>2.0</v>
      </c>
      <c r="R115" s="96" t="s">
        <v>959</v>
      </c>
      <c r="S115" s="309">
        <f t="shared" si="1"/>
        <v>2.333333333</v>
      </c>
      <c r="T115" s="96" t="s">
        <v>66</v>
      </c>
      <c r="U115" s="96">
        <v>3.0</v>
      </c>
      <c r="V115" s="96">
        <v>2.0</v>
      </c>
      <c r="W115" s="96">
        <v>4.0</v>
      </c>
      <c r="X115" s="96" t="s">
        <v>960</v>
      </c>
      <c r="Y115" s="96">
        <f t="shared" si="2"/>
        <v>3</v>
      </c>
      <c r="Z115" s="96" t="s">
        <v>73</v>
      </c>
      <c r="AA115" s="96">
        <v>3.0</v>
      </c>
      <c r="AB115" s="96">
        <v>3.0</v>
      </c>
      <c r="AC115" s="96">
        <v>3.0</v>
      </c>
      <c r="AD115" s="96" t="s">
        <v>961</v>
      </c>
      <c r="AE115" s="93">
        <f t="shared" si="5"/>
        <v>3</v>
      </c>
      <c r="AK115" s="93">
        <f t="shared" si="4"/>
        <v>0</v>
      </c>
    </row>
    <row r="116" hidden="1">
      <c r="A116" s="302">
        <v>45429.80874959491</v>
      </c>
      <c r="B116" s="96" t="s">
        <v>738</v>
      </c>
      <c r="C116" s="96" t="s">
        <v>44</v>
      </c>
      <c r="D116" s="96" t="s">
        <v>962</v>
      </c>
      <c r="H116" s="308">
        <v>45429.0</v>
      </c>
      <c r="I116" s="96" t="s">
        <v>42</v>
      </c>
      <c r="J116" s="96">
        <v>3.0</v>
      </c>
      <c r="K116" s="96" t="s">
        <v>963</v>
      </c>
      <c r="L116" s="96" t="s">
        <v>705</v>
      </c>
      <c r="M116" s="96" t="s">
        <v>691</v>
      </c>
      <c r="N116" s="96" t="s">
        <v>344</v>
      </c>
      <c r="O116" s="96">
        <v>2.0</v>
      </c>
      <c r="P116" s="96">
        <v>2.0</v>
      </c>
      <c r="Q116" s="96">
        <v>1.0</v>
      </c>
      <c r="R116" s="96" t="s">
        <v>964</v>
      </c>
      <c r="S116" s="309">
        <f t="shared" si="1"/>
        <v>1.666666667</v>
      </c>
      <c r="Y116" s="96">
        <f t="shared" si="2"/>
        <v>0</v>
      </c>
      <c r="AE116" s="93">
        <f t="shared" si="5"/>
        <v>0</v>
      </c>
      <c r="AK116" s="93">
        <f t="shared" si="4"/>
        <v>0</v>
      </c>
    </row>
    <row r="117" hidden="1">
      <c r="A117" s="302">
        <v>45432.368384456015</v>
      </c>
      <c r="B117" s="96" t="s">
        <v>695</v>
      </c>
      <c r="C117" s="96" t="s">
        <v>44</v>
      </c>
      <c r="D117" s="96" t="s">
        <v>63</v>
      </c>
      <c r="H117" s="308">
        <v>45429.0</v>
      </c>
      <c r="I117" s="96" t="s">
        <v>556</v>
      </c>
      <c r="L117" s="96" t="s">
        <v>690</v>
      </c>
      <c r="N117" s="96" t="s">
        <v>66</v>
      </c>
      <c r="O117" s="96">
        <v>2.0</v>
      </c>
      <c r="P117" s="96">
        <v>1.0</v>
      </c>
      <c r="Q117" s="96">
        <v>2.0</v>
      </c>
      <c r="R117" s="96" t="s">
        <v>965</v>
      </c>
      <c r="S117" s="309">
        <f t="shared" si="1"/>
        <v>1.666666667</v>
      </c>
      <c r="Y117" s="96">
        <f t="shared" si="2"/>
        <v>0</v>
      </c>
      <c r="AE117" s="93">
        <f t="shared" si="5"/>
        <v>0</v>
      </c>
      <c r="AK117" s="93">
        <f t="shared" si="4"/>
        <v>0</v>
      </c>
    </row>
    <row r="118" hidden="1">
      <c r="A118" s="302">
        <v>45432.36906561343</v>
      </c>
      <c r="B118" s="96" t="s">
        <v>645</v>
      </c>
      <c r="C118" s="96" t="s">
        <v>44</v>
      </c>
      <c r="D118" s="96" t="s">
        <v>803</v>
      </c>
      <c r="H118" s="308">
        <v>45429.0</v>
      </c>
      <c r="I118" s="96" t="s">
        <v>556</v>
      </c>
      <c r="L118" s="96" t="s">
        <v>705</v>
      </c>
      <c r="M118" s="96" t="s">
        <v>706</v>
      </c>
      <c r="N118" s="96" t="s">
        <v>84</v>
      </c>
      <c r="O118" s="96">
        <v>3.0</v>
      </c>
      <c r="P118" s="96">
        <v>2.0</v>
      </c>
      <c r="Q118" s="96">
        <v>2.0</v>
      </c>
      <c r="R118" s="96" t="s">
        <v>966</v>
      </c>
      <c r="S118" s="309">
        <f t="shared" si="1"/>
        <v>2.333333333</v>
      </c>
      <c r="T118" s="96" t="s">
        <v>967</v>
      </c>
      <c r="U118" s="96">
        <v>3.0</v>
      </c>
      <c r="V118" s="96">
        <v>4.0</v>
      </c>
      <c r="W118" s="96">
        <v>3.0</v>
      </c>
      <c r="X118" s="96" t="s">
        <v>968</v>
      </c>
      <c r="Y118" s="96">
        <f t="shared" si="2"/>
        <v>3.333333333</v>
      </c>
      <c r="AE118" s="93">
        <f t="shared" si="5"/>
        <v>0</v>
      </c>
      <c r="AK118" s="93">
        <f t="shared" si="4"/>
        <v>0</v>
      </c>
    </row>
    <row r="119">
      <c r="A119" s="302">
        <v>45432.37165383102</v>
      </c>
      <c r="B119" s="96" t="s">
        <v>711</v>
      </c>
      <c r="C119" s="96" t="s">
        <v>116</v>
      </c>
      <c r="G119" s="96" t="s">
        <v>969</v>
      </c>
      <c r="H119" s="308">
        <v>45429.0</v>
      </c>
      <c r="I119" s="96" t="s">
        <v>556</v>
      </c>
      <c r="L119" s="96" t="s">
        <v>705</v>
      </c>
      <c r="M119" s="96" t="s">
        <v>715</v>
      </c>
      <c r="N119" s="96" t="s">
        <v>132</v>
      </c>
      <c r="O119" s="96">
        <v>3.0</v>
      </c>
      <c r="P119" s="96">
        <v>3.0</v>
      </c>
      <c r="Q119" s="96">
        <v>3.0</v>
      </c>
      <c r="R119" s="96" t="s">
        <v>970</v>
      </c>
      <c r="S119" s="309">
        <f t="shared" si="1"/>
        <v>3</v>
      </c>
      <c r="T119" s="96" t="s">
        <v>339</v>
      </c>
      <c r="U119" s="96">
        <v>3.0</v>
      </c>
      <c r="V119" s="96">
        <v>3.0</v>
      </c>
      <c r="W119" s="96">
        <v>3.0</v>
      </c>
      <c r="X119" s="96" t="s">
        <v>970</v>
      </c>
      <c r="Y119" s="96">
        <f t="shared" si="2"/>
        <v>3</v>
      </c>
      <c r="AE119" s="93">
        <f t="shared" si="5"/>
        <v>0</v>
      </c>
      <c r="AK119" s="93">
        <f t="shared" si="4"/>
        <v>0</v>
      </c>
    </row>
    <row r="120">
      <c r="A120" s="302">
        <v>45432.372425856476</v>
      </c>
      <c r="B120" s="96" t="s">
        <v>766</v>
      </c>
      <c r="C120" s="96" t="s">
        <v>116</v>
      </c>
      <c r="G120" s="96" t="s">
        <v>971</v>
      </c>
      <c r="H120" s="308">
        <v>45429.0</v>
      </c>
      <c r="I120" s="96" t="s">
        <v>42</v>
      </c>
      <c r="J120" s="96">
        <v>3.0</v>
      </c>
      <c r="K120" s="96" t="s">
        <v>972</v>
      </c>
      <c r="L120" s="96" t="s">
        <v>690</v>
      </c>
      <c r="N120" s="96" t="s">
        <v>143</v>
      </c>
      <c r="O120" s="96">
        <v>3.0</v>
      </c>
      <c r="P120" s="96">
        <v>3.0</v>
      </c>
      <c r="Q120" s="96">
        <v>3.0</v>
      </c>
      <c r="S120" s="309">
        <f t="shared" si="1"/>
        <v>3</v>
      </c>
      <c r="T120" s="96" t="s">
        <v>153</v>
      </c>
      <c r="U120" s="96">
        <v>3.0</v>
      </c>
      <c r="V120" s="96">
        <v>4.0</v>
      </c>
      <c r="W120" s="96">
        <v>3.0</v>
      </c>
      <c r="X120" s="96" t="s">
        <v>973</v>
      </c>
      <c r="Y120" s="96">
        <f t="shared" si="2"/>
        <v>3.333333333</v>
      </c>
      <c r="AE120" s="93">
        <f t="shared" si="5"/>
        <v>0</v>
      </c>
      <c r="AK120" s="93">
        <f t="shared" si="4"/>
        <v>0</v>
      </c>
    </row>
    <row r="121" hidden="1">
      <c r="A121" s="302">
        <v>45432.37277097222</v>
      </c>
      <c r="B121" s="96" t="s">
        <v>645</v>
      </c>
      <c r="C121" s="96" t="s">
        <v>44</v>
      </c>
      <c r="D121" s="96" t="s">
        <v>108</v>
      </c>
      <c r="H121" s="308">
        <v>45429.0</v>
      </c>
      <c r="I121" s="96" t="s">
        <v>556</v>
      </c>
      <c r="L121" s="96" t="s">
        <v>690</v>
      </c>
      <c r="M121" s="96" t="s">
        <v>691</v>
      </c>
      <c r="N121" s="96" t="s">
        <v>91</v>
      </c>
      <c r="O121" s="96">
        <v>3.0</v>
      </c>
      <c r="P121" s="96">
        <v>3.0</v>
      </c>
      <c r="Q121" s="96">
        <v>3.0</v>
      </c>
      <c r="R121" s="96" t="s">
        <v>974</v>
      </c>
      <c r="S121" s="309">
        <f t="shared" si="1"/>
        <v>3</v>
      </c>
      <c r="T121" s="96" t="s">
        <v>95</v>
      </c>
      <c r="U121" s="96">
        <v>1.0</v>
      </c>
      <c r="V121" s="96">
        <v>2.0</v>
      </c>
      <c r="W121" s="96">
        <v>3.0</v>
      </c>
      <c r="X121" s="96" t="s">
        <v>975</v>
      </c>
      <c r="Y121" s="96">
        <f t="shared" si="2"/>
        <v>2</v>
      </c>
      <c r="AE121" s="93">
        <f t="shared" si="5"/>
        <v>0</v>
      </c>
      <c r="AK121" s="93">
        <f t="shared" si="4"/>
        <v>0</v>
      </c>
    </row>
    <row r="122">
      <c r="A122" s="302">
        <v>45432.37295908565</v>
      </c>
      <c r="B122" s="96" t="s">
        <v>711</v>
      </c>
      <c r="C122" s="96" t="s">
        <v>116</v>
      </c>
      <c r="G122" s="96" t="s">
        <v>718</v>
      </c>
      <c r="H122" s="308">
        <v>45429.0</v>
      </c>
      <c r="I122" s="96" t="s">
        <v>42</v>
      </c>
      <c r="J122" s="96">
        <v>4.0</v>
      </c>
      <c r="L122" s="96" t="s">
        <v>705</v>
      </c>
      <c r="M122" s="96" t="s">
        <v>715</v>
      </c>
      <c r="N122" s="96" t="s">
        <v>143</v>
      </c>
      <c r="O122" s="96">
        <v>4.0</v>
      </c>
      <c r="P122" s="96">
        <v>4.0</v>
      </c>
      <c r="Q122" s="96">
        <v>3.0</v>
      </c>
      <c r="R122" s="96" t="s">
        <v>976</v>
      </c>
      <c r="S122" s="309">
        <f t="shared" si="1"/>
        <v>3.666666667</v>
      </c>
      <c r="Y122" s="96">
        <f t="shared" si="2"/>
        <v>0</v>
      </c>
      <c r="AE122" s="93">
        <f t="shared" si="5"/>
        <v>0</v>
      </c>
      <c r="AK122" s="93">
        <f t="shared" si="4"/>
        <v>0</v>
      </c>
    </row>
    <row r="123">
      <c r="A123" s="302">
        <v>45432.37316729166</v>
      </c>
      <c r="B123" s="96" t="s">
        <v>766</v>
      </c>
      <c r="C123" s="96" t="s">
        <v>116</v>
      </c>
      <c r="G123" s="96" t="s">
        <v>774</v>
      </c>
      <c r="H123" s="308">
        <v>45429.0</v>
      </c>
      <c r="I123" s="96" t="s">
        <v>556</v>
      </c>
      <c r="L123" s="96" t="s">
        <v>690</v>
      </c>
      <c r="N123" s="96" t="s">
        <v>153</v>
      </c>
      <c r="O123" s="96">
        <v>3.0</v>
      </c>
      <c r="P123" s="96">
        <v>3.0</v>
      </c>
      <c r="Q123" s="96">
        <v>3.0</v>
      </c>
      <c r="R123" s="96" t="s">
        <v>977</v>
      </c>
      <c r="S123" s="309">
        <f t="shared" si="1"/>
        <v>3</v>
      </c>
      <c r="Y123" s="96">
        <f t="shared" si="2"/>
        <v>0</v>
      </c>
      <c r="AE123" s="93">
        <f t="shared" si="5"/>
        <v>0</v>
      </c>
      <c r="AK123" s="93">
        <f t="shared" si="4"/>
        <v>0</v>
      </c>
    </row>
    <row r="124">
      <c r="A124" s="302">
        <v>45432.37553034722</v>
      </c>
      <c r="B124" s="96" t="s">
        <v>711</v>
      </c>
      <c r="C124" s="96" t="s">
        <v>116</v>
      </c>
      <c r="G124" s="96" t="s">
        <v>720</v>
      </c>
      <c r="H124" s="308">
        <v>45429.0</v>
      </c>
      <c r="I124" s="96" t="s">
        <v>42</v>
      </c>
      <c r="J124" s="96">
        <v>4.0</v>
      </c>
      <c r="L124" s="96" t="s">
        <v>705</v>
      </c>
      <c r="M124" s="96" t="s">
        <v>715</v>
      </c>
      <c r="N124" s="96" t="s">
        <v>149</v>
      </c>
      <c r="O124" s="96">
        <v>4.0</v>
      </c>
      <c r="P124" s="96">
        <v>4.0</v>
      </c>
      <c r="Q124" s="96">
        <v>4.0</v>
      </c>
      <c r="R124" s="96" t="s">
        <v>978</v>
      </c>
      <c r="S124" s="309">
        <f t="shared" si="1"/>
        <v>4</v>
      </c>
      <c r="Y124" s="96">
        <f t="shared" si="2"/>
        <v>0</v>
      </c>
      <c r="AE124" s="93">
        <f t="shared" si="5"/>
        <v>0</v>
      </c>
      <c r="AK124" s="93">
        <f t="shared" si="4"/>
        <v>0</v>
      </c>
    </row>
    <row r="125">
      <c r="A125" s="302">
        <v>45432.37716778935</v>
      </c>
      <c r="B125" s="96" t="s">
        <v>711</v>
      </c>
      <c r="C125" s="96" t="s">
        <v>116</v>
      </c>
      <c r="G125" s="96" t="s">
        <v>979</v>
      </c>
      <c r="H125" s="308">
        <v>45429.0</v>
      </c>
      <c r="I125" s="96" t="s">
        <v>42</v>
      </c>
      <c r="J125" s="96">
        <v>4.0</v>
      </c>
      <c r="L125" s="96" t="s">
        <v>705</v>
      </c>
      <c r="M125" s="96" t="s">
        <v>706</v>
      </c>
      <c r="N125" s="96" t="s">
        <v>179</v>
      </c>
      <c r="O125" s="96">
        <v>4.0</v>
      </c>
      <c r="P125" s="96">
        <v>4.0</v>
      </c>
      <c r="Q125" s="96">
        <v>4.0</v>
      </c>
      <c r="R125" s="96" t="s">
        <v>980</v>
      </c>
      <c r="S125" s="309">
        <f t="shared" si="1"/>
        <v>4</v>
      </c>
      <c r="Y125" s="96">
        <f t="shared" si="2"/>
        <v>0</v>
      </c>
      <c r="AE125" s="93">
        <f t="shared" si="5"/>
        <v>0</v>
      </c>
      <c r="AK125" s="93">
        <f t="shared" si="4"/>
        <v>0</v>
      </c>
    </row>
    <row r="126">
      <c r="A126" s="302">
        <v>45432.38083775463</v>
      </c>
      <c r="B126" s="96" t="s">
        <v>711</v>
      </c>
      <c r="C126" s="96" t="s">
        <v>116</v>
      </c>
      <c r="G126" s="96" t="s">
        <v>838</v>
      </c>
      <c r="H126" s="308">
        <v>45429.0</v>
      </c>
      <c r="I126" s="96" t="s">
        <v>556</v>
      </c>
      <c r="L126" s="96" t="s">
        <v>705</v>
      </c>
      <c r="M126" s="96" t="s">
        <v>706</v>
      </c>
      <c r="N126" s="96" t="s">
        <v>123</v>
      </c>
      <c r="O126" s="96">
        <v>3.0</v>
      </c>
      <c r="P126" s="96">
        <v>3.0</v>
      </c>
      <c r="Q126" s="96">
        <v>3.0</v>
      </c>
      <c r="R126" s="96" t="s">
        <v>981</v>
      </c>
      <c r="S126" s="309">
        <f t="shared" si="1"/>
        <v>3</v>
      </c>
      <c r="Y126" s="96">
        <f t="shared" si="2"/>
        <v>0</v>
      </c>
      <c r="AE126" s="93">
        <f t="shared" si="5"/>
        <v>0</v>
      </c>
      <c r="AK126" s="93">
        <f t="shared" si="4"/>
        <v>0</v>
      </c>
    </row>
    <row r="127">
      <c r="A127" s="302">
        <v>45432.382177974534</v>
      </c>
      <c r="B127" s="96" t="s">
        <v>711</v>
      </c>
      <c r="C127" s="96" t="s">
        <v>116</v>
      </c>
      <c r="G127" s="96" t="s">
        <v>982</v>
      </c>
      <c r="H127" s="308">
        <v>45429.0</v>
      </c>
      <c r="I127" s="96" t="s">
        <v>556</v>
      </c>
      <c r="L127" s="96" t="s">
        <v>705</v>
      </c>
      <c r="M127" s="96" t="s">
        <v>715</v>
      </c>
      <c r="N127" s="96" t="s">
        <v>143</v>
      </c>
      <c r="O127" s="96">
        <v>3.0</v>
      </c>
      <c r="P127" s="96">
        <v>4.0</v>
      </c>
      <c r="Q127" s="96">
        <v>3.0</v>
      </c>
      <c r="R127" s="96" t="s">
        <v>983</v>
      </c>
      <c r="S127" s="309">
        <f t="shared" si="1"/>
        <v>3.333333333</v>
      </c>
      <c r="T127" s="96" t="s">
        <v>178</v>
      </c>
      <c r="U127" s="96">
        <v>3.0</v>
      </c>
      <c r="V127" s="96">
        <v>4.0</v>
      </c>
      <c r="W127" s="96">
        <v>3.0</v>
      </c>
      <c r="X127" s="96" t="s">
        <v>983</v>
      </c>
      <c r="Y127" s="96">
        <f t="shared" si="2"/>
        <v>3.333333333</v>
      </c>
      <c r="AE127" s="93">
        <f t="shared" si="5"/>
        <v>0</v>
      </c>
      <c r="AK127" s="93">
        <f t="shared" si="4"/>
        <v>0</v>
      </c>
    </row>
    <row r="128">
      <c r="A128" s="302">
        <v>45432.38316875</v>
      </c>
      <c r="B128" s="96" t="s">
        <v>711</v>
      </c>
      <c r="C128" s="96" t="s">
        <v>116</v>
      </c>
      <c r="G128" s="96" t="s">
        <v>984</v>
      </c>
      <c r="H128" s="308">
        <v>45429.0</v>
      </c>
      <c r="I128" s="96" t="s">
        <v>42</v>
      </c>
      <c r="L128" s="96" t="s">
        <v>705</v>
      </c>
      <c r="M128" s="96" t="s">
        <v>706</v>
      </c>
      <c r="N128" s="96" t="s">
        <v>164</v>
      </c>
      <c r="O128" s="96">
        <v>3.0</v>
      </c>
      <c r="P128" s="96">
        <v>4.0</v>
      </c>
      <c r="Q128" s="96">
        <v>4.0</v>
      </c>
      <c r="R128" s="96" t="s">
        <v>985</v>
      </c>
      <c r="S128" s="309">
        <f t="shared" si="1"/>
        <v>3.666666667</v>
      </c>
      <c r="Y128" s="96">
        <f t="shared" si="2"/>
        <v>0</v>
      </c>
      <c r="AE128" s="93">
        <f t="shared" si="5"/>
        <v>0</v>
      </c>
      <c r="AK128" s="93">
        <f t="shared" si="4"/>
        <v>0</v>
      </c>
    </row>
    <row r="129">
      <c r="A129" s="302">
        <v>45432.39218048612</v>
      </c>
      <c r="B129" s="96" t="s">
        <v>751</v>
      </c>
      <c r="C129" s="96" t="s">
        <v>116</v>
      </c>
      <c r="G129" s="96" t="s">
        <v>986</v>
      </c>
      <c r="H129" s="308">
        <v>45429.0</v>
      </c>
      <c r="I129" s="96" t="s">
        <v>556</v>
      </c>
      <c r="L129" s="96" t="s">
        <v>705</v>
      </c>
      <c r="M129" s="96" t="s">
        <v>715</v>
      </c>
      <c r="N129" s="96" t="s">
        <v>168</v>
      </c>
      <c r="O129" s="96">
        <v>3.0</v>
      </c>
      <c r="P129" s="96">
        <v>4.0</v>
      </c>
      <c r="Q129" s="96">
        <v>2.0</v>
      </c>
      <c r="R129" s="96" t="s">
        <v>987</v>
      </c>
      <c r="S129" s="309">
        <f t="shared" si="1"/>
        <v>3</v>
      </c>
      <c r="T129" s="96" t="s">
        <v>335</v>
      </c>
      <c r="U129" s="96">
        <v>3.0</v>
      </c>
      <c r="V129" s="96">
        <v>4.0</v>
      </c>
      <c r="W129" s="96">
        <v>2.0</v>
      </c>
      <c r="X129" s="96" t="s">
        <v>988</v>
      </c>
      <c r="Y129" s="96">
        <f t="shared" si="2"/>
        <v>3</v>
      </c>
      <c r="AE129" s="93">
        <f t="shared" si="5"/>
        <v>0</v>
      </c>
      <c r="AK129" s="93">
        <f t="shared" si="4"/>
        <v>0</v>
      </c>
    </row>
    <row r="130">
      <c r="A130" s="302">
        <v>45432.39824071759</v>
      </c>
      <c r="B130" s="96" t="s">
        <v>751</v>
      </c>
      <c r="C130" s="96" t="s">
        <v>116</v>
      </c>
      <c r="G130" s="96" t="s">
        <v>989</v>
      </c>
      <c r="H130" s="308">
        <v>45429.0</v>
      </c>
      <c r="I130" s="96" t="s">
        <v>42</v>
      </c>
      <c r="J130" s="96">
        <v>3.0</v>
      </c>
      <c r="K130" s="96" t="s">
        <v>990</v>
      </c>
      <c r="L130" s="96" t="s">
        <v>705</v>
      </c>
      <c r="M130" s="96" t="s">
        <v>715</v>
      </c>
      <c r="N130" s="96" t="s">
        <v>347</v>
      </c>
      <c r="O130" s="96">
        <v>3.0</v>
      </c>
      <c r="P130" s="96">
        <v>4.0</v>
      </c>
      <c r="Q130" s="96">
        <v>3.0</v>
      </c>
      <c r="R130" s="96" t="s">
        <v>991</v>
      </c>
      <c r="S130" s="309">
        <f t="shared" si="1"/>
        <v>3.333333333</v>
      </c>
      <c r="T130" s="96" t="s">
        <v>346</v>
      </c>
      <c r="U130" s="96">
        <v>3.0</v>
      </c>
      <c r="V130" s="96">
        <v>3.0</v>
      </c>
      <c r="W130" s="96">
        <v>3.0</v>
      </c>
      <c r="X130" s="96" t="s">
        <v>992</v>
      </c>
      <c r="Y130" s="96">
        <f t="shared" si="2"/>
        <v>3</v>
      </c>
      <c r="AE130" s="93">
        <f t="shared" si="5"/>
        <v>0</v>
      </c>
      <c r="AK130" s="93">
        <f t="shared" si="4"/>
        <v>0</v>
      </c>
    </row>
    <row r="131">
      <c r="A131" s="302">
        <v>45432.4046956713</v>
      </c>
      <c r="B131" s="96" t="s">
        <v>751</v>
      </c>
      <c r="C131" s="96" t="s">
        <v>116</v>
      </c>
      <c r="G131" s="96" t="s">
        <v>763</v>
      </c>
      <c r="H131" s="308">
        <v>45429.0</v>
      </c>
      <c r="I131" s="96" t="s">
        <v>42</v>
      </c>
      <c r="J131" s="96">
        <v>3.0</v>
      </c>
      <c r="K131" s="96" t="s">
        <v>993</v>
      </c>
      <c r="L131" s="96" t="s">
        <v>690</v>
      </c>
      <c r="M131" s="96" t="s">
        <v>691</v>
      </c>
      <c r="N131" s="96" t="s">
        <v>123</v>
      </c>
      <c r="O131" s="96">
        <v>3.0</v>
      </c>
      <c r="P131" s="96">
        <v>4.0</v>
      </c>
      <c r="Q131" s="96">
        <v>4.0</v>
      </c>
      <c r="R131" s="96" t="s">
        <v>994</v>
      </c>
      <c r="S131" s="309">
        <f t="shared" si="1"/>
        <v>3.666666667</v>
      </c>
      <c r="Y131" s="96">
        <f t="shared" si="2"/>
        <v>0</v>
      </c>
      <c r="AE131" s="93">
        <f t="shared" si="5"/>
        <v>0</v>
      </c>
      <c r="AK131" s="93">
        <f t="shared" si="4"/>
        <v>0</v>
      </c>
    </row>
    <row r="132">
      <c r="A132" s="302">
        <v>45432.405789675926</v>
      </c>
      <c r="B132" s="96" t="s">
        <v>751</v>
      </c>
      <c r="C132" s="96" t="s">
        <v>116</v>
      </c>
      <c r="G132" s="96" t="s">
        <v>185</v>
      </c>
      <c r="H132" s="308">
        <v>45429.0</v>
      </c>
      <c r="I132" s="96" t="s">
        <v>556</v>
      </c>
      <c r="L132" s="96" t="s">
        <v>705</v>
      </c>
      <c r="M132" s="96" t="s">
        <v>715</v>
      </c>
      <c r="N132" s="96" t="s">
        <v>123</v>
      </c>
      <c r="O132" s="96">
        <v>3.0</v>
      </c>
      <c r="P132" s="96">
        <v>3.0</v>
      </c>
      <c r="Q132" s="96">
        <v>3.0</v>
      </c>
      <c r="R132" s="96" t="s">
        <v>995</v>
      </c>
      <c r="S132" s="309">
        <f t="shared" si="1"/>
        <v>3</v>
      </c>
      <c r="T132" s="96" t="s">
        <v>143</v>
      </c>
      <c r="U132" s="96">
        <v>3.0</v>
      </c>
      <c r="V132" s="96">
        <v>3.0</v>
      </c>
      <c r="W132" s="96">
        <v>3.0</v>
      </c>
      <c r="X132" s="96" t="s">
        <v>995</v>
      </c>
      <c r="Y132" s="96">
        <f t="shared" si="2"/>
        <v>3</v>
      </c>
      <c r="AE132" s="93">
        <f t="shared" si="5"/>
        <v>0</v>
      </c>
      <c r="AK132" s="93">
        <f t="shared" si="4"/>
        <v>0</v>
      </c>
    </row>
    <row r="133" hidden="1">
      <c r="A133" s="302">
        <v>45433.4445159375</v>
      </c>
      <c r="B133" s="96" t="s">
        <v>996</v>
      </c>
      <c r="C133" s="96" t="s">
        <v>36</v>
      </c>
      <c r="E133" s="96" t="s">
        <v>997</v>
      </c>
      <c r="H133" s="308">
        <v>45422.0</v>
      </c>
      <c r="I133" s="96" t="s">
        <v>556</v>
      </c>
      <c r="J133" s="96">
        <v>4.0</v>
      </c>
      <c r="L133" s="96" t="s">
        <v>705</v>
      </c>
      <c r="M133" s="96" t="s">
        <v>715</v>
      </c>
      <c r="N133" s="96" t="s">
        <v>276</v>
      </c>
      <c r="O133" s="96">
        <v>5.0</v>
      </c>
      <c r="P133" s="96">
        <v>5.0</v>
      </c>
      <c r="Q133" s="96">
        <v>5.0</v>
      </c>
      <c r="S133" s="309">
        <f t="shared" si="1"/>
        <v>5</v>
      </c>
      <c r="T133" s="96" t="s">
        <v>288</v>
      </c>
      <c r="U133" s="96">
        <v>5.0</v>
      </c>
      <c r="V133" s="96">
        <v>5.0</v>
      </c>
      <c r="W133" s="96">
        <v>5.0</v>
      </c>
      <c r="Y133" s="96">
        <f t="shared" si="2"/>
        <v>5</v>
      </c>
      <c r="AE133" s="93">
        <f t="shared" si="5"/>
        <v>0</v>
      </c>
      <c r="AK133" s="93">
        <f t="shared" si="4"/>
        <v>0</v>
      </c>
    </row>
    <row r="134" hidden="1">
      <c r="A134" s="302">
        <v>45433.44580758102</v>
      </c>
      <c r="B134" s="96" t="s">
        <v>996</v>
      </c>
      <c r="C134" s="96" t="s">
        <v>36</v>
      </c>
      <c r="E134" s="96" t="s">
        <v>808</v>
      </c>
      <c r="H134" s="308">
        <v>45422.0</v>
      </c>
      <c r="I134" s="96" t="s">
        <v>556</v>
      </c>
      <c r="J134" s="96">
        <v>4.0</v>
      </c>
      <c r="L134" s="96" t="s">
        <v>705</v>
      </c>
      <c r="M134" s="96" t="s">
        <v>715</v>
      </c>
      <c r="N134" s="96" t="s">
        <v>303</v>
      </c>
      <c r="O134" s="96">
        <v>4.0</v>
      </c>
      <c r="P134" s="96">
        <v>4.0</v>
      </c>
      <c r="Q134" s="96">
        <v>4.0</v>
      </c>
      <c r="S134" s="309">
        <f t="shared" si="1"/>
        <v>4</v>
      </c>
      <c r="Y134" s="96">
        <f t="shared" si="2"/>
        <v>0</v>
      </c>
      <c r="AE134" s="93">
        <f t="shared" si="5"/>
        <v>0</v>
      </c>
      <c r="AK134" s="93">
        <f t="shared" si="4"/>
        <v>0</v>
      </c>
    </row>
    <row r="135" hidden="1">
      <c r="A135" s="302">
        <v>45443.405949039356</v>
      </c>
      <c r="B135" s="96" t="s">
        <v>907</v>
      </c>
      <c r="C135" s="96" t="s">
        <v>187</v>
      </c>
      <c r="F135" s="96" t="s">
        <v>945</v>
      </c>
      <c r="H135" s="308">
        <v>45443.0</v>
      </c>
      <c r="I135" s="96" t="s">
        <v>42</v>
      </c>
      <c r="J135" s="96">
        <v>5.0</v>
      </c>
      <c r="K135" s="96" t="s">
        <v>998</v>
      </c>
      <c r="L135" s="96" t="s">
        <v>705</v>
      </c>
      <c r="M135" s="96" t="s">
        <v>715</v>
      </c>
      <c r="N135" s="96" t="s">
        <v>204</v>
      </c>
      <c r="O135" s="96">
        <v>3.0</v>
      </c>
      <c r="P135" s="96">
        <v>3.0</v>
      </c>
      <c r="Q135" s="96">
        <v>2.0</v>
      </c>
      <c r="R135" s="96" t="s">
        <v>999</v>
      </c>
      <c r="S135" s="309">
        <f t="shared" si="1"/>
        <v>2.666666667</v>
      </c>
      <c r="Y135" s="96">
        <f t="shared" si="2"/>
        <v>0</v>
      </c>
      <c r="AE135" s="93">
        <f t="shared" si="5"/>
        <v>0</v>
      </c>
      <c r="AK135" s="93">
        <f t="shared" si="4"/>
        <v>0</v>
      </c>
    </row>
    <row r="136" hidden="1">
      <c r="A136" s="302">
        <v>45443.409465543984</v>
      </c>
      <c r="B136" s="96" t="s">
        <v>907</v>
      </c>
      <c r="C136" s="96" t="s">
        <v>187</v>
      </c>
      <c r="F136" s="96" t="s">
        <v>946</v>
      </c>
      <c r="H136" s="308">
        <v>45443.0</v>
      </c>
      <c r="I136" s="96" t="s">
        <v>42</v>
      </c>
      <c r="J136" s="96">
        <v>4.0</v>
      </c>
      <c r="K136" s="96" t="s">
        <v>1000</v>
      </c>
      <c r="L136" s="96" t="s">
        <v>705</v>
      </c>
      <c r="M136" s="96" t="s">
        <v>715</v>
      </c>
      <c r="N136" s="96" t="s">
        <v>341</v>
      </c>
      <c r="O136" s="96">
        <v>3.0</v>
      </c>
      <c r="P136" s="96">
        <v>4.0</v>
      </c>
      <c r="Q136" s="96">
        <v>4.0</v>
      </c>
      <c r="R136" s="96" t="s">
        <v>1001</v>
      </c>
      <c r="S136" s="309">
        <f t="shared" si="1"/>
        <v>3.666666667</v>
      </c>
      <c r="T136" s="96" t="s">
        <v>235</v>
      </c>
      <c r="U136" s="96">
        <v>2.0</v>
      </c>
      <c r="V136" s="96">
        <v>2.0</v>
      </c>
      <c r="W136" s="96">
        <v>3.0</v>
      </c>
      <c r="X136" s="96" t="s">
        <v>1002</v>
      </c>
      <c r="Y136" s="96">
        <f t="shared" si="2"/>
        <v>2.333333333</v>
      </c>
      <c r="Z136" s="96" t="s">
        <v>342</v>
      </c>
      <c r="AA136" s="96">
        <v>3.0</v>
      </c>
      <c r="AB136" s="96">
        <v>3.0</v>
      </c>
      <c r="AC136" s="96">
        <v>3.0</v>
      </c>
      <c r="AE136" s="93">
        <f t="shared" si="5"/>
        <v>3</v>
      </c>
      <c r="AF136" s="96" t="s">
        <v>343</v>
      </c>
      <c r="AG136" s="96">
        <v>3.0</v>
      </c>
      <c r="AH136" s="96">
        <v>3.0</v>
      </c>
      <c r="AI136" s="96">
        <v>3.0</v>
      </c>
      <c r="AK136" s="93">
        <f t="shared" si="4"/>
        <v>3</v>
      </c>
    </row>
    <row r="137" hidden="1">
      <c r="A137" s="302">
        <v>45443.43094996527</v>
      </c>
      <c r="B137" s="96" t="s">
        <v>907</v>
      </c>
      <c r="C137" s="96" t="s">
        <v>187</v>
      </c>
      <c r="F137" s="96" t="s">
        <v>908</v>
      </c>
      <c r="H137" s="308">
        <v>45443.0</v>
      </c>
      <c r="I137" s="96" t="s">
        <v>42</v>
      </c>
      <c r="J137" s="96">
        <v>5.0</v>
      </c>
      <c r="K137" s="96" t="s">
        <v>1003</v>
      </c>
      <c r="L137" s="96" t="s">
        <v>705</v>
      </c>
      <c r="M137" s="96" t="s">
        <v>715</v>
      </c>
      <c r="N137" s="96" t="s">
        <v>348</v>
      </c>
      <c r="O137" s="96">
        <v>3.0</v>
      </c>
      <c r="P137" s="96">
        <v>3.0</v>
      </c>
      <c r="Q137" s="96">
        <v>2.0</v>
      </c>
      <c r="R137" s="96" t="s">
        <v>1004</v>
      </c>
      <c r="S137" s="309">
        <f t="shared" si="1"/>
        <v>2.666666667</v>
      </c>
      <c r="Y137" s="96">
        <f t="shared" si="2"/>
        <v>0</v>
      </c>
      <c r="AE137" s="93">
        <f t="shared" si="5"/>
        <v>0</v>
      </c>
      <c r="AK137" s="93">
        <f t="shared" si="4"/>
        <v>0</v>
      </c>
    </row>
    <row r="138" hidden="1">
      <c r="A138" s="302">
        <v>45443.77010108797</v>
      </c>
      <c r="B138" s="96" t="s">
        <v>749</v>
      </c>
      <c r="C138" s="96" t="s">
        <v>44</v>
      </c>
      <c r="D138" s="96" t="s">
        <v>111</v>
      </c>
      <c r="H138" s="308">
        <v>45443.0</v>
      </c>
      <c r="I138" s="96" t="s">
        <v>42</v>
      </c>
      <c r="J138" s="96">
        <v>2.0</v>
      </c>
      <c r="K138" s="96" t="s">
        <v>1005</v>
      </c>
      <c r="L138" s="96" t="s">
        <v>705</v>
      </c>
      <c r="M138" s="96" t="s">
        <v>706</v>
      </c>
      <c r="N138" s="96" t="s">
        <v>113</v>
      </c>
      <c r="O138" s="96">
        <v>1.0</v>
      </c>
      <c r="P138" s="96">
        <v>2.0</v>
      </c>
      <c r="Q138" s="96">
        <v>3.0</v>
      </c>
      <c r="R138" s="96" t="s">
        <v>1006</v>
      </c>
      <c r="S138" s="309">
        <f t="shared" si="1"/>
        <v>2</v>
      </c>
      <c r="Y138" s="96">
        <f t="shared" si="2"/>
        <v>0</v>
      </c>
      <c r="AE138" s="93">
        <f t="shared" si="5"/>
        <v>0</v>
      </c>
      <c r="AK138" s="93">
        <f t="shared" si="4"/>
        <v>0</v>
      </c>
    </row>
    <row r="139" hidden="1">
      <c r="A139" s="302">
        <v>45450.5690809838</v>
      </c>
      <c r="B139" s="96" t="s">
        <v>645</v>
      </c>
      <c r="C139" s="96" t="s">
        <v>44</v>
      </c>
      <c r="D139" s="96" t="s">
        <v>108</v>
      </c>
      <c r="H139" s="308">
        <v>45450.0</v>
      </c>
      <c r="I139" s="96" t="s">
        <v>42</v>
      </c>
      <c r="J139" s="96">
        <v>3.0</v>
      </c>
      <c r="K139" s="96" t="s">
        <v>1007</v>
      </c>
      <c r="L139" s="96" t="s">
        <v>690</v>
      </c>
      <c r="N139" s="96" t="s">
        <v>91</v>
      </c>
      <c r="O139" s="96">
        <v>4.0</v>
      </c>
      <c r="P139" s="96">
        <v>4.0</v>
      </c>
      <c r="Q139" s="96">
        <v>4.0</v>
      </c>
      <c r="R139" s="96" t="s">
        <v>1008</v>
      </c>
      <c r="T139" s="96" t="s">
        <v>95</v>
      </c>
      <c r="U139" s="96">
        <v>2.0</v>
      </c>
      <c r="V139" s="96">
        <v>3.0</v>
      </c>
      <c r="W139" s="96">
        <v>3.0</v>
      </c>
      <c r="X139" s="96" t="s">
        <v>1009</v>
      </c>
    </row>
    <row r="140" hidden="1">
      <c r="A140" s="302">
        <v>45450.57223747685</v>
      </c>
      <c r="B140" s="96" t="s">
        <v>645</v>
      </c>
      <c r="C140" s="96" t="s">
        <v>44</v>
      </c>
      <c r="D140" s="96" t="s">
        <v>803</v>
      </c>
      <c r="H140" s="308">
        <v>45479.0</v>
      </c>
      <c r="I140" s="96" t="s">
        <v>556</v>
      </c>
      <c r="L140" s="96" t="s">
        <v>705</v>
      </c>
      <c r="M140" s="96" t="s">
        <v>691</v>
      </c>
      <c r="N140" s="96" t="s">
        <v>967</v>
      </c>
      <c r="O140" s="96">
        <v>3.0</v>
      </c>
      <c r="P140" s="96">
        <v>4.0</v>
      </c>
      <c r="Q140" s="96">
        <v>4.0</v>
      </c>
      <c r="T140" s="96" t="s">
        <v>84</v>
      </c>
      <c r="U140" s="96">
        <v>4.0</v>
      </c>
      <c r="V140" s="96">
        <v>3.0</v>
      </c>
      <c r="W140" s="96">
        <v>3.0</v>
      </c>
      <c r="Z140" s="96" t="s">
        <v>85</v>
      </c>
      <c r="AA140" s="96">
        <v>3.0</v>
      </c>
      <c r="AB140" s="96">
        <v>2.0</v>
      </c>
      <c r="AC140" s="96">
        <v>2.0</v>
      </c>
      <c r="AD140" s="96" t="s">
        <v>1010</v>
      </c>
      <c r="AF140" s="96" t="s">
        <v>114</v>
      </c>
      <c r="AG140" s="96">
        <v>3.0</v>
      </c>
      <c r="AH140" s="96">
        <v>2.0</v>
      </c>
      <c r="AI140" s="96">
        <v>3.0</v>
      </c>
    </row>
    <row r="141" hidden="1">
      <c r="A141" s="302">
        <v>45450.7998009838</v>
      </c>
      <c r="B141" s="96" t="s">
        <v>738</v>
      </c>
      <c r="C141" s="96" t="s">
        <v>44</v>
      </c>
      <c r="D141" s="96" t="s">
        <v>71</v>
      </c>
      <c r="H141" s="308">
        <v>45450.0</v>
      </c>
      <c r="I141" s="96" t="s">
        <v>42</v>
      </c>
      <c r="J141" s="96">
        <v>4.0</v>
      </c>
      <c r="K141" s="96" t="s">
        <v>1011</v>
      </c>
      <c r="L141" s="96" t="s">
        <v>690</v>
      </c>
      <c r="N141" s="96" t="s">
        <v>57</v>
      </c>
      <c r="O141" s="96">
        <v>3.0</v>
      </c>
      <c r="P141" s="96">
        <v>1.0</v>
      </c>
      <c r="Q141" s="96">
        <v>2.0</v>
      </c>
      <c r="R141" s="96" t="s">
        <v>1012</v>
      </c>
      <c r="T141" s="96" t="s">
        <v>66</v>
      </c>
      <c r="U141" s="96">
        <v>3.0</v>
      </c>
      <c r="V141" s="96">
        <v>1.0</v>
      </c>
      <c r="W141" s="96">
        <v>2.0</v>
      </c>
      <c r="X141" s="96" t="s">
        <v>1013</v>
      </c>
      <c r="Z141" s="96" t="s">
        <v>73</v>
      </c>
      <c r="AA141" s="96">
        <v>4.0</v>
      </c>
      <c r="AB141" s="96">
        <v>2.0</v>
      </c>
      <c r="AC141" s="96">
        <v>3.0</v>
      </c>
      <c r="AD141" s="96" t="s">
        <v>1014</v>
      </c>
    </row>
    <row r="142" hidden="1">
      <c r="A142" s="302">
        <v>45450.80152826389</v>
      </c>
      <c r="B142" s="96" t="s">
        <v>738</v>
      </c>
      <c r="C142" s="96" t="s">
        <v>44</v>
      </c>
      <c r="D142" s="96" t="s">
        <v>90</v>
      </c>
      <c r="H142" s="308">
        <v>45450.0</v>
      </c>
      <c r="I142" s="96" t="s">
        <v>42</v>
      </c>
      <c r="J142" s="96">
        <v>3.0</v>
      </c>
      <c r="K142" s="96" t="s">
        <v>1015</v>
      </c>
      <c r="L142" s="96" t="s">
        <v>690</v>
      </c>
      <c r="N142" s="96" t="s">
        <v>94</v>
      </c>
      <c r="O142" s="96">
        <v>3.0</v>
      </c>
      <c r="P142" s="96">
        <v>2.0</v>
      </c>
      <c r="Q142" s="96">
        <v>3.0</v>
      </c>
      <c r="R142" s="96" t="s">
        <v>1016</v>
      </c>
      <c r="T142" s="96" t="s">
        <v>91</v>
      </c>
      <c r="U142" s="96">
        <v>5.0</v>
      </c>
      <c r="V142" s="96">
        <v>2.0</v>
      </c>
      <c r="W142" s="96">
        <v>3.0</v>
      </c>
      <c r="X142" s="96" t="s">
        <v>1017</v>
      </c>
    </row>
    <row r="143" hidden="1">
      <c r="A143" s="302">
        <v>45450.80352153935</v>
      </c>
      <c r="B143" s="96" t="s">
        <v>738</v>
      </c>
      <c r="C143" s="96" t="s">
        <v>44</v>
      </c>
      <c r="D143" s="96" t="s">
        <v>962</v>
      </c>
      <c r="H143" s="308">
        <v>45450.0</v>
      </c>
      <c r="I143" s="96" t="s">
        <v>42</v>
      </c>
      <c r="J143" s="96">
        <v>2.0</v>
      </c>
      <c r="K143" s="96" t="s">
        <v>1018</v>
      </c>
      <c r="L143" s="96" t="s">
        <v>705</v>
      </c>
      <c r="M143" s="96" t="s">
        <v>691</v>
      </c>
      <c r="N143" s="96" t="s">
        <v>344</v>
      </c>
      <c r="O143" s="96">
        <v>2.0</v>
      </c>
      <c r="P143" s="96">
        <v>2.0</v>
      </c>
      <c r="Q143" s="96">
        <v>3.0</v>
      </c>
      <c r="R143" s="96" t="s">
        <v>1019</v>
      </c>
    </row>
    <row r="144" hidden="1">
      <c r="A144" s="302">
        <v>45450.80468670139</v>
      </c>
      <c r="B144" s="96" t="s">
        <v>738</v>
      </c>
      <c r="C144" s="96" t="s">
        <v>44</v>
      </c>
      <c r="D144" s="96" t="s">
        <v>1020</v>
      </c>
      <c r="H144" s="308">
        <v>45450.0</v>
      </c>
      <c r="I144" s="96" t="s">
        <v>42</v>
      </c>
      <c r="J144" s="96">
        <v>3.0</v>
      </c>
      <c r="K144" s="96" t="s">
        <v>1021</v>
      </c>
      <c r="L144" s="96" t="s">
        <v>705</v>
      </c>
      <c r="M144" s="96" t="s">
        <v>715</v>
      </c>
      <c r="N144" s="96" t="s">
        <v>107</v>
      </c>
      <c r="O144" s="96">
        <v>3.0</v>
      </c>
      <c r="P144" s="96">
        <v>4.0</v>
      </c>
      <c r="Q144" s="96">
        <v>3.0</v>
      </c>
      <c r="R144" s="96" t="s">
        <v>1022</v>
      </c>
    </row>
    <row r="145" hidden="1">
      <c r="A145" s="302">
        <v>45457.756912881945</v>
      </c>
      <c r="B145" s="96" t="s">
        <v>907</v>
      </c>
      <c r="C145" s="96" t="s">
        <v>187</v>
      </c>
      <c r="F145" s="96" t="s">
        <v>946</v>
      </c>
      <c r="H145" s="308">
        <v>45457.0</v>
      </c>
      <c r="I145" s="96" t="s">
        <v>42</v>
      </c>
      <c r="J145" s="96">
        <v>3.0</v>
      </c>
      <c r="K145" s="96" t="s">
        <v>1023</v>
      </c>
      <c r="L145" s="96" t="s">
        <v>705</v>
      </c>
      <c r="M145" s="96" t="s">
        <v>715</v>
      </c>
      <c r="N145" s="96" t="s">
        <v>342</v>
      </c>
      <c r="O145" s="96">
        <v>3.0</v>
      </c>
      <c r="P145" s="96">
        <v>3.0</v>
      </c>
      <c r="Q145" s="96">
        <v>3.0</v>
      </c>
      <c r="T145" s="96" t="s">
        <v>343</v>
      </c>
      <c r="U145" s="96">
        <v>3.0</v>
      </c>
      <c r="V145" s="96">
        <v>3.0</v>
      </c>
      <c r="W145" s="96">
        <v>3.0</v>
      </c>
      <c r="Z145" s="96" t="s">
        <v>235</v>
      </c>
      <c r="AA145" s="96">
        <v>2.0</v>
      </c>
      <c r="AB145" s="96">
        <v>2.0</v>
      </c>
      <c r="AC145" s="96">
        <v>3.0</v>
      </c>
      <c r="AF145" s="96" t="s">
        <v>341</v>
      </c>
      <c r="AG145" s="96">
        <v>3.0</v>
      </c>
      <c r="AH145" s="96">
        <v>3.0</v>
      </c>
      <c r="AI145" s="96">
        <v>3.0</v>
      </c>
    </row>
    <row r="146" hidden="1">
      <c r="A146" s="302">
        <v>45457.761148668986</v>
      </c>
      <c r="B146" s="96" t="s">
        <v>907</v>
      </c>
      <c r="C146" s="96" t="s">
        <v>187</v>
      </c>
      <c r="F146" s="96" t="s">
        <v>908</v>
      </c>
      <c r="H146" s="308">
        <v>45457.0</v>
      </c>
      <c r="I146" s="96" t="s">
        <v>556</v>
      </c>
      <c r="J146" s="96">
        <v>3.0</v>
      </c>
      <c r="L146" s="96" t="s">
        <v>705</v>
      </c>
      <c r="M146" s="96" t="s">
        <v>715</v>
      </c>
      <c r="N146" s="96" t="s">
        <v>348</v>
      </c>
      <c r="O146" s="96">
        <v>3.0</v>
      </c>
      <c r="P146" s="96">
        <v>3.0</v>
      </c>
      <c r="Q146" s="96">
        <v>2.0</v>
      </c>
    </row>
    <row r="147" hidden="1">
      <c r="A147" s="302">
        <v>45457.762065208335</v>
      </c>
      <c r="B147" s="96" t="s">
        <v>907</v>
      </c>
      <c r="C147" s="96" t="s">
        <v>187</v>
      </c>
      <c r="F147" s="96" t="s">
        <v>945</v>
      </c>
      <c r="H147" s="308">
        <v>45457.0</v>
      </c>
      <c r="I147" s="96" t="s">
        <v>42</v>
      </c>
      <c r="J147" s="96">
        <v>3.0</v>
      </c>
      <c r="K147" s="96" t="s">
        <v>1024</v>
      </c>
      <c r="L147" s="96" t="s">
        <v>690</v>
      </c>
      <c r="N147" s="96" t="s">
        <v>204</v>
      </c>
      <c r="O147" s="96">
        <v>3.0</v>
      </c>
      <c r="P147" s="96">
        <v>3.0</v>
      </c>
      <c r="Q147" s="96">
        <v>3.0</v>
      </c>
    </row>
    <row r="148" hidden="1">
      <c r="A148" s="302">
        <v>45457.76281233796</v>
      </c>
      <c r="B148" s="96" t="s">
        <v>907</v>
      </c>
      <c r="C148" s="96" t="s">
        <v>187</v>
      </c>
      <c r="F148" s="96" t="s">
        <v>1025</v>
      </c>
      <c r="H148" s="308">
        <v>45457.0</v>
      </c>
      <c r="I148" s="96" t="s">
        <v>556</v>
      </c>
      <c r="L148" s="96" t="s">
        <v>705</v>
      </c>
      <c r="N148" s="96" t="s">
        <v>353</v>
      </c>
      <c r="O148" s="96">
        <v>3.0</v>
      </c>
      <c r="P148" s="96">
        <v>3.0</v>
      </c>
      <c r="Q148" s="96">
        <v>3.0</v>
      </c>
      <c r="T148" s="96" t="s">
        <v>352</v>
      </c>
      <c r="U148" s="96">
        <v>3.0</v>
      </c>
      <c r="V148" s="96">
        <v>3.0</v>
      </c>
      <c r="W148" s="96">
        <v>3.0</v>
      </c>
    </row>
    <row r="149" hidden="1">
      <c r="A149" s="302">
        <v>45457.76364013889</v>
      </c>
      <c r="B149" s="96" t="s">
        <v>907</v>
      </c>
      <c r="C149" s="96" t="s">
        <v>187</v>
      </c>
      <c r="F149" s="96" t="s">
        <v>1026</v>
      </c>
      <c r="H149" s="308">
        <v>45457.0</v>
      </c>
      <c r="I149" s="96" t="s">
        <v>556</v>
      </c>
      <c r="L149" s="96" t="s">
        <v>705</v>
      </c>
      <c r="M149" s="96" t="s">
        <v>715</v>
      </c>
      <c r="N149" s="96" t="s">
        <v>341</v>
      </c>
      <c r="O149" s="96">
        <v>3.0</v>
      </c>
      <c r="P149" s="96">
        <v>3.0</v>
      </c>
      <c r="Q149" s="96">
        <v>3.0</v>
      </c>
      <c r="T149" s="96" t="s">
        <v>356</v>
      </c>
      <c r="U149" s="96">
        <v>3.0</v>
      </c>
      <c r="V149" s="96">
        <v>3.0</v>
      </c>
      <c r="W149" s="96">
        <v>3.0</v>
      </c>
    </row>
    <row r="150">
      <c r="A150" s="302">
        <v>45465.80776822916</v>
      </c>
      <c r="B150" s="96" t="s">
        <v>751</v>
      </c>
      <c r="C150" s="96" t="s">
        <v>116</v>
      </c>
      <c r="G150" s="96" t="s">
        <v>174</v>
      </c>
      <c r="H150" s="308">
        <v>45464.0</v>
      </c>
      <c r="I150" s="96" t="s">
        <v>42</v>
      </c>
      <c r="J150" s="96">
        <v>3.0</v>
      </c>
      <c r="L150" s="96" t="s">
        <v>705</v>
      </c>
      <c r="M150" s="96" t="s">
        <v>715</v>
      </c>
      <c r="N150" s="96" t="s">
        <v>175</v>
      </c>
      <c r="O150" s="96">
        <v>3.0</v>
      </c>
      <c r="P150" s="96">
        <v>3.0</v>
      </c>
      <c r="Q150" s="96">
        <v>4.0</v>
      </c>
      <c r="T150" s="96" t="s">
        <v>176</v>
      </c>
      <c r="U150" s="96">
        <v>3.0</v>
      </c>
      <c r="V150" s="96">
        <v>3.0</v>
      </c>
      <c r="W150" s="96">
        <v>3.0</v>
      </c>
    </row>
    <row r="151">
      <c r="A151" s="302">
        <v>45465.80851887731</v>
      </c>
      <c r="B151" s="96" t="s">
        <v>751</v>
      </c>
      <c r="C151" s="96" t="s">
        <v>116</v>
      </c>
      <c r="G151" s="96" t="s">
        <v>185</v>
      </c>
      <c r="H151" s="308">
        <v>45464.0</v>
      </c>
      <c r="I151" s="96" t="s">
        <v>556</v>
      </c>
      <c r="L151" s="96" t="s">
        <v>705</v>
      </c>
      <c r="M151" s="96" t="s">
        <v>715</v>
      </c>
      <c r="N151" s="96" t="s">
        <v>143</v>
      </c>
      <c r="O151" s="96">
        <v>3.0</v>
      </c>
      <c r="P151" s="96">
        <v>3.0</v>
      </c>
      <c r="Q151" s="96">
        <v>3.0</v>
      </c>
      <c r="T151" s="96" t="s">
        <v>123</v>
      </c>
      <c r="U151" s="96">
        <v>3.0</v>
      </c>
      <c r="V151" s="96">
        <v>3.0</v>
      </c>
      <c r="W151" s="96">
        <v>3.0</v>
      </c>
    </row>
    <row r="152">
      <c r="A152" s="302">
        <v>45465.81008274306</v>
      </c>
      <c r="B152" s="96" t="s">
        <v>751</v>
      </c>
      <c r="C152" s="96" t="s">
        <v>116</v>
      </c>
      <c r="G152" s="96" t="s">
        <v>989</v>
      </c>
      <c r="H152" s="308">
        <v>45464.0</v>
      </c>
      <c r="I152" s="96" t="s">
        <v>42</v>
      </c>
      <c r="J152" s="96">
        <v>2.0</v>
      </c>
      <c r="L152" s="96" t="s">
        <v>705</v>
      </c>
      <c r="M152" s="96" t="s">
        <v>691</v>
      </c>
      <c r="N152" s="96" t="s">
        <v>347</v>
      </c>
      <c r="O152" s="96">
        <v>3.0</v>
      </c>
      <c r="P152" s="96">
        <v>3.0</v>
      </c>
      <c r="Q152" s="96">
        <v>2.0</v>
      </c>
      <c r="T152" s="96" t="s">
        <v>346</v>
      </c>
      <c r="U152" s="96">
        <v>3.0</v>
      </c>
      <c r="V152" s="96">
        <v>3.0</v>
      </c>
      <c r="W152" s="96">
        <v>2.0</v>
      </c>
    </row>
    <row r="153">
      <c r="A153" s="302">
        <v>45465.8130965625</v>
      </c>
      <c r="B153" s="96" t="s">
        <v>751</v>
      </c>
      <c r="C153" s="96" t="s">
        <v>116</v>
      </c>
      <c r="G153" s="96" t="s">
        <v>1027</v>
      </c>
      <c r="H153" s="308">
        <v>45464.0</v>
      </c>
      <c r="I153" s="96" t="s">
        <v>556</v>
      </c>
      <c r="L153" s="96" t="s">
        <v>705</v>
      </c>
      <c r="M153" s="96" t="s">
        <v>715</v>
      </c>
      <c r="N153" s="96" t="s">
        <v>151</v>
      </c>
      <c r="O153" s="96">
        <v>3.0</v>
      </c>
      <c r="P153" s="96">
        <v>3.0</v>
      </c>
      <c r="Q153" s="96">
        <v>2.0</v>
      </c>
      <c r="T153" s="96" t="s">
        <v>153</v>
      </c>
      <c r="U153" s="96">
        <v>3.0</v>
      </c>
      <c r="V153" s="96">
        <v>2.0</v>
      </c>
      <c r="W153" s="96">
        <v>3.0</v>
      </c>
      <c r="Z153" s="96" t="s">
        <v>347</v>
      </c>
      <c r="AA153" s="96">
        <v>3.0</v>
      </c>
      <c r="AB153" s="96">
        <v>2.0</v>
      </c>
      <c r="AC153" s="96">
        <v>3.0</v>
      </c>
    </row>
    <row r="154">
      <c r="A154" s="302">
        <v>45465.81461616898</v>
      </c>
      <c r="B154" s="96" t="s">
        <v>751</v>
      </c>
      <c r="C154" s="96" t="s">
        <v>116</v>
      </c>
      <c r="G154" s="96" t="s">
        <v>986</v>
      </c>
      <c r="H154" s="308">
        <v>45464.0</v>
      </c>
      <c r="I154" s="96" t="s">
        <v>42</v>
      </c>
      <c r="J154" s="96">
        <v>4.0</v>
      </c>
      <c r="L154" s="96" t="s">
        <v>705</v>
      </c>
      <c r="M154" s="96" t="s">
        <v>715</v>
      </c>
      <c r="N154" s="96" t="s">
        <v>168</v>
      </c>
      <c r="O154" s="96">
        <v>4.0</v>
      </c>
      <c r="P154" s="96">
        <v>4.0</v>
      </c>
      <c r="Q154" s="96">
        <v>3.0</v>
      </c>
      <c r="T154" s="96" t="s">
        <v>335</v>
      </c>
      <c r="U154" s="96">
        <v>3.0</v>
      </c>
      <c r="V154" s="96">
        <v>3.0</v>
      </c>
      <c r="W154" s="96">
        <v>2.0</v>
      </c>
    </row>
    <row r="155">
      <c r="A155" s="302">
        <v>45465.81568575231</v>
      </c>
      <c r="B155" s="96" t="s">
        <v>751</v>
      </c>
      <c r="C155" s="96" t="s">
        <v>116</v>
      </c>
      <c r="G155" s="96" t="s">
        <v>1028</v>
      </c>
      <c r="H155" s="308">
        <v>45465.0</v>
      </c>
      <c r="I155" s="96" t="s">
        <v>556</v>
      </c>
      <c r="L155" s="96" t="s">
        <v>705</v>
      </c>
      <c r="M155" s="96" t="s">
        <v>715</v>
      </c>
      <c r="N155" s="96" t="s">
        <v>149</v>
      </c>
      <c r="O155" s="96">
        <v>3.0</v>
      </c>
      <c r="P155" s="96">
        <v>3.0</v>
      </c>
      <c r="Q155" s="96">
        <v>3.0</v>
      </c>
    </row>
    <row r="156">
      <c r="A156" s="314"/>
      <c r="B156" s="314"/>
      <c r="C156" s="314"/>
      <c r="D156" s="314"/>
      <c r="E156" s="314"/>
      <c r="F156" s="314"/>
      <c r="G156" s="314"/>
      <c r="H156" s="314"/>
      <c r="I156" s="314"/>
      <c r="J156" s="314"/>
      <c r="K156" s="314"/>
      <c r="L156" s="314"/>
      <c r="M156" s="314"/>
      <c r="N156" s="314"/>
      <c r="O156" s="314"/>
      <c r="P156" s="314"/>
      <c r="Q156" s="314"/>
      <c r="R156" s="314"/>
      <c r="S156" s="314"/>
      <c r="T156" s="314"/>
      <c r="U156" s="314"/>
      <c r="V156" s="314"/>
      <c r="W156" s="314"/>
      <c r="X156" s="314"/>
      <c r="Y156" s="314"/>
      <c r="Z156" s="314"/>
      <c r="AA156" s="314"/>
      <c r="AB156" s="314"/>
      <c r="AC156" s="314"/>
      <c r="AD156" s="314"/>
      <c r="AE156" s="314"/>
      <c r="AF156" s="314"/>
      <c r="AG156" s="314"/>
      <c r="AH156" s="314"/>
      <c r="AI156" s="314"/>
      <c r="AJ156" s="314"/>
      <c r="AK156" s="314"/>
      <c r="AL156" s="314"/>
      <c r="AM156" s="314"/>
      <c r="AN156" s="314"/>
      <c r="AO156" s="314"/>
      <c r="AP156" s="314"/>
      <c r="AQ156" s="314"/>
      <c r="AR156" s="314"/>
    </row>
    <row r="157">
      <c r="A157" s="314"/>
      <c r="B157" s="314"/>
      <c r="C157" s="314"/>
      <c r="D157" s="314"/>
      <c r="E157" s="314"/>
      <c r="F157" s="314"/>
      <c r="G157" s="314"/>
      <c r="H157" s="314"/>
      <c r="I157" s="314"/>
      <c r="J157" s="314"/>
      <c r="K157" s="314"/>
      <c r="L157" s="314"/>
      <c r="M157" s="314"/>
      <c r="N157" s="314"/>
      <c r="O157" s="314"/>
      <c r="P157" s="314"/>
      <c r="Q157" s="314"/>
      <c r="R157" s="314"/>
      <c r="S157" s="314"/>
      <c r="T157" s="314"/>
      <c r="U157" s="314"/>
      <c r="V157" s="314"/>
      <c r="W157" s="314"/>
      <c r="X157" s="314"/>
      <c r="Y157" s="314"/>
      <c r="Z157" s="314"/>
      <c r="AA157" s="314"/>
      <c r="AB157" s="314"/>
      <c r="AC157" s="314"/>
      <c r="AD157" s="314"/>
      <c r="AE157" s="314"/>
      <c r="AF157" s="314"/>
      <c r="AG157" s="314"/>
      <c r="AH157" s="314"/>
      <c r="AI157" s="314"/>
      <c r="AJ157" s="314"/>
      <c r="AK157" s="314"/>
      <c r="AL157" s="314"/>
      <c r="AM157" s="314"/>
      <c r="AN157" s="314"/>
      <c r="AO157" s="314"/>
      <c r="AP157" s="314"/>
      <c r="AQ157" s="314"/>
      <c r="AR157" s="314"/>
    </row>
    <row r="158">
      <c r="A158" s="314"/>
      <c r="B158" s="314"/>
      <c r="C158" s="314"/>
      <c r="D158" s="314"/>
      <c r="E158" s="314"/>
      <c r="F158" s="314"/>
      <c r="G158" s="314"/>
      <c r="H158" s="314"/>
      <c r="I158" s="314"/>
      <c r="J158" s="314"/>
      <c r="K158" s="314"/>
      <c r="L158" s="314"/>
      <c r="M158" s="314"/>
      <c r="N158" s="314"/>
      <c r="O158" s="314"/>
      <c r="P158" s="314"/>
      <c r="Q158" s="314"/>
      <c r="R158" s="314"/>
      <c r="S158" s="314"/>
      <c r="T158" s="314"/>
      <c r="U158" s="314"/>
      <c r="V158" s="314"/>
      <c r="W158" s="314"/>
      <c r="X158" s="314"/>
      <c r="Y158" s="314"/>
      <c r="Z158" s="314"/>
      <c r="AA158" s="314"/>
      <c r="AB158" s="314"/>
      <c r="AC158" s="314"/>
      <c r="AD158" s="314"/>
      <c r="AE158" s="314"/>
      <c r="AF158" s="314"/>
      <c r="AG158" s="314"/>
      <c r="AH158" s="314"/>
      <c r="AI158" s="314"/>
      <c r="AJ158" s="314"/>
      <c r="AK158" s="314"/>
      <c r="AL158" s="314"/>
      <c r="AM158" s="314"/>
      <c r="AN158" s="314"/>
      <c r="AO158" s="314"/>
      <c r="AP158" s="314"/>
      <c r="AQ158" s="314"/>
      <c r="AR158" s="314"/>
    </row>
    <row r="159">
      <c r="A159" s="314"/>
      <c r="B159" s="314"/>
      <c r="C159" s="314"/>
      <c r="D159" s="314"/>
      <c r="E159" s="314"/>
      <c r="F159" s="314"/>
      <c r="G159" s="314"/>
      <c r="H159" s="314"/>
      <c r="I159" s="314"/>
      <c r="J159" s="314"/>
      <c r="K159" s="314"/>
      <c r="L159" s="314"/>
      <c r="M159" s="314"/>
      <c r="N159" s="314"/>
      <c r="O159" s="314"/>
      <c r="P159" s="314"/>
      <c r="Q159" s="314"/>
      <c r="R159" s="314"/>
      <c r="S159" s="314"/>
      <c r="T159" s="314"/>
      <c r="U159" s="314"/>
      <c r="V159" s="314"/>
      <c r="W159" s="314"/>
      <c r="X159" s="314"/>
      <c r="Y159" s="314"/>
      <c r="Z159" s="314"/>
      <c r="AA159" s="314"/>
      <c r="AB159" s="314"/>
      <c r="AC159" s="314"/>
      <c r="AD159" s="314"/>
      <c r="AE159" s="314"/>
      <c r="AF159" s="314"/>
      <c r="AG159" s="314"/>
      <c r="AH159" s="314"/>
      <c r="AI159" s="314"/>
      <c r="AJ159" s="314"/>
      <c r="AK159" s="314"/>
      <c r="AL159" s="314"/>
      <c r="AM159" s="314"/>
      <c r="AN159" s="314"/>
      <c r="AO159" s="314"/>
      <c r="AP159" s="314"/>
      <c r="AQ159" s="314"/>
      <c r="AR159" s="314"/>
    </row>
    <row r="160">
      <c r="A160" s="314"/>
      <c r="B160" s="314"/>
      <c r="C160" s="314"/>
      <c r="D160" s="314"/>
      <c r="E160" s="314"/>
      <c r="F160" s="314"/>
      <c r="G160" s="314"/>
      <c r="H160" s="314"/>
      <c r="I160" s="314"/>
      <c r="J160" s="314"/>
      <c r="K160" s="314"/>
      <c r="L160" s="314"/>
      <c r="M160" s="314"/>
      <c r="N160" s="314"/>
      <c r="O160" s="314"/>
      <c r="P160" s="314"/>
      <c r="Q160" s="314"/>
      <c r="R160" s="314"/>
      <c r="S160" s="314"/>
      <c r="T160" s="314"/>
      <c r="U160" s="314"/>
      <c r="V160" s="314"/>
      <c r="W160" s="314"/>
      <c r="X160" s="314"/>
      <c r="Y160" s="314"/>
      <c r="Z160" s="314"/>
      <c r="AA160" s="314"/>
      <c r="AB160" s="314"/>
      <c r="AC160" s="314"/>
      <c r="AD160" s="314"/>
      <c r="AE160" s="314"/>
      <c r="AF160" s="314"/>
      <c r="AG160" s="314"/>
      <c r="AH160" s="314"/>
      <c r="AI160" s="314"/>
      <c r="AJ160" s="314"/>
      <c r="AK160" s="314"/>
      <c r="AL160" s="314"/>
      <c r="AM160" s="314"/>
      <c r="AN160" s="314"/>
      <c r="AO160" s="314"/>
      <c r="AP160" s="314"/>
      <c r="AQ160" s="314"/>
      <c r="AR160" s="314"/>
    </row>
    <row r="161">
      <c r="A161" s="314"/>
      <c r="B161" s="314"/>
      <c r="C161" s="314"/>
      <c r="D161" s="314"/>
      <c r="E161" s="314"/>
      <c r="F161" s="314"/>
      <c r="G161" s="314"/>
      <c r="H161" s="314"/>
      <c r="I161" s="314"/>
      <c r="J161" s="314"/>
      <c r="K161" s="314"/>
      <c r="L161" s="314"/>
      <c r="M161" s="314"/>
      <c r="N161" s="314"/>
      <c r="O161" s="314"/>
      <c r="P161" s="314"/>
      <c r="Q161" s="314"/>
      <c r="R161" s="314"/>
      <c r="S161" s="314"/>
      <c r="T161" s="314"/>
      <c r="U161" s="314"/>
      <c r="V161" s="314"/>
      <c r="W161" s="314"/>
      <c r="X161" s="314"/>
      <c r="Y161" s="314"/>
      <c r="Z161" s="314"/>
      <c r="AA161" s="314"/>
      <c r="AB161" s="314"/>
      <c r="AC161" s="314"/>
      <c r="AD161" s="314"/>
      <c r="AE161" s="314"/>
      <c r="AF161" s="314"/>
      <c r="AG161" s="314"/>
      <c r="AH161" s="314"/>
      <c r="AI161" s="314"/>
      <c r="AJ161" s="314"/>
      <c r="AK161" s="314"/>
      <c r="AL161" s="314"/>
      <c r="AM161" s="314"/>
      <c r="AN161" s="314"/>
      <c r="AO161" s="314"/>
      <c r="AP161" s="314"/>
      <c r="AQ161" s="314"/>
      <c r="AR161" s="314"/>
    </row>
    <row r="162">
      <c r="A162" s="314"/>
      <c r="B162" s="314"/>
      <c r="C162" s="314"/>
      <c r="D162" s="314"/>
      <c r="E162" s="314"/>
      <c r="F162" s="314"/>
      <c r="G162" s="314"/>
      <c r="H162" s="314"/>
      <c r="I162" s="314"/>
      <c r="J162" s="314"/>
      <c r="K162" s="314"/>
      <c r="L162" s="314"/>
      <c r="M162" s="314"/>
      <c r="N162" s="314"/>
      <c r="O162" s="314"/>
      <c r="P162" s="314"/>
      <c r="Q162" s="314"/>
      <c r="R162" s="314"/>
      <c r="S162" s="314"/>
      <c r="T162" s="314"/>
      <c r="U162" s="314"/>
      <c r="V162" s="314"/>
      <c r="W162" s="314"/>
      <c r="X162" s="314"/>
      <c r="Y162" s="314"/>
      <c r="Z162" s="314"/>
      <c r="AA162" s="314"/>
      <c r="AB162" s="314"/>
      <c r="AC162" s="314"/>
      <c r="AD162" s="314"/>
      <c r="AE162" s="314"/>
      <c r="AF162" s="314"/>
      <c r="AG162" s="314"/>
      <c r="AH162" s="314"/>
      <c r="AI162" s="314"/>
      <c r="AJ162" s="314"/>
      <c r="AK162" s="314"/>
      <c r="AL162" s="314"/>
      <c r="AM162" s="314"/>
      <c r="AN162" s="314"/>
      <c r="AO162" s="314"/>
      <c r="AP162" s="314"/>
      <c r="AQ162" s="314"/>
      <c r="AR162" s="314"/>
    </row>
    <row r="163">
      <c r="A163" s="314"/>
      <c r="B163" s="314"/>
      <c r="C163" s="314"/>
      <c r="D163" s="314"/>
      <c r="E163" s="314"/>
      <c r="F163" s="314"/>
      <c r="G163" s="314"/>
      <c r="H163" s="314"/>
      <c r="I163" s="314"/>
      <c r="J163" s="314"/>
      <c r="K163" s="314"/>
      <c r="L163" s="314"/>
      <c r="M163" s="314"/>
      <c r="N163" s="314"/>
      <c r="O163" s="314"/>
      <c r="P163" s="314"/>
      <c r="Q163" s="314"/>
      <c r="R163" s="314"/>
      <c r="S163" s="314"/>
      <c r="T163" s="314"/>
      <c r="U163" s="314"/>
      <c r="V163" s="314"/>
      <c r="W163" s="314"/>
      <c r="X163" s="314"/>
      <c r="Y163" s="314"/>
      <c r="Z163" s="314"/>
      <c r="AA163" s="314"/>
      <c r="AB163" s="314"/>
      <c r="AC163" s="314"/>
      <c r="AD163" s="314"/>
      <c r="AE163" s="314"/>
      <c r="AF163" s="314"/>
      <c r="AG163" s="314"/>
      <c r="AH163" s="314"/>
      <c r="AI163" s="314"/>
      <c r="AJ163" s="314"/>
      <c r="AK163" s="314"/>
      <c r="AL163" s="314"/>
      <c r="AM163" s="314"/>
      <c r="AN163" s="314"/>
      <c r="AO163" s="314"/>
      <c r="AP163" s="314"/>
      <c r="AQ163" s="314"/>
      <c r="AR163" s="314"/>
    </row>
    <row r="164">
      <c r="A164" s="314"/>
      <c r="B164" s="314"/>
      <c r="C164" s="314"/>
      <c r="D164" s="314"/>
      <c r="E164" s="314"/>
      <c r="F164" s="314"/>
      <c r="G164" s="314"/>
      <c r="H164" s="314"/>
      <c r="I164" s="314"/>
      <c r="J164" s="314"/>
      <c r="K164" s="314"/>
      <c r="L164" s="314"/>
      <c r="M164" s="314"/>
      <c r="N164" s="314"/>
      <c r="O164" s="314"/>
      <c r="P164" s="314"/>
      <c r="Q164" s="314"/>
      <c r="R164" s="314"/>
      <c r="S164" s="314"/>
      <c r="T164" s="314"/>
      <c r="U164" s="314"/>
      <c r="V164" s="314"/>
      <c r="W164" s="314"/>
      <c r="X164" s="314"/>
      <c r="Y164" s="314"/>
      <c r="Z164" s="314"/>
      <c r="AA164" s="314"/>
      <c r="AB164" s="314"/>
      <c r="AC164" s="314"/>
      <c r="AD164" s="314"/>
      <c r="AE164" s="314"/>
      <c r="AF164" s="314"/>
      <c r="AG164" s="314"/>
      <c r="AH164" s="314"/>
      <c r="AI164" s="314"/>
      <c r="AJ164" s="314"/>
      <c r="AK164" s="314"/>
      <c r="AL164" s="314"/>
      <c r="AM164" s="314"/>
      <c r="AN164" s="314"/>
      <c r="AO164" s="314"/>
      <c r="AP164" s="314"/>
      <c r="AQ164" s="314"/>
      <c r="AR164" s="314"/>
    </row>
    <row r="165">
      <c r="A165" s="314"/>
      <c r="B165" s="314"/>
      <c r="C165" s="314"/>
      <c r="D165" s="314"/>
      <c r="E165" s="314"/>
      <c r="F165" s="314"/>
      <c r="G165" s="314"/>
      <c r="H165" s="314"/>
      <c r="I165" s="314"/>
      <c r="J165" s="314"/>
      <c r="K165" s="314"/>
      <c r="L165" s="314"/>
      <c r="M165" s="314"/>
      <c r="N165" s="314"/>
      <c r="O165" s="314"/>
      <c r="P165" s="314"/>
      <c r="Q165" s="314"/>
      <c r="R165" s="314"/>
      <c r="S165" s="314"/>
      <c r="T165" s="314"/>
      <c r="U165" s="314"/>
      <c r="V165" s="314"/>
      <c r="W165" s="314"/>
      <c r="X165" s="314"/>
      <c r="Y165" s="314"/>
      <c r="Z165" s="314"/>
      <c r="AA165" s="314"/>
      <c r="AB165" s="314"/>
      <c r="AC165" s="314"/>
      <c r="AD165" s="314"/>
      <c r="AE165" s="314"/>
      <c r="AF165" s="314"/>
      <c r="AG165" s="314"/>
      <c r="AH165" s="314"/>
      <c r="AI165" s="314"/>
      <c r="AJ165" s="314"/>
      <c r="AK165" s="314"/>
      <c r="AL165" s="314"/>
      <c r="AM165" s="314"/>
      <c r="AN165" s="314"/>
      <c r="AO165" s="314"/>
      <c r="AP165" s="314"/>
      <c r="AQ165" s="314"/>
      <c r="AR165" s="314"/>
    </row>
    <row r="166">
      <c r="A166" s="314"/>
      <c r="B166" s="314"/>
      <c r="C166" s="314"/>
      <c r="D166" s="314"/>
      <c r="E166" s="314"/>
      <c r="F166" s="314"/>
      <c r="G166" s="314"/>
      <c r="H166" s="314"/>
      <c r="I166" s="314"/>
      <c r="J166" s="314"/>
      <c r="K166" s="314"/>
      <c r="L166" s="314"/>
      <c r="M166" s="314"/>
      <c r="N166" s="314"/>
      <c r="O166" s="314"/>
      <c r="P166" s="314"/>
      <c r="Q166" s="314"/>
      <c r="R166" s="314"/>
      <c r="S166" s="314"/>
      <c r="T166" s="314"/>
      <c r="U166" s="314"/>
      <c r="V166" s="314"/>
      <c r="W166" s="314"/>
      <c r="X166" s="314"/>
      <c r="Y166" s="314"/>
      <c r="Z166" s="314"/>
      <c r="AA166" s="314"/>
      <c r="AB166" s="314"/>
      <c r="AC166" s="314"/>
      <c r="AD166" s="314"/>
      <c r="AE166" s="314"/>
      <c r="AF166" s="314"/>
      <c r="AG166" s="314"/>
      <c r="AH166" s="314"/>
      <c r="AI166" s="314"/>
      <c r="AJ166" s="314"/>
      <c r="AK166" s="314"/>
      <c r="AL166" s="314"/>
      <c r="AM166" s="314"/>
      <c r="AN166" s="314"/>
      <c r="AO166" s="314"/>
      <c r="AP166" s="314"/>
      <c r="AQ166" s="314"/>
      <c r="AR166" s="314"/>
    </row>
    <row r="167">
      <c r="A167" s="314"/>
      <c r="B167" s="314"/>
      <c r="C167" s="314"/>
      <c r="D167" s="314"/>
      <c r="E167" s="314"/>
      <c r="F167" s="314"/>
      <c r="G167" s="314"/>
      <c r="H167" s="314"/>
      <c r="I167" s="314"/>
      <c r="J167" s="314"/>
      <c r="K167" s="314"/>
      <c r="L167" s="314"/>
      <c r="M167" s="314"/>
      <c r="N167" s="314"/>
      <c r="O167" s="314"/>
      <c r="P167" s="314"/>
      <c r="Q167" s="314"/>
      <c r="R167" s="314"/>
      <c r="S167" s="314"/>
      <c r="T167" s="314"/>
      <c r="U167" s="314"/>
      <c r="V167" s="314"/>
      <c r="W167" s="314"/>
      <c r="X167" s="314"/>
      <c r="Y167" s="314"/>
      <c r="Z167" s="314"/>
      <c r="AA167" s="314"/>
      <c r="AB167" s="314"/>
      <c r="AC167" s="314"/>
      <c r="AD167" s="314"/>
      <c r="AE167" s="314"/>
      <c r="AF167" s="314"/>
      <c r="AG167" s="314"/>
      <c r="AH167" s="314"/>
      <c r="AI167" s="314"/>
      <c r="AJ167" s="314"/>
      <c r="AK167" s="314"/>
      <c r="AL167" s="314"/>
      <c r="AM167" s="314"/>
      <c r="AN167" s="314"/>
      <c r="AO167" s="314"/>
      <c r="AP167" s="314"/>
      <c r="AQ167" s="314"/>
      <c r="AR167" s="314"/>
    </row>
    <row r="168">
      <c r="A168" s="314"/>
      <c r="B168" s="314"/>
      <c r="C168" s="314"/>
      <c r="D168" s="314"/>
      <c r="E168" s="314"/>
      <c r="F168" s="314"/>
      <c r="G168" s="314"/>
      <c r="H168" s="314"/>
      <c r="I168" s="314"/>
      <c r="J168" s="314"/>
      <c r="K168" s="314"/>
      <c r="L168" s="314"/>
      <c r="M168" s="314"/>
      <c r="N168" s="314"/>
      <c r="O168" s="314"/>
      <c r="P168" s="314"/>
      <c r="Q168" s="314"/>
      <c r="R168" s="314"/>
      <c r="S168" s="314"/>
      <c r="T168" s="314"/>
      <c r="U168" s="314"/>
      <c r="V168" s="314"/>
      <c r="W168" s="314"/>
      <c r="X168" s="314"/>
      <c r="Y168" s="314"/>
      <c r="Z168" s="314"/>
      <c r="AA168" s="314"/>
      <c r="AB168" s="314"/>
      <c r="AC168" s="314"/>
      <c r="AD168" s="314"/>
      <c r="AE168" s="314"/>
      <c r="AF168" s="314"/>
      <c r="AG168" s="314"/>
      <c r="AH168" s="314"/>
      <c r="AI168" s="314"/>
      <c r="AJ168" s="314"/>
      <c r="AK168" s="314"/>
      <c r="AL168" s="314"/>
      <c r="AM168" s="314"/>
      <c r="AN168" s="314"/>
      <c r="AO168" s="314"/>
      <c r="AP168" s="314"/>
      <c r="AQ168" s="314"/>
      <c r="AR168" s="314"/>
    </row>
    <row r="169">
      <c r="A169" s="314"/>
      <c r="B169" s="314"/>
      <c r="C169" s="314"/>
      <c r="D169" s="314"/>
      <c r="E169" s="314"/>
      <c r="F169" s="314"/>
      <c r="G169" s="314"/>
      <c r="H169" s="314"/>
      <c r="I169" s="314"/>
      <c r="J169" s="314"/>
      <c r="K169" s="314"/>
      <c r="L169" s="314"/>
      <c r="M169" s="314"/>
      <c r="N169" s="314"/>
      <c r="O169" s="314"/>
      <c r="P169" s="314"/>
      <c r="Q169" s="314"/>
      <c r="R169" s="314"/>
      <c r="S169" s="314"/>
      <c r="T169" s="314"/>
      <c r="U169" s="314"/>
      <c r="V169" s="314"/>
      <c r="W169" s="314"/>
      <c r="X169" s="314"/>
      <c r="Y169" s="314"/>
      <c r="Z169" s="314"/>
      <c r="AA169" s="314"/>
      <c r="AB169" s="314"/>
      <c r="AC169" s="314"/>
      <c r="AD169" s="314"/>
      <c r="AE169" s="314"/>
      <c r="AF169" s="314"/>
      <c r="AG169" s="314"/>
      <c r="AH169" s="314"/>
      <c r="AI169" s="314"/>
      <c r="AJ169" s="314"/>
      <c r="AK169" s="314"/>
      <c r="AL169" s="314"/>
      <c r="AM169" s="314"/>
      <c r="AN169" s="314"/>
      <c r="AO169" s="314"/>
      <c r="AP169" s="314"/>
      <c r="AQ169" s="314"/>
      <c r="AR169" s="314"/>
    </row>
    <row r="170">
      <c r="A170" s="314"/>
      <c r="B170" s="314"/>
      <c r="C170" s="314"/>
      <c r="D170" s="314"/>
      <c r="E170" s="314"/>
      <c r="F170" s="314"/>
      <c r="G170" s="314"/>
      <c r="H170" s="314"/>
      <c r="I170" s="314"/>
      <c r="J170" s="314"/>
      <c r="K170" s="314"/>
      <c r="L170" s="314"/>
      <c r="M170" s="314"/>
      <c r="N170" s="314"/>
      <c r="O170" s="314"/>
      <c r="P170" s="314"/>
      <c r="Q170" s="314"/>
      <c r="R170" s="314"/>
      <c r="S170" s="314"/>
      <c r="T170" s="314"/>
      <c r="U170" s="314"/>
      <c r="V170" s="314"/>
      <c r="W170" s="314"/>
      <c r="X170" s="314"/>
      <c r="Y170" s="314"/>
      <c r="Z170" s="314"/>
      <c r="AA170" s="314"/>
      <c r="AB170" s="314"/>
      <c r="AC170" s="314"/>
      <c r="AD170" s="314"/>
      <c r="AE170" s="314"/>
      <c r="AF170" s="314"/>
      <c r="AG170" s="314"/>
      <c r="AH170" s="314"/>
      <c r="AI170" s="314"/>
      <c r="AJ170" s="314"/>
      <c r="AK170" s="314"/>
      <c r="AL170" s="314"/>
      <c r="AM170" s="314"/>
      <c r="AN170" s="314"/>
      <c r="AO170" s="314"/>
      <c r="AP170" s="314"/>
      <c r="AQ170" s="314"/>
      <c r="AR170" s="314"/>
    </row>
    <row r="171">
      <c r="A171" s="314"/>
      <c r="B171" s="314"/>
      <c r="C171" s="314"/>
      <c r="D171" s="314"/>
      <c r="E171" s="314"/>
      <c r="F171" s="314"/>
      <c r="G171" s="314"/>
      <c r="H171" s="314"/>
      <c r="I171" s="314"/>
      <c r="J171" s="314"/>
      <c r="K171" s="314"/>
      <c r="L171" s="314"/>
      <c r="M171" s="314"/>
      <c r="N171" s="314"/>
      <c r="O171" s="314"/>
      <c r="P171" s="314"/>
      <c r="Q171" s="314"/>
      <c r="R171" s="314"/>
      <c r="S171" s="314"/>
      <c r="T171" s="314"/>
      <c r="U171" s="314"/>
      <c r="V171" s="314"/>
      <c r="W171" s="314"/>
      <c r="X171" s="314"/>
      <c r="Y171" s="314"/>
      <c r="Z171" s="314"/>
      <c r="AA171" s="314"/>
      <c r="AB171" s="314"/>
      <c r="AC171" s="314"/>
      <c r="AD171" s="314"/>
      <c r="AE171" s="314"/>
      <c r="AF171" s="314"/>
      <c r="AG171" s="314"/>
      <c r="AH171" s="314"/>
      <c r="AI171" s="314"/>
      <c r="AJ171" s="314"/>
      <c r="AK171" s="314"/>
      <c r="AL171" s="314"/>
      <c r="AM171" s="314"/>
      <c r="AN171" s="314"/>
      <c r="AO171" s="314"/>
      <c r="AP171" s="314"/>
      <c r="AQ171" s="314"/>
      <c r="AR171" s="314"/>
    </row>
    <row r="172">
      <c r="A172" s="314"/>
      <c r="B172" s="314"/>
      <c r="C172" s="314"/>
      <c r="D172" s="314"/>
      <c r="E172" s="314"/>
      <c r="F172" s="314"/>
      <c r="G172" s="314"/>
      <c r="H172" s="314"/>
      <c r="I172" s="314"/>
      <c r="J172" s="314"/>
      <c r="K172" s="314"/>
      <c r="L172" s="314"/>
      <c r="M172" s="314"/>
      <c r="N172" s="314"/>
      <c r="O172" s="314"/>
      <c r="P172" s="314"/>
      <c r="Q172" s="314"/>
      <c r="R172" s="314"/>
      <c r="S172" s="314"/>
      <c r="T172" s="314"/>
      <c r="U172" s="314"/>
      <c r="V172" s="314"/>
      <c r="W172" s="314"/>
      <c r="X172" s="314"/>
      <c r="Y172" s="314"/>
      <c r="Z172" s="314"/>
      <c r="AA172" s="314"/>
      <c r="AB172" s="314"/>
      <c r="AC172" s="314"/>
      <c r="AD172" s="314"/>
      <c r="AE172" s="314"/>
      <c r="AF172" s="314"/>
      <c r="AG172" s="314"/>
      <c r="AH172" s="314"/>
      <c r="AI172" s="314"/>
      <c r="AJ172" s="314"/>
      <c r="AK172" s="314"/>
      <c r="AL172" s="314"/>
      <c r="AM172" s="314"/>
      <c r="AN172" s="314"/>
      <c r="AO172" s="314"/>
      <c r="AP172" s="314"/>
      <c r="AQ172" s="314"/>
      <c r="AR172" s="314"/>
    </row>
    <row r="173">
      <c r="A173" s="314"/>
      <c r="B173" s="314"/>
      <c r="C173" s="314"/>
      <c r="D173" s="314"/>
      <c r="E173" s="314"/>
      <c r="F173" s="314"/>
      <c r="G173" s="314"/>
      <c r="H173" s="314"/>
      <c r="I173" s="314"/>
      <c r="J173" s="314"/>
      <c r="K173" s="314"/>
      <c r="L173" s="314"/>
      <c r="M173" s="314"/>
      <c r="N173" s="314"/>
      <c r="O173" s="314"/>
      <c r="P173" s="314"/>
      <c r="Q173" s="314"/>
      <c r="R173" s="314"/>
      <c r="S173" s="314"/>
      <c r="T173" s="314"/>
      <c r="U173" s="314"/>
      <c r="V173" s="314"/>
      <c r="W173" s="314"/>
      <c r="X173" s="314"/>
      <c r="Y173" s="314"/>
      <c r="Z173" s="314"/>
      <c r="AA173" s="314"/>
      <c r="AB173" s="314"/>
      <c r="AC173" s="314"/>
      <c r="AD173" s="314"/>
      <c r="AE173" s="314"/>
      <c r="AF173" s="314"/>
      <c r="AG173" s="314"/>
      <c r="AH173" s="314"/>
      <c r="AI173" s="314"/>
      <c r="AJ173" s="314"/>
      <c r="AK173" s="314"/>
      <c r="AL173" s="314"/>
      <c r="AM173" s="314"/>
      <c r="AN173" s="314"/>
      <c r="AO173" s="314"/>
      <c r="AP173" s="314"/>
      <c r="AQ173" s="314"/>
      <c r="AR173" s="314"/>
    </row>
    <row r="174">
      <c r="A174" s="314"/>
      <c r="B174" s="314"/>
      <c r="C174" s="314"/>
      <c r="D174" s="314"/>
      <c r="E174" s="314"/>
      <c r="F174" s="314"/>
      <c r="G174" s="314"/>
      <c r="H174" s="314"/>
      <c r="I174" s="314"/>
      <c r="J174" s="314"/>
      <c r="K174" s="314"/>
      <c r="L174" s="314"/>
      <c r="M174" s="314"/>
      <c r="N174" s="314"/>
      <c r="O174" s="314"/>
      <c r="P174" s="314"/>
      <c r="Q174" s="314"/>
      <c r="R174" s="314"/>
      <c r="S174" s="314"/>
      <c r="T174" s="314"/>
      <c r="U174" s="314"/>
      <c r="V174" s="314"/>
      <c r="W174" s="314"/>
      <c r="X174" s="314"/>
      <c r="Y174" s="314"/>
      <c r="Z174" s="314"/>
      <c r="AA174" s="314"/>
      <c r="AB174" s="314"/>
      <c r="AC174" s="314"/>
      <c r="AD174" s="314"/>
      <c r="AE174" s="314"/>
      <c r="AF174" s="314"/>
      <c r="AG174" s="314"/>
      <c r="AH174" s="314"/>
      <c r="AI174" s="314"/>
      <c r="AJ174" s="314"/>
      <c r="AK174" s="314"/>
      <c r="AL174" s="314"/>
      <c r="AM174" s="314"/>
      <c r="AN174" s="314"/>
      <c r="AO174" s="314"/>
      <c r="AP174" s="314"/>
      <c r="AQ174" s="314"/>
      <c r="AR174" s="314"/>
    </row>
    <row r="175">
      <c r="A175" s="314"/>
      <c r="B175" s="314"/>
      <c r="C175" s="314"/>
      <c r="D175" s="314"/>
      <c r="E175" s="314"/>
      <c r="F175" s="314"/>
      <c r="G175" s="314"/>
      <c r="H175" s="314"/>
      <c r="I175" s="314"/>
      <c r="J175" s="314"/>
      <c r="K175" s="314"/>
      <c r="L175" s="314"/>
      <c r="M175" s="314"/>
      <c r="N175" s="314"/>
      <c r="O175" s="314"/>
      <c r="P175" s="314"/>
      <c r="Q175" s="314"/>
      <c r="R175" s="314"/>
      <c r="S175" s="314"/>
      <c r="T175" s="314"/>
      <c r="U175" s="314"/>
      <c r="V175" s="314"/>
      <c r="W175" s="314"/>
      <c r="X175" s="314"/>
      <c r="Y175" s="314"/>
      <c r="Z175" s="314"/>
      <c r="AA175" s="314"/>
      <c r="AB175" s="314"/>
      <c r="AC175" s="314"/>
      <c r="AD175" s="314"/>
      <c r="AE175" s="314"/>
      <c r="AF175" s="314"/>
      <c r="AG175" s="314"/>
      <c r="AH175" s="314"/>
      <c r="AI175" s="314"/>
      <c r="AJ175" s="314"/>
      <c r="AK175" s="314"/>
      <c r="AL175" s="314"/>
      <c r="AM175" s="314"/>
      <c r="AN175" s="314"/>
      <c r="AO175" s="314"/>
      <c r="AP175" s="314"/>
      <c r="AQ175" s="314"/>
      <c r="AR175" s="314"/>
    </row>
    <row r="176">
      <c r="A176" s="314"/>
      <c r="B176" s="314"/>
      <c r="C176" s="314"/>
      <c r="D176" s="314"/>
      <c r="E176" s="314"/>
      <c r="F176" s="314"/>
      <c r="G176" s="314"/>
      <c r="H176" s="314"/>
      <c r="I176" s="314"/>
      <c r="J176" s="314"/>
      <c r="K176" s="314"/>
      <c r="L176" s="314"/>
      <c r="M176" s="314"/>
      <c r="N176" s="314"/>
      <c r="O176" s="314"/>
      <c r="P176" s="314"/>
      <c r="Q176" s="314"/>
      <c r="R176" s="314"/>
      <c r="S176" s="314"/>
      <c r="T176" s="314"/>
      <c r="U176" s="314"/>
      <c r="V176" s="314"/>
      <c r="W176" s="314"/>
      <c r="X176" s="314"/>
      <c r="Y176" s="314"/>
      <c r="Z176" s="314"/>
      <c r="AA176" s="314"/>
      <c r="AB176" s="314"/>
      <c r="AC176" s="314"/>
      <c r="AD176" s="314"/>
      <c r="AE176" s="314"/>
      <c r="AF176" s="314"/>
      <c r="AG176" s="314"/>
      <c r="AH176" s="314"/>
      <c r="AI176" s="314"/>
      <c r="AJ176" s="314"/>
      <c r="AK176" s="314"/>
      <c r="AL176" s="314"/>
      <c r="AM176" s="314"/>
      <c r="AN176" s="314"/>
      <c r="AO176" s="314"/>
      <c r="AP176" s="314"/>
      <c r="AQ176" s="314"/>
      <c r="AR176" s="314"/>
    </row>
    <row r="177">
      <c r="A177" s="314"/>
      <c r="B177" s="314"/>
      <c r="C177" s="314"/>
      <c r="D177" s="314"/>
      <c r="E177" s="314"/>
      <c r="F177" s="314"/>
      <c r="G177" s="314"/>
      <c r="H177" s="314"/>
      <c r="I177" s="314"/>
      <c r="J177" s="314"/>
      <c r="K177" s="314"/>
      <c r="L177" s="314"/>
      <c r="M177" s="314"/>
      <c r="N177" s="314"/>
      <c r="O177" s="314"/>
      <c r="P177" s="314"/>
      <c r="Q177" s="314"/>
      <c r="R177" s="314"/>
      <c r="S177" s="314"/>
      <c r="T177" s="314"/>
      <c r="U177" s="314"/>
      <c r="V177" s="314"/>
      <c r="W177" s="314"/>
      <c r="X177" s="314"/>
      <c r="Y177" s="314"/>
      <c r="Z177" s="314"/>
      <c r="AA177" s="314"/>
      <c r="AB177" s="314"/>
      <c r="AC177" s="314"/>
      <c r="AD177" s="314"/>
      <c r="AE177" s="314"/>
      <c r="AF177" s="314"/>
      <c r="AG177" s="314"/>
      <c r="AH177" s="314"/>
      <c r="AI177" s="314"/>
      <c r="AJ177" s="314"/>
      <c r="AK177" s="314"/>
      <c r="AL177" s="314"/>
      <c r="AM177" s="314"/>
      <c r="AN177" s="314"/>
      <c r="AO177" s="314"/>
      <c r="AP177" s="314"/>
      <c r="AQ177" s="314"/>
      <c r="AR177" s="314"/>
    </row>
    <row r="178">
      <c r="A178" s="314"/>
      <c r="B178" s="314"/>
      <c r="C178" s="314"/>
      <c r="D178" s="314"/>
      <c r="E178" s="314"/>
      <c r="F178" s="314"/>
      <c r="G178" s="314"/>
      <c r="H178" s="314"/>
      <c r="I178" s="314"/>
      <c r="J178" s="314"/>
      <c r="K178" s="314"/>
      <c r="L178" s="314"/>
      <c r="M178" s="314"/>
      <c r="N178" s="314"/>
      <c r="O178" s="314"/>
      <c r="P178" s="314"/>
      <c r="Q178" s="314"/>
      <c r="R178" s="314"/>
      <c r="S178" s="314"/>
      <c r="T178" s="314"/>
      <c r="U178" s="314"/>
      <c r="V178" s="314"/>
      <c r="W178" s="314"/>
      <c r="X178" s="314"/>
      <c r="Y178" s="314"/>
      <c r="Z178" s="314"/>
      <c r="AA178" s="314"/>
      <c r="AB178" s="314"/>
      <c r="AC178" s="314"/>
      <c r="AD178" s="314"/>
      <c r="AE178" s="314"/>
      <c r="AF178" s="314"/>
      <c r="AG178" s="314"/>
      <c r="AH178" s="314"/>
      <c r="AI178" s="314"/>
      <c r="AJ178" s="314"/>
      <c r="AK178" s="314"/>
      <c r="AL178" s="314"/>
      <c r="AM178" s="314"/>
      <c r="AN178" s="314"/>
      <c r="AO178" s="314"/>
      <c r="AP178" s="314"/>
      <c r="AQ178" s="314"/>
      <c r="AR178" s="314"/>
    </row>
    <row r="179">
      <c r="A179" s="314"/>
      <c r="B179" s="314"/>
      <c r="C179" s="314"/>
      <c r="D179" s="314"/>
      <c r="E179" s="314"/>
      <c r="F179" s="314"/>
      <c r="G179" s="314"/>
      <c r="H179" s="314"/>
      <c r="I179" s="314"/>
      <c r="J179" s="314"/>
      <c r="K179" s="314"/>
      <c r="L179" s="314"/>
      <c r="M179" s="314"/>
      <c r="N179" s="314"/>
      <c r="O179" s="314"/>
      <c r="P179" s="314"/>
      <c r="Q179" s="314"/>
      <c r="R179" s="314"/>
      <c r="S179" s="314"/>
      <c r="T179" s="314"/>
      <c r="U179" s="314"/>
      <c r="V179" s="314"/>
      <c r="W179" s="314"/>
      <c r="X179" s="314"/>
      <c r="Y179" s="314"/>
      <c r="Z179" s="314"/>
      <c r="AA179" s="314"/>
      <c r="AB179" s="314"/>
      <c r="AC179" s="314"/>
      <c r="AD179" s="314"/>
      <c r="AE179" s="314"/>
      <c r="AF179" s="314"/>
      <c r="AG179" s="314"/>
      <c r="AH179" s="314"/>
      <c r="AI179" s="314"/>
      <c r="AJ179" s="314"/>
      <c r="AK179" s="314"/>
      <c r="AL179" s="314"/>
      <c r="AM179" s="314"/>
      <c r="AN179" s="314"/>
      <c r="AO179" s="314"/>
      <c r="AP179" s="314"/>
      <c r="AQ179" s="314"/>
      <c r="AR179" s="314"/>
    </row>
    <row r="180">
      <c r="A180" s="314"/>
      <c r="B180" s="314"/>
      <c r="C180" s="314"/>
      <c r="D180" s="314"/>
      <c r="E180" s="314"/>
      <c r="F180" s="314"/>
      <c r="G180" s="314"/>
      <c r="H180" s="314"/>
      <c r="I180" s="314"/>
      <c r="J180" s="314"/>
      <c r="K180" s="314"/>
      <c r="L180" s="314"/>
      <c r="M180" s="314"/>
      <c r="N180" s="314"/>
      <c r="O180" s="314"/>
      <c r="P180" s="314"/>
      <c r="Q180" s="314"/>
      <c r="R180" s="314"/>
      <c r="S180" s="314"/>
      <c r="T180" s="314"/>
      <c r="U180" s="314"/>
      <c r="V180" s="314"/>
      <c r="W180" s="314"/>
      <c r="X180" s="314"/>
      <c r="Y180" s="314"/>
      <c r="Z180" s="314"/>
      <c r="AA180" s="314"/>
      <c r="AB180" s="314"/>
      <c r="AC180" s="314"/>
      <c r="AD180" s="314"/>
      <c r="AE180" s="314"/>
      <c r="AF180" s="314"/>
      <c r="AG180" s="314"/>
      <c r="AH180" s="314"/>
      <c r="AI180" s="314"/>
      <c r="AJ180" s="314"/>
      <c r="AK180" s="314"/>
      <c r="AL180" s="314"/>
      <c r="AM180" s="314"/>
      <c r="AN180" s="314"/>
      <c r="AO180" s="314"/>
      <c r="AP180" s="314"/>
      <c r="AQ180" s="314"/>
      <c r="AR180" s="314"/>
    </row>
    <row r="181">
      <c r="A181" s="314"/>
      <c r="B181" s="314"/>
      <c r="C181" s="314"/>
      <c r="D181" s="314"/>
      <c r="E181" s="314"/>
      <c r="F181" s="314"/>
      <c r="G181" s="314"/>
      <c r="H181" s="314"/>
      <c r="I181" s="314"/>
      <c r="J181" s="314"/>
      <c r="K181" s="314"/>
      <c r="L181" s="314"/>
      <c r="M181" s="314"/>
      <c r="N181" s="314"/>
      <c r="O181" s="314"/>
      <c r="P181" s="314"/>
      <c r="Q181" s="314"/>
      <c r="R181" s="314"/>
      <c r="S181" s="314"/>
      <c r="T181" s="314"/>
      <c r="U181" s="314"/>
      <c r="V181" s="314"/>
      <c r="W181" s="314"/>
      <c r="X181" s="314"/>
      <c r="Y181" s="314"/>
      <c r="Z181" s="314"/>
      <c r="AA181" s="314"/>
      <c r="AB181" s="314"/>
      <c r="AC181" s="314"/>
      <c r="AD181" s="314"/>
      <c r="AE181" s="314"/>
      <c r="AF181" s="314"/>
      <c r="AG181" s="314"/>
      <c r="AH181" s="314"/>
      <c r="AI181" s="314"/>
      <c r="AJ181" s="314"/>
      <c r="AK181" s="314"/>
      <c r="AL181" s="314"/>
      <c r="AM181" s="314"/>
      <c r="AN181" s="314"/>
      <c r="AO181" s="314"/>
      <c r="AP181" s="314"/>
      <c r="AQ181" s="314"/>
      <c r="AR181" s="314"/>
    </row>
    <row r="182">
      <c r="A182" s="314"/>
      <c r="B182" s="314"/>
      <c r="C182" s="314"/>
      <c r="D182" s="314"/>
      <c r="E182" s="314"/>
      <c r="F182" s="314"/>
      <c r="G182" s="314"/>
      <c r="H182" s="314"/>
      <c r="I182" s="314"/>
      <c r="J182" s="314"/>
      <c r="K182" s="314"/>
      <c r="L182" s="314"/>
      <c r="M182" s="314"/>
      <c r="N182" s="314"/>
      <c r="O182" s="314"/>
      <c r="P182" s="314"/>
      <c r="Q182" s="314"/>
      <c r="R182" s="314"/>
      <c r="S182" s="314"/>
      <c r="T182" s="314"/>
      <c r="U182" s="314"/>
      <c r="V182" s="314"/>
      <c r="W182" s="314"/>
      <c r="X182" s="314"/>
      <c r="Y182" s="314"/>
      <c r="Z182" s="314"/>
      <c r="AA182" s="314"/>
      <c r="AB182" s="314"/>
      <c r="AC182" s="314"/>
      <c r="AD182" s="314"/>
      <c r="AE182" s="314"/>
      <c r="AF182" s="314"/>
      <c r="AG182" s="314"/>
      <c r="AH182" s="314"/>
      <c r="AI182" s="314"/>
      <c r="AJ182" s="314"/>
      <c r="AK182" s="314"/>
      <c r="AL182" s="314"/>
      <c r="AM182" s="314"/>
      <c r="AN182" s="314"/>
      <c r="AO182" s="314"/>
      <c r="AP182" s="314"/>
      <c r="AQ182" s="314"/>
      <c r="AR182" s="314"/>
    </row>
    <row r="183">
      <c r="A183" s="314"/>
      <c r="B183" s="314"/>
      <c r="C183" s="314"/>
      <c r="D183" s="314"/>
      <c r="E183" s="314"/>
      <c r="F183" s="314"/>
      <c r="G183" s="314"/>
      <c r="H183" s="314"/>
      <c r="I183" s="314"/>
      <c r="J183" s="314"/>
      <c r="K183" s="314"/>
      <c r="L183" s="314"/>
      <c r="M183" s="314"/>
      <c r="N183" s="314"/>
      <c r="O183" s="314"/>
      <c r="P183" s="314"/>
      <c r="Q183" s="314"/>
      <c r="R183" s="314"/>
      <c r="S183" s="314"/>
      <c r="T183" s="314"/>
      <c r="U183" s="314"/>
      <c r="V183" s="314"/>
      <c r="W183" s="314"/>
      <c r="X183" s="314"/>
      <c r="Y183" s="314"/>
      <c r="Z183" s="314"/>
      <c r="AA183" s="314"/>
      <c r="AB183" s="314"/>
      <c r="AC183" s="314"/>
      <c r="AD183" s="314"/>
      <c r="AE183" s="314"/>
      <c r="AF183" s="314"/>
      <c r="AG183" s="314"/>
      <c r="AH183" s="314"/>
      <c r="AI183" s="314"/>
      <c r="AJ183" s="314"/>
      <c r="AK183" s="314"/>
      <c r="AL183" s="314"/>
      <c r="AM183" s="314"/>
      <c r="AN183" s="314"/>
      <c r="AO183" s="314"/>
      <c r="AP183" s="314"/>
      <c r="AQ183" s="314"/>
      <c r="AR183" s="314"/>
    </row>
    <row r="184">
      <c r="A184" s="314"/>
      <c r="B184" s="314"/>
      <c r="C184" s="314"/>
      <c r="D184" s="314"/>
      <c r="E184" s="314"/>
      <c r="F184" s="314"/>
      <c r="G184" s="314"/>
      <c r="H184" s="314"/>
      <c r="I184" s="314"/>
      <c r="J184" s="314"/>
      <c r="K184" s="314"/>
      <c r="L184" s="314"/>
      <c r="M184" s="314"/>
      <c r="N184" s="314"/>
      <c r="O184" s="314"/>
      <c r="P184" s="314"/>
      <c r="Q184" s="314"/>
      <c r="R184" s="314"/>
      <c r="S184" s="314"/>
      <c r="T184" s="314"/>
      <c r="U184" s="314"/>
      <c r="V184" s="314"/>
      <c r="W184" s="314"/>
      <c r="X184" s="314"/>
      <c r="Y184" s="314"/>
      <c r="Z184" s="314"/>
      <c r="AA184" s="314"/>
      <c r="AB184" s="314"/>
      <c r="AC184" s="314"/>
      <c r="AD184" s="314"/>
      <c r="AE184" s="314"/>
      <c r="AF184" s="314"/>
      <c r="AG184" s="314"/>
      <c r="AH184" s="314"/>
      <c r="AI184" s="314"/>
      <c r="AJ184" s="314"/>
      <c r="AK184" s="314"/>
      <c r="AL184" s="314"/>
      <c r="AM184" s="314"/>
      <c r="AN184" s="314"/>
      <c r="AO184" s="314"/>
      <c r="AP184" s="314"/>
      <c r="AQ184" s="314"/>
      <c r="AR184" s="314"/>
    </row>
    <row r="185">
      <c r="A185" s="314"/>
      <c r="B185" s="314"/>
      <c r="C185" s="314"/>
      <c r="D185" s="314"/>
      <c r="E185" s="314"/>
      <c r="F185" s="314"/>
      <c r="G185" s="314"/>
      <c r="H185" s="314"/>
      <c r="I185" s="314"/>
      <c r="J185" s="314"/>
      <c r="K185" s="314"/>
      <c r="L185" s="314"/>
      <c r="M185" s="314"/>
      <c r="N185" s="314"/>
      <c r="O185" s="314"/>
      <c r="P185" s="314"/>
      <c r="Q185" s="314"/>
      <c r="R185" s="314"/>
      <c r="S185" s="314"/>
      <c r="T185" s="314"/>
      <c r="U185" s="314"/>
      <c r="V185" s="314"/>
      <c r="W185" s="314"/>
      <c r="X185" s="314"/>
      <c r="Y185" s="314"/>
      <c r="Z185" s="314"/>
      <c r="AA185" s="314"/>
      <c r="AB185" s="314"/>
      <c r="AC185" s="314"/>
      <c r="AD185" s="314"/>
      <c r="AE185" s="314"/>
      <c r="AF185" s="314"/>
      <c r="AG185" s="314"/>
      <c r="AH185" s="314"/>
      <c r="AI185" s="314"/>
      <c r="AJ185" s="314"/>
      <c r="AK185" s="314"/>
      <c r="AL185" s="314"/>
      <c r="AM185" s="314"/>
      <c r="AN185" s="314"/>
      <c r="AO185" s="314"/>
      <c r="AP185" s="314"/>
      <c r="AQ185" s="314"/>
      <c r="AR185" s="314"/>
    </row>
    <row r="186">
      <c r="A186" s="314"/>
      <c r="B186" s="314"/>
      <c r="C186" s="314"/>
      <c r="D186" s="314"/>
      <c r="E186" s="314"/>
      <c r="F186" s="314"/>
      <c r="G186" s="314"/>
      <c r="H186" s="314"/>
      <c r="I186" s="314"/>
      <c r="J186" s="314"/>
      <c r="K186" s="314"/>
      <c r="L186" s="314"/>
      <c r="M186" s="314"/>
      <c r="N186" s="314"/>
      <c r="O186" s="314"/>
      <c r="P186" s="314"/>
      <c r="Q186" s="314"/>
      <c r="R186" s="314"/>
      <c r="S186" s="314"/>
      <c r="T186" s="314"/>
      <c r="U186" s="314"/>
      <c r="V186" s="314"/>
      <c r="W186" s="314"/>
      <c r="X186" s="314"/>
      <c r="Y186" s="314"/>
      <c r="Z186" s="314"/>
      <c r="AA186" s="314"/>
      <c r="AB186" s="314"/>
      <c r="AC186" s="314"/>
      <c r="AD186" s="314"/>
      <c r="AE186" s="314"/>
      <c r="AF186" s="314"/>
      <c r="AG186" s="314"/>
      <c r="AH186" s="314"/>
      <c r="AI186" s="314"/>
      <c r="AJ186" s="314"/>
      <c r="AK186" s="314"/>
      <c r="AL186" s="314"/>
      <c r="AM186" s="314"/>
      <c r="AN186" s="314"/>
      <c r="AO186" s="314"/>
      <c r="AP186" s="314"/>
      <c r="AQ186" s="314"/>
      <c r="AR186" s="314"/>
    </row>
    <row r="187">
      <c r="A187" s="314"/>
      <c r="B187" s="314"/>
      <c r="C187" s="314"/>
      <c r="D187" s="314"/>
      <c r="E187" s="314"/>
      <c r="F187" s="314"/>
      <c r="G187" s="314"/>
      <c r="H187" s="314"/>
      <c r="I187" s="314"/>
      <c r="J187" s="314"/>
      <c r="K187" s="314"/>
      <c r="L187" s="314"/>
      <c r="M187" s="314"/>
      <c r="N187" s="314"/>
      <c r="O187" s="314"/>
      <c r="P187" s="314"/>
      <c r="Q187" s="314"/>
      <c r="R187" s="314"/>
      <c r="S187" s="314"/>
      <c r="T187" s="314"/>
      <c r="U187" s="314"/>
      <c r="V187" s="314"/>
      <c r="W187" s="314"/>
      <c r="X187" s="314"/>
      <c r="Y187" s="314"/>
      <c r="Z187" s="314"/>
      <c r="AA187" s="314"/>
      <c r="AB187" s="314"/>
      <c r="AC187" s="314"/>
      <c r="AD187" s="314"/>
      <c r="AE187" s="314"/>
      <c r="AF187" s="314"/>
      <c r="AG187" s="314"/>
      <c r="AH187" s="314"/>
      <c r="AI187" s="314"/>
      <c r="AJ187" s="314"/>
      <c r="AK187" s="314"/>
      <c r="AL187" s="314"/>
      <c r="AM187" s="314"/>
      <c r="AN187" s="314"/>
      <c r="AO187" s="314"/>
      <c r="AP187" s="314"/>
      <c r="AQ187" s="314"/>
      <c r="AR187" s="314"/>
    </row>
    <row r="188">
      <c r="A188" s="314"/>
      <c r="B188" s="314"/>
      <c r="C188" s="314"/>
      <c r="D188" s="314"/>
      <c r="E188" s="314"/>
      <c r="F188" s="314"/>
      <c r="G188" s="314"/>
      <c r="H188" s="314"/>
      <c r="I188" s="314"/>
      <c r="J188" s="314"/>
      <c r="K188" s="314"/>
      <c r="L188" s="314"/>
      <c r="M188" s="314"/>
      <c r="N188" s="314"/>
      <c r="O188" s="314"/>
      <c r="P188" s="314"/>
      <c r="Q188" s="314"/>
      <c r="R188" s="314"/>
      <c r="S188" s="314"/>
      <c r="T188" s="314"/>
      <c r="U188" s="314"/>
      <c r="V188" s="314"/>
      <c r="W188" s="314"/>
      <c r="X188" s="314"/>
      <c r="Y188" s="314"/>
      <c r="Z188" s="314"/>
      <c r="AA188" s="314"/>
      <c r="AB188" s="314"/>
      <c r="AC188" s="314"/>
      <c r="AD188" s="314"/>
      <c r="AE188" s="314"/>
      <c r="AF188" s="314"/>
      <c r="AG188" s="314"/>
      <c r="AH188" s="314"/>
      <c r="AI188" s="314"/>
      <c r="AJ188" s="314"/>
      <c r="AK188" s="314"/>
      <c r="AL188" s="314"/>
      <c r="AM188" s="314"/>
      <c r="AN188" s="314"/>
      <c r="AO188" s="314"/>
      <c r="AP188" s="314"/>
      <c r="AQ188" s="314"/>
      <c r="AR188" s="314"/>
    </row>
    <row r="189">
      <c r="A189" s="314"/>
      <c r="B189" s="314"/>
      <c r="C189" s="314"/>
      <c r="D189" s="314"/>
      <c r="E189" s="314"/>
      <c r="F189" s="314"/>
      <c r="G189" s="314"/>
      <c r="H189" s="314"/>
      <c r="I189" s="314"/>
      <c r="J189" s="314"/>
      <c r="K189" s="314"/>
      <c r="L189" s="314"/>
      <c r="M189" s="314"/>
      <c r="N189" s="314"/>
      <c r="O189" s="314"/>
      <c r="P189" s="314"/>
      <c r="Q189" s="314"/>
      <c r="R189" s="314"/>
      <c r="S189" s="314"/>
      <c r="T189" s="314"/>
      <c r="U189" s="314"/>
      <c r="V189" s="314"/>
      <c r="W189" s="314"/>
      <c r="X189" s="314"/>
      <c r="Y189" s="314"/>
      <c r="Z189" s="314"/>
      <c r="AA189" s="314"/>
      <c r="AB189" s="314"/>
      <c r="AC189" s="314"/>
      <c r="AD189" s="314"/>
      <c r="AE189" s="314"/>
      <c r="AF189" s="314"/>
      <c r="AG189" s="314"/>
      <c r="AH189" s="314"/>
      <c r="AI189" s="314"/>
      <c r="AJ189" s="314"/>
      <c r="AK189" s="314"/>
      <c r="AL189" s="314"/>
      <c r="AM189" s="314"/>
      <c r="AN189" s="314"/>
      <c r="AO189" s="314"/>
      <c r="AP189" s="314"/>
      <c r="AQ189" s="314"/>
      <c r="AR189" s="314"/>
    </row>
    <row r="190">
      <c r="A190" s="314"/>
      <c r="B190" s="314"/>
      <c r="C190" s="314"/>
      <c r="D190" s="314"/>
      <c r="E190" s="314"/>
      <c r="F190" s="314"/>
      <c r="G190" s="314"/>
      <c r="H190" s="314"/>
      <c r="I190" s="314"/>
      <c r="J190" s="314"/>
      <c r="K190" s="314"/>
      <c r="L190" s="314"/>
      <c r="M190" s="314"/>
      <c r="N190" s="314"/>
      <c r="O190" s="314"/>
      <c r="P190" s="314"/>
      <c r="Q190" s="314"/>
      <c r="R190" s="314"/>
      <c r="S190" s="314"/>
      <c r="T190" s="314"/>
      <c r="U190" s="314"/>
      <c r="V190" s="314"/>
      <c r="W190" s="314"/>
      <c r="X190" s="314"/>
      <c r="Y190" s="314"/>
      <c r="Z190" s="314"/>
      <c r="AA190" s="314"/>
      <c r="AB190" s="314"/>
      <c r="AC190" s="314"/>
      <c r="AD190" s="314"/>
      <c r="AE190" s="314"/>
      <c r="AF190" s="314"/>
      <c r="AG190" s="314"/>
      <c r="AH190" s="314"/>
      <c r="AI190" s="314"/>
      <c r="AJ190" s="314"/>
      <c r="AK190" s="314"/>
      <c r="AL190" s="314"/>
      <c r="AM190" s="314"/>
      <c r="AN190" s="314"/>
      <c r="AO190" s="314"/>
      <c r="AP190" s="314"/>
      <c r="AQ190" s="314"/>
      <c r="AR190" s="314"/>
    </row>
    <row r="191">
      <c r="A191" s="314"/>
      <c r="B191" s="314"/>
      <c r="C191" s="314"/>
      <c r="D191" s="314"/>
      <c r="E191" s="314"/>
      <c r="F191" s="314"/>
      <c r="G191" s="314"/>
      <c r="H191" s="314"/>
      <c r="I191" s="314"/>
      <c r="J191" s="314"/>
      <c r="K191" s="314"/>
      <c r="L191" s="314"/>
      <c r="M191" s="314"/>
      <c r="N191" s="314"/>
      <c r="O191" s="314"/>
      <c r="P191" s="314"/>
      <c r="Q191" s="314"/>
      <c r="R191" s="314"/>
      <c r="S191" s="314"/>
      <c r="T191" s="314"/>
      <c r="U191" s="314"/>
      <c r="V191" s="314"/>
      <c r="W191" s="314"/>
      <c r="X191" s="314"/>
      <c r="Y191" s="314"/>
      <c r="Z191" s="314"/>
      <c r="AA191" s="314"/>
      <c r="AB191" s="314"/>
      <c r="AC191" s="314"/>
      <c r="AD191" s="314"/>
      <c r="AE191" s="314"/>
      <c r="AF191" s="314"/>
      <c r="AG191" s="314"/>
      <c r="AH191" s="314"/>
      <c r="AI191" s="314"/>
      <c r="AJ191" s="314"/>
      <c r="AK191" s="314"/>
      <c r="AL191" s="314"/>
      <c r="AM191" s="314"/>
      <c r="AN191" s="314"/>
      <c r="AO191" s="314"/>
      <c r="AP191" s="314"/>
      <c r="AQ191" s="314"/>
      <c r="AR191" s="314"/>
    </row>
    <row r="192">
      <c r="A192" s="314"/>
      <c r="B192" s="314"/>
      <c r="C192" s="314"/>
      <c r="D192" s="314"/>
      <c r="E192" s="314"/>
      <c r="F192" s="314"/>
      <c r="G192" s="314"/>
      <c r="H192" s="314"/>
      <c r="I192" s="314"/>
      <c r="J192" s="314"/>
      <c r="K192" s="314"/>
      <c r="L192" s="314"/>
      <c r="M192" s="314"/>
      <c r="N192" s="314"/>
      <c r="O192" s="314"/>
      <c r="P192" s="314"/>
      <c r="Q192" s="314"/>
      <c r="R192" s="314"/>
      <c r="S192" s="314"/>
      <c r="T192" s="314"/>
      <c r="U192" s="314"/>
      <c r="V192" s="314"/>
      <c r="W192" s="314"/>
      <c r="X192" s="314"/>
      <c r="Y192" s="314"/>
      <c r="Z192" s="314"/>
      <c r="AA192" s="314"/>
      <c r="AB192" s="314"/>
      <c r="AC192" s="314"/>
      <c r="AD192" s="314"/>
      <c r="AE192" s="314"/>
      <c r="AF192" s="314"/>
      <c r="AG192" s="314"/>
      <c r="AH192" s="314"/>
      <c r="AI192" s="314"/>
      <c r="AJ192" s="314"/>
      <c r="AK192" s="314"/>
      <c r="AL192" s="314"/>
      <c r="AM192" s="314"/>
      <c r="AN192" s="314"/>
      <c r="AO192" s="314"/>
      <c r="AP192" s="314"/>
      <c r="AQ192" s="314"/>
      <c r="AR192" s="314"/>
    </row>
    <row r="193">
      <c r="A193" s="314"/>
      <c r="B193" s="314"/>
      <c r="C193" s="314"/>
      <c r="D193" s="314"/>
      <c r="E193" s="314"/>
      <c r="F193" s="314"/>
      <c r="G193" s="314"/>
      <c r="H193" s="314"/>
      <c r="I193" s="314"/>
      <c r="J193" s="314"/>
      <c r="K193" s="314"/>
      <c r="L193" s="314"/>
      <c r="M193" s="314"/>
      <c r="N193" s="314"/>
      <c r="O193" s="314"/>
      <c r="P193" s="314"/>
      <c r="Q193" s="314"/>
      <c r="R193" s="314"/>
      <c r="S193" s="314"/>
      <c r="T193" s="314"/>
      <c r="U193" s="314"/>
      <c r="V193" s="314"/>
      <c r="W193" s="314"/>
      <c r="X193" s="314"/>
      <c r="Y193" s="314"/>
      <c r="Z193" s="314"/>
      <c r="AA193" s="314"/>
      <c r="AB193" s="314"/>
      <c r="AC193" s="314"/>
      <c r="AD193" s="314"/>
      <c r="AE193" s="314"/>
      <c r="AF193" s="314"/>
      <c r="AG193" s="314"/>
      <c r="AH193" s="314"/>
      <c r="AI193" s="314"/>
      <c r="AJ193" s="314"/>
      <c r="AK193" s="314"/>
      <c r="AL193" s="314"/>
      <c r="AM193" s="314"/>
      <c r="AN193" s="314"/>
      <c r="AO193" s="314"/>
      <c r="AP193" s="314"/>
      <c r="AQ193" s="314"/>
      <c r="AR193" s="314"/>
    </row>
    <row r="194">
      <c r="A194" s="314"/>
      <c r="B194" s="314"/>
      <c r="C194" s="314"/>
      <c r="D194" s="314"/>
      <c r="E194" s="314"/>
      <c r="F194" s="314"/>
      <c r="G194" s="314"/>
      <c r="H194" s="314"/>
      <c r="I194" s="314"/>
      <c r="J194" s="314"/>
      <c r="K194" s="314"/>
      <c r="L194" s="314"/>
      <c r="M194" s="314"/>
      <c r="N194" s="314"/>
      <c r="O194" s="314"/>
      <c r="P194" s="314"/>
      <c r="Q194" s="314"/>
      <c r="R194" s="314"/>
      <c r="S194" s="314"/>
      <c r="T194" s="314"/>
      <c r="U194" s="314"/>
      <c r="V194" s="314"/>
      <c r="W194" s="314"/>
      <c r="X194" s="314"/>
      <c r="Y194" s="314"/>
      <c r="Z194" s="314"/>
      <c r="AA194" s="314"/>
      <c r="AB194" s="314"/>
      <c r="AC194" s="314"/>
      <c r="AD194" s="314"/>
      <c r="AE194" s="314"/>
      <c r="AF194" s="314"/>
      <c r="AG194" s="314"/>
      <c r="AH194" s="314"/>
      <c r="AI194" s="314"/>
      <c r="AJ194" s="314"/>
      <c r="AK194" s="314"/>
      <c r="AL194" s="314"/>
      <c r="AM194" s="314"/>
      <c r="AN194" s="314"/>
      <c r="AO194" s="314"/>
      <c r="AP194" s="314"/>
      <c r="AQ194" s="314"/>
      <c r="AR194" s="314"/>
    </row>
    <row r="195">
      <c r="A195" s="314"/>
      <c r="B195" s="314"/>
      <c r="C195" s="314"/>
      <c r="D195" s="314"/>
      <c r="E195" s="314"/>
      <c r="F195" s="314"/>
      <c r="G195" s="314"/>
      <c r="H195" s="314"/>
      <c r="I195" s="314"/>
      <c r="J195" s="314"/>
      <c r="K195" s="314"/>
      <c r="L195" s="314"/>
      <c r="M195" s="314"/>
      <c r="N195" s="314"/>
      <c r="O195" s="314"/>
      <c r="P195" s="314"/>
      <c r="Q195" s="314"/>
      <c r="R195" s="314"/>
      <c r="S195" s="314"/>
      <c r="T195" s="314"/>
      <c r="U195" s="314"/>
      <c r="V195" s="314"/>
      <c r="W195" s="314"/>
      <c r="X195" s="314"/>
      <c r="Y195" s="314"/>
      <c r="Z195" s="314"/>
      <c r="AA195" s="314"/>
      <c r="AB195" s="314"/>
      <c r="AC195" s="314"/>
      <c r="AD195" s="314"/>
      <c r="AE195" s="314"/>
      <c r="AF195" s="314"/>
      <c r="AG195" s="314"/>
      <c r="AH195" s="314"/>
      <c r="AI195" s="314"/>
      <c r="AJ195" s="314"/>
      <c r="AK195" s="314"/>
      <c r="AL195" s="314"/>
      <c r="AM195" s="314"/>
      <c r="AN195" s="314"/>
      <c r="AO195" s="314"/>
      <c r="AP195" s="314"/>
      <c r="AQ195" s="314"/>
      <c r="AR195" s="314"/>
    </row>
    <row r="196">
      <c r="A196" s="314"/>
      <c r="B196" s="314"/>
      <c r="C196" s="314"/>
      <c r="D196" s="314"/>
      <c r="E196" s="314"/>
      <c r="F196" s="314"/>
      <c r="G196" s="314"/>
      <c r="H196" s="314"/>
      <c r="I196" s="314"/>
      <c r="J196" s="314"/>
      <c r="K196" s="314"/>
      <c r="L196" s="314"/>
      <c r="M196" s="314"/>
      <c r="N196" s="314"/>
      <c r="O196" s="314"/>
      <c r="P196" s="314"/>
      <c r="Q196" s="314"/>
      <c r="R196" s="314"/>
      <c r="S196" s="314"/>
      <c r="T196" s="314"/>
      <c r="U196" s="314"/>
      <c r="V196" s="314"/>
      <c r="W196" s="314"/>
      <c r="X196" s="314"/>
      <c r="Y196" s="314"/>
      <c r="Z196" s="314"/>
      <c r="AA196" s="314"/>
      <c r="AB196" s="314"/>
      <c r="AC196" s="314"/>
      <c r="AD196" s="314"/>
      <c r="AE196" s="314"/>
      <c r="AF196" s="314"/>
      <c r="AG196" s="314"/>
      <c r="AH196" s="314"/>
      <c r="AI196" s="314"/>
      <c r="AJ196" s="314"/>
      <c r="AK196" s="314"/>
      <c r="AL196" s="314"/>
      <c r="AM196" s="314"/>
      <c r="AN196" s="314"/>
      <c r="AO196" s="314"/>
      <c r="AP196" s="314"/>
      <c r="AQ196" s="314"/>
      <c r="AR196" s="314"/>
    </row>
    <row r="197">
      <c r="A197" s="314"/>
      <c r="B197" s="314"/>
      <c r="C197" s="314"/>
      <c r="D197" s="314"/>
      <c r="E197" s="314"/>
      <c r="F197" s="314"/>
      <c r="G197" s="314"/>
      <c r="H197" s="314"/>
      <c r="I197" s="314"/>
      <c r="J197" s="314"/>
      <c r="K197" s="314"/>
      <c r="L197" s="314"/>
      <c r="M197" s="314"/>
      <c r="N197" s="314"/>
      <c r="O197" s="314"/>
      <c r="P197" s="314"/>
      <c r="Q197" s="314"/>
      <c r="R197" s="314"/>
      <c r="S197" s="314"/>
      <c r="T197" s="314"/>
      <c r="U197" s="314"/>
      <c r="V197" s="314"/>
      <c r="W197" s="314"/>
      <c r="X197" s="314"/>
      <c r="Y197" s="314"/>
      <c r="Z197" s="314"/>
      <c r="AA197" s="314"/>
      <c r="AB197" s="314"/>
      <c r="AC197" s="314"/>
      <c r="AD197" s="314"/>
      <c r="AE197" s="314"/>
      <c r="AF197" s="314"/>
      <c r="AG197" s="314"/>
      <c r="AH197" s="314"/>
      <c r="AI197" s="314"/>
      <c r="AJ197" s="314"/>
      <c r="AK197" s="314"/>
      <c r="AL197" s="314"/>
      <c r="AM197" s="314"/>
      <c r="AN197" s="314"/>
      <c r="AO197" s="314"/>
      <c r="AP197" s="314"/>
      <c r="AQ197" s="314"/>
      <c r="AR197" s="314"/>
    </row>
    <row r="198">
      <c r="A198" s="314"/>
      <c r="B198" s="314"/>
      <c r="C198" s="314"/>
      <c r="D198" s="314"/>
      <c r="E198" s="314"/>
      <c r="F198" s="314"/>
      <c r="G198" s="314"/>
      <c r="H198" s="314"/>
      <c r="I198" s="314"/>
      <c r="J198" s="314"/>
      <c r="K198" s="314"/>
      <c r="L198" s="314"/>
      <c r="M198" s="314"/>
      <c r="N198" s="314"/>
      <c r="O198" s="314"/>
      <c r="P198" s="314"/>
      <c r="Q198" s="314"/>
      <c r="R198" s="314"/>
      <c r="S198" s="314"/>
      <c r="T198" s="314"/>
      <c r="U198" s="314"/>
      <c r="V198" s="314"/>
      <c r="W198" s="314"/>
      <c r="X198" s="314"/>
      <c r="Y198" s="314"/>
      <c r="Z198" s="314"/>
      <c r="AA198" s="314"/>
      <c r="AB198" s="314"/>
      <c r="AC198" s="314"/>
      <c r="AD198" s="314"/>
      <c r="AE198" s="314"/>
      <c r="AF198" s="314"/>
      <c r="AG198" s="314"/>
      <c r="AH198" s="314"/>
      <c r="AI198" s="314"/>
      <c r="AJ198" s="314"/>
      <c r="AK198" s="314"/>
      <c r="AL198" s="314"/>
      <c r="AM198" s="314"/>
      <c r="AN198" s="314"/>
      <c r="AO198" s="314"/>
      <c r="AP198" s="314"/>
      <c r="AQ198" s="314"/>
      <c r="AR198" s="314"/>
    </row>
    <row r="199">
      <c r="A199" s="314"/>
      <c r="B199" s="314"/>
      <c r="C199" s="314"/>
      <c r="D199" s="314"/>
      <c r="E199" s="314"/>
      <c r="F199" s="314"/>
      <c r="G199" s="314"/>
      <c r="H199" s="314"/>
      <c r="I199" s="314"/>
      <c r="J199" s="314"/>
      <c r="K199" s="314"/>
      <c r="L199" s="314"/>
      <c r="M199" s="314"/>
      <c r="N199" s="314"/>
      <c r="O199" s="314"/>
      <c r="P199" s="314"/>
      <c r="Q199" s="314"/>
      <c r="R199" s="314"/>
      <c r="S199" s="314"/>
      <c r="T199" s="314"/>
      <c r="U199" s="314"/>
      <c r="V199" s="314"/>
      <c r="W199" s="314"/>
      <c r="X199" s="314"/>
      <c r="Y199" s="314"/>
      <c r="Z199" s="314"/>
      <c r="AA199" s="314"/>
      <c r="AB199" s="314"/>
      <c r="AC199" s="314"/>
      <c r="AD199" s="314"/>
      <c r="AE199" s="314"/>
      <c r="AF199" s="314"/>
      <c r="AG199" s="314"/>
      <c r="AH199" s="314"/>
      <c r="AI199" s="314"/>
      <c r="AJ199" s="314"/>
      <c r="AK199" s="314"/>
      <c r="AL199" s="314"/>
      <c r="AM199" s="314"/>
      <c r="AN199" s="314"/>
      <c r="AO199" s="314"/>
      <c r="AP199" s="314"/>
      <c r="AQ199" s="314"/>
      <c r="AR199" s="314"/>
    </row>
    <row r="200">
      <c r="A200" s="314"/>
      <c r="B200" s="314"/>
      <c r="C200" s="314"/>
      <c r="D200" s="314"/>
      <c r="E200" s="314"/>
      <c r="F200" s="314"/>
      <c r="G200" s="314"/>
      <c r="H200" s="314"/>
      <c r="I200" s="314"/>
      <c r="J200" s="314"/>
      <c r="K200" s="314"/>
      <c r="L200" s="314"/>
      <c r="M200" s="314"/>
      <c r="N200" s="314"/>
      <c r="O200" s="314"/>
      <c r="P200" s="314"/>
      <c r="Q200" s="314"/>
      <c r="R200" s="314"/>
      <c r="S200" s="314"/>
      <c r="T200" s="314"/>
      <c r="U200" s="314"/>
      <c r="V200" s="314"/>
      <c r="W200" s="314"/>
      <c r="X200" s="314"/>
      <c r="Y200" s="314"/>
      <c r="Z200" s="314"/>
      <c r="AA200" s="314"/>
      <c r="AB200" s="314"/>
      <c r="AC200" s="314"/>
      <c r="AD200" s="314"/>
      <c r="AE200" s="314"/>
      <c r="AF200" s="314"/>
      <c r="AG200" s="314"/>
      <c r="AH200" s="314"/>
      <c r="AI200" s="314"/>
      <c r="AJ200" s="314"/>
      <c r="AK200" s="314"/>
      <c r="AL200" s="314"/>
      <c r="AM200" s="314"/>
      <c r="AN200" s="314"/>
      <c r="AO200" s="314"/>
      <c r="AP200" s="314"/>
      <c r="AQ200" s="314"/>
      <c r="AR200" s="314"/>
    </row>
    <row r="201">
      <c r="A201" s="314"/>
      <c r="B201" s="314"/>
      <c r="C201" s="314"/>
      <c r="D201" s="314"/>
      <c r="E201" s="314"/>
      <c r="F201" s="314"/>
      <c r="G201" s="314"/>
      <c r="H201" s="314"/>
      <c r="I201" s="314"/>
      <c r="J201" s="314"/>
      <c r="K201" s="314"/>
      <c r="L201" s="314"/>
      <c r="M201" s="314"/>
      <c r="N201" s="314"/>
      <c r="O201" s="314"/>
      <c r="P201" s="314"/>
      <c r="Q201" s="314"/>
      <c r="R201" s="314"/>
      <c r="S201" s="314"/>
      <c r="T201" s="314"/>
      <c r="U201" s="314"/>
      <c r="V201" s="314"/>
      <c r="W201" s="314"/>
      <c r="X201" s="314"/>
      <c r="Y201" s="314"/>
      <c r="Z201" s="314"/>
      <c r="AA201" s="314"/>
      <c r="AB201" s="314"/>
      <c r="AC201" s="314"/>
      <c r="AD201" s="314"/>
      <c r="AE201" s="314"/>
      <c r="AF201" s="314"/>
      <c r="AG201" s="314"/>
      <c r="AH201" s="314"/>
      <c r="AI201" s="314"/>
      <c r="AJ201" s="314"/>
      <c r="AK201" s="314"/>
      <c r="AL201" s="314"/>
      <c r="AM201" s="314"/>
      <c r="AN201" s="314"/>
      <c r="AO201" s="314"/>
      <c r="AP201" s="314"/>
      <c r="AQ201" s="314"/>
      <c r="AR201" s="314"/>
    </row>
    <row r="202">
      <c r="A202" s="314"/>
      <c r="B202" s="314"/>
      <c r="C202" s="314"/>
      <c r="D202" s="314"/>
      <c r="E202" s="314"/>
      <c r="F202" s="314"/>
      <c r="G202" s="314"/>
      <c r="H202" s="314"/>
      <c r="I202" s="314"/>
      <c r="J202" s="314"/>
      <c r="K202" s="314"/>
      <c r="L202" s="314"/>
      <c r="M202" s="314"/>
      <c r="N202" s="314"/>
      <c r="O202" s="314"/>
      <c r="P202" s="314"/>
      <c r="Q202" s="314"/>
      <c r="R202" s="314"/>
      <c r="S202" s="314"/>
      <c r="T202" s="314"/>
      <c r="U202" s="314"/>
      <c r="V202" s="314"/>
      <c r="W202" s="314"/>
      <c r="X202" s="314"/>
      <c r="Y202" s="314"/>
      <c r="Z202" s="314"/>
      <c r="AA202" s="314"/>
      <c r="AB202" s="314"/>
      <c r="AC202" s="314"/>
      <c r="AD202" s="314"/>
      <c r="AE202" s="314"/>
      <c r="AF202" s="314"/>
      <c r="AG202" s="314"/>
      <c r="AH202" s="314"/>
      <c r="AI202" s="314"/>
      <c r="AJ202" s="314"/>
      <c r="AK202" s="314"/>
      <c r="AL202" s="314"/>
      <c r="AM202" s="314"/>
      <c r="AN202" s="314"/>
      <c r="AO202" s="314"/>
      <c r="AP202" s="314"/>
      <c r="AQ202" s="314"/>
      <c r="AR202" s="314"/>
    </row>
    <row r="203">
      <c r="A203" s="314"/>
      <c r="B203" s="314"/>
      <c r="C203" s="314"/>
      <c r="D203" s="314"/>
      <c r="E203" s="314"/>
      <c r="F203" s="314"/>
      <c r="G203" s="314"/>
      <c r="H203" s="314"/>
      <c r="I203" s="314"/>
      <c r="J203" s="314"/>
      <c r="K203" s="314"/>
      <c r="L203" s="314"/>
      <c r="M203" s="314"/>
      <c r="N203" s="314"/>
      <c r="O203" s="314"/>
      <c r="P203" s="314"/>
      <c r="Q203" s="314"/>
      <c r="R203" s="314"/>
      <c r="S203" s="314"/>
      <c r="T203" s="314"/>
      <c r="U203" s="314"/>
      <c r="V203" s="314"/>
      <c r="W203" s="314"/>
      <c r="X203" s="314"/>
      <c r="Y203" s="314"/>
      <c r="Z203" s="314"/>
      <c r="AA203" s="314"/>
      <c r="AB203" s="314"/>
      <c r="AC203" s="314"/>
      <c r="AD203" s="314"/>
      <c r="AE203" s="314"/>
      <c r="AF203" s="314"/>
      <c r="AG203" s="314"/>
      <c r="AH203" s="314"/>
      <c r="AI203" s="314"/>
      <c r="AJ203" s="314"/>
      <c r="AK203" s="314"/>
      <c r="AL203" s="314"/>
      <c r="AM203" s="314"/>
      <c r="AN203" s="314"/>
      <c r="AO203" s="314"/>
      <c r="AP203" s="314"/>
      <c r="AQ203" s="314"/>
      <c r="AR203" s="314"/>
    </row>
    <row r="204">
      <c r="A204" s="314"/>
      <c r="B204" s="314"/>
      <c r="C204" s="314"/>
      <c r="D204" s="314"/>
      <c r="E204" s="314"/>
      <c r="F204" s="314"/>
      <c r="G204" s="314"/>
      <c r="H204" s="314"/>
      <c r="I204" s="314"/>
      <c r="J204" s="314"/>
      <c r="K204" s="314"/>
      <c r="L204" s="314"/>
      <c r="M204" s="314"/>
      <c r="N204" s="314"/>
      <c r="O204" s="314"/>
      <c r="P204" s="314"/>
      <c r="Q204" s="314"/>
      <c r="R204" s="314"/>
      <c r="S204" s="314"/>
      <c r="T204" s="314"/>
      <c r="U204" s="314"/>
      <c r="V204" s="314"/>
      <c r="W204" s="314"/>
      <c r="X204" s="314"/>
      <c r="Y204" s="314"/>
      <c r="Z204" s="314"/>
      <c r="AA204" s="314"/>
      <c r="AB204" s="314"/>
      <c r="AC204" s="314"/>
      <c r="AD204" s="314"/>
      <c r="AE204" s="314"/>
      <c r="AF204" s="314"/>
      <c r="AG204" s="314"/>
      <c r="AH204" s="314"/>
      <c r="AI204" s="314"/>
      <c r="AJ204" s="314"/>
      <c r="AK204" s="314"/>
      <c r="AL204" s="314"/>
      <c r="AM204" s="314"/>
      <c r="AN204" s="314"/>
      <c r="AO204" s="314"/>
      <c r="AP204" s="314"/>
      <c r="AQ204" s="314"/>
      <c r="AR204" s="314"/>
    </row>
    <row r="205">
      <c r="A205" s="314"/>
      <c r="B205" s="314"/>
      <c r="C205" s="314"/>
      <c r="D205" s="314"/>
      <c r="E205" s="314"/>
      <c r="F205" s="314"/>
      <c r="G205" s="314"/>
      <c r="H205" s="314"/>
      <c r="I205" s="314"/>
      <c r="J205" s="314"/>
      <c r="K205" s="314"/>
      <c r="L205" s="314"/>
      <c r="M205" s="314"/>
      <c r="N205" s="314"/>
      <c r="O205" s="314"/>
      <c r="P205" s="314"/>
      <c r="Q205" s="314"/>
      <c r="R205" s="314"/>
      <c r="S205" s="314"/>
      <c r="T205" s="314"/>
      <c r="U205" s="314"/>
      <c r="V205" s="314"/>
      <c r="W205" s="314"/>
      <c r="X205" s="314"/>
      <c r="Y205" s="314"/>
      <c r="Z205" s="314"/>
      <c r="AA205" s="314"/>
      <c r="AB205" s="314"/>
      <c r="AC205" s="314"/>
      <c r="AD205" s="314"/>
      <c r="AE205" s="314"/>
      <c r="AF205" s="314"/>
      <c r="AG205" s="314"/>
      <c r="AH205" s="314"/>
      <c r="AI205" s="314"/>
      <c r="AJ205" s="314"/>
      <c r="AK205" s="314"/>
      <c r="AL205" s="314"/>
      <c r="AM205" s="314"/>
      <c r="AN205" s="314"/>
      <c r="AO205" s="314"/>
      <c r="AP205" s="314"/>
      <c r="AQ205" s="314"/>
      <c r="AR205" s="314"/>
    </row>
    <row r="206">
      <c r="A206" s="314"/>
      <c r="B206" s="314"/>
      <c r="C206" s="314"/>
      <c r="D206" s="314"/>
      <c r="E206" s="314"/>
      <c r="F206" s="314"/>
      <c r="G206" s="314"/>
      <c r="H206" s="314"/>
      <c r="I206" s="314"/>
      <c r="J206" s="314"/>
      <c r="K206" s="314"/>
      <c r="L206" s="314"/>
      <c r="M206" s="314"/>
      <c r="N206" s="314"/>
      <c r="O206" s="314"/>
      <c r="P206" s="314"/>
      <c r="Q206" s="314"/>
      <c r="R206" s="314"/>
      <c r="S206" s="314"/>
      <c r="T206" s="314"/>
      <c r="U206" s="314"/>
      <c r="V206" s="314"/>
      <c r="W206" s="314"/>
      <c r="X206" s="314"/>
      <c r="Y206" s="314"/>
      <c r="Z206" s="314"/>
      <c r="AA206" s="314"/>
      <c r="AB206" s="314"/>
      <c r="AC206" s="314"/>
      <c r="AD206" s="314"/>
      <c r="AE206" s="314"/>
      <c r="AF206" s="314"/>
      <c r="AG206" s="314"/>
      <c r="AH206" s="314"/>
      <c r="AI206" s="314"/>
      <c r="AJ206" s="314"/>
      <c r="AK206" s="314"/>
      <c r="AL206" s="314"/>
      <c r="AM206" s="314"/>
      <c r="AN206" s="314"/>
      <c r="AO206" s="314"/>
      <c r="AP206" s="314"/>
      <c r="AQ206" s="314"/>
      <c r="AR206" s="314"/>
    </row>
    <row r="207">
      <c r="A207" s="314"/>
      <c r="B207" s="314"/>
      <c r="C207" s="314"/>
      <c r="D207" s="314"/>
      <c r="E207" s="314"/>
      <c r="F207" s="314"/>
      <c r="G207" s="314"/>
      <c r="H207" s="314"/>
      <c r="I207" s="314"/>
      <c r="J207" s="314"/>
      <c r="K207" s="314"/>
      <c r="L207" s="314"/>
      <c r="M207" s="314"/>
      <c r="N207" s="314"/>
      <c r="O207" s="314"/>
      <c r="P207" s="314"/>
      <c r="Q207" s="314"/>
      <c r="R207" s="314"/>
      <c r="S207" s="314"/>
      <c r="T207" s="314"/>
      <c r="U207" s="314"/>
      <c r="V207" s="314"/>
      <c r="W207" s="314"/>
      <c r="X207" s="314"/>
      <c r="Y207" s="314"/>
      <c r="Z207" s="314"/>
      <c r="AA207" s="314"/>
      <c r="AB207" s="314"/>
      <c r="AC207" s="314"/>
      <c r="AD207" s="314"/>
      <c r="AE207" s="314"/>
      <c r="AF207" s="314"/>
      <c r="AG207" s="314"/>
      <c r="AH207" s="314"/>
      <c r="AI207" s="314"/>
      <c r="AJ207" s="314"/>
      <c r="AK207" s="314"/>
      <c r="AL207" s="314"/>
      <c r="AM207" s="314"/>
      <c r="AN207" s="314"/>
      <c r="AO207" s="314"/>
      <c r="AP207" s="314"/>
      <c r="AQ207" s="314"/>
      <c r="AR207" s="314"/>
    </row>
    <row r="208">
      <c r="A208" s="314"/>
      <c r="B208" s="314"/>
      <c r="C208" s="314"/>
      <c r="D208" s="314"/>
      <c r="E208" s="314"/>
      <c r="F208" s="314"/>
      <c r="G208" s="314"/>
      <c r="H208" s="314"/>
      <c r="I208" s="314"/>
      <c r="J208" s="314"/>
      <c r="K208" s="314"/>
      <c r="L208" s="314"/>
      <c r="M208" s="314"/>
      <c r="N208" s="314"/>
      <c r="O208" s="314"/>
      <c r="P208" s="314"/>
      <c r="Q208" s="314"/>
      <c r="R208" s="314"/>
      <c r="S208" s="314"/>
      <c r="T208" s="314"/>
      <c r="U208" s="314"/>
      <c r="V208" s="314"/>
      <c r="W208" s="314"/>
      <c r="X208" s="314"/>
      <c r="Y208" s="314"/>
      <c r="Z208" s="314"/>
      <c r="AA208" s="314"/>
      <c r="AB208" s="314"/>
      <c r="AC208" s="314"/>
      <c r="AD208" s="314"/>
      <c r="AE208" s="314"/>
      <c r="AF208" s="314"/>
      <c r="AG208" s="314"/>
      <c r="AH208" s="314"/>
      <c r="AI208" s="314"/>
      <c r="AJ208" s="314"/>
      <c r="AK208" s="314"/>
      <c r="AL208" s="314"/>
      <c r="AM208" s="314"/>
      <c r="AN208" s="314"/>
      <c r="AO208" s="314"/>
      <c r="AP208" s="314"/>
      <c r="AQ208" s="314"/>
      <c r="AR208" s="314"/>
    </row>
    <row r="209">
      <c r="A209" s="314"/>
      <c r="B209" s="314"/>
      <c r="C209" s="314"/>
      <c r="D209" s="314"/>
      <c r="E209" s="314"/>
      <c r="F209" s="314"/>
      <c r="G209" s="314"/>
      <c r="H209" s="314"/>
      <c r="I209" s="314"/>
      <c r="J209" s="314"/>
      <c r="K209" s="314"/>
      <c r="L209" s="314"/>
      <c r="M209" s="314"/>
      <c r="N209" s="314"/>
      <c r="O209" s="314"/>
      <c r="P209" s="314"/>
      <c r="Q209" s="314"/>
      <c r="R209" s="314"/>
      <c r="S209" s="314"/>
      <c r="T209" s="314"/>
      <c r="U209" s="314"/>
      <c r="V209" s="314"/>
      <c r="W209" s="314"/>
      <c r="X209" s="314"/>
      <c r="Y209" s="314"/>
      <c r="Z209" s="314"/>
      <c r="AA209" s="314"/>
      <c r="AB209" s="314"/>
      <c r="AC209" s="314"/>
      <c r="AD209" s="314"/>
      <c r="AE209" s="314"/>
      <c r="AF209" s="314"/>
      <c r="AG209" s="314"/>
      <c r="AH209" s="314"/>
      <c r="AI209" s="314"/>
      <c r="AJ209" s="314"/>
      <c r="AK209" s="314"/>
      <c r="AL209" s="314"/>
      <c r="AM209" s="314"/>
      <c r="AN209" s="314"/>
      <c r="AO209" s="314"/>
      <c r="AP209" s="314"/>
      <c r="AQ209" s="314"/>
      <c r="AR209" s="314"/>
    </row>
    <row r="210">
      <c r="A210" s="314"/>
      <c r="B210" s="314"/>
      <c r="C210" s="314"/>
      <c r="D210" s="314"/>
      <c r="E210" s="314"/>
      <c r="F210" s="314"/>
      <c r="G210" s="314"/>
      <c r="H210" s="314"/>
      <c r="I210" s="314"/>
      <c r="J210" s="314"/>
      <c r="K210" s="314"/>
      <c r="L210" s="314"/>
      <c r="M210" s="314"/>
      <c r="N210" s="314"/>
      <c r="O210" s="314"/>
      <c r="P210" s="314"/>
      <c r="Q210" s="314"/>
      <c r="R210" s="314"/>
      <c r="S210" s="314"/>
      <c r="T210" s="314"/>
      <c r="U210" s="314"/>
      <c r="V210" s="314"/>
      <c r="W210" s="314"/>
      <c r="X210" s="314"/>
      <c r="Y210" s="314"/>
      <c r="Z210" s="314"/>
      <c r="AA210" s="314"/>
      <c r="AB210" s="314"/>
      <c r="AC210" s="314"/>
      <c r="AD210" s="314"/>
      <c r="AE210" s="314"/>
      <c r="AF210" s="314"/>
      <c r="AG210" s="314"/>
      <c r="AH210" s="314"/>
      <c r="AI210" s="314"/>
      <c r="AJ210" s="314"/>
      <c r="AK210" s="314"/>
      <c r="AL210" s="314"/>
      <c r="AM210" s="314"/>
      <c r="AN210" s="314"/>
      <c r="AO210" s="314"/>
      <c r="AP210" s="314"/>
      <c r="AQ210" s="314"/>
      <c r="AR210" s="314"/>
    </row>
    <row r="211">
      <c r="A211" s="314"/>
      <c r="B211" s="314"/>
      <c r="C211" s="314"/>
      <c r="D211" s="314"/>
      <c r="E211" s="314"/>
      <c r="F211" s="314"/>
      <c r="G211" s="314"/>
      <c r="H211" s="314"/>
      <c r="I211" s="314"/>
      <c r="J211" s="314"/>
      <c r="K211" s="314"/>
      <c r="L211" s="314"/>
      <c r="M211" s="314"/>
      <c r="N211" s="314"/>
      <c r="O211" s="314"/>
      <c r="P211" s="314"/>
      <c r="Q211" s="314"/>
      <c r="R211" s="314"/>
      <c r="S211" s="314"/>
      <c r="T211" s="314"/>
      <c r="U211" s="314"/>
      <c r="V211" s="314"/>
      <c r="W211" s="314"/>
      <c r="X211" s="314"/>
      <c r="Y211" s="314"/>
      <c r="Z211" s="314"/>
      <c r="AA211" s="314"/>
      <c r="AB211" s="314"/>
      <c r="AC211" s="314"/>
      <c r="AD211" s="314"/>
      <c r="AE211" s="314"/>
      <c r="AF211" s="314"/>
      <c r="AG211" s="314"/>
      <c r="AH211" s="314"/>
      <c r="AI211" s="314"/>
      <c r="AJ211" s="314"/>
      <c r="AK211" s="314"/>
      <c r="AL211" s="314"/>
      <c r="AM211" s="314"/>
      <c r="AN211" s="314"/>
      <c r="AO211" s="314"/>
      <c r="AP211" s="314"/>
      <c r="AQ211" s="314"/>
      <c r="AR211" s="314"/>
    </row>
    <row r="212">
      <c r="A212" s="314"/>
      <c r="B212" s="314"/>
      <c r="C212" s="314"/>
      <c r="D212" s="314"/>
      <c r="E212" s="314"/>
      <c r="F212" s="314"/>
      <c r="G212" s="314"/>
      <c r="H212" s="314"/>
      <c r="I212" s="314"/>
      <c r="J212" s="314"/>
      <c r="K212" s="314"/>
      <c r="L212" s="314"/>
      <c r="M212" s="314"/>
      <c r="N212" s="314"/>
      <c r="O212" s="314"/>
      <c r="P212" s="314"/>
      <c r="Q212" s="314"/>
      <c r="R212" s="314"/>
      <c r="S212" s="314"/>
      <c r="T212" s="314"/>
      <c r="U212" s="314"/>
      <c r="V212" s="314"/>
      <c r="W212" s="314"/>
      <c r="X212" s="314"/>
      <c r="Y212" s="314"/>
      <c r="Z212" s="314"/>
      <c r="AA212" s="314"/>
      <c r="AB212" s="314"/>
      <c r="AC212" s="314"/>
      <c r="AD212" s="314"/>
      <c r="AE212" s="314"/>
      <c r="AF212" s="314"/>
      <c r="AG212" s="314"/>
      <c r="AH212" s="314"/>
      <c r="AI212" s="314"/>
      <c r="AJ212" s="314"/>
      <c r="AK212" s="314"/>
      <c r="AL212" s="314"/>
      <c r="AM212" s="314"/>
      <c r="AN212" s="314"/>
      <c r="AO212" s="314"/>
      <c r="AP212" s="314"/>
      <c r="AQ212" s="314"/>
      <c r="AR212" s="314"/>
    </row>
    <row r="213">
      <c r="A213" s="314"/>
      <c r="B213" s="314"/>
      <c r="C213" s="314"/>
      <c r="D213" s="314"/>
      <c r="E213" s="314"/>
      <c r="F213" s="314"/>
      <c r="G213" s="314"/>
      <c r="H213" s="314"/>
      <c r="I213" s="314"/>
      <c r="J213" s="314"/>
      <c r="K213" s="314"/>
      <c r="L213" s="314"/>
      <c r="M213" s="314"/>
      <c r="N213" s="314"/>
      <c r="O213" s="314"/>
      <c r="P213" s="314"/>
      <c r="Q213" s="314"/>
      <c r="R213" s="314"/>
      <c r="S213" s="314"/>
      <c r="T213" s="314"/>
      <c r="U213" s="314"/>
      <c r="V213" s="314"/>
      <c r="W213" s="314"/>
      <c r="X213" s="314"/>
      <c r="Y213" s="314"/>
      <c r="Z213" s="314"/>
      <c r="AA213" s="314"/>
      <c r="AB213" s="314"/>
      <c r="AC213" s="314"/>
      <c r="AD213" s="314"/>
      <c r="AE213" s="314"/>
      <c r="AF213" s="314"/>
      <c r="AG213" s="314"/>
      <c r="AH213" s="314"/>
      <c r="AI213" s="314"/>
      <c r="AJ213" s="314"/>
      <c r="AK213" s="314"/>
      <c r="AL213" s="314"/>
      <c r="AM213" s="314"/>
      <c r="AN213" s="314"/>
      <c r="AO213" s="314"/>
      <c r="AP213" s="314"/>
      <c r="AQ213" s="314"/>
      <c r="AR213" s="314"/>
    </row>
    <row r="214">
      <c r="A214" s="314"/>
      <c r="B214" s="314"/>
      <c r="C214" s="314"/>
      <c r="D214" s="314"/>
      <c r="E214" s="314"/>
      <c r="F214" s="314"/>
      <c r="G214" s="314"/>
      <c r="H214" s="314"/>
      <c r="I214" s="314"/>
      <c r="J214" s="314"/>
      <c r="K214" s="314"/>
      <c r="L214" s="314"/>
      <c r="M214" s="314"/>
      <c r="N214" s="314"/>
      <c r="O214" s="314"/>
      <c r="P214" s="314"/>
      <c r="Q214" s="314"/>
      <c r="R214" s="314"/>
      <c r="S214" s="314"/>
      <c r="T214" s="314"/>
      <c r="U214" s="314"/>
      <c r="V214" s="314"/>
      <c r="W214" s="314"/>
      <c r="X214" s="314"/>
      <c r="Y214" s="314"/>
      <c r="Z214" s="314"/>
      <c r="AA214" s="314"/>
      <c r="AB214" s="314"/>
      <c r="AC214" s="314"/>
      <c r="AD214" s="314"/>
      <c r="AE214" s="314"/>
      <c r="AF214" s="314"/>
      <c r="AG214" s="314"/>
      <c r="AH214" s="314"/>
      <c r="AI214" s="314"/>
      <c r="AJ214" s="314"/>
      <c r="AK214" s="314"/>
      <c r="AL214" s="314"/>
      <c r="AM214" s="314"/>
      <c r="AN214" s="314"/>
      <c r="AO214" s="314"/>
      <c r="AP214" s="314"/>
      <c r="AQ214" s="314"/>
      <c r="AR214" s="314"/>
    </row>
    <row r="215">
      <c r="A215" s="314"/>
      <c r="B215" s="314"/>
      <c r="C215" s="314"/>
      <c r="D215" s="314"/>
      <c r="E215" s="314"/>
      <c r="F215" s="314"/>
      <c r="G215" s="314"/>
      <c r="H215" s="314"/>
      <c r="I215" s="314"/>
      <c r="J215" s="314"/>
      <c r="K215" s="314"/>
      <c r="L215" s="314"/>
      <c r="M215" s="314"/>
      <c r="N215" s="314"/>
      <c r="O215" s="314"/>
      <c r="P215" s="314"/>
      <c r="Q215" s="314"/>
      <c r="R215" s="314"/>
      <c r="S215" s="314"/>
      <c r="T215" s="314"/>
      <c r="U215" s="314"/>
      <c r="V215" s="314"/>
      <c r="W215" s="314"/>
      <c r="X215" s="314"/>
      <c r="Y215" s="314"/>
      <c r="Z215" s="314"/>
      <c r="AA215" s="314"/>
      <c r="AB215" s="314"/>
      <c r="AC215" s="314"/>
      <c r="AD215" s="314"/>
      <c r="AE215" s="314"/>
      <c r="AF215" s="314"/>
      <c r="AG215" s="314"/>
      <c r="AH215" s="314"/>
      <c r="AI215" s="314"/>
      <c r="AJ215" s="314"/>
      <c r="AK215" s="314"/>
      <c r="AL215" s="314"/>
      <c r="AM215" s="314"/>
      <c r="AN215" s="314"/>
      <c r="AO215" s="314"/>
      <c r="AP215" s="314"/>
      <c r="AQ215" s="314"/>
      <c r="AR215" s="314"/>
    </row>
    <row r="216">
      <c r="A216" s="314"/>
      <c r="B216" s="314"/>
      <c r="C216" s="314"/>
      <c r="D216" s="314"/>
      <c r="E216" s="314"/>
      <c r="F216" s="314"/>
      <c r="G216" s="314"/>
      <c r="H216" s="314"/>
      <c r="I216" s="314"/>
      <c r="J216" s="314"/>
      <c r="K216" s="314"/>
      <c r="L216" s="314"/>
      <c r="M216" s="314"/>
      <c r="N216" s="314"/>
      <c r="O216" s="314"/>
      <c r="P216" s="314"/>
      <c r="Q216" s="314"/>
      <c r="R216" s="314"/>
      <c r="S216" s="314"/>
      <c r="T216" s="314"/>
      <c r="U216" s="314"/>
      <c r="V216" s="314"/>
      <c r="W216" s="314"/>
      <c r="X216" s="314"/>
      <c r="Y216" s="314"/>
      <c r="Z216" s="314"/>
      <c r="AA216" s="314"/>
      <c r="AB216" s="314"/>
      <c r="AC216" s="314"/>
      <c r="AD216" s="314"/>
      <c r="AE216" s="314"/>
      <c r="AF216" s="314"/>
      <c r="AG216" s="314"/>
      <c r="AH216" s="314"/>
      <c r="AI216" s="314"/>
      <c r="AJ216" s="314"/>
      <c r="AK216" s="314"/>
      <c r="AL216" s="314"/>
      <c r="AM216" s="314"/>
      <c r="AN216" s="314"/>
      <c r="AO216" s="314"/>
      <c r="AP216" s="314"/>
      <c r="AQ216" s="314"/>
      <c r="AR216" s="314"/>
    </row>
    <row r="217">
      <c r="A217" s="314"/>
      <c r="B217" s="314"/>
      <c r="C217" s="314"/>
      <c r="D217" s="314"/>
      <c r="E217" s="314"/>
      <c r="F217" s="314"/>
      <c r="G217" s="314"/>
      <c r="H217" s="314"/>
      <c r="I217" s="314"/>
      <c r="J217" s="314"/>
      <c r="K217" s="314"/>
      <c r="L217" s="314"/>
      <c r="M217" s="314"/>
      <c r="N217" s="314"/>
      <c r="O217" s="314"/>
      <c r="P217" s="314"/>
      <c r="Q217" s="314"/>
      <c r="R217" s="314"/>
      <c r="S217" s="314"/>
      <c r="T217" s="314"/>
      <c r="U217" s="314"/>
      <c r="V217" s="314"/>
      <c r="W217" s="314"/>
      <c r="X217" s="314"/>
      <c r="Y217" s="314"/>
      <c r="Z217" s="314"/>
      <c r="AA217" s="314"/>
      <c r="AB217" s="314"/>
      <c r="AC217" s="314"/>
      <c r="AD217" s="314"/>
      <c r="AE217" s="314"/>
      <c r="AF217" s="314"/>
      <c r="AG217" s="314"/>
      <c r="AH217" s="314"/>
      <c r="AI217" s="314"/>
      <c r="AJ217" s="314"/>
      <c r="AK217" s="314"/>
      <c r="AL217" s="314"/>
      <c r="AM217" s="314"/>
      <c r="AN217" s="314"/>
      <c r="AO217" s="314"/>
      <c r="AP217" s="314"/>
      <c r="AQ217" s="314"/>
      <c r="AR217" s="314"/>
    </row>
    <row r="218">
      <c r="A218" s="314"/>
      <c r="B218" s="314"/>
      <c r="C218" s="314"/>
      <c r="D218" s="314"/>
      <c r="E218" s="314"/>
      <c r="F218" s="314"/>
      <c r="G218" s="314"/>
      <c r="H218" s="314"/>
      <c r="I218" s="314"/>
      <c r="J218" s="314"/>
      <c r="K218" s="314"/>
      <c r="L218" s="314"/>
      <c r="M218" s="314"/>
      <c r="N218" s="314"/>
      <c r="O218" s="314"/>
      <c r="P218" s="314"/>
      <c r="Q218" s="314"/>
      <c r="R218" s="314"/>
      <c r="S218" s="314"/>
      <c r="T218" s="314"/>
      <c r="U218" s="314"/>
      <c r="V218" s="314"/>
      <c r="W218" s="314"/>
      <c r="X218" s="314"/>
      <c r="Y218" s="314"/>
      <c r="Z218" s="314"/>
      <c r="AA218" s="314"/>
      <c r="AB218" s="314"/>
      <c r="AC218" s="314"/>
      <c r="AD218" s="314"/>
      <c r="AE218" s="314"/>
      <c r="AF218" s="314"/>
      <c r="AG218" s="314"/>
      <c r="AH218" s="314"/>
      <c r="AI218" s="314"/>
      <c r="AJ218" s="314"/>
      <c r="AK218" s="314"/>
      <c r="AL218" s="314"/>
      <c r="AM218" s="314"/>
      <c r="AN218" s="314"/>
      <c r="AO218" s="314"/>
      <c r="AP218" s="314"/>
      <c r="AQ218" s="314"/>
      <c r="AR218" s="314"/>
    </row>
    <row r="219">
      <c r="A219" s="314"/>
      <c r="B219" s="314"/>
      <c r="C219" s="314"/>
      <c r="D219" s="314"/>
      <c r="E219" s="314"/>
      <c r="F219" s="314"/>
      <c r="G219" s="314"/>
      <c r="H219" s="314"/>
      <c r="I219" s="314"/>
      <c r="J219" s="314"/>
      <c r="K219" s="314"/>
      <c r="L219" s="314"/>
      <c r="M219" s="314"/>
      <c r="N219" s="314"/>
      <c r="O219" s="314"/>
      <c r="P219" s="314"/>
      <c r="Q219" s="314"/>
      <c r="R219" s="314"/>
      <c r="S219" s="314"/>
      <c r="T219" s="314"/>
      <c r="U219" s="314"/>
      <c r="V219" s="314"/>
      <c r="W219" s="314"/>
      <c r="X219" s="314"/>
      <c r="Y219" s="314"/>
      <c r="Z219" s="314"/>
      <c r="AA219" s="314"/>
      <c r="AB219" s="314"/>
      <c r="AC219" s="314"/>
      <c r="AD219" s="314"/>
      <c r="AE219" s="314"/>
      <c r="AF219" s="314"/>
      <c r="AG219" s="314"/>
      <c r="AH219" s="314"/>
      <c r="AI219" s="314"/>
      <c r="AJ219" s="314"/>
      <c r="AK219" s="314"/>
      <c r="AL219" s="314"/>
      <c r="AM219" s="314"/>
      <c r="AN219" s="314"/>
      <c r="AO219" s="314"/>
      <c r="AP219" s="314"/>
      <c r="AQ219" s="314"/>
      <c r="AR219" s="314"/>
    </row>
    <row r="220">
      <c r="A220" s="314"/>
      <c r="B220" s="314"/>
      <c r="C220" s="314"/>
      <c r="D220" s="314"/>
      <c r="E220" s="314"/>
      <c r="F220" s="314"/>
      <c r="G220" s="314"/>
      <c r="H220" s="314"/>
      <c r="I220" s="314"/>
      <c r="J220" s="314"/>
      <c r="K220" s="314"/>
      <c r="L220" s="314"/>
      <c r="M220" s="314"/>
      <c r="N220" s="314"/>
      <c r="O220" s="314"/>
      <c r="P220" s="314"/>
      <c r="Q220" s="314"/>
      <c r="R220" s="314"/>
      <c r="S220" s="314"/>
      <c r="T220" s="314"/>
      <c r="U220" s="314"/>
      <c r="V220" s="314"/>
      <c r="W220" s="314"/>
      <c r="X220" s="314"/>
      <c r="Y220" s="314"/>
      <c r="Z220" s="314"/>
      <c r="AA220" s="314"/>
      <c r="AB220" s="314"/>
      <c r="AC220" s="314"/>
      <c r="AD220" s="314"/>
      <c r="AE220" s="314"/>
      <c r="AF220" s="314"/>
      <c r="AG220" s="314"/>
      <c r="AH220" s="314"/>
      <c r="AI220" s="314"/>
      <c r="AJ220" s="314"/>
      <c r="AK220" s="314"/>
      <c r="AL220" s="314"/>
      <c r="AM220" s="314"/>
      <c r="AN220" s="314"/>
      <c r="AO220" s="314"/>
      <c r="AP220" s="314"/>
      <c r="AQ220" s="314"/>
      <c r="AR220" s="314"/>
    </row>
    <row r="221">
      <c r="A221" s="314"/>
      <c r="B221" s="314"/>
      <c r="C221" s="314"/>
      <c r="D221" s="314"/>
      <c r="E221" s="314"/>
      <c r="F221" s="314"/>
      <c r="G221" s="314"/>
      <c r="H221" s="314"/>
      <c r="I221" s="314"/>
      <c r="J221" s="314"/>
      <c r="K221" s="314"/>
      <c r="L221" s="314"/>
      <c r="M221" s="314"/>
      <c r="N221" s="314"/>
      <c r="O221" s="314"/>
      <c r="P221" s="314"/>
      <c r="Q221" s="314"/>
      <c r="R221" s="314"/>
      <c r="S221" s="314"/>
      <c r="T221" s="314"/>
      <c r="U221" s="314"/>
      <c r="V221" s="314"/>
      <c r="W221" s="314"/>
      <c r="X221" s="314"/>
      <c r="Y221" s="314"/>
      <c r="Z221" s="314"/>
      <c r="AA221" s="314"/>
      <c r="AB221" s="314"/>
      <c r="AC221" s="314"/>
      <c r="AD221" s="314"/>
      <c r="AE221" s="314"/>
      <c r="AF221" s="314"/>
      <c r="AG221" s="314"/>
      <c r="AH221" s="314"/>
      <c r="AI221" s="314"/>
      <c r="AJ221" s="314"/>
      <c r="AK221" s="314"/>
      <c r="AL221" s="314"/>
      <c r="AM221" s="314"/>
      <c r="AN221" s="314"/>
      <c r="AO221" s="314"/>
      <c r="AP221" s="314"/>
      <c r="AQ221" s="314"/>
      <c r="AR221" s="314"/>
    </row>
    <row r="222">
      <c r="A222" s="314"/>
      <c r="B222" s="314"/>
      <c r="C222" s="314"/>
      <c r="D222" s="314"/>
      <c r="E222" s="314"/>
      <c r="F222" s="314"/>
      <c r="G222" s="314"/>
      <c r="H222" s="314"/>
      <c r="I222" s="314"/>
      <c r="J222" s="314"/>
      <c r="K222" s="314"/>
      <c r="L222" s="314"/>
      <c r="M222" s="314"/>
      <c r="N222" s="314"/>
      <c r="O222" s="314"/>
      <c r="P222" s="314"/>
      <c r="Q222" s="314"/>
      <c r="R222" s="314"/>
      <c r="S222" s="314"/>
      <c r="T222" s="314"/>
      <c r="U222" s="314"/>
      <c r="V222" s="314"/>
      <c r="W222" s="314"/>
      <c r="X222" s="314"/>
      <c r="Y222" s="314"/>
      <c r="Z222" s="314"/>
      <c r="AA222" s="314"/>
      <c r="AB222" s="314"/>
      <c r="AC222" s="314"/>
      <c r="AD222" s="314"/>
      <c r="AE222" s="314"/>
      <c r="AF222" s="314"/>
      <c r="AG222" s="314"/>
      <c r="AH222" s="314"/>
      <c r="AI222" s="314"/>
      <c r="AJ222" s="314"/>
      <c r="AK222" s="314"/>
      <c r="AL222" s="314"/>
      <c r="AM222" s="314"/>
      <c r="AN222" s="314"/>
      <c r="AO222" s="314"/>
      <c r="AP222" s="314"/>
      <c r="AQ222" s="314"/>
      <c r="AR222" s="314"/>
    </row>
    <row r="223">
      <c r="A223" s="314"/>
      <c r="B223" s="314"/>
      <c r="C223" s="314"/>
      <c r="D223" s="314"/>
      <c r="E223" s="314"/>
      <c r="F223" s="314"/>
      <c r="G223" s="314"/>
      <c r="H223" s="314"/>
      <c r="I223" s="314"/>
      <c r="J223" s="314"/>
      <c r="K223" s="314"/>
      <c r="L223" s="314"/>
      <c r="M223" s="314"/>
      <c r="N223" s="314"/>
      <c r="O223" s="314"/>
      <c r="P223" s="314"/>
      <c r="Q223" s="314"/>
      <c r="R223" s="314"/>
      <c r="S223" s="314"/>
      <c r="T223" s="314"/>
      <c r="U223" s="314"/>
      <c r="V223" s="314"/>
      <c r="W223" s="314"/>
      <c r="X223" s="314"/>
      <c r="Y223" s="314"/>
      <c r="Z223" s="314"/>
      <c r="AA223" s="314"/>
      <c r="AB223" s="314"/>
      <c r="AC223" s="314"/>
      <c r="AD223" s="314"/>
      <c r="AE223" s="314"/>
      <c r="AF223" s="314"/>
      <c r="AG223" s="314"/>
      <c r="AH223" s="314"/>
      <c r="AI223" s="314"/>
      <c r="AJ223" s="314"/>
      <c r="AK223" s="314"/>
      <c r="AL223" s="314"/>
      <c r="AM223" s="314"/>
      <c r="AN223" s="314"/>
      <c r="AO223" s="314"/>
      <c r="AP223" s="314"/>
      <c r="AQ223" s="314"/>
      <c r="AR223" s="314"/>
    </row>
    <row r="224">
      <c r="A224" s="314"/>
      <c r="B224" s="314"/>
      <c r="C224" s="314"/>
      <c r="D224" s="314"/>
      <c r="E224" s="314"/>
      <c r="F224" s="314"/>
      <c r="G224" s="314"/>
      <c r="H224" s="314"/>
      <c r="I224" s="314"/>
      <c r="J224" s="314"/>
      <c r="K224" s="314"/>
      <c r="L224" s="314"/>
      <c r="M224" s="314"/>
      <c r="N224" s="314"/>
      <c r="O224" s="314"/>
      <c r="P224" s="314"/>
      <c r="Q224" s="314"/>
      <c r="R224" s="314"/>
      <c r="S224" s="314"/>
      <c r="T224" s="314"/>
      <c r="U224" s="314"/>
      <c r="V224" s="314"/>
      <c r="W224" s="314"/>
      <c r="X224" s="314"/>
      <c r="Y224" s="314"/>
      <c r="Z224" s="314"/>
      <c r="AA224" s="314"/>
      <c r="AB224" s="314"/>
      <c r="AC224" s="314"/>
      <c r="AD224" s="314"/>
      <c r="AE224" s="314"/>
      <c r="AF224" s="314"/>
      <c r="AG224" s="314"/>
      <c r="AH224" s="314"/>
      <c r="AI224" s="314"/>
      <c r="AJ224" s="314"/>
      <c r="AK224" s="314"/>
      <c r="AL224" s="314"/>
      <c r="AM224" s="314"/>
      <c r="AN224" s="314"/>
      <c r="AO224" s="314"/>
      <c r="AP224" s="314"/>
      <c r="AQ224" s="314"/>
      <c r="AR224" s="314"/>
    </row>
    <row r="225">
      <c r="A225" s="314"/>
      <c r="B225" s="314"/>
      <c r="C225" s="314"/>
      <c r="D225" s="314"/>
      <c r="E225" s="314"/>
      <c r="F225" s="314"/>
      <c r="G225" s="314"/>
      <c r="H225" s="314"/>
      <c r="I225" s="314"/>
      <c r="J225" s="314"/>
      <c r="K225" s="314"/>
      <c r="L225" s="314"/>
      <c r="M225" s="314"/>
      <c r="N225" s="314"/>
      <c r="O225" s="314"/>
      <c r="P225" s="314"/>
      <c r="Q225" s="314"/>
      <c r="R225" s="314"/>
      <c r="S225" s="314"/>
      <c r="T225" s="314"/>
      <c r="U225" s="314"/>
      <c r="V225" s="314"/>
      <c r="W225" s="314"/>
      <c r="X225" s="314"/>
      <c r="Y225" s="314"/>
      <c r="Z225" s="314"/>
      <c r="AA225" s="314"/>
      <c r="AB225" s="314"/>
      <c r="AC225" s="314"/>
      <c r="AD225" s="314"/>
      <c r="AE225" s="314"/>
      <c r="AF225" s="314"/>
      <c r="AG225" s="314"/>
      <c r="AH225" s="314"/>
      <c r="AI225" s="314"/>
      <c r="AJ225" s="314"/>
      <c r="AK225" s="314"/>
      <c r="AL225" s="314"/>
      <c r="AM225" s="314"/>
      <c r="AN225" s="314"/>
      <c r="AO225" s="314"/>
      <c r="AP225" s="314"/>
      <c r="AQ225" s="314"/>
      <c r="AR225" s="314"/>
    </row>
    <row r="226">
      <c r="A226" s="314"/>
      <c r="B226" s="314"/>
      <c r="C226" s="314"/>
      <c r="D226" s="314"/>
      <c r="E226" s="314"/>
      <c r="F226" s="314"/>
      <c r="G226" s="314"/>
      <c r="H226" s="314"/>
      <c r="I226" s="314"/>
      <c r="J226" s="314"/>
      <c r="K226" s="314"/>
      <c r="L226" s="314"/>
      <c r="M226" s="314"/>
      <c r="N226" s="314"/>
      <c r="O226" s="314"/>
      <c r="P226" s="314"/>
      <c r="Q226" s="314"/>
      <c r="R226" s="314"/>
      <c r="S226" s="314"/>
      <c r="T226" s="314"/>
      <c r="U226" s="314"/>
      <c r="V226" s="314"/>
      <c r="W226" s="314"/>
      <c r="X226" s="314"/>
      <c r="Y226" s="314"/>
      <c r="Z226" s="314"/>
      <c r="AA226" s="314"/>
      <c r="AB226" s="314"/>
      <c r="AC226" s="314"/>
      <c r="AD226" s="314"/>
      <c r="AE226" s="314"/>
      <c r="AF226" s="314"/>
      <c r="AG226" s="314"/>
      <c r="AH226" s="314"/>
      <c r="AI226" s="314"/>
      <c r="AJ226" s="314"/>
      <c r="AK226" s="314"/>
      <c r="AL226" s="314"/>
      <c r="AM226" s="314"/>
      <c r="AN226" s="314"/>
      <c r="AO226" s="314"/>
      <c r="AP226" s="314"/>
      <c r="AQ226" s="314"/>
      <c r="AR226" s="314"/>
    </row>
    <row r="227">
      <c r="A227" s="314"/>
      <c r="B227" s="314"/>
      <c r="C227" s="314"/>
      <c r="D227" s="314"/>
      <c r="E227" s="314"/>
      <c r="F227" s="314"/>
      <c r="G227" s="314"/>
      <c r="H227" s="314"/>
      <c r="I227" s="314"/>
      <c r="J227" s="314"/>
      <c r="K227" s="314"/>
      <c r="L227" s="314"/>
      <c r="M227" s="314"/>
      <c r="N227" s="314"/>
      <c r="O227" s="314"/>
      <c r="P227" s="314"/>
      <c r="Q227" s="314"/>
      <c r="R227" s="314"/>
      <c r="S227" s="314"/>
      <c r="T227" s="314"/>
      <c r="U227" s="314"/>
      <c r="V227" s="314"/>
      <c r="W227" s="314"/>
      <c r="X227" s="314"/>
      <c r="Y227" s="314"/>
      <c r="Z227" s="314"/>
      <c r="AA227" s="314"/>
      <c r="AB227" s="314"/>
      <c r="AC227" s="314"/>
      <c r="AD227" s="314"/>
      <c r="AE227" s="314"/>
      <c r="AF227" s="314"/>
      <c r="AG227" s="314"/>
      <c r="AH227" s="314"/>
      <c r="AI227" s="314"/>
      <c r="AJ227" s="314"/>
      <c r="AK227" s="314"/>
      <c r="AL227" s="314"/>
      <c r="AM227" s="314"/>
      <c r="AN227" s="314"/>
      <c r="AO227" s="314"/>
      <c r="AP227" s="314"/>
      <c r="AQ227" s="314"/>
      <c r="AR227" s="314"/>
    </row>
    <row r="228">
      <c r="A228" s="314"/>
      <c r="B228" s="314"/>
      <c r="C228" s="314"/>
      <c r="D228" s="314"/>
      <c r="E228" s="314"/>
      <c r="F228" s="314"/>
      <c r="G228" s="314"/>
      <c r="H228" s="314"/>
      <c r="I228" s="314"/>
      <c r="J228" s="314"/>
      <c r="K228" s="314"/>
      <c r="L228" s="314"/>
      <c r="M228" s="314"/>
      <c r="N228" s="314"/>
      <c r="O228" s="314"/>
      <c r="P228" s="314"/>
      <c r="Q228" s="314"/>
      <c r="R228" s="314"/>
      <c r="S228" s="314"/>
      <c r="T228" s="314"/>
      <c r="U228" s="314"/>
      <c r="V228" s="314"/>
      <c r="W228" s="314"/>
      <c r="X228" s="314"/>
      <c r="Y228" s="314"/>
      <c r="Z228" s="314"/>
      <c r="AA228" s="314"/>
      <c r="AB228" s="314"/>
      <c r="AC228" s="314"/>
      <c r="AD228" s="314"/>
      <c r="AE228" s="314"/>
      <c r="AF228" s="314"/>
      <c r="AG228" s="314"/>
      <c r="AH228" s="314"/>
      <c r="AI228" s="314"/>
      <c r="AJ228" s="314"/>
      <c r="AK228" s="314"/>
      <c r="AL228" s="314"/>
      <c r="AM228" s="314"/>
      <c r="AN228" s="314"/>
      <c r="AO228" s="314"/>
      <c r="AP228" s="314"/>
      <c r="AQ228" s="314"/>
      <c r="AR228" s="314"/>
    </row>
    <row r="229">
      <c r="A229" s="314"/>
      <c r="B229" s="314"/>
      <c r="C229" s="314"/>
      <c r="D229" s="314"/>
      <c r="E229" s="314"/>
      <c r="F229" s="314"/>
      <c r="G229" s="314"/>
      <c r="H229" s="314"/>
      <c r="I229" s="314"/>
      <c r="J229" s="314"/>
      <c r="K229" s="314"/>
      <c r="L229" s="314"/>
      <c r="M229" s="314"/>
      <c r="N229" s="314"/>
      <c r="O229" s="314"/>
      <c r="P229" s="314"/>
      <c r="Q229" s="314"/>
      <c r="R229" s="314"/>
      <c r="S229" s="314"/>
      <c r="T229" s="314"/>
      <c r="U229" s="314"/>
      <c r="V229" s="314"/>
      <c r="W229" s="314"/>
      <c r="X229" s="314"/>
      <c r="Y229" s="314"/>
      <c r="Z229" s="314"/>
      <c r="AA229" s="314"/>
      <c r="AB229" s="314"/>
      <c r="AC229" s="314"/>
      <c r="AD229" s="314"/>
      <c r="AE229" s="314"/>
      <c r="AF229" s="314"/>
      <c r="AG229" s="314"/>
      <c r="AH229" s="314"/>
      <c r="AI229" s="314"/>
      <c r="AJ229" s="314"/>
      <c r="AK229" s="314"/>
      <c r="AL229" s="314"/>
      <c r="AM229" s="314"/>
      <c r="AN229" s="314"/>
      <c r="AO229" s="314"/>
      <c r="AP229" s="314"/>
      <c r="AQ229" s="314"/>
      <c r="AR229" s="314"/>
    </row>
    <row r="230">
      <c r="A230" s="314"/>
      <c r="B230" s="314"/>
      <c r="C230" s="314"/>
      <c r="D230" s="314"/>
      <c r="E230" s="314"/>
      <c r="F230" s="314"/>
      <c r="G230" s="314"/>
      <c r="H230" s="314"/>
      <c r="I230" s="314"/>
      <c r="J230" s="314"/>
      <c r="K230" s="314"/>
      <c r="L230" s="314"/>
      <c r="M230" s="314"/>
      <c r="N230" s="314"/>
      <c r="O230" s="314"/>
      <c r="P230" s="314"/>
      <c r="Q230" s="314"/>
      <c r="R230" s="314"/>
      <c r="S230" s="314"/>
      <c r="T230" s="314"/>
      <c r="U230" s="314"/>
      <c r="V230" s="314"/>
      <c r="W230" s="314"/>
      <c r="X230" s="314"/>
      <c r="Y230" s="314"/>
      <c r="Z230" s="314"/>
      <c r="AA230" s="314"/>
      <c r="AB230" s="314"/>
      <c r="AC230" s="314"/>
      <c r="AD230" s="314"/>
      <c r="AE230" s="314"/>
      <c r="AF230" s="314"/>
      <c r="AG230" s="314"/>
      <c r="AH230" s="314"/>
      <c r="AI230" s="314"/>
      <c r="AJ230" s="314"/>
      <c r="AK230" s="314"/>
      <c r="AL230" s="314"/>
      <c r="AM230" s="314"/>
      <c r="AN230" s="314"/>
      <c r="AO230" s="314"/>
      <c r="AP230" s="314"/>
      <c r="AQ230" s="314"/>
      <c r="AR230" s="314"/>
    </row>
    <row r="231">
      <c r="A231" s="314"/>
      <c r="B231" s="314"/>
      <c r="C231" s="314"/>
      <c r="D231" s="314"/>
      <c r="E231" s="314"/>
      <c r="F231" s="314"/>
      <c r="G231" s="314"/>
      <c r="H231" s="314"/>
      <c r="I231" s="314"/>
      <c r="J231" s="314"/>
      <c r="K231" s="314"/>
      <c r="L231" s="314"/>
      <c r="M231" s="314"/>
      <c r="N231" s="314"/>
      <c r="O231" s="314"/>
      <c r="P231" s="314"/>
      <c r="Q231" s="314"/>
      <c r="R231" s="314"/>
      <c r="S231" s="314"/>
      <c r="T231" s="314"/>
      <c r="U231" s="314"/>
      <c r="V231" s="314"/>
      <c r="W231" s="314"/>
      <c r="X231" s="314"/>
      <c r="Y231" s="314"/>
      <c r="Z231" s="314"/>
      <c r="AA231" s="314"/>
      <c r="AB231" s="314"/>
      <c r="AC231" s="314"/>
      <c r="AD231" s="314"/>
      <c r="AE231" s="314"/>
      <c r="AF231" s="314"/>
      <c r="AG231" s="314"/>
      <c r="AH231" s="314"/>
      <c r="AI231" s="314"/>
      <c r="AJ231" s="314"/>
      <c r="AK231" s="314"/>
      <c r="AL231" s="314"/>
      <c r="AM231" s="314"/>
      <c r="AN231" s="314"/>
      <c r="AO231" s="314"/>
      <c r="AP231" s="314"/>
      <c r="AQ231" s="314"/>
      <c r="AR231" s="314"/>
    </row>
    <row r="232">
      <c r="A232" s="314"/>
      <c r="B232" s="314"/>
      <c r="C232" s="314"/>
      <c r="D232" s="314"/>
      <c r="E232" s="314"/>
      <c r="F232" s="314"/>
      <c r="G232" s="314"/>
      <c r="H232" s="314"/>
      <c r="I232" s="314"/>
      <c r="J232" s="314"/>
      <c r="K232" s="314"/>
      <c r="L232" s="314"/>
      <c r="M232" s="314"/>
      <c r="N232" s="314"/>
      <c r="O232" s="314"/>
      <c r="P232" s="314"/>
      <c r="Q232" s="314"/>
      <c r="R232" s="314"/>
      <c r="S232" s="314"/>
      <c r="T232" s="314"/>
      <c r="U232" s="314"/>
      <c r="V232" s="314"/>
      <c r="W232" s="314"/>
      <c r="X232" s="314"/>
      <c r="Y232" s="314"/>
      <c r="Z232" s="314"/>
      <c r="AA232" s="314"/>
      <c r="AB232" s="314"/>
      <c r="AC232" s="314"/>
      <c r="AD232" s="314"/>
      <c r="AE232" s="314"/>
      <c r="AF232" s="314"/>
      <c r="AG232" s="314"/>
      <c r="AH232" s="314"/>
      <c r="AI232" s="314"/>
      <c r="AJ232" s="314"/>
      <c r="AK232" s="314"/>
      <c r="AL232" s="314"/>
      <c r="AM232" s="314"/>
      <c r="AN232" s="314"/>
      <c r="AO232" s="314"/>
      <c r="AP232" s="314"/>
      <c r="AQ232" s="314"/>
      <c r="AR232" s="314"/>
    </row>
    <row r="233">
      <c r="A233" s="314"/>
      <c r="B233" s="314"/>
      <c r="C233" s="314"/>
      <c r="D233" s="314"/>
      <c r="E233" s="314"/>
      <c r="F233" s="314"/>
      <c r="G233" s="314"/>
      <c r="H233" s="314"/>
      <c r="I233" s="314"/>
      <c r="J233" s="314"/>
      <c r="K233" s="314"/>
      <c r="L233" s="314"/>
      <c r="M233" s="314"/>
      <c r="N233" s="314"/>
      <c r="O233" s="314"/>
      <c r="P233" s="314"/>
      <c r="Q233" s="314"/>
      <c r="R233" s="314"/>
      <c r="S233" s="314"/>
      <c r="T233" s="314"/>
      <c r="U233" s="314"/>
      <c r="V233" s="314"/>
      <c r="W233" s="314"/>
      <c r="X233" s="314"/>
      <c r="Y233" s="314"/>
      <c r="Z233" s="314"/>
      <c r="AA233" s="314"/>
      <c r="AB233" s="314"/>
      <c r="AC233" s="314"/>
      <c r="AD233" s="314"/>
      <c r="AE233" s="314"/>
      <c r="AF233" s="314"/>
      <c r="AG233" s="314"/>
      <c r="AH233" s="314"/>
      <c r="AI233" s="314"/>
      <c r="AJ233" s="314"/>
      <c r="AK233" s="314"/>
      <c r="AL233" s="314"/>
      <c r="AM233" s="314"/>
      <c r="AN233" s="314"/>
      <c r="AO233" s="314"/>
      <c r="AP233" s="314"/>
      <c r="AQ233" s="314"/>
      <c r="AR233" s="314"/>
    </row>
    <row r="234">
      <c r="A234" s="314"/>
      <c r="B234" s="314"/>
      <c r="C234" s="314"/>
      <c r="D234" s="314"/>
      <c r="E234" s="314"/>
      <c r="F234" s="314"/>
      <c r="G234" s="314"/>
      <c r="H234" s="314"/>
      <c r="I234" s="314"/>
      <c r="J234" s="314"/>
      <c r="K234" s="314"/>
      <c r="L234" s="314"/>
      <c r="M234" s="314"/>
      <c r="N234" s="314"/>
      <c r="O234" s="314"/>
      <c r="P234" s="314"/>
      <c r="Q234" s="314"/>
      <c r="R234" s="314"/>
      <c r="S234" s="314"/>
      <c r="T234" s="314"/>
      <c r="U234" s="314"/>
      <c r="V234" s="314"/>
      <c r="W234" s="314"/>
      <c r="X234" s="314"/>
      <c r="Y234" s="314"/>
      <c r="Z234" s="314"/>
      <c r="AA234" s="314"/>
      <c r="AB234" s="314"/>
      <c r="AC234" s="314"/>
      <c r="AD234" s="314"/>
      <c r="AE234" s="314"/>
      <c r="AF234" s="314"/>
      <c r="AG234" s="314"/>
      <c r="AH234" s="314"/>
      <c r="AI234" s="314"/>
      <c r="AJ234" s="314"/>
      <c r="AK234" s="314"/>
      <c r="AL234" s="314"/>
      <c r="AM234" s="314"/>
      <c r="AN234" s="314"/>
      <c r="AO234" s="314"/>
      <c r="AP234" s="314"/>
      <c r="AQ234" s="314"/>
      <c r="AR234" s="314"/>
    </row>
    <row r="235">
      <c r="A235" s="314"/>
      <c r="B235" s="314"/>
      <c r="C235" s="314"/>
      <c r="D235" s="314"/>
      <c r="E235" s="314"/>
      <c r="F235" s="314"/>
      <c r="G235" s="314"/>
      <c r="H235" s="314"/>
      <c r="I235" s="314"/>
      <c r="J235" s="314"/>
      <c r="K235" s="314"/>
      <c r="L235" s="314"/>
      <c r="M235" s="314"/>
      <c r="N235" s="314"/>
      <c r="O235" s="314"/>
      <c r="P235" s="314"/>
      <c r="Q235" s="314"/>
      <c r="R235" s="314"/>
      <c r="S235" s="314"/>
      <c r="T235" s="314"/>
      <c r="U235" s="314"/>
      <c r="V235" s="314"/>
      <c r="W235" s="314"/>
      <c r="X235" s="314"/>
      <c r="Y235" s="314"/>
      <c r="Z235" s="314"/>
      <c r="AA235" s="314"/>
      <c r="AB235" s="314"/>
      <c r="AC235" s="314"/>
      <c r="AD235" s="314"/>
      <c r="AE235" s="314"/>
      <c r="AF235" s="314"/>
      <c r="AG235" s="314"/>
      <c r="AH235" s="314"/>
      <c r="AI235" s="314"/>
      <c r="AJ235" s="314"/>
      <c r="AK235" s="314"/>
      <c r="AL235" s="314"/>
      <c r="AM235" s="314"/>
      <c r="AN235" s="314"/>
      <c r="AO235" s="314"/>
      <c r="AP235" s="314"/>
      <c r="AQ235" s="314"/>
      <c r="AR235" s="314"/>
    </row>
    <row r="236">
      <c r="A236" s="314"/>
      <c r="B236" s="314"/>
      <c r="C236" s="314"/>
      <c r="D236" s="314"/>
      <c r="E236" s="314"/>
      <c r="F236" s="314"/>
      <c r="G236" s="314"/>
      <c r="H236" s="314"/>
      <c r="I236" s="314"/>
      <c r="J236" s="314"/>
      <c r="K236" s="314"/>
      <c r="L236" s="314"/>
      <c r="M236" s="314"/>
      <c r="N236" s="314"/>
      <c r="O236" s="314"/>
      <c r="P236" s="314"/>
      <c r="Q236" s="314"/>
      <c r="R236" s="314"/>
      <c r="S236" s="314"/>
      <c r="T236" s="314"/>
      <c r="U236" s="314"/>
      <c r="V236" s="314"/>
      <c r="W236" s="314"/>
      <c r="X236" s="314"/>
      <c r="Y236" s="314"/>
      <c r="Z236" s="314"/>
      <c r="AA236" s="314"/>
      <c r="AB236" s="314"/>
      <c r="AC236" s="314"/>
      <c r="AD236" s="314"/>
      <c r="AE236" s="314"/>
      <c r="AF236" s="314"/>
      <c r="AG236" s="314"/>
      <c r="AH236" s="314"/>
      <c r="AI236" s="314"/>
      <c r="AJ236" s="314"/>
      <c r="AK236" s="314"/>
      <c r="AL236" s="314"/>
      <c r="AM236" s="314"/>
      <c r="AN236" s="314"/>
      <c r="AO236" s="314"/>
      <c r="AP236" s="314"/>
      <c r="AQ236" s="314"/>
      <c r="AR236" s="314"/>
    </row>
    <row r="237">
      <c r="A237" s="314"/>
      <c r="B237" s="314"/>
      <c r="C237" s="314"/>
      <c r="D237" s="314"/>
      <c r="E237" s="314"/>
      <c r="F237" s="314"/>
      <c r="G237" s="314"/>
      <c r="H237" s="314"/>
      <c r="I237" s="314"/>
      <c r="J237" s="314"/>
      <c r="K237" s="314"/>
      <c r="L237" s="314"/>
      <c r="M237" s="314"/>
      <c r="N237" s="314"/>
      <c r="O237" s="314"/>
      <c r="P237" s="314"/>
      <c r="Q237" s="314"/>
      <c r="R237" s="314"/>
      <c r="S237" s="314"/>
      <c r="T237" s="314"/>
      <c r="U237" s="314"/>
      <c r="V237" s="314"/>
      <c r="W237" s="314"/>
      <c r="X237" s="314"/>
      <c r="Y237" s="314"/>
      <c r="Z237" s="314"/>
      <c r="AA237" s="314"/>
      <c r="AB237" s="314"/>
      <c r="AC237" s="314"/>
      <c r="AD237" s="314"/>
      <c r="AE237" s="314"/>
      <c r="AF237" s="314"/>
      <c r="AG237" s="314"/>
      <c r="AH237" s="314"/>
      <c r="AI237" s="314"/>
      <c r="AJ237" s="314"/>
      <c r="AK237" s="314"/>
      <c r="AL237" s="314"/>
      <c r="AM237" s="314"/>
      <c r="AN237" s="314"/>
      <c r="AO237" s="314"/>
      <c r="AP237" s="314"/>
      <c r="AQ237" s="314"/>
      <c r="AR237" s="314"/>
    </row>
    <row r="238">
      <c r="A238" s="314"/>
      <c r="B238" s="314"/>
      <c r="C238" s="314"/>
      <c r="D238" s="314"/>
      <c r="E238" s="314"/>
      <c r="F238" s="314"/>
      <c r="G238" s="314"/>
      <c r="H238" s="314"/>
      <c r="I238" s="314"/>
      <c r="J238" s="314"/>
      <c r="K238" s="314"/>
      <c r="L238" s="314"/>
      <c r="M238" s="314"/>
      <c r="N238" s="314"/>
      <c r="O238" s="314"/>
      <c r="P238" s="314"/>
      <c r="Q238" s="314"/>
      <c r="R238" s="314"/>
      <c r="S238" s="314"/>
      <c r="T238" s="314"/>
      <c r="U238" s="314"/>
      <c r="V238" s="314"/>
      <c r="W238" s="314"/>
      <c r="X238" s="314"/>
      <c r="Y238" s="314"/>
      <c r="Z238" s="314"/>
      <c r="AA238" s="314"/>
      <c r="AB238" s="314"/>
      <c r="AC238" s="314"/>
      <c r="AD238" s="314"/>
      <c r="AE238" s="314"/>
      <c r="AF238" s="314"/>
      <c r="AG238" s="314"/>
      <c r="AH238" s="314"/>
      <c r="AI238" s="314"/>
      <c r="AJ238" s="314"/>
      <c r="AK238" s="314"/>
      <c r="AL238" s="314"/>
      <c r="AM238" s="314"/>
      <c r="AN238" s="314"/>
      <c r="AO238" s="314"/>
      <c r="AP238" s="314"/>
      <c r="AQ238" s="314"/>
      <c r="AR238" s="314"/>
    </row>
    <row r="239">
      <c r="A239" s="314"/>
      <c r="B239" s="314"/>
      <c r="C239" s="314"/>
      <c r="D239" s="314"/>
      <c r="E239" s="314"/>
      <c r="F239" s="314"/>
      <c r="G239" s="314"/>
      <c r="H239" s="314"/>
      <c r="I239" s="314"/>
      <c r="J239" s="314"/>
      <c r="K239" s="314"/>
      <c r="L239" s="314"/>
      <c r="M239" s="314"/>
      <c r="N239" s="314"/>
      <c r="O239" s="314"/>
      <c r="P239" s="314"/>
      <c r="Q239" s="314"/>
      <c r="R239" s="314"/>
      <c r="S239" s="314"/>
      <c r="T239" s="314"/>
      <c r="U239" s="314"/>
      <c r="V239" s="314"/>
      <c r="W239" s="314"/>
      <c r="X239" s="314"/>
      <c r="Y239" s="314"/>
      <c r="Z239" s="314"/>
      <c r="AA239" s="314"/>
      <c r="AB239" s="314"/>
      <c r="AC239" s="314"/>
      <c r="AD239" s="314"/>
      <c r="AE239" s="314"/>
      <c r="AF239" s="314"/>
      <c r="AG239" s="314"/>
      <c r="AH239" s="314"/>
      <c r="AI239" s="314"/>
      <c r="AJ239" s="314"/>
      <c r="AK239" s="314"/>
      <c r="AL239" s="314"/>
      <c r="AM239" s="314"/>
      <c r="AN239" s="314"/>
      <c r="AO239" s="314"/>
      <c r="AP239" s="314"/>
      <c r="AQ239" s="314"/>
      <c r="AR239" s="314"/>
    </row>
    <row r="240">
      <c r="A240" s="314"/>
      <c r="B240" s="314"/>
      <c r="C240" s="314"/>
      <c r="D240" s="314"/>
      <c r="E240" s="314"/>
      <c r="F240" s="314"/>
      <c r="G240" s="314"/>
      <c r="H240" s="314"/>
      <c r="I240" s="314"/>
      <c r="J240" s="314"/>
      <c r="K240" s="314"/>
      <c r="L240" s="314"/>
      <c r="M240" s="314"/>
      <c r="N240" s="314"/>
      <c r="O240" s="314"/>
      <c r="P240" s="314"/>
      <c r="Q240" s="314"/>
      <c r="R240" s="314"/>
      <c r="S240" s="314"/>
      <c r="T240" s="314"/>
      <c r="U240" s="314"/>
      <c r="V240" s="314"/>
      <c r="W240" s="314"/>
      <c r="X240" s="314"/>
      <c r="Y240" s="314"/>
      <c r="Z240" s="314"/>
      <c r="AA240" s="314"/>
      <c r="AB240" s="314"/>
      <c r="AC240" s="314"/>
      <c r="AD240" s="314"/>
      <c r="AE240" s="314"/>
      <c r="AF240" s="314"/>
      <c r="AG240" s="314"/>
      <c r="AH240" s="314"/>
      <c r="AI240" s="314"/>
      <c r="AJ240" s="314"/>
      <c r="AK240" s="314"/>
      <c r="AL240" s="314"/>
      <c r="AM240" s="314"/>
      <c r="AN240" s="314"/>
      <c r="AO240" s="314"/>
      <c r="AP240" s="314"/>
      <c r="AQ240" s="314"/>
      <c r="AR240" s="314"/>
    </row>
    <row r="241">
      <c r="A241" s="314"/>
      <c r="B241" s="314"/>
      <c r="C241" s="314"/>
      <c r="D241" s="314"/>
      <c r="E241" s="314"/>
      <c r="F241" s="314"/>
      <c r="G241" s="314"/>
      <c r="H241" s="314"/>
      <c r="I241" s="314"/>
      <c r="J241" s="314"/>
      <c r="K241" s="314"/>
      <c r="L241" s="314"/>
      <c r="M241" s="314"/>
      <c r="N241" s="314"/>
      <c r="O241" s="314"/>
      <c r="P241" s="314"/>
      <c r="Q241" s="314"/>
      <c r="R241" s="314"/>
      <c r="S241" s="314"/>
      <c r="T241" s="314"/>
      <c r="U241" s="314"/>
      <c r="V241" s="314"/>
      <c r="W241" s="314"/>
      <c r="X241" s="314"/>
      <c r="Y241" s="314"/>
      <c r="Z241" s="314"/>
      <c r="AA241" s="314"/>
      <c r="AB241" s="314"/>
      <c r="AC241" s="314"/>
      <c r="AD241" s="314"/>
      <c r="AE241" s="314"/>
      <c r="AF241" s="314"/>
      <c r="AG241" s="314"/>
      <c r="AH241" s="314"/>
      <c r="AI241" s="314"/>
      <c r="AJ241" s="314"/>
      <c r="AK241" s="314"/>
      <c r="AL241" s="314"/>
      <c r="AM241" s="314"/>
      <c r="AN241" s="314"/>
      <c r="AO241" s="314"/>
      <c r="AP241" s="314"/>
      <c r="AQ241" s="314"/>
      <c r="AR241" s="314"/>
    </row>
    <row r="242">
      <c r="A242" s="314"/>
      <c r="B242" s="314"/>
      <c r="C242" s="314"/>
      <c r="D242" s="314"/>
      <c r="E242" s="314"/>
      <c r="F242" s="314"/>
      <c r="G242" s="314"/>
      <c r="H242" s="314"/>
      <c r="I242" s="314"/>
      <c r="J242" s="314"/>
      <c r="K242" s="314"/>
      <c r="L242" s="314"/>
      <c r="M242" s="314"/>
      <c r="N242" s="314"/>
      <c r="O242" s="314"/>
      <c r="P242" s="314"/>
      <c r="Q242" s="314"/>
      <c r="R242" s="314"/>
      <c r="S242" s="314"/>
      <c r="T242" s="314"/>
      <c r="U242" s="314"/>
      <c r="V242" s="314"/>
      <c r="W242" s="314"/>
      <c r="X242" s="314"/>
      <c r="Y242" s="314"/>
      <c r="Z242" s="314"/>
      <c r="AA242" s="314"/>
      <c r="AB242" s="314"/>
      <c r="AC242" s="314"/>
      <c r="AD242" s="314"/>
      <c r="AE242" s="314"/>
      <c r="AF242" s="314"/>
      <c r="AG242" s="314"/>
      <c r="AH242" s="314"/>
      <c r="AI242" s="314"/>
      <c r="AJ242" s="314"/>
      <c r="AK242" s="314"/>
      <c r="AL242" s="314"/>
      <c r="AM242" s="314"/>
      <c r="AN242" s="314"/>
      <c r="AO242" s="314"/>
      <c r="AP242" s="314"/>
      <c r="AQ242" s="314"/>
      <c r="AR242" s="314"/>
    </row>
    <row r="243">
      <c r="A243" s="314"/>
      <c r="B243" s="314"/>
      <c r="C243" s="314"/>
      <c r="D243" s="314"/>
      <c r="E243" s="314"/>
      <c r="F243" s="314"/>
      <c r="G243" s="314"/>
      <c r="H243" s="314"/>
      <c r="I243" s="314"/>
      <c r="J243" s="314"/>
      <c r="K243" s="314"/>
      <c r="L243" s="314"/>
      <c r="M243" s="314"/>
      <c r="N243" s="314"/>
      <c r="O243" s="314"/>
      <c r="P243" s="314"/>
      <c r="Q243" s="314"/>
      <c r="R243" s="314"/>
      <c r="S243" s="314"/>
      <c r="T243" s="314"/>
      <c r="U243" s="314"/>
      <c r="V243" s="314"/>
      <c r="W243" s="314"/>
      <c r="X243" s="314"/>
      <c r="Y243" s="314"/>
      <c r="Z243" s="314"/>
      <c r="AA243" s="314"/>
      <c r="AB243" s="314"/>
      <c r="AC243" s="314"/>
      <c r="AD243" s="314"/>
      <c r="AE243" s="314"/>
      <c r="AF243" s="314"/>
      <c r="AG243" s="314"/>
      <c r="AH243" s="314"/>
      <c r="AI243" s="314"/>
      <c r="AJ243" s="314"/>
      <c r="AK243" s="314"/>
      <c r="AL243" s="314"/>
      <c r="AM243" s="314"/>
      <c r="AN243" s="314"/>
      <c r="AO243" s="314"/>
      <c r="AP243" s="314"/>
      <c r="AQ243" s="314"/>
      <c r="AR243" s="314"/>
    </row>
    <row r="244">
      <c r="A244" s="314"/>
      <c r="B244" s="314"/>
      <c r="C244" s="314"/>
      <c r="D244" s="314"/>
      <c r="E244" s="314"/>
      <c r="F244" s="314"/>
      <c r="G244" s="314"/>
      <c r="H244" s="314"/>
      <c r="I244" s="314"/>
      <c r="J244" s="314"/>
      <c r="K244" s="314"/>
      <c r="L244" s="314"/>
      <c r="M244" s="314"/>
      <c r="N244" s="314"/>
      <c r="O244" s="314"/>
      <c r="P244" s="314"/>
      <c r="Q244" s="314"/>
      <c r="R244" s="314"/>
      <c r="S244" s="314"/>
      <c r="T244" s="314"/>
      <c r="U244" s="314"/>
      <c r="V244" s="314"/>
      <c r="W244" s="314"/>
      <c r="X244" s="314"/>
      <c r="Y244" s="314"/>
      <c r="Z244" s="314"/>
      <c r="AA244" s="314"/>
      <c r="AB244" s="314"/>
      <c r="AC244" s="314"/>
      <c r="AD244" s="314"/>
      <c r="AE244" s="314"/>
      <c r="AF244" s="314"/>
      <c r="AG244" s="314"/>
      <c r="AH244" s="314"/>
      <c r="AI244" s="314"/>
      <c r="AJ244" s="314"/>
      <c r="AK244" s="314"/>
      <c r="AL244" s="314"/>
      <c r="AM244" s="314"/>
      <c r="AN244" s="314"/>
      <c r="AO244" s="314"/>
      <c r="AP244" s="314"/>
      <c r="AQ244" s="314"/>
      <c r="AR244" s="314"/>
    </row>
    <row r="245">
      <c r="A245" s="314"/>
      <c r="B245" s="314"/>
      <c r="C245" s="314"/>
      <c r="D245" s="314"/>
      <c r="E245" s="314"/>
      <c r="F245" s="314"/>
      <c r="G245" s="314"/>
      <c r="H245" s="314"/>
      <c r="I245" s="314"/>
      <c r="J245" s="314"/>
      <c r="K245" s="314"/>
      <c r="L245" s="314"/>
      <c r="M245" s="314"/>
      <c r="N245" s="314"/>
      <c r="O245" s="314"/>
      <c r="P245" s="314"/>
      <c r="Q245" s="314"/>
      <c r="R245" s="314"/>
      <c r="S245" s="314"/>
      <c r="T245" s="314"/>
      <c r="U245" s="314"/>
      <c r="V245" s="314"/>
      <c r="W245" s="314"/>
      <c r="X245" s="314"/>
      <c r="Y245" s="314"/>
      <c r="Z245" s="314"/>
      <c r="AA245" s="314"/>
      <c r="AB245" s="314"/>
      <c r="AC245" s="314"/>
      <c r="AD245" s="314"/>
      <c r="AE245" s="314"/>
      <c r="AF245" s="314"/>
      <c r="AG245" s="314"/>
      <c r="AH245" s="314"/>
      <c r="AI245" s="314"/>
      <c r="AJ245" s="314"/>
      <c r="AK245" s="314"/>
      <c r="AL245" s="314"/>
      <c r="AM245" s="314"/>
      <c r="AN245" s="314"/>
      <c r="AO245" s="314"/>
      <c r="AP245" s="314"/>
      <c r="AQ245" s="314"/>
      <c r="AR245" s="314"/>
    </row>
    <row r="246">
      <c r="A246" s="314"/>
      <c r="B246" s="314"/>
      <c r="C246" s="314"/>
      <c r="D246" s="314"/>
      <c r="E246" s="314"/>
      <c r="F246" s="314"/>
      <c r="G246" s="314"/>
      <c r="H246" s="314"/>
      <c r="I246" s="314"/>
      <c r="J246" s="314"/>
      <c r="K246" s="314"/>
      <c r="L246" s="314"/>
      <c r="M246" s="314"/>
      <c r="N246" s="314"/>
      <c r="O246" s="314"/>
      <c r="P246" s="314"/>
      <c r="Q246" s="314"/>
      <c r="R246" s="314"/>
      <c r="S246" s="314"/>
      <c r="T246" s="314"/>
      <c r="U246" s="314"/>
      <c r="V246" s="314"/>
      <c r="W246" s="314"/>
      <c r="X246" s="314"/>
      <c r="Y246" s="314"/>
      <c r="Z246" s="314"/>
      <c r="AA246" s="314"/>
      <c r="AB246" s="314"/>
      <c r="AC246" s="314"/>
      <c r="AD246" s="314"/>
      <c r="AE246" s="314"/>
      <c r="AF246" s="314"/>
      <c r="AG246" s="314"/>
      <c r="AH246" s="314"/>
      <c r="AI246" s="314"/>
      <c r="AJ246" s="314"/>
      <c r="AK246" s="314"/>
      <c r="AL246" s="314"/>
      <c r="AM246" s="314"/>
      <c r="AN246" s="314"/>
      <c r="AO246" s="314"/>
      <c r="AP246" s="314"/>
      <c r="AQ246" s="314"/>
      <c r="AR246" s="314"/>
    </row>
    <row r="247">
      <c r="A247" s="314"/>
      <c r="B247" s="314"/>
      <c r="C247" s="314"/>
      <c r="D247" s="314"/>
      <c r="E247" s="314"/>
      <c r="F247" s="314"/>
      <c r="G247" s="314"/>
      <c r="H247" s="314"/>
      <c r="I247" s="314"/>
      <c r="J247" s="314"/>
      <c r="K247" s="314"/>
      <c r="L247" s="314"/>
      <c r="M247" s="314"/>
      <c r="N247" s="314"/>
      <c r="O247" s="314"/>
      <c r="P247" s="314"/>
      <c r="Q247" s="314"/>
      <c r="R247" s="314"/>
      <c r="S247" s="314"/>
      <c r="T247" s="314"/>
      <c r="U247" s="314"/>
      <c r="V247" s="314"/>
      <c r="W247" s="314"/>
      <c r="X247" s="314"/>
      <c r="Y247" s="314"/>
      <c r="Z247" s="314"/>
      <c r="AA247" s="314"/>
      <c r="AB247" s="314"/>
      <c r="AC247" s="314"/>
      <c r="AD247" s="314"/>
      <c r="AE247" s="314"/>
      <c r="AF247" s="314"/>
      <c r="AG247" s="314"/>
      <c r="AH247" s="314"/>
      <c r="AI247" s="314"/>
      <c r="AJ247" s="314"/>
      <c r="AK247" s="314"/>
      <c r="AL247" s="314"/>
      <c r="AM247" s="314"/>
      <c r="AN247" s="314"/>
      <c r="AO247" s="314"/>
      <c r="AP247" s="314"/>
      <c r="AQ247" s="314"/>
      <c r="AR247" s="314"/>
    </row>
    <row r="248">
      <c r="A248" s="314"/>
      <c r="B248" s="314"/>
      <c r="C248" s="314"/>
      <c r="D248" s="314"/>
      <c r="E248" s="314"/>
      <c r="F248" s="314"/>
      <c r="G248" s="314"/>
      <c r="H248" s="314"/>
      <c r="I248" s="314"/>
      <c r="J248" s="314"/>
      <c r="K248" s="314"/>
      <c r="L248" s="314"/>
      <c r="M248" s="314"/>
      <c r="N248" s="314"/>
      <c r="O248" s="314"/>
      <c r="P248" s="314"/>
      <c r="Q248" s="314"/>
      <c r="R248" s="314"/>
      <c r="S248" s="314"/>
      <c r="T248" s="314"/>
      <c r="U248" s="314"/>
      <c r="V248" s="314"/>
      <c r="W248" s="314"/>
      <c r="X248" s="314"/>
      <c r="Y248" s="314"/>
      <c r="Z248" s="314"/>
      <c r="AA248" s="314"/>
      <c r="AB248" s="314"/>
      <c r="AC248" s="314"/>
      <c r="AD248" s="314"/>
      <c r="AE248" s="314"/>
      <c r="AF248" s="314"/>
      <c r="AG248" s="314"/>
      <c r="AH248" s="314"/>
      <c r="AI248" s="314"/>
      <c r="AJ248" s="314"/>
      <c r="AK248" s="314"/>
      <c r="AL248" s="314"/>
      <c r="AM248" s="314"/>
      <c r="AN248" s="314"/>
      <c r="AO248" s="314"/>
      <c r="AP248" s="314"/>
      <c r="AQ248" s="314"/>
      <c r="AR248" s="314"/>
    </row>
    <row r="249">
      <c r="A249" s="314"/>
      <c r="B249" s="314"/>
      <c r="C249" s="314"/>
      <c r="D249" s="314"/>
      <c r="E249" s="314"/>
      <c r="F249" s="314"/>
      <c r="G249" s="314"/>
      <c r="H249" s="314"/>
      <c r="I249" s="314"/>
      <c r="J249" s="314"/>
      <c r="K249" s="314"/>
      <c r="L249" s="314"/>
      <c r="M249" s="314"/>
      <c r="N249" s="314"/>
      <c r="O249" s="314"/>
      <c r="P249" s="314"/>
      <c r="Q249" s="314"/>
      <c r="R249" s="314"/>
      <c r="S249" s="314"/>
      <c r="T249" s="314"/>
      <c r="U249" s="314"/>
      <c r="V249" s="314"/>
      <c r="W249" s="314"/>
      <c r="X249" s="314"/>
      <c r="Y249" s="314"/>
      <c r="Z249" s="314"/>
      <c r="AA249" s="314"/>
      <c r="AB249" s="314"/>
      <c r="AC249" s="314"/>
      <c r="AD249" s="314"/>
      <c r="AE249" s="314"/>
      <c r="AF249" s="314"/>
      <c r="AG249" s="314"/>
      <c r="AH249" s="314"/>
      <c r="AI249" s="314"/>
      <c r="AJ249" s="314"/>
      <c r="AK249" s="314"/>
      <c r="AL249" s="314"/>
      <c r="AM249" s="314"/>
      <c r="AN249" s="314"/>
      <c r="AO249" s="314"/>
      <c r="AP249" s="314"/>
      <c r="AQ249" s="314"/>
      <c r="AR249" s="314"/>
    </row>
    <row r="250">
      <c r="A250" s="314"/>
      <c r="B250" s="314"/>
      <c r="C250" s="314"/>
      <c r="D250" s="314"/>
      <c r="E250" s="314"/>
      <c r="F250" s="314"/>
      <c r="G250" s="314"/>
      <c r="H250" s="314"/>
      <c r="I250" s="314"/>
      <c r="J250" s="314"/>
      <c r="K250" s="314"/>
      <c r="L250" s="314"/>
      <c r="M250" s="314"/>
      <c r="N250" s="314"/>
      <c r="O250" s="314"/>
      <c r="P250" s="314"/>
      <c r="Q250" s="314"/>
      <c r="R250" s="314"/>
      <c r="S250" s="314"/>
      <c r="T250" s="314"/>
      <c r="U250" s="314"/>
      <c r="V250" s="314"/>
      <c r="W250" s="314"/>
      <c r="X250" s="314"/>
      <c r="Y250" s="314"/>
      <c r="Z250" s="314"/>
      <c r="AA250" s="314"/>
      <c r="AB250" s="314"/>
      <c r="AC250" s="314"/>
      <c r="AD250" s="314"/>
      <c r="AE250" s="314"/>
      <c r="AF250" s="314"/>
      <c r="AG250" s="314"/>
      <c r="AH250" s="314"/>
      <c r="AI250" s="314"/>
      <c r="AJ250" s="314"/>
      <c r="AK250" s="314"/>
      <c r="AL250" s="314"/>
      <c r="AM250" s="314"/>
      <c r="AN250" s="314"/>
      <c r="AO250" s="314"/>
      <c r="AP250" s="314"/>
      <c r="AQ250" s="314"/>
      <c r="AR250" s="314"/>
    </row>
    <row r="251">
      <c r="A251" s="314"/>
      <c r="B251" s="314"/>
      <c r="C251" s="314"/>
      <c r="D251" s="314"/>
      <c r="E251" s="314"/>
      <c r="F251" s="314"/>
      <c r="G251" s="314"/>
      <c r="H251" s="314"/>
      <c r="I251" s="314"/>
      <c r="J251" s="314"/>
      <c r="K251" s="314"/>
      <c r="L251" s="314"/>
      <c r="M251" s="314"/>
      <c r="N251" s="314"/>
      <c r="O251" s="314"/>
      <c r="P251" s="314"/>
      <c r="Q251" s="314"/>
      <c r="R251" s="314"/>
      <c r="S251" s="314"/>
      <c r="T251" s="314"/>
      <c r="U251" s="314"/>
      <c r="V251" s="314"/>
      <c r="W251" s="314"/>
      <c r="X251" s="314"/>
      <c r="Y251" s="314"/>
      <c r="Z251" s="314"/>
      <c r="AA251" s="314"/>
      <c r="AB251" s="314"/>
      <c r="AC251" s="314"/>
      <c r="AD251" s="314"/>
      <c r="AE251" s="314"/>
      <c r="AF251" s="314"/>
      <c r="AG251" s="314"/>
      <c r="AH251" s="314"/>
      <c r="AI251" s="314"/>
      <c r="AJ251" s="314"/>
      <c r="AK251" s="314"/>
      <c r="AL251" s="314"/>
      <c r="AM251" s="314"/>
      <c r="AN251" s="314"/>
      <c r="AO251" s="314"/>
      <c r="AP251" s="314"/>
      <c r="AQ251" s="314"/>
      <c r="AR251" s="314"/>
    </row>
    <row r="252">
      <c r="A252" s="314"/>
      <c r="B252" s="314"/>
      <c r="C252" s="314"/>
      <c r="D252" s="314"/>
      <c r="E252" s="314"/>
      <c r="F252" s="314"/>
      <c r="G252" s="314"/>
      <c r="H252" s="314"/>
      <c r="I252" s="314"/>
      <c r="J252" s="314"/>
      <c r="K252" s="314"/>
      <c r="L252" s="314"/>
      <c r="M252" s="314"/>
      <c r="N252" s="314"/>
      <c r="O252" s="314"/>
      <c r="P252" s="314"/>
      <c r="Q252" s="314"/>
      <c r="R252" s="314"/>
      <c r="S252" s="314"/>
      <c r="T252" s="314"/>
      <c r="U252" s="314"/>
      <c r="V252" s="314"/>
      <c r="W252" s="314"/>
      <c r="X252" s="314"/>
      <c r="Y252" s="314"/>
      <c r="Z252" s="314"/>
      <c r="AA252" s="314"/>
      <c r="AB252" s="314"/>
      <c r="AC252" s="314"/>
      <c r="AD252" s="314"/>
      <c r="AE252" s="314"/>
      <c r="AF252" s="314"/>
      <c r="AG252" s="314"/>
      <c r="AH252" s="314"/>
      <c r="AI252" s="314"/>
      <c r="AJ252" s="314"/>
      <c r="AK252" s="314"/>
      <c r="AL252" s="314"/>
      <c r="AM252" s="314"/>
      <c r="AN252" s="314"/>
      <c r="AO252" s="314"/>
      <c r="AP252" s="314"/>
      <c r="AQ252" s="314"/>
      <c r="AR252" s="314"/>
    </row>
    <row r="253">
      <c r="A253" s="314"/>
      <c r="B253" s="314"/>
      <c r="C253" s="314"/>
      <c r="D253" s="314"/>
      <c r="E253" s="314"/>
      <c r="F253" s="314"/>
      <c r="G253" s="314"/>
      <c r="H253" s="314"/>
      <c r="I253" s="314"/>
      <c r="J253" s="314"/>
      <c r="K253" s="314"/>
      <c r="L253" s="314"/>
      <c r="M253" s="314"/>
      <c r="N253" s="314"/>
      <c r="O253" s="314"/>
      <c r="P253" s="314"/>
      <c r="Q253" s="314"/>
      <c r="R253" s="314"/>
      <c r="S253" s="314"/>
      <c r="T253" s="314"/>
      <c r="U253" s="314"/>
      <c r="V253" s="314"/>
      <c r="W253" s="314"/>
      <c r="X253" s="314"/>
      <c r="Y253" s="314"/>
      <c r="Z253" s="314"/>
      <c r="AA253" s="314"/>
      <c r="AB253" s="314"/>
      <c r="AC253" s="314"/>
      <c r="AD253" s="314"/>
      <c r="AE253" s="314"/>
      <c r="AF253" s="314"/>
      <c r="AG253" s="314"/>
      <c r="AH253" s="314"/>
      <c r="AI253" s="314"/>
      <c r="AJ253" s="314"/>
      <c r="AK253" s="314"/>
      <c r="AL253" s="314"/>
      <c r="AM253" s="314"/>
      <c r="AN253" s="314"/>
      <c r="AO253" s="314"/>
      <c r="AP253" s="314"/>
      <c r="AQ253" s="314"/>
      <c r="AR253" s="314"/>
    </row>
    <row r="254">
      <c r="A254" s="314"/>
      <c r="B254" s="314"/>
      <c r="C254" s="314"/>
      <c r="D254" s="314"/>
      <c r="E254" s="314"/>
      <c r="F254" s="314"/>
      <c r="G254" s="314"/>
      <c r="H254" s="314"/>
      <c r="I254" s="314"/>
      <c r="J254" s="314"/>
      <c r="K254" s="314"/>
      <c r="L254" s="314"/>
      <c r="M254" s="314"/>
      <c r="N254" s="314"/>
      <c r="O254" s="314"/>
      <c r="P254" s="314"/>
      <c r="Q254" s="314"/>
      <c r="R254" s="314"/>
      <c r="S254" s="314"/>
      <c r="T254" s="314"/>
      <c r="U254" s="314"/>
      <c r="V254" s="314"/>
      <c r="W254" s="314"/>
      <c r="X254" s="314"/>
      <c r="Y254" s="314"/>
      <c r="Z254" s="314"/>
      <c r="AA254" s="314"/>
      <c r="AB254" s="314"/>
      <c r="AC254" s="314"/>
      <c r="AD254" s="314"/>
      <c r="AE254" s="314"/>
      <c r="AF254" s="314"/>
      <c r="AG254" s="314"/>
      <c r="AH254" s="314"/>
      <c r="AI254" s="314"/>
      <c r="AJ254" s="314"/>
      <c r="AK254" s="314"/>
      <c r="AL254" s="314"/>
      <c r="AM254" s="314"/>
      <c r="AN254" s="314"/>
      <c r="AO254" s="314"/>
      <c r="AP254" s="314"/>
      <c r="AQ254" s="314"/>
      <c r="AR254" s="314"/>
    </row>
    <row r="255">
      <c r="A255" s="314"/>
      <c r="B255" s="314"/>
      <c r="C255" s="314"/>
      <c r="D255" s="314"/>
      <c r="E255" s="314"/>
      <c r="F255" s="314"/>
      <c r="G255" s="314"/>
      <c r="H255" s="314"/>
      <c r="I255" s="314"/>
      <c r="J255" s="314"/>
      <c r="K255" s="314"/>
      <c r="L255" s="314"/>
      <c r="M255" s="314"/>
      <c r="N255" s="314"/>
      <c r="O255" s="314"/>
      <c r="P255" s="314"/>
      <c r="Q255" s="314"/>
      <c r="R255" s="314"/>
      <c r="S255" s="314"/>
      <c r="T255" s="314"/>
      <c r="U255" s="314"/>
      <c r="V255" s="314"/>
      <c r="W255" s="314"/>
      <c r="X255" s="314"/>
      <c r="Y255" s="314"/>
      <c r="Z255" s="314"/>
      <c r="AA255" s="314"/>
      <c r="AB255" s="314"/>
      <c r="AC255" s="314"/>
      <c r="AD255" s="314"/>
      <c r="AE255" s="314"/>
      <c r="AF255" s="314"/>
      <c r="AG255" s="314"/>
      <c r="AH255" s="314"/>
      <c r="AI255" s="314"/>
      <c r="AJ255" s="314"/>
      <c r="AK255" s="314"/>
      <c r="AL255" s="314"/>
      <c r="AM255" s="314"/>
      <c r="AN255" s="314"/>
      <c r="AO255" s="314"/>
      <c r="AP255" s="314"/>
      <c r="AQ255" s="314"/>
      <c r="AR255" s="314"/>
    </row>
  </sheetData>
  <autoFilter ref="$A$1:$AL$156">
    <filterColumn colId="2">
      <filters blank="1">
        <filter val="NCon"/>
      </filters>
    </filterColumn>
    <sortState ref="A1:AL156">
      <sortCondition ref="A1:A156"/>
      <sortCondition ref="C1:C156"/>
    </sortState>
  </autoFilter>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13"/>
    <col customWidth="1" min="2" max="2" width="2.25"/>
    <col customWidth="1" min="3" max="3" width="20.25"/>
    <col customWidth="1" min="4" max="4" width="14.0"/>
    <col customWidth="1" min="5" max="5" width="19.5"/>
    <col customWidth="1" min="7" max="7" width="21.5"/>
    <col customWidth="1" min="9" max="9" width="18.25"/>
  </cols>
  <sheetData>
    <row r="1">
      <c r="C1" s="317"/>
      <c r="D1" s="318"/>
      <c r="E1" s="318"/>
      <c r="F1" s="318"/>
      <c r="G1" s="318"/>
    </row>
    <row r="2" ht="20.25" customHeight="1">
      <c r="C2" s="319" t="s">
        <v>1029</v>
      </c>
      <c r="D2" s="283"/>
      <c r="E2" s="283"/>
      <c r="F2" s="283"/>
      <c r="G2" s="284"/>
      <c r="H2" s="317"/>
      <c r="I2" s="317"/>
      <c r="J2" s="317"/>
      <c r="K2" s="317"/>
      <c r="L2" s="317"/>
    </row>
    <row r="4">
      <c r="A4" s="241"/>
      <c r="B4" s="320"/>
      <c r="C4" s="321" t="s">
        <v>4</v>
      </c>
      <c r="D4" s="322" t="s">
        <v>1030</v>
      </c>
      <c r="E4" s="323"/>
      <c r="I4" s="323"/>
      <c r="J4" s="323"/>
      <c r="K4" s="241"/>
      <c r="L4" s="241"/>
      <c r="M4" s="241"/>
      <c r="N4" s="241"/>
      <c r="O4" s="241"/>
      <c r="P4" s="241"/>
      <c r="Q4" s="241"/>
      <c r="R4" s="241"/>
      <c r="S4" s="241"/>
      <c r="T4" s="241"/>
      <c r="U4" s="241"/>
      <c r="V4" s="241"/>
      <c r="W4" s="241"/>
      <c r="X4" s="241"/>
      <c r="Y4" s="241"/>
      <c r="Z4" s="241"/>
      <c r="AA4" s="241"/>
    </row>
    <row r="5">
      <c r="A5" s="300"/>
      <c r="B5" s="324"/>
      <c r="C5" s="325" t="s">
        <v>109</v>
      </c>
      <c r="D5" s="326">
        <v>6.0</v>
      </c>
      <c r="E5" s="96"/>
    </row>
    <row r="6">
      <c r="A6" s="300"/>
      <c r="B6" s="324" t="s">
        <v>1031</v>
      </c>
      <c r="C6" s="229" t="s">
        <v>80</v>
      </c>
      <c r="D6" s="326">
        <v>6.0</v>
      </c>
      <c r="E6" s="96"/>
    </row>
    <row r="7">
      <c r="A7" s="300"/>
      <c r="B7" s="327"/>
      <c r="C7" s="229" t="s">
        <v>87</v>
      </c>
      <c r="D7" s="326">
        <v>6.0</v>
      </c>
    </row>
    <row r="8">
      <c r="A8" s="300"/>
      <c r="B8" s="327"/>
      <c r="C8" s="229" t="s">
        <v>426</v>
      </c>
      <c r="D8" s="326">
        <v>6.0</v>
      </c>
    </row>
    <row r="9">
      <c r="A9" s="300"/>
      <c r="B9" s="327"/>
      <c r="C9" s="229" t="s">
        <v>45</v>
      </c>
      <c r="D9" s="326">
        <v>6.0</v>
      </c>
    </row>
    <row r="10">
      <c r="A10" s="300"/>
      <c r="B10" s="327"/>
      <c r="C10" s="229" t="s">
        <v>427</v>
      </c>
      <c r="D10" s="326">
        <v>6.0</v>
      </c>
    </row>
    <row r="11">
      <c r="A11" s="300"/>
      <c r="B11" s="327"/>
      <c r="C11" s="325" t="s">
        <v>97</v>
      </c>
      <c r="D11" s="326">
        <v>6.0</v>
      </c>
      <c r="E11" s="96"/>
    </row>
    <row r="12">
      <c r="A12" s="300"/>
      <c r="B12" s="327"/>
      <c r="C12" s="328" t="s">
        <v>68</v>
      </c>
      <c r="D12" s="326">
        <v>6.0</v>
      </c>
      <c r="E12" s="96"/>
    </row>
    <row r="13">
      <c r="A13" s="300"/>
      <c r="B13" s="327"/>
      <c r="C13" s="229" t="s">
        <v>428</v>
      </c>
      <c r="D13" s="326">
        <v>6.0</v>
      </c>
    </row>
    <row r="14">
      <c r="A14" s="300"/>
      <c r="B14" s="327"/>
      <c r="C14" s="229" t="s">
        <v>430</v>
      </c>
      <c r="D14" s="326">
        <v>6.0</v>
      </c>
    </row>
    <row r="15">
      <c r="A15" s="300"/>
      <c r="B15" s="327"/>
      <c r="C15" s="229" t="s">
        <v>59</v>
      </c>
      <c r="D15" s="326">
        <v>6.0</v>
      </c>
    </row>
    <row r="16">
      <c r="A16" s="300"/>
      <c r="B16" s="327"/>
      <c r="C16" s="229" t="s">
        <v>49</v>
      </c>
      <c r="D16" s="326">
        <v>6.0</v>
      </c>
    </row>
    <row r="17">
      <c r="A17" s="300"/>
      <c r="B17" s="327"/>
      <c r="C17" s="229" t="s">
        <v>431</v>
      </c>
      <c r="D17" s="326">
        <v>6.0</v>
      </c>
    </row>
    <row r="18">
      <c r="A18" s="300"/>
      <c r="B18" s="327"/>
      <c r="C18" s="229" t="s">
        <v>432</v>
      </c>
      <c r="D18" s="326">
        <v>6.0</v>
      </c>
    </row>
    <row r="19">
      <c r="A19" s="300"/>
      <c r="B19" s="327"/>
      <c r="C19" s="229" t="s">
        <v>433</v>
      </c>
      <c r="D19" s="326">
        <v>6.0</v>
      </c>
    </row>
    <row r="20">
      <c r="B20" s="329"/>
      <c r="C20" s="223" t="s">
        <v>127</v>
      </c>
      <c r="D20" s="326">
        <v>3.0</v>
      </c>
      <c r="E20" s="96"/>
    </row>
    <row r="21">
      <c r="B21" s="329" t="s">
        <v>116</v>
      </c>
      <c r="C21" s="227" t="s">
        <v>117</v>
      </c>
      <c r="D21" s="326">
        <v>3.0</v>
      </c>
      <c r="E21" s="96"/>
    </row>
    <row r="22">
      <c r="B22" s="327"/>
      <c r="C22" s="229" t="s">
        <v>148</v>
      </c>
      <c r="D22" s="326">
        <v>3.0</v>
      </c>
    </row>
    <row r="23">
      <c r="B23" s="327"/>
      <c r="C23" s="229" t="s">
        <v>145</v>
      </c>
      <c r="D23" s="326">
        <v>3.0</v>
      </c>
    </row>
    <row r="24">
      <c r="B24" s="330"/>
      <c r="C24" s="325" t="s">
        <v>197</v>
      </c>
      <c r="D24" s="326">
        <v>2.0</v>
      </c>
      <c r="E24" s="96"/>
    </row>
    <row r="25">
      <c r="B25" s="330"/>
      <c r="C25" s="325" t="s">
        <v>1032</v>
      </c>
      <c r="D25" s="326">
        <v>2.0</v>
      </c>
      <c r="E25" s="96"/>
    </row>
    <row r="26">
      <c r="B26" s="330" t="s">
        <v>187</v>
      </c>
      <c r="C26" s="229" t="s">
        <v>212</v>
      </c>
      <c r="D26" s="326">
        <v>2.0</v>
      </c>
      <c r="E26" s="96"/>
    </row>
    <row r="27">
      <c r="B27" s="327"/>
      <c r="C27" s="229" t="s">
        <v>218</v>
      </c>
      <c r="D27" s="326">
        <v>1.0</v>
      </c>
    </row>
    <row r="28">
      <c r="B28" s="327"/>
      <c r="C28" s="229" t="s">
        <v>249</v>
      </c>
      <c r="D28" s="326">
        <v>1.0</v>
      </c>
    </row>
    <row r="29">
      <c r="B29" s="327"/>
      <c r="C29" s="229" t="s">
        <v>221</v>
      </c>
      <c r="D29" s="326">
        <v>2.0</v>
      </c>
    </row>
    <row r="30">
      <c r="B30" s="327"/>
      <c r="C30" s="229" t="s">
        <v>208</v>
      </c>
      <c r="D30" s="326">
        <v>2.0</v>
      </c>
    </row>
    <row r="31">
      <c r="B31" s="327"/>
      <c r="C31" s="229" t="s">
        <v>188</v>
      </c>
      <c r="D31" s="326">
        <v>1.0</v>
      </c>
    </row>
    <row r="32">
      <c r="B32" s="331" t="s">
        <v>36</v>
      </c>
      <c r="C32" s="229" t="s">
        <v>258</v>
      </c>
      <c r="D32" s="326">
        <v>3.0</v>
      </c>
    </row>
    <row r="33">
      <c r="B33" s="327"/>
      <c r="C33" s="325" t="s">
        <v>261</v>
      </c>
      <c r="D33" s="326">
        <v>6.0</v>
      </c>
      <c r="E33" s="96"/>
    </row>
    <row r="34">
      <c r="B34" s="327"/>
      <c r="C34" s="229" t="s">
        <v>37</v>
      </c>
      <c r="D34" s="326">
        <v>6.0</v>
      </c>
      <c r="E34" s="96"/>
    </row>
    <row r="35">
      <c r="B35" s="286"/>
      <c r="C35" s="332" t="s">
        <v>296</v>
      </c>
      <c r="D35" s="333">
        <v>3.0</v>
      </c>
    </row>
    <row r="183">
      <c r="F183" s="93" t="str">
        <f>IF(ISBLANK(Base!AF181), "", IF(TRIM(Base!AF181)="", , Base!A181))</f>
        <v/>
      </c>
    </row>
    <row r="184">
      <c r="F184" s="93" t="str">
        <f>IF(ISBLANK(Base!AF182), "", IF(TRIM(Base!AF182)="", , Base!A182))</f>
        <v/>
      </c>
    </row>
    <row r="185">
      <c r="F185" s="93" t="str">
        <f>IF(ISBLANK(Base!AF183), "", IF(TRIM(Base!AF183)="", , Base!A183))</f>
        <v/>
      </c>
    </row>
    <row r="186">
      <c r="F186" s="93" t="str">
        <f>IF(ISBLANK(Base!AF184), "", IF(TRIM(Base!AF184)="", , Base!A184))</f>
        <v/>
      </c>
    </row>
    <row r="187">
      <c r="F187" s="93" t="str">
        <f>IF(ISBLANK(Base!AF185), "", IF(TRIM(Base!AF185)="", , Base!A185))</f>
        <v/>
      </c>
    </row>
    <row r="188">
      <c r="F188" s="93" t="str">
        <f>IF(ISBLANK(Base!AF186), "", IF(TRIM(Base!AF186)="", , Base!A186))</f>
        <v/>
      </c>
    </row>
    <row r="189">
      <c r="F189" s="93" t="str">
        <f>IF(ISBLANK(Base!AF187), "", IF(TRIM(Base!AF187)="", , Base!A187))</f>
        <v/>
      </c>
    </row>
    <row r="190">
      <c r="F190" s="93" t="str">
        <f>IF(ISBLANK(Base!AF188), "", IF(TRIM(Base!AF188)="", , Base!A188))</f>
        <v/>
      </c>
    </row>
    <row r="191">
      <c r="F191" s="93" t="str">
        <f>IF(ISBLANK(Base!AF189), "", IF(TRIM(Base!AF189)="", , Base!A189))</f>
        <v/>
      </c>
    </row>
    <row r="192">
      <c r="F192" s="93" t="str">
        <f>IF(ISBLANK(Base!AF190), "", IF(TRIM(Base!AF190)="", , Base!A190))</f>
        <v/>
      </c>
    </row>
    <row r="193">
      <c r="F193" s="93" t="str">
        <f>IF(ISBLANK(Base!AF191), "", IF(TRIM(Base!AF191)="", , Base!A191))</f>
        <v/>
      </c>
    </row>
    <row r="194">
      <c r="F194" s="93" t="str">
        <f>IF(ISBLANK(Base!AF192), "", IF(TRIM(Base!AF192)="", , Base!A192))</f>
        <v/>
      </c>
    </row>
    <row r="195">
      <c r="F195" s="334" t="str">
        <f>IF(ISBLANK(Base!AF193), "", IF(TRIM(Base!AF193)="", , Base!A193))</f>
        <v>ADM</v>
      </c>
    </row>
    <row r="196">
      <c r="F196" s="93" t="str">
        <f>IF(ISBLANK(Base!AF194), "", IF(TRIM(Base!AF194)="", , Base!A194))</f>
        <v/>
      </c>
    </row>
    <row r="197">
      <c r="F197" s="334" t="str">
        <f>IF(ISBLANK(Base!AF195), "", IF(TRIM(Base!AF195)="", , Base!A195))</f>
        <v>Rodobens</v>
      </c>
    </row>
    <row r="198">
      <c r="F198" s="93" t="str">
        <f>IF(ISBLANK(Base!AF196), "", IF(TRIM(Base!AF196)="", , Base!A196))</f>
        <v/>
      </c>
    </row>
    <row r="199">
      <c r="F199" s="334" t="str">
        <f>IF(ISBLANK(Base!AF197), "", IF(TRIM(Base!AF197)="", , Base!A197))</f>
        <v>Chlorum Solutions</v>
      </c>
    </row>
    <row r="200">
      <c r="F200" s="334" t="str">
        <f>IF(ISBLANK(Base!AF198), "", IF(TRIM(Base!AF198)="", , Base!A198))</f>
        <v>FS Fueling Sustainability</v>
      </c>
    </row>
    <row r="201">
      <c r="F201" s="93" t="str">
        <f>IF(ISBLANK(Base!AF199), "", IF(TRIM(Base!AF199)="", , Base!A199))</f>
        <v/>
      </c>
    </row>
    <row r="202">
      <c r="F202" s="93" t="str">
        <f>IF(ISBLANK(Base!AF200), "", IF(TRIM(Base!AF200)="", , Base!A200))</f>
        <v/>
      </c>
    </row>
    <row r="203">
      <c r="F203" s="93" t="str">
        <f>IF(ISBLANK(Base!AF201), "", IF(TRIM(Base!AF201)="", , Base!A201))</f>
        <v/>
      </c>
    </row>
    <row r="204">
      <c r="F204" s="334" t="str">
        <f>IF(ISBLANK(Base!AF202), "", IF(TRIM(Base!AF202)="", , Base!A202))</f>
        <v>LocalFrio 2.0</v>
      </c>
    </row>
    <row r="205">
      <c r="F205" s="334" t="str">
        <f>IF(ISBLANK(Base!AF203), "", IF(TRIM(Base!AF203)="", , Base!A203))</f>
        <v>Grupo Trigo 2.0</v>
      </c>
    </row>
    <row r="206">
      <c r="F206" s="93" t="str">
        <f>IF(ISBLANK(Base!AF204), "", IF(TRIM(Base!AF204)="", , Base!A204))</f>
        <v/>
      </c>
    </row>
    <row r="207">
      <c r="F207" s="93" t="str">
        <f>IF(ISBLANK(Base!AF205), "", IF(TRIM(Base!AF205)="", , Base!A205))</f>
        <v/>
      </c>
    </row>
    <row r="208">
      <c r="F208" s="93" t="str">
        <f>IF(ISBLANK(Base!AF206), "", IF(TRIM(Base!AF206)="", , Base!A206))</f>
        <v/>
      </c>
    </row>
    <row r="209">
      <c r="F209" s="93" t="str">
        <f>IF(ISBLANK(Base!AF207), "", IF(TRIM(Base!AF207)="", , Base!A207))</f>
        <v/>
      </c>
    </row>
    <row r="210">
      <c r="F210" s="93" t="str">
        <f>IF(ISBLANK(Base!AF208), "", IF(TRIM(Base!AF208)="", , Base!A208))</f>
        <v/>
      </c>
    </row>
    <row r="211">
      <c r="F211" s="93" t="str">
        <f>IF(ISBLANK(Base!AF209), "", IF(TRIM(Base!AF209)="", , Base!A209))</f>
        <v/>
      </c>
    </row>
    <row r="212">
      <c r="F212" s="93" t="str">
        <f>IF(ISBLANK(Base!AF210), "", IF(TRIM(Base!AF210)="", , Base!A210))</f>
        <v/>
      </c>
    </row>
    <row r="213">
      <c r="F213" s="93" t="str">
        <f>IF(ISBLANK(Base!AF211), "", IF(TRIM(Base!AF211)="", , Base!A211))</f>
        <v/>
      </c>
    </row>
    <row r="214">
      <c r="F214" s="93" t="str">
        <f>IF(ISBLANK(Base!AF212), "", IF(TRIM(Base!AF212)="", , Base!A212))</f>
        <v/>
      </c>
    </row>
    <row r="215">
      <c r="F215" s="93" t="str">
        <f>IF(ISBLANK(Base!AF213), "", IF(TRIM(Base!AF213)="", , Base!A213))</f>
        <v/>
      </c>
    </row>
    <row r="216">
      <c r="F216" s="93" t="str">
        <f>IF(ISBLANK(Base!AF214), "", IF(TRIM(Base!AF214)="", , Base!A214))</f>
        <v/>
      </c>
    </row>
    <row r="217">
      <c r="F217" s="93" t="str">
        <f>IF(ISBLANK(Base!AF215), "", IF(TRIM(Base!AF215)="", , Base!A215))</f>
        <v/>
      </c>
    </row>
    <row r="218">
      <c r="F218" s="93" t="str">
        <f>IF(ISBLANK(Base!AF216), "", IF(TRIM(Base!AF216)="", , Base!A216))</f>
        <v/>
      </c>
    </row>
    <row r="219">
      <c r="F219" s="93" t="str">
        <f>IF(ISBLANK(Base!AF217), "", IF(TRIM(Base!AF217)="", , Base!A217))</f>
        <v/>
      </c>
    </row>
    <row r="220">
      <c r="F220" s="93" t="str">
        <f>IF(ISBLANK(Base!AF218), "", IF(TRIM(Base!AF218)="", , Base!A218))</f>
        <v/>
      </c>
    </row>
    <row r="221">
      <c r="F221" s="93" t="str">
        <f>IF(ISBLANK(Base!AF219), "", IF(TRIM(Base!AF219)="", , Base!A219))</f>
        <v/>
      </c>
    </row>
    <row r="222">
      <c r="F222" s="93" t="str">
        <f>IF(ISBLANK(Base!AF220), "", IF(TRIM(Base!AF220)="", , Base!A220))</f>
        <v/>
      </c>
    </row>
    <row r="223">
      <c r="F223" s="93" t="str">
        <f>IF(ISBLANK(Base!AF221), "", IF(TRIM(Base!AF221)="", , Base!A221))</f>
        <v/>
      </c>
    </row>
  </sheetData>
  <mergeCells count="5">
    <mergeCell ref="C2:G2"/>
    <mergeCell ref="B6:B19"/>
    <mergeCell ref="B21:B23"/>
    <mergeCell ref="B26:B31"/>
    <mergeCell ref="B32:B35"/>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0"/>
    <col customWidth="1" min="3" max="3" width="18.0"/>
  </cols>
  <sheetData>
    <row r="1" ht="26.25" customHeight="1">
      <c r="A1" s="335" t="s">
        <v>2</v>
      </c>
      <c r="B1" s="335" t="s">
        <v>3</v>
      </c>
      <c r="C1" s="335" t="s">
        <v>1033</v>
      </c>
      <c r="D1" s="335" t="s">
        <v>1034</v>
      </c>
    </row>
    <row r="2">
      <c r="A2" s="336" t="str">
        <f>IFERROR(__xludf.DUMMYFUNCTION("FILTER(Base!A2:A2036, TRIM(Base!AF2:AF2036) &lt;&gt; """")
"),"Fruta de Caiapó")</f>
        <v>Fruta de Caiapó</v>
      </c>
      <c r="B2" s="289" t="str">
        <f>IFERROR(__xludf.DUMMYFUNCTION("FILTER(Base!B2:B2036, TRIM(Base!AF2:AF2036) &lt;&gt; """")
"),"NCiv")</f>
        <v>NCiv</v>
      </c>
      <c r="C2" s="118">
        <f>IFERROR(__xludf.DUMMYFUNCTION("FILTER(Base!AF2:AF2036, TRIM(Base!AF2:AF2036) &lt;&gt; """")
"),45581.0)</f>
        <v>45581</v>
      </c>
      <c r="D2" s="337" t="b">
        <v>0</v>
      </c>
    </row>
    <row r="3">
      <c r="A3" s="338" t="str">
        <f>IFERROR(__xludf.DUMMYFUNCTION("""COMPUTED_VALUE"""),"Gabriel")</f>
        <v>Gabriel</v>
      </c>
      <c r="B3" s="339" t="str">
        <f>IFERROR(__xludf.DUMMYFUNCTION("""COMPUTED_VALUE"""),"NCiv")</f>
        <v>NCiv</v>
      </c>
      <c r="C3" s="340">
        <f>IFERROR(__xludf.DUMMYFUNCTION("""COMPUTED_VALUE"""),45507.0)</f>
        <v>45507</v>
      </c>
      <c r="D3" s="337" t="b">
        <v>0</v>
      </c>
    </row>
    <row r="4">
      <c r="A4" s="336" t="str">
        <f>IFERROR(__xludf.DUMMYFUNCTION("""COMPUTED_VALUE"""),"JKV 2.0")</f>
        <v>JKV 2.0</v>
      </c>
      <c r="B4" s="289" t="str">
        <f>IFERROR(__xludf.DUMMYFUNCTION("""COMPUTED_VALUE"""),"NCiv")</f>
        <v>NCiv</v>
      </c>
      <c r="C4" s="118">
        <f>IFERROR(__xludf.DUMMYFUNCTION("""COMPUTED_VALUE"""),45493.0)</f>
        <v>45493</v>
      </c>
      <c r="D4" s="337" t="b">
        <v>0</v>
      </c>
    </row>
    <row r="5">
      <c r="A5" s="336" t="str">
        <f>IFERROR(__xludf.DUMMYFUNCTION("""COMPUTED_VALUE"""),"Casa LC")</f>
        <v>Casa LC</v>
      </c>
      <c r="B5" s="289" t="str">
        <f>IFERROR(__xludf.DUMMYFUNCTION("""COMPUTED_VALUE"""),"NCiv")</f>
        <v>NCiv</v>
      </c>
      <c r="C5" s="118">
        <f>IFERROR(__xludf.DUMMYFUNCTION("""COMPUTED_VALUE"""),45633.0)</f>
        <v>45633</v>
      </c>
      <c r="D5" s="337" t="b">
        <v>0</v>
      </c>
    </row>
    <row r="6">
      <c r="A6" s="338" t="str">
        <f>IFERROR(__xludf.DUMMYFUNCTION("""COMPUTED_VALUE"""),"Peruíbe")</f>
        <v>Peruíbe</v>
      </c>
      <c r="B6" s="339" t="str">
        <f>IFERROR(__xludf.DUMMYFUNCTION("""COMPUTED_VALUE"""),"NCiv")</f>
        <v>NCiv</v>
      </c>
      <c r="C6" s="340">
        <f>IFERROR(__xludf.DUMMYFUNCTION("""COMPUTED_VALUE"""),45552.0)</f>
        <v>45552</v>
      </c>
      <c r="D6" s="92" t="b">
        <v>0</v>
      </c>
    </row>
    <row r="7">
      <c r="A7" s="336" t="str">
        <f>IFERROR(__xludf.DUMMYFUNCTION("""COMPUTED_VALUE"""),"Clínica Abner")</f>
        <v>Clínica Abner</v>
      </c>
      <c r="B7" s="289" t="str">
        <f>IFERROR(__xludf.DUMMYFUNCTION("""COMPUTED_VALUE"""),"NCiv")</f>
        <v>NCiv</v>
      </c>
      <c r="C7" s="118">
        <f>IFERROR(__xludf.DUMMYFUNCTION("""COMPUTED_VALUE"""),45598.0)</f>
        <v>45598</v>
      </c>
      <c r="D7" s="337" t="b">
        <v>0</v>
      </c>
    </row>
    <row r="8">
      <c r="A8" s="336" t="str">
        <f>IFERROR(__xludf.DUMMYFUNCTION("""COMPUTED_VALUE"""),"Emerson")</f>
        <v>Emerson</v>
      </c>
      <c r="B8" s="289" t="str">
        <f>IFERROR(__xludf.DUMMYFUNCTION("""COMPUTED_VALUE"""),"NCiv")</f>
        <v>NCiv</v>
      </c>
      <c r="C8" s="118">
        <f>IFERROR(__xludf.DUMMYFUNCTION("""COMPUTED_VALUE"""),45529.0)</f>
        <v>45529</v>
      </c>
      <c r="D8" s="337" t="b">
        <v>0</v>
      </c>
    </row>
    <row r="9">
      <c r="A9" s="338" t="str">
        <f>IFERROR(__xludf.DUMMYFUNCTION("""COMPUTED_VALUE"""),"Sertãozinho")</f>
        <v>Sertãozinho</v>
      </c>
      <c r="B9" s="339" t="str">
        <f>IFERROR(__xludf.DUMMYFUNCTION("""COMPUTED_VALUE"""),"NCiv")</f>
        <v>NCiv</v>
      </c>
      <c r="C9" s="340">
        <f>IFERROR(__xludf.DUMMYFUNCTION("""COMPUTED_VALUE"""),45528.0)</f>
        <v>45528</v>
      </c>
      <c r="D9" s="337" t="b">
        <v>0</v>
      </c>
    </row>
    <row r="10">
      <c r="A10" s="336" t="str">
        <f>IFERROR(__xludf.DUMMYFUNCTION("""COMPUTED_VALUE"""),"Apto 21")</f>
        <v>Apto 21</v>
      </c>
      <c r="B10" s="289" t="str">
        <f>IFERROR(__xludf.DUMMYFUNCTION("""COMPUTED_VALUE"""),"NCiv")</f>
        <v>NCiv</v>
      </c>
      <c r="C10" s="118">
        <f>IFERROR(__xludf.DUMMYFUNCTION("""COMPUTED_VALUE"""),45572.0)</f>
        <v>45572</v>
      </c>
      <c r="D10" s="337" t="b">
        <v>0</v>
      </c>
    </row>
    <row r="11">
      <c r="A11" s="336" t="str">
        <f>IFERROR(__xludf.DUMMYFUNCTION("""COMPUTED_VALUE"""),"Albertoni")</f>
        <v>Albertoni</v>
      </c>
      <c r="B11" s="289" t="str">
        <f>IFERROR(__xludf.DUMMYFUNCTION("""COMPUTED_VALUE"""),"NCiv")</f>
        <v>NCiv</v>
      </c>
      <c r="C11" s="118">
        <f>IFERROR(__xludf.DUMMYFUNCTION("""COMPUTED_VALUE"""),45602.0)</f>
        <v>45602</v>
      </c>
      <c r="D11" s="337" t="b">
        <v>0</v>
      </c>
    </row>
    <row r="12">
      <c r="A12" s="336" t="str">
        <f>IFERROR(__xludf.DUMMYFUNCTION("""COMPUTED_VALUE"""),"Datora 2.0")</f>
        <v>Datora 2.0</v>
      </c>
      <c r="B12" s="341" t="str">
        <f>IFERROR(__xludf.DUMMYFUNCTION("""COMPUTED_VALUE"""),"NCon")</f>
        <v>NCon</v>
      </c>
      <c r="C12" s="118">
        <f>IFERROR(__xludf.DUMMYFUNCTION("""COMPUTED_VALUE"""),45465.0)</f>
        <v>45465</v>
      </c>
      <c r="D12" s="337" t="b">
        <v>0</v>
      </c>
    </row>
    <row r="13">
      <c r="A13" s="338" t="str">
        <f>IFERROR(__xludf.DUMMYFUNCTION("""COMPUTED_VALUE"""),"Einstein 2.0")</f>
        <v>Einstein 2.0</v>
      </c>
      <c r="B13" s="342" t="str">
        <f>IFERROR(__xludf.DUMMYFUNCTION("""COMPUTED_VALUE"""),"NCon")</f>
        <v>NCon</v>
      </c>
      <c r="C13" s="340">
        <f>IFERROR(__xludf.DUMMYFUNCTION("""COMPUTED_VALUE"""),45462.0)</f>
        <v>45462</v>
      </c>
      <c r="D13" s="337" t="b">
        <v>0</v>
      </c>
    </row>
    <row r="14">
      <c r="A14" s="336" t="str">
        <f>IFERROR(__xludf.DUMMYFUNCTION("""COMPUTED_VALUE"""),"PN Mental Heaven")</f>
        <v>PN Mental Heaven</v>
      </c>
      <c r="B14" s="341" t="str">
        <f>IFERROR(__xludf.DUMMYFUNCTION("""COMPUTED_VALUE"""),"NCon")</f>
        <v>NCon</v>
      </c>
      <c r="C14" s="118">
        <f>IFERROR(__xludf.DUMMYFUNCTION("""COMPUTED_VALUE"""),45502.0)</f>
        <v>45502</v>
      </c>
      <c r="D14" s="337" t="b">
        <v>0</v>
      </c>
    </row>
    <row r="15">
      <c r="A15" s="338" t="str">
        <f>IFERROR(__xludf.DUMMYFUNCTION("""COMPUTED_VALUE"""),"Jamef")</f>
        <v>Jamef</v>
      </c>
      <c r="B15" s="342" t="str">
        <f>IFERROR(__xludf.DUMMYFUNCTION("""COMPUTED_VALUE"""),"NCon")</f>
        <v>NCon</v>
      </c>
      <c r="C15" s="340">
        <f>IFERROR(__xludf.DUMMYFUNCTION("""COMPUTED_VALUE"""),45552.0)</f>
        <v>45552</v>
      </c>
      <c r="D15" s="337" t="b">
        <v>0</v>
      </c>
    </row>
    <row r="16">
      <c r="A16" s="336" t="str">
        <f>IFERROR(__xludf.DUMMYFUNCTION("""COMPUTED_VALUE"""),"Lavoro Agro")</f>
        <v>Lavoro Agro</v>
      </c>
      <c r="B16" s="341" t="str">
        <f>IFERROR(__xludf.DUMMYFUNCTION("""COMPUTED_VALUE"""),"NCon")</f>
        <v>NCon</v>
      </c>
      <c r="C16" s="118">
        <f>IFERROR(__xludf.DUMMYFUNCTION("""COMPUTED_VALUE"""),45521.0)</f>
        <v>45521</v>
      </c>
      <c r="D16" s="337" t="b">
        <v>0</v>
      </c>
    </row>
    <row r="17">
      <c r="A17" s="336" t="str">
        <f>IFERROR(__xludf.DUMMYFUNCTION("""COMPUTED_VALUE"""),"Grupo NOS - NCon")</f>
        <v>Grupo NOS - NCon</v>
      </c>
      <c r="B17" s="341" t="str">
        <f>IFERROR(__xludf.DUMMYFUNCTION("""COMPUTED_VALUE"""),"NCon")</f>
        <v>NCon</v>
      </c>
      <c r="C17" s="118">
        <f>IFERROR(__xludf.DUMMYFUNCTION("""COMPUTED_VALUE"""),45541.0)</f>
        <v>45541</v>
      </c>
      <c r="D17" s="337" t="b">
        <v>0</v>
      </c>
    </row>
    <row r="18">
      <c r="A18" s="336" t="str">
        <f>IFERROR(__xludf.DUMMYFUNCTION("""COMPUTED_VALUE"""),"Grupo SC 2.0")</f>
        <v>Grupo SC 2.0</v>
      </c>
      <c r="B18" s="341" t="str">
        <f>IFERROR(__xludf.DUMMYFUNCTION("""COMPUTED_VALUE"""),"NCon")</f>
        <v>NCon</v>
      </c>
      <c r="C18" s="118">
        <f>IFERROR(__xludf.DUMMYFUNCTION("""COMPUTED_VALUE"""),45483.0)</f>
        <v>45483</v>
      </c>
      <c r="D18" s="337" t="b">
        <v>0</v>
      </c>
    </row>
    <row r="19">
      <c r="A19" s="336" t="str">
        <f>IFERROR(__xludf.DUMMYFUNCTION("""COMPUTED_VALUE"""),"MN Glória")</f>
        <v>MN Glória</v>
      </c>
      <c r="B19" s="341" t="str">
        <f>IFERROR(__xludf.DUMMYFUNCTION("""COMPUTED_VALUE"""),"NCon")</f>
        <v>NCon</v>
      </c>
      <c r="C19" s="118">
        <f>IFERROR(__xludf.DUMMYFUNCTION("""COMPUTED_VALUE"""),45518.0)</f>
        <v>45518</v>
      </c>
      <c r="D19" s="337" t="b">
        <v>0</v>
      </c>
    </row>
    <row r="20">
      <c r="A20" s="336" t="str">
        <f>IFERROR(__xludf.DUMMYFUNCTION("""COMPUTED_VALUE"""),"Banco Rendimento 2.0")</f>
        <v>Banco Rendimento 2.0</v>
      </c>
      <c r="B20" s="341" t="str">
        <f>IFERROR(__xludf.DUMMYFUNCTION("""COMPUTED_VALUE"""),"NCon")</f>
        <v>NCon</v>
      </c>
      <c r="C20" s="118">
        <f>IFERROR(__xludf.DUMMYFUNCTION("""COMPUTED_VALUE"""),45535.0)</f>
        <v>45535</v>
      </c>
      <c r="D20" s="337" t="b">
        <v>0</v>
      </c>
    </row>
    <row r="21">
      <c r="A21" s="336" t="str">
        <f>IFERROR(__xludf.DUMMYFUNCTION("""COMPUTED_VALUE"""),"MP Itamara")</f>
        <v>MP Itamara</v>
      </c>
      <c r="B21" s="341" t="str">
        <f>IFERROR(__xludf.DUMMYFUNCTION("""COMPUTED_VALUE"""),"NCon")</f>
        <v>NCon</v>
      </c>
      <c r="C21" s="118">
        <f>IFERROR(__xludf.DUMMYFUNCTION("""COMPUTED_VALUE"""),45502.0)</f>
        <v>45502</v>
      </c>
      <c r="D21" s="337" t="b">
        <v>0</v>
      </c>
    </row>
    <row r="22">
      <c r="A22" s="336" t="str">
        <f>IFERROR(__xludf.DUMMYFUNCTION("""COMPUTED_VALUE"""),"Cless Cosméticos")</f>
        <v>Cless Cosméticos</v>
      </c>
      <c r="B22" s="341" t="str">
        <f>IFERROR(__xludf.DUMMYFUNCTION("""COMPUTED_VALUE"""),"NCon")</f>
        <v>NCon</v>
      </c>
      <c r="C22" s="118">
        <f>IFERROR(__xludf.DUMMYFUNCTION("""COMPUTED_VALUE"""),45511.0)</f>
        <v>45511</v>
      </c>
      <c r="D22" s="337" t="b">
        <v>0</v>
      </c>
    </row>
    <row r="23">
      <c r="A23" s="338" t="str">
        <f>IFERROR(__xludf.DUMMYFUNCTION("""COMPUTED_VALUE"""),"Solfacil")</f>
        <v>Solfacil</v>
      </c>
      <c r="B23" s="342" t="str">
        <f>IFERROR(__xludf.DUMMYFUNCTION("""COMPUTED_VALUE"""),"NCon")</f>
        <v>NCon</v>
      </c>
      <c r="C23" s="340">
        <f>IFERROR(__xludf.DUMMYFUNCTION("""COMPUTED_VALUE"""),45542.0)</f>
        <v>45542</v>
      </c>
      <c r="D23" s="337" t="b">
        <v>0</v>
      </c>
    </row>
    <row r="24">
      <c r="A24" s="338" t="str">
        <f>IFERROR(__xludf.DUMMYFUNCTION("""COMPUTED_VALUE"""),"MP Marianna")</f>
        <v>MP Marianna</v>
      </c>
      <c r="B24" s="342" t="str">
        <f>IFERROR(__xludf.DUMMYFUNCTION("""COMPUTED_VALUE"""),"NCon")</f>
        <v>NCon</v>
      </c>
      <c r="C24" s="340">
        <f>IFERROR(__xludf.DUMMYFUNCTION("""COMPUTED_VALUE"""),45531.0)</f>
        <v>45531</v>
      </c>
      <c r="D24" s="337" t="b">
        <v>0</v>
      </c>
    </row>
    <row r="25">
      <c r="A25" s="338" t="str">
        <f>IFERROR(__xludf.DUMMYFUNCTION("""COMPUTED_VALUE"""),"Oniris")</f>
        <v>Oniris</v>
      </c>
      <c r="B25" s="342" t="str">
        <f>IFERROR(__xludf.DUMMYFUNCTION("""COMPUTED_VALUE"""),"NCon")</f>
        <v>NCon</v>
      </c>
      <c r="C25" s="340">
        <f>IFERROR(__xludf.DUMMYFUNCTION("""COMPUTED_VALUE"""),45523.0)</f>
        <v>45523</v>
      </c>
      <c r="D25" s="337" t="b">
        <v>0</v>
      </c>
    </row>
    <row r="26">
      <c r="A26" s="338" t="str">
        <f>IFERROR(__xludf.DUMMYFUNCTION("""COMPUTED_VALUE"""),"MP Julia")</f>
        <v>MP Julia</v>
      </c>
      <c r="B26" s="342" t="str">
        <f>IFERROR(__xludf.DUMMYFUNCTION("""COMPUTED_VALUE"""),"NCon")</f>
        <v>NCon</v>
      </c>
      <c r="C26" s="340">
        <f>IFERROR(__xludf.DUMMYFUNCTION("""COMPUTED_VALUE"""),45536.0)</f>
        <v>45536</v>
      </c>
      <c r="D26" s="337" t="b">
        <v>0</v>
      </c>
    </row>
    <row r="27">
      <c r="A27" s="338" t="str">
        <f>IFERROR(__xludf.DUMMYFUNCTION("""COMPUTED_VALUE"""),"Porto Seguro")</f>
        <v>Porto Seguro</v>
      </c>
      <c r="B27" s="342" t="str">
        <f>IFERROR(__xludf.DUMMYFUNCTION("""COMPUTED_VALUE"""),"NCon")</f>
        <v>NCon</v>
      </c>
      <c r="C27" s="340">
        <f>IFERROR(__xludf.DUMMYFUNCTION("""COMPUTED_VALUE"""),45523.0)</f>
        <v>45523</v>
      </c>
      <c r="D27" s="337" t="b">
        <v>0</v>
      </c>
    </row>
    <row r="28">
      <c r="A28" s="338" t="str">
        <f>IFERROR(__xludf.DUMMYFUNCTION("""COMPUTED_VALUE"""),"MP Eduardo")</f>
        <v>MP Eduardo</v>
      </c>
      <c r="B28" s="342" t="str">
        <f>IFERROR(__xludf.DUMMYFUNCTION("""COMPUTED_VALUE"""),"NCon")</f>
        <v>NCon</v>
      </c>
      <c r="C28" s="340">
        <f>IFERROR(__xludf.DUMMYFUNCTION("""COMPUTED_VALUE"""),45602.0)</f>
        <v>45602</v>
      </c>
      <c r="D28" s="337" t="b">
        <v>0</v>
      </c>
    </row>
    <row r="29">
      <c r="A29" s="338" t="str">
        <f>IFERROR(__xludf.DUMMYFUNCTION("""COMPUTED_VALUE"""),"MP Hípica")</f>
        <v>MP Hípica</v>
      </c>
      <c r="B29" s="342" t="str">
        <f>IFERROR(__xludf.DUMMYFUNCTION("""COMPUTED_VALUE"""),"NCon")</f>
        <v>NCon</v>
      </c>
      <c r="C29" s="340">
        <f>IFERROR(__xludf.DUMMYFUNCTION("""COMPUTED_VALUE"""),45517.0)</f>
        <v>45517</v>
      </c>
      <c r="D29" s="337" t="b">
        <v>0</v>
      </c>
    </row>
    <row r="30">
      <c r="A30" s="338" t="str">
        <f>IFERROR(__xludf.DUMMYFUNCTION("""COMPUTED_VALUE"""),"Ecobank")</f>
        <v>Ecobank</v>
      </c>
      <c r="B30" s="342" t="str">
        <f>IFERROR(__xludf.DUMMYFUNCTION("""COMPUTED_VALUE"""),"NCon")</f>
        <v>NCon</v>
      </c>
      <c r="C30" s="340">
        <f>IFERROR(__xludf.DUMMYFUNCTION("""COMPUTED_VALUE"""),45517.0)</f>
        <v>45517</v>
      </c>
      <c r="D30" s="337" t="b">
        <v>0</v>
      </c>
    </row>
    <row r="31">
      <c r="A31" s="338" t="str">
        <f>IFERROR(__xludf.DUMMYFUNCTION("""COMPUTED_VALUE"""),"MP Ginásio")</f>
        <v>MP Ginásio</v>
      </c>
      <c r="B31" s="342" t="str">
        <f>IFERROR(__xludf.DUMMYFUNCTION("""COMPUTED_VALUE"""),"NCon")</f>
        <v>NCon</v>
      </c>
      <c r="C31" s="340">
        <f>IFERROR(__xludf.DUMMYFUNCTION("""COMPUTED_VALUE"""),45542.0)</f>
        <v>45542</v>
      </c>
      <c r="D31" s="337" t="b">
        <v>0</v>
      </c>
    </row>
    <row r="32">
      <c r="A32" s="336" t="str">
        <f>IFERROR(__xludf.DUMMYFUNCTION("""COMPUTED_VALUE"""),"PM Manto")</f>
        <v>PM Manto</v>
      </c>
      <c r="B32" s="341" t="str">
        <f>IFERROR(__xludf.DUMMYFUNCTION("""COMPUTED_VALUE"""),"NCon")</f>
        <v>NCon</v>
      </c>
      <c r="C32" s="118">
        <f>IFERROR(__xludf.DUMMYFUNCTION("""COMPUTED_VALUE"""),45588.0)</f>
        <v>45588</v>
      </c>
      <c r="D32" s="337" t="b">
        <v>0</v>
      </c>
    </row>
    <row r="33">
      <c r="A33" s="336" t="str">
        <f>IFERROR(__xludf.DUMMYFUNCTION("""COMPUTED_VALUE"""),"We Vets")</f>
        <v>We Vets</v>
      </c>
      <c r="B33" s="341" t="str">
        <f>IFERROR(__xludf.DUMMYFUNCTION("""COMPUTED_VALUE"""),"NCon")</f>
        <v>NCon</v>
      </c>
      <c r="C33" s="118">
        <f>IFERROR(__xludf.DUMMYFUNCTION("""COMPUTED_VALUE"""),45522.0)</f>
        <v>45522</v>
      </c>
      <c r="D33" s="337" t="b">
        <v>0</v>
      </c>
    </row>
    <row r="34">
      <c r="A34" s="338" t="str">
        <f>IFERROR(__xludf.DUMMYFUNCTION("""COMPUTED_VALUE"""),"MP Mauro")</f>
        <v>MP Mauro</v>
      </c>
      <c r="B34" s="342" t="str">
        <f>IFERROR(__xludf.DUMMYFUNCTION("""COMPUTED_VALUE"""),"NCon")</f>
        <v>NCon</v>
      </c>
      <c r="C34" s="340">
        <f>IFERROR(__xludf.DUMMYFUNCTION("""COMPUTED_VALUE"""),45549.0)</f>
        <v>45549</v>
      </c>
      <c r="D34" s="337" t="b">
        <v>0</v>
      </c>
    </row>
    <row r="35">
      <c r="A35" s="336" t="str">
        <f>IFERROR(__xludf.DUMMYFUNCTION("""COMPUTED_VALUE"""),"Ocean Health")</f>
        <v>Ocean Health</v>
      </c>
      <c r="B35" s="341" t="str">
        <f>IFERROR(__xludf.DUMMYFUNCTION("""COMPUTED_VALUE"""),"NCon")</f>
        <v>NCon</v>
      </c>
      <c r="C35" s="118">
        <f>IFERROR(__xludf.DUMMYFUNCTION("""COMPUTED_VALUE"""),45497.0)</f>
        <v>45497</v>
      </c>
      <c r="D35" s="337" t="b">
        <v>0</v>
      </c>
    </row>
    <row r="36">
      <c r="A36" s="338" t="str">
        <f>IFERROR(__xludf.DUMMYFUNCTION("""COMPUTED_VALUE"""),"Jus Brasil 2.0")</f>
        <v>Jus Brasil 2.0</v>
      </c>
      <c r="B36" s="342" t="str">
        <f>IFERROR(__xludf.DUMMYFUNCTION("""COMPUTED_VALUE"""),"NCon")</f>
        <v>NCon</v>
      </c>
      <c r="C36" s="340">
        <f>IFERROR(__xludf.DUMMYFUNCTION("""COMPUTED_VALUE"""),45563.0)</f>
        <v>45563</v>
      </c>
      <c r="D36" s="337" t="b">
        <v>0</v>
      </c>
    </row>
    <row r="37">
      <c r="A37" s="338" t="str">
        <f>IFERROR(__xludf.DUMMYFUNCTION("""COMPUTED_VALUE"""),"MP Botica")</f>
        <v>MP Botica</v>
      </c>
      <c r="B37" s="342" t="str">
        <f>IFERROR(__xludf.DUMMYFUNCTION("""COMPUTED_VALUE"""),"NCon")</f>
        <v>NCon</v>
      </c>
      <c r="C37" s="340">
        <f>IFERROR(__xludf.DUMMYFUNCTION("""COMPUTED_VALUE"""),45538.0)</f>
        <v>45538</v>
      </c>
      <c r="D37" s="337" t="b">
        <v>0</v>
      </c>
    </row>
    <row r="38">
      <c r="A38" s="338" t="str">
        <f>IFERROR(__xludf.DUMMYFUNCTION("""COMPUTED_VALUE"""),"Grafeno")</f>
        <v>Grafeno</v>
      </c>
      <c r="B38" s="342" t="str">
        <f>IFERROR(__xludf.DUMMYFUNCTION("""COMPUTED_VALUE"""),"NCon")</f>
        <v>NCon</v>
      </c>
      <c r="C38" s="340">
        <f>IFERROR(__xludf.DUMMYFUNCTION("""COMPUTED_VALUE"""),45584.0)</f>
        <v>45584</v>
      </c>
      <c r="D38" s="337" t="b">
        <v>0</v>
      </c>
    </row>
    <row r="39">
      <c r="A39" s="338" t="str">
        <f>IFERROR(__xludf.DUMMYFUNCTION("""COMPUTED_VALUE"""),"PM MNM")</f>
        <v>PM MNM</v>
      </c>
      <c r="B39" s="342" t="str">
        <f>IFERROR(__xludf.DUMMYFUNCTION("""COMPUTED_VALUE"""),"NCon")</f>
        <v>NCon</v>
      </c>
      <c r="C39" s="340">
        <f>IFERROR(__xludf.DUMMYFUNCTION("""COMPUTED_VALUE"""),45539.0)</f>
        <v>45539</v>
      </c>
      <c r="D39" s="337" t="b">
        <v>0</v>
      </c>
    </row>
    <row r="40">
      <c r="A40" s="338" t="str">
        <f>IFERROR(__xludf.DUMMYFUNCTION("""COMPUTED_VALUE"""),"Klabin 3.1")</f>
        <v>Klabin 3.1</v>
      </c>
      <c r="B40" s="339" t="str">
        <f>IFERROR(__xludf.DUMMYFUNCTION("""COMPUTED_VALUE"""),"NDados")</f>
        <v>NDados</v>
      </c>
      <c r="C40" s="340">
        <f>IFERROR(__xludf.DUMMYFUNCTION("""COMPUTED_VALUE"""),45348.0)</f>
        <v>45348</v>
      </c>
      <c r="D40" s="337" t="b">
        <v>0</v>
      </c>
    </row>
    <row r="41">
      <c r="A41" s="338" t="str">
        <f>IFERROR(__xludf.DUMMYFUNCTION("""COMPUTED_VALUE"""),"Costa Brasil_1")</f>
        <v>Costa Brasil_1</v>
      </c>
      <c r="B41" s="342" t="str">
        <f>IFERROR(__xludf.DUMMYFUNCTION("""COMPUTED_VALUE"""),"NDados")</f>
        <v>NDados</v>
      </c>
      <c r="C41" s="340">
        <f>IFERROR(__xludf.DUMMYFUNCTION("""COMPUTED_VALUE"""),45445.0)</f>
        <v>45445</v>
      </c>
      <c r="D41" s="337" t="b">
        <v>0</v>
      </c>
    </row>
    <row r="42">
      <c r="A42" s="338" t="str">
        <f>IFERROR(__xludf.DUMMYFUNCTION("""COMPUTED_VALUE"""),"Costa Brasil_2")</f>
        <v>Costa Brasil_2</v>
      </c>
      <c r="B42" s="342" t="str">
        <f>IFERROR(__xludf.DUMMYFUNCTION("""COMPUTED_VALUE"""),"NDados")</f>
        <v>NDados</v>
      </c>
      <c r="C42" s="340">
        <f>IFERROR(__xludf.DUMMYFUNCTION("""COMPUTED_VALUE"""),45445.0)</f>
        <v>45445</v>
      </c>
      <c r="D42" s="337" t="b">
        <v>0</v>
      </c>
    </row>
    <row r="43">
      <c r="A43" s="336" t="str">
        <f>IFERROR(__xludf.DUMMYFUNCTION("""COMPUTED_VALUE"""),"Grupo NOS - NDados")</f>
        <v>Grupo NOS - NDados</v>
      </c>
      <c r="B43" s="341" t="str">
        <f>IFERROR(__xludf.DUMMYFUNCTION("""COMPUTED_VALUE"""),"NDados")</f>
        <v>NDados</v>
      </c>
      <c r="C43" s="118">
        <f>IFERROR(__xludf.DUMMYFUNCTION("""COMPUTED_VALUE"""),45523.0)</f>
        <v>45523</v>
      </c>
      <c r="D43" s="337" t="b">
        <v>0</v>
      </c>
    </row>
    <row r="44">
      <c r="A44" s="338" t="str">
        <f>IFERROR(__xludf.DUMMYFUNCTION("""COMPUTED_VALUE"""),"Adeste")</f>
        <v>Adeste</v>
      </c>
      <c r="B44" s="342" t="str">
        <f>IFERROR(__xludf.DUMMYFUNCTION("""COMPUTED_VALUE"""),"NDados")</f>
        <v>NDados</v>
      </c>
      <c r="C44" s="340">
        <f>IFERROR(__xludf.DUMMYFUNCTION("""COMPUTED_VALUE"""),45445.0)</f>
        <v>45445</v>
      </c>
      <c r="D44" s="337" t="b">
        <v>0</v>
      </c>
    </row>
    <row r="45">
      <c r="A45" s="338" t="str">
        <f>IFERROR(__xludf.DUMMYFUNCTION("""COMPUTED_VALUE"""),"Conexis")</f>
        <v>Conexis</v>
      </c>
      <c r="B45" s="342" t="str">
        <f>IFERROR(__xludf.DUMMYFUNCTION("""COMPUTED_VALUE"""),"NDados")</f>
        <v>NDados</v>
      </c>
      <c r="C45" s="340">
        <f>IFERROR(__xludf.DUMMYFUNCTION("""COMPUTED_VALUE"""),45462.0)</f>
        <v>45462</v>
      </c>
      <c r="D45" s="337" t="b">
        <v>0</v>
      </c>
    </row>
    <row r="46">
      <c r="A46" s="336" t="str">
        <f>IFERROR(__xludf.DUMMYFUNCTION("""COMPUTED_VALUE"""),"Comerc")</f>
        <v>Comerc</v>
      </c>
      <c r="B46" s="341" t="str">
        <f>IFERROR(__xludf.DUMMYFUNCTION("""COMPUTED_VALUE"""),"NDados")</f>
        <v>NDados</v>
      </c>
      <c r="C46" s="118">
        <f>IFERROR(__xludf.DUMMYFUNCTION("""COMPUTED_VALUE"""),45482.0)</f>
        <v>45482</v>
      </c>
      <c r="D46" s="337" t="b">
        <v>0</v>
      </c>
    </row>
    <row r="47">
      <c r="A47" s="338" t="str">
        <f>IFERROR(__xludf.DUMMYFUNCTION("""COMPUTED_VALUE"""),"Total Pass")</f>
        <v>Total Pass</v>
      </c>
      <c r="B47" s="342" t="str">
        <f>IFERROR(__xludf.DUMMYFUNCTION("""COMPUTED_VALUE"""),"NDados")</f>
        <v>NDados</v>
      </c>
      <c r="C47" s="340">
        <f>IFERROR(__xludf.DUMMYFUNCTION("""COMPUTED_VALUE"""),45595.0)</f>
        <v>45595</v>
      </c>
      <c r="D47" s="337" t="b">
        <v>0</v>
      </c>
    </row>
    <row r="48">
      <c r="A48" s="336" t="str">
        <f>IFERROR(__xludf.DUMMYFUNCTION("""COMPUTED_VALUE"""),"Messer")</f>
        <v>Messer</v>
      </c>
      <c r="B48" s="341" t="str">
        <f>IFERROR(__xludf.DUMMYFUNCTION("""COMPUTED_VALUE"""),"NDados")</f>
        <v>NDados</v>
      </c>
      <c r="C48" s="118">
        <f>IFERROR(__xludf.DUMMYFUNCTION("""COMPUTED_VALUE"""),45384.0)</f>
        <v>45384</v>
      </c>
      <c r="D48" s="337" t="b">
        <v>0</v>
      </c>
    </row>
    <row r="49">
      <c r="A49" s="338" t="str">
        <f>IFERROR(__xludf.DUMMYFUNCTION("""COMPUTED_VALUE"""),"Metthodos")</f>
        <v>Metthodos</v>
      </c>
      <c r="B49" s="342" t="str">
        <f>IFERROR(__xludf.DUMMYFUNCTION("""COMPUTED_VALUE"""),"NDados")</f>
        <v>NDados</v>
      </c>
      <c r="C49" s="340">
        <f>IFERROR(__xludf.DUMMYFUNCTION("""COMPUTED_VALUE"""),45462.0)</f>
        <v>45462</v>
      </c>
      <c r="D49" s="337" t="b">
        <v>0</v>
      </c>
    </row>
    <row r="50">
      <c r="A50" s="336" t="str">
        <f>IFERROR(__xludf.DUMMYFUNCTION("""COMPUTED_VALUE"""),"Espaço Laser")</f>
        <v>Espaço Laser</v>
      </c>
      <c r="B50" s="341" t="str">
        <f>IFERROR(__xludf.DUMMYFUNCTION("""COMPUTED_VALUE"""),"NDados")</f>
        <v>NDados</v>
      </c>
      <c r="C50" s="118">
        <f>IFERROR(__xludf.DUMMYFUNCTION("""COMPUTED_VALUE"""),45493.0)</f>
        <v>45493</v>
      </c>
      <c r="D50" s="337" t="b">
        <v>0</v>
      </c>
    </row>
    <row r="51">
      <c r="A51" s="338" t="str">
        <f>IFERROR(__xludf.DUMMYFUNCTION("""COMPUTED_VALUE"""),"Vitta Saúde")</f>
        <v>Vitta Saúde</v>
      </c>
      <c r="B51" s="342" t="str">
        <f>IFERROR(__xludf.DUMMYFUNCTION("""COMPUTED_VALUE"""),"NDados")</f>
        <v>NDados</v>
      </c>
      <c r="C51" s="340">
        <f>IFERROR(__xludf.DUMMYFUNCTION("""COMPUTED_VALUE"""),45532.0)</f>
        <v>45532</v>
      </c>
      <c r="D51" s="337" t="b">
        <v>0</v>
      </c>
    </row>
    <row r="52">
      <c r="A52" s="338" t="str">
        <f>IFERROR(__xludf.DUMMYFUNCTION("""COMPUTED_VALUE"""),"Fire Solution")</f>
        <v>Fire Solution</v>
      </c>
      <c r="B52" s="342" t="str">
        <f>IFERROR(__xludf.DUMMYFUNCTION("""COMPUTED_VALUE"""),"NDados")</f>
        <v>NDados</v>
      </c>
      <c r="C52" s="340">
        <f>IFERROR(__xludf.DUMMYFUNCTION("""COMPUTED_VALUE"""),45397.0)</f>
        <v>45397</v>
      </c>
      <c r="D52" s="337" t="b">
        <v>0</v>
      </c>
    </row>
    <row r="53">
      <c r="A53" s="336" t="str">
        <f>IFERROR(__xludf.DUMMYFUNCTION("""COMPUTED_VALUE"""),"Scheneider")</f>
        <v>Scheneider</v>
      </c>
      <c r="B53" s="341" t="str">
        <f>IFERROR(__xludf.DUMMYFUNCTION("""COMPUTED_VALUE"""),"NDados")</f>
        <v>NDados</v>
      </c>
      <c r="C53" s="118">
        <f>IFERROR(__xludf.DUMMYFUNCTION("""COMPUTED_VALUE"""),45504.0)</f>
        <v>45504</v>
      </c>
      <c r="D53" s="337" t="b">
        <v>0</v>
      </c>
    </row>
    <row r="54">
      <c r="A54" s="338" t="str">
        <f>IFERROR(__xludf.DUMMYFUNCTION("""COMPUTED_VALUE"""),"LeafPay")</f>
        <v>LeafPay</v>
      </c>
      <c r="B54" s="342" t="str">
        <f>IFERROR(__xludf.DUMMYFUNCTION("""COMPUTED_VALUE"""),"NDados")</f>
        <v>NDados</v>
      </c>
      <c r="C54" s="340">
        <f>IFERROR(__xludf.DUMMYFUNCTION("""COMPUTED_VALUE"""),45647.0)</f>
        <v>45647</v>
      </c>
      <c r="D54" s="337" t="b">
        <v>0</v>
      </c>
    </row>
    <row r="55">
      <c r="A55" s="336" t="str">
        <f>IFERROR(__xludf.DUMMYFUNCTION("""COMPUTED_VALUE"""),"IQVIA 2.0")</f>
        <v>IQVIA 2.0</v>
      </c>
      <c r="B55" s="341" t="str">
        <f>IFERROR(__xludf.DUMMYFUNCTION("""COMPUTED_VALUE"""),"NDados")</f>
        <v>NDados</v>
      </c>
      <c r="C55" s="118">
        <f>IFERROR(__xludf.DUMMYFUNCTION("""COMPUTED_VALUE"""),45545.0)</f>
        <v>45545</v>
      </c>
      <c r="D55" s="92" t="b">
        <v>0</v>
      </c>
    </row>
    <row r="56">
      <c r="A56" s="338" t="str">
        <f>IFERROR(__xludf.DUMMYFUNCTION("""COMPUTED_VALUE"""),"Plena Saúde")</f>
        <v>Plena Saúde</v>
      </c>
      <c r="B56" s="342" t="str">
        <f>IFERROR(__xludf.DUMMYFUNCTION("""COMPUTED_VALUE"""),"NDados")</f>
        <v>NDados</v>
      </c>
      <c r="C56" s="340">
        <f>IFERROR(__xludf.DUMMYFUNCTION("""COMPUTED_VALUE"""),45545.0)</f>
        <v>45545</v>
      </c>
      <c r="D56" s="92" t="b">
        <v>0</v>
      </c>
    </row>
    <row r="57">
      <c r="A57" s="338" t="str">
        <f>IFERROR(__xludf.DUMMYFUNCTION("""COMPUTED_VALUE"""),"Buskar")</f>
        <v>Buskar</v>
      </c>
      <c r="B57" s="339" t="str">
        <f>IFERROR(__xludf.DUMMYFUNCTION("""COMPUTED_VALUE"""),"NTec")</f>
        <v>NTec</v>
      </c>
      <c r="C57" s="340">
        <f>IFERROR(__xludf.DUMMYFUNCTION("""COMPUTED_VALUE"""),45577.0)</f>
        <v>45577</v>
      </c>
      <c r="D57" s="92" t="b">
        <v>0</v>
      </c>
    </row>
    <row r="58">
      <c r="A58" s="336" t="str">
        <f>IFERROR(__xludf.DUMMYFUNCTION("""COMPUTED_VALUE"""),"Fidelização Zanella")</f>
        <v>Fidelização Zanella</v>
      </c>
      <c r="B58" s="289" t="str">
        <f>IFERROR(__xludf.DUMMYFUNCTION("""COMPUTED_VALUE"""),"NTec")</f>
        <v>NTec</v>
      </c>
      <c r="C58" s="118">
        <f>IFERROR(__xludf.DUMMYFUNCTION("""COMPUTED_VALUE"""),45573.0)</f>
        <v>45573</v>
      </c>
      <c r="D58" s="92" t="b">
        <v>0</v>
      </c>
    </row>
    <row r="59">
      <c r="A59" s="336" t="str">
        <f>IFERROR(__xludf.DUMMYFUNCTION("""COMPUTED_VALUE"""),"Fidelização Wahojobs")</f>
        <v>Fidelização Wahojobs</v>
      </c>
      <c r="B59" s="289" t="str">
        <f>IFERROR(__xludf.DUMMYFUNCTION("""COMPUTED_VALUE"""),"NTec")</f>
        <v>NTec</v>
      </c>
      <c r="C59" s="118">
        <f>IFERROR(__xludf.DUMMYFUNCTION("""COMPUTED_VALUE"""),45448.0)</f>
        <v>45448</v>
      </c>
      <c r="D59" s="92" t="b">
        <v>0</v>
      </c>
    </row>
    <row r="60">
      <c r="A60" s="336" t="str">
        <f>IFERROR(__xludf.DUMMYFUNCTION("""COMPUTED_VALUE"""),"App Plantões")</f>
        <v>App Plantões</v>
      </c>
      <c r="B60" s="289" t="str">
        <f>IFERROR(__xludf.DUMMYFUNCTION("""COMPUTED_VALUE"""),"NTec")</f>
        <v>NTec</v>
      </c>
      <c r="C60" s="118">
        <f>IFERROR(__xludf.DUMMYFUNCTION("""COMPUTED_VALUE"""),45599.0)</f>
        <v>45599</v>
      </c>
      <c r="D60" s="92" t="b">
        <v>0</v>
      </c>
    </row>
    <row r="61">
      <c r="A61" s="336" t="str">
        <f>IFERROR(__xludf.DUMMYFUNCTION("""COMPUTED_VALUE"""),"Hold Brasil")</f>
        <v>Hold Brasil</v>
      </c>
      <c r="B61" s="289" t="str">
        <f>IFERROR(__xludf.DUMMYFUNCTION("""COMPUTED_VALUE"""),"NTec")</f>
        <v>NTec</v>
      </c>
      <c r="C61" s="118">
        <f>IFERROR(__xludf.DUMMYFUNCTION("""COMPUTED_VALUE"""),45523.0)</f>
        <v>45523</v>
      </c>
      <c r="D61" s="92" t="b">
        <v>0</v>
      </c>
    </row>
    <row r="62">
      <c r="A62" s="338" t="str">
        <f>IFERROR(__xludf.DUMMYFUNCTION("""COMPUTED_VALUE"""),"Fidelização RV Capital")</f>
        <v>Fidelização RV Capital</v>
      </c>
      <c r="B62" s="339" t="str">
        <f>IFERROR(__xludf.DUMMYFUNCTION("""COMPUTED_VALUE"""),"NTec")</f>
        <v>NTec</v>
      </c>
      <c r="C62" s="340">
        <f>IFERROR(__xludf.DUMMYFUNCTION("""COMPUTED_VALUE"""),45535.0)</f>
        <v>45535</v>
      </c>
      <c r="D62" s="92" t="b">
        <v>0</v>
      </c>
    </row>
    <row r="63">
      <c r="A63" s="338" t="str">
        <f>IFERROR(__xludf.DUMMYFUNCTION("""COMPUTED_VALUE"""),"MP Tadeu")</f>
        <v>MP Tadeu</v>
      </c>
      <c r="B63" s="342" t="str">
        <f>IFERROR(__xludf.DUMMYFUNCTION("""COMPUTED_VALUE"""),"NCon")</f>
        <v>NCon</v>
      </c>
      <c r="C63" s="340">
        <f>IFERROR(__xludf.DUMMYFUNCTION("""COMPUTED_VALUE"""),45570.0)</f>
        <v>45570</v>
      </c>
      <c r="D63" s="92" t="b">
        <v>0</v>
      </c>
    </row>
    <row r="64">
      <c r="A64" s="338" t="str">
        <f>IFERROR(__xludf.DUMMYFUNCTION("""COMPUTED_VALUE"""),"PM Angélica")</f>
        <v>PM Angélica</v>
      </c>
      <c r="B64" s="342" t="str">
        <f>IFERROR(__xludf.DUMMYFUNCTION("""COMPUTED_VALUE"""),"NCon")</f>
        <v>NCon</v>
      </c>
      <c r="C64" s="340">
        <f>IFERROR(__xludf.DUMMYFUNCTION("""COMPUTED_VALUE"""),45525.0)</f>
        <v>45525</v>
      </c>
      <c r="D64" s="92" t="b">
        <v>0</v>
      </c>
    </row>
    <row r="65">
      <c r="A65" s="336" t="str">
        <f>IFERROR(__xludf.DUMMYFUNCTION("""COMPUTED_VALUE"""),"Aditivo App Plantões")</f>
        <v>Aditivo App Plantões</v>
      </c>
      <c r="B65" s="341" t="str">
        <f>IFERROR(__xludf.DUMMYFUNCTION("""COMPUTED_VALUE"""),"NTec")</f>
        <v>NTec</v>
      </c>
      <c r="C65" s="118">
        <f>IFERROR(__xludf.DUMMYFUNCTION("""COMPUTED_VALUE"""),45599.0)</f>
        <v>45599</v>
      </c>
      <c r="D65" s="92" t="b">
        <v>0</v>
      </c>
    </row>
    <row r="66">
      <c r="A66" s="336" t="str">
        <f>IFERROR(__xludf.DUMMYFUNCTION("""COMPUTED_VALUE"""),"MP Juliana")</f>
        <v>MP Juliana</v>
      </c>
      <c r="B66" s="341" t="str">
        <f>IFERROR(__xludf.DUMMYFUNCTION("""COMPUTED_VALUE"""),"NCon")</f>
        <v>NCon</v>
      </c>
      <c r="C66" s="118">
        <f>IFERROR(__xludf.DUMMYFUNCTION("""COMPUTED_VALUE"""),45553.0)</f>
        <v>45553</v>
      </c>
      <c r="D66" s="92" t="b">
        <v>0</v>
      </c>
    </row>
    <row r="67">
      <c r="A67" s="336" t="str">
        <f>IFERROR(__xludf.DUMMYFUNCTION("""COMPUTED_VALUE"""),"Stabia 2.0")</f>
        <v>Stabia 2.0</v>
      </c>
      <c r="B67" s="341" t="str">
        <f>IFERROR(__xludf.DUMMYFUNCTION("""COMPUTED_VALUE"""),"NDados")</f>
        <v>NDados</v>
      </c>
      <c r="C67" s="118">
        <f>IFERROR(__xludf.DUMMYFUNCTION("""COMPUTED_VALUE"""),45448.0)</f>
        <v>45448</v>
      </c>
      <c r="D67" s="92" t="b">
        <v>0</v>
      </c>
    </row>
    <row r="68">
      <c r="A68" s="338" t="str">
        <f>IFERROR(__xludf.DUMMYFUNCTION("""COMPUTED_VALUE"""),"Petlove")</f>
        <v>Petlove</v>
      </c>
      <c r="B68" s="342" t="str">
        <f>IFERROR(__xludf.DUMMYFUNCTION("""COMPUTED_VALUE"""),"NCon")</f>
        <v>NCon</v>
      </c>
      <c r="C68" s="340">
        <f>IFERROR(__xludf.DUMMYFUNCTION("""COMPUTED_VALUE"""),45585.0)</f>
        <v>45585</v>
      </c>
      <c r="D68" s="92" t="b">
        <v>0</v>
      </c>
    </row>
    <row r="69">
      <c r="A69" s="336" t="str">
        <f>IFERROR(__xludf.DUMMYFUNCTION("""COMPUTED_VALUE"""),"Lucas Farias")</f>
        <v>Lucas Farias</v>
      </c>
      <c r="B69" s="341" t="str">
        <f>IFERROR(__xludf.DUMMYFUNCTION("""COMPUTED_VALUE"""),"NTec")</f>
        <v>NTec</v>
      </c>
      <c r="C69" s="118">
        <f>IFERROR(__xludf.DUMMYFUNCTION("""COMPUTED_VALUE"""),45543.0)</f>
        <v>45543</v>
      </c>
      <c r="D69" s="92" t="b">
        <v>0</v>
      </c>
    </row>
    <row r="70">
      <c r="A70" s="336" t="str">
        <f>IFERROR(__xludf.DUMMYFUNCTION("""COMPUTED_VALUE"""),"PM + GP Diálogos Embalados")</f>
        <v>PM + GP Diálogos Embalados</v>
      </c>
      <c r="B70" s="341" t="str">
        <f>IFERROR(__xludf.DUMMYFUNCTION("""COMPUTED_VALUE"""),"NCon")</f>
        <v>NCon</v>
      </c>
      <c r="C70" s="118">
        <f>IFERROR(__xludf.DUMMYFUNCTION("""COMPUTED_VALUE"""),45586.0)</f>
        <v>45586</v>
      </c>
      <c r="D70" s="92" t="b">
        <v>0</v>
      </c>
    </row>
    <row r="71">
      <c r="A71" s="338" t="str">
        <f>IFERROR(__xludf.DUMMYFUNCTION("""COMPUTED_VALUE"""),"Aditivo Elvis")</f>
        <v>Aditivo Elvis</v>
      </c>
      <c r="B71" s="342" t="str">
        <f>IFERROR(__xludf.DUMMYFUNCTION("""COMPUTED_VALUE"""),"NCiv")</f>
        <v>NCiv</v>
      </c>
      <c r="C71" s="340">
        <f>IFERROR(__xludf.DUMMYFUNCTION("""COMPUTED_VALUE"""),45572.0)</f>
        <v>45572</v>
      </c>
      <c r="D71" s="92" t="b">
        <v>0</v>
      </c>
    </row>
    <row r="72">
      <c r="A72" s="336" t="str">
        <f>IFERROR(__xludf.DUMMYFUNCTION("""COMPUTED_VALUE"""),"PM Hotel")</f>
        <v>PM Hotel</v>
      </c>
      <c r="B72" s="341" t="str">
        <f>IFERROR(__xludf.DUMMYFUNCTION("""COMPUTED_VALUE"""),"NCon")</f>
        <v>NCon</v>
      </c>
      <c r="C72" s="118">
        <f>IFERROR(__xludf.DUMMYFUNCTION("""COMPUTED_VALUE"""),45602.0)</f>
        <v>45602</v>
      </c>
      <c r="D72" s="92" t="b">
        <v>0</v>
      </c>
    </row>
    <row r="73">
      <c r="A73" s="336" t="str">
        <f>IFERROR(__xludf.DUMMYFUNCTION("""COMPUTED_VALUE"""),"PM Eugênio")</f>
        <v>PM Eugênio</v>
      </c>
      <c r="B73" s="341" t="str">
        <f>IFERROR(__xludf.DUMMYFUNCTION("""COMPUTED_VALUE"""),"NCon")</f>
        <v>NCon</v>
      </c>
      <c r="C73" s="118">
        <f>IFERROR(__xludf.DUMMYFUNCTION("""COMPUTED_VALUE"""),45558.0)</f>
        <v>45558</v>
      </c>
      <c r="D73" s="92" t="b">
        <v>0</v>
      </c>
    </row>
    <row r="74">
      <c r="A74" s="336" t="str">
        <f>IFERROR(__xludf.DUMMYFUNCTION("""COMPUTED_VALUE"""),"PM Aegea")</f>
        <v>PM Aegea</v>
      </c>
      <c r="B74" s="341" t="str">
        <f>IFERROR(__xludf.DUMMYFUNCTION("""COMPUTED_VALUE"""),"NCon")</f>
        <v>NCon</v>
      </c>
      <c r="C74" s="118">
        <f>IFERROR(__xludf.DUMMYFUNCTION("""COMPUTED_VALUE"""),45584.0)</f>
        <v>45584</v>
      </c>
      <c r="D74" s="92" t="b">
        <v>0</v>
      </c>
    </row>
    <row r="75">
      <c r="A75" s="338" t="str">
        <f>IFERROR(__xludf.DUMMYFUNCTION("""COMPUTED_VALUE"""),"Reckitt")</f>
        <v>Reckitt</v>
      </c>
      <c r="B75" s="342" t="str">
        <f>IFERROR(__xludf.DUMMYFUNCTION("""COMPUTED_VALUE"""),"NCon")</f>
        <v>NCon</v>
      </c>
      <c r="C75" s="340">
        <f>IFERROR(__xludf.DUMMYFUNCTION("""COMPUTED_VALUE"""),45591.0)</f>
        <v>45591</v>
      </c>
      <c r="D75" s="92" t="b">
        <v>0</v>
      </c>
    </row>
    <row r="76">
      <c r="A76" s="338" t="str">
        <f>IFERROR(__xludf.DUMMYFUNCTION("""COMPUTED_VALUE"""),"Sandoz")</f>
        <v>Sandoz</v>
      </c>
      <c r="B76" s="342" t="str">
        <f>IFERROR(__xludf.DUMMYFUNCTION("""COMPUTED_VALUE"""),"NDados")</f>
        <v>NDados</v>
      </c>
      <c r="C76" s="340">
        <f>IFERROR(__xludf.DUMMYFUNCTION("""COMPUTED_VALUE"""),45591.0)</f>
        <v>45591</v>
      </c>
      <c r="D76" s="92" t="b">
        <v>0</v>
      </c>
    </row>
    <row r="77">
      <c r="A77" s="338" t="str">
        <f>IFERROR(__xludf.DUMMYFUNCTION("""COMPUTED_VALUE"""),"Grafeno 2.0")</f>
        <v>Grafeno 2.0</v>
      </c>
      <c r="B77" s="342" t="str">
        <f>IFERROR(__xludf.DUMMYFUNCTION("""COMPUTED_VALUE"""),"NCon")</f>
        <v>NCon</v>
      </c>
      <c r="C77" s="340">
        <f>IFERROR(__xludf.DUMMYFUNCTION("""COMPUTED_VALUE"""),45635.0)</f>
        <v>45635</v>
      </c>
      <c r="D77" s="92" t="b">
        <v>0</v>
      </c>
    </row>
    <row r="78">
      <c r="A78" s="338" t="str">
        <f>IFERROR(__xludf.DUMMYFUNCTION("""COMPUTED_VALUE"""),"Enpower")</f>
        <v>Enpower</v>
      </c>
      <c r="B78" s="342" t="str">
        <f>IFERROR(__xludf.DUMMYFUNCTION("""COMPUTED_VALUE"""),"NDados")</f>
        <v>NDados</v>
      </c>
      <c r="C78" s="340">
        <f>IFERROR(__xludf.DUMMYFUNCTION("""COMPUTED_VALUE"""),45619.0)</f>
        <v>45619</v>
      </c>
      <c r="D78" s="92" t="b">
        <v>0</v>
      </c>
    </row>
    <row r="79">
      <c r="A79" s="336" t="str">
        <f>IFERROR(__xludf.DUMMYFUNCTION("""COMPUTED_VALUE"""),"PM Educantes")</f>
        <v>PM Educantes</v>
      </c>
      <c r="B79" s="341" t="str">
        <f>IFERROR(__xludf.DUMMYFUNCTION("""COMPUTED_VALUE"""),"NCon")</f>
        <v>NCon</v>
      </c>
      <c r="C79" s="118">
        <f>IFERROR(__xludf.DUMMYFUNCTION("""COMPUTED_VALUE"""),45591.0)</f>
        <v>45591</v>
      </c>
      <c r="D79" s="92" t="b">
        <v>0</v>
      </c>
    </row>
    <row r="80">
      <c r="A80" s="336" t="str">
        <f>IFERROR(__xludf.DUMMYFUNCTION("""COMPUTED_VALUE"""),"PM Framework ")</f>
        <v>PM Framework </v>
      </c>
      <c r="B80" s="341" t="str">
        <f>IFERROR(__xludf.DUMMYFUNCTION("""COMPUTED_VALUE"""),"NCon")</f>
        <v>NCon</v>
      </c>
      <c r="C80" s="118">
        <f>IFERROR(__xludf.DUMMYFUNCTION("""COMPUTED_VALUE"""),45609.0)</f>
        <v>45609</v>
      </c>
      <c r="D80" s="92" t="b">
        <v>0</v>
      </c>
    </row>
    <row r="81">
      <c r="A81" s="338" t="str">
        <f>IFERROR(__xludf.DUMMYFUNCTION("""COMPUTED_VALUE"""),"Aditivo Grupo Nós")</f>
        <v>Aditivo Grupo Nós</v>
      </c>
      <c r="B81" s="342" t="str">
        <f>IFERROR(__xludf.DUMMYFUNCTION("""COMPUTED_VALUE"""),"NCon")</f>
        <v>NCon</v>
      </c>
      <c r="C81" s="340">
        <f>IFERROR(__xludf.DUMMYFUNCTION("""COMPUTED_VALUE"""),45624.0)</f>
        <v>45624</v>
      </c>
      <c r="D81" s="337"/>
    </row>
    <row r="82">
      <c r="A82" s="338" t="str">
        <f>IFERROR(__xludf.DUMMYFUNCTION("""COMPUTED_VALUE"""),"Aditivo Grupo Nós")</f>
        <v>Aditivo Grupo Nós</v>
      </c>
      <c r="B82" s="342" t="str">
        <f>IFERROR(__xludf.DUMMYFUNCTION("""COMPUTED_VALUE"""),"NDados")</f>
        <v>NDados</v>
      </c>
      <c r="C82" s="340">
        <f>IFERROR(__xludf.DUMMYFUNCTION("""COMPUTED_VALUE"""),45505.0)</f>
        <v>45505</v>
      </c>
      <c r="D82" s="337"/>
    </row>
    <row r="83">
      <c r="A83" s="338" t="str">
        <f>IFERROR(__xludf.DUMMYFUNCTION("""COMPUTED_VALUE"""),"Fluxograma Pietro")</f>
        <v>Fluxograma Pietro</v>
      </c>
      <c r="B83" s="342" t="str">
        <f>IFERROR(__xludf.DUMMYFUNCTION("""COMPUTED_VALUE"""),"NTec")</f>
        <v>NTec</v>
      </c>
      <c r="C83" s="340">
        <f>IFERROR(__xludf.DUMMYFUNCTION("""COMPUTED_VALUE"""),45556.0)</f>
        <v>45556</v>
      </c>
      <c r="D83" s="337"/>
    </row>
    <row r="84">
      <c r="A84" s="338" t="str">
        <f>IFERROR(__xludf.DUMMYFUNCTION("""COMPUTED_VALUE"""),"Aditivo Albertoni ")</f>
        <v>Aditivo Albertoni </v>
      </c>
      <c r="B84" s="342" t="str">
        <f>IFERROR(__xludf.DUMMYFUNCTION("""COMPUTED_VALUE"""),"NCiv")</f>
        <v>NCiv</v>
      </c>
      <c r="C84" s="340">
        <f>IFERROR(__xludf.DUMMYFUNCTION("""COMPUTED_VALUE"""),45602.0)</f>
        <v>45602</v>
      </c>
      <c r="D84" s="337"/>
    </row>
    <row r="85">
      <c r="A85" s="338" t="str">
        <f>IFERROR(__xludf.DUMMYFUNCTION("""COMPUTED_VALUE"""),"Aditivo Casa LC")</f>
        <v>Aditivo Casa LC</v>
      </c>
      <c r="B85" s="342" t="str">
        <f>IFERROR(__xludf.DUMMYFUNCTION("""COMPUTED_VALUE"""),"NCiv")</f>
        <v>NCiv</v>
      </c>
      <c r="C85" s="340">
        <f>IFERROR(__xludf.DUMMYFUNCTION("""COMPUTED_VALUE"""),45467.0)</f>
        <v>45467</v>
      </c>
      <c r="D85" s="337"/>
    </row>
    <row r="86">
      <c r="A86" s="336" t="str">
        <f>IFERROR(__xludf.DUMMYFUNCTION("""COMPUTED_VALUE"""),"PM Sérgio")</f>
        <v>PM Sérgio</v>
      </c>
      <c r="B86" s="341" t="str">
        <f>IFERROR(__xludf.DUMMYFUNCTION("""COMPUTED_VALUE"""),"NCon")</f>
        <v>NCon</v>
      </c>
      <c r="C86" s="118">
        <f>IFERROR(__xludf.DUMMYFUNCTION("""COMPUTED_VALUE"""),45623.0)</f>
        <v>45623</v>
      </c>
      <c r="D86" s="337"/>
    </row>
    <row r="87">
      <c r="A87" s="336" t="str">
        <f>IFERROR(__xludf.DUMMYFUNCTION("""COMPUTED_VALUE"""),"ADM")</f>
        <v>ADM</v>
      </c>
      <c r="B87" s="341" t="str">
        <f>IFERROR(__xludf.DUMMYFUNCTION("""COMPUTED_VALUE"""),"NCon")</f>
        <v>NCon</v>
      </c>
      <c r="C87" s="118">
        <f>IFERROR(__xludf.DUMMYFUNCTION("""COMPUTED_VALUE"""),45630.0)</f>
        <v>45630</v>
      </c>
      <c r="D87" s="337"/>
    </row>
    <row r="88">
      <c r="A88" s="336" t="str">
        <f>IFERROR(__xludf.DUMMYFUNCTION("""COMPUTED_VALUE"""),"Rodobens")</f>
        <v>Rodobens</v>
      </c>
      <c r="B88" s="341" t="str">
        <f>IFERROR(__xludf.DUMMYFUNCTION("""COMPUTED_VALUE"""),"NCon")</f>
        <v>NCon</v>
      </c>
      <c r="C88" s="118">
        <f>IFERROR(__xludf.DUMMYFUNCTION("""COMPUTED_VALUE"""),45624.0)</f>
        <v>45624</v>
      </c>
      <c r="D88" s="337"/>
    </row>
    <row r="89">
      <c r="A89" s="336" t="str">
        <f>IFERROR(__xludf.DUMMYFUNCTION("""COMPUTED_VALUE"""),"Chlorum Solutions")</f>
        <v>Chlorum Solutions</v>
      </c>
      <c r="B89" s="341" t="str">
        <f>IFERROR(__xludf.DUMMYFUNCTION("""COMPUTED_VALUE"""),"NDados")</f>
        <v>NDados</v>
      </c>
      <c r="C89" s="118">
        <f>IFERROR(__xludf.DUMMYFUNCTION("""COMPUTED_VALUE"""),45522.0)</f>
        <v>45522</v>
      </c>
      <c r="D89" s="337"/>
    </row>
    <row r="90">
      <c r="A90" s="336" t="str">
        <f>IFERROR(__xludf.DUMMYFUNCTION("""COMPUTED_VALUE"""),"FS Fueling Sustainability")</f>
        <v>FS Fueling Sustainability</v>
      </c>
      <c r="B90" s="341" t="str">
        <f>IFERROR(__xludf.DUMMYFUNCTION("""COMPUTED_VALUE"""),"NDados")</f>
        <v>NDados</v>
      </c>
      <c r="C90" s="118">
        <f>IFERROR(__xludf.DUMMYFUNCTION("""COMPUTED_VALUE"""),45633.0)</f>
        <v>45633</v>
      </c>
      <c r="D90" s="337"/>
    </row>
    <row r="91">
      <c r="A91" s="336" t="str">
        <f>IFERROR(__xludf.DUMMYFUNCTION("""COMPUTED_VALUE"""),"LocalFrio 2.0")</f>
        <v>LocalFrio 2.0</v>
      </c>
      <c r="B91" s="341" t="str">
        <f>IFERROR(__xludf.DUMMYFUNCTION("""COMPUTED_VALUE"""),"NDados")</f>
        <v>NDados</v>
      </c>
      <c r="C91" s="118">
        <f>IFERROR(__xludf.DUMMYFUNCTION("""COMPUTED_VALUE"""),45536.0)</f>
        <v>45536</v>
      </c>
      <c r="D91" s="337"/>
    </row>
    <row r="92">
      <c r="A92" s="336" t="str">
        <f>IFERROR(__xludf.DUMMYFUNCTION("""COMPUTED_VALUE"""),"Grupo Trigo 2.0")</f>
        <v>Grupo Trigo 2.0</v>
      </c>
      <c r="B92" s="341" t="str">
        <f>IFERROR(__xludf.DUMMYFUNCTION("""COMPUTED_VALUE"""),"NCon")</f>
        <v>NCon</v>
      </c>
      <c r="C92" s="118">
        <f>IFERROR(__xludf.DUMMYFUNCTION("""COMPUTED_VALUE"""),45602.0)</f>
        <v>45602</v>
      </c>
      <c r="D92" s="337"/>
    </row>
    <row r="93">
      <c r="A93" s="343"/>
      <c r="B93" s="289"/>
      <c r="C93" s="289"/>
      <c r="D93" s="337"/>
    </row>
    <row r="94">
      <c r="A94" s="343"/>
      <c r="B94" s="289"/>
      <c r="C94" s="289"/>
      <c r="D94" s="337"/>
    </row>
    <row r="95">
      <c r="A95" s="343"/>
      <c r="B95" s="289"/>
      <c r="C95" s="289"/>
      <c r="D95" s="337"/>
    </row>
    <row r="96">
      <c r="A96" s="343"/>
      <c r="B96" s="289"/>
      <c r="C96" s="289"/>
      <c r="D96" s="337"/>
    </row>
    <row r="97">
      <c r="A97" s="344"/>
      <c r="B97" s="339"/>
      <c r="C97" s="339"/>
      <c r="D97" s="337"/>
    </row>
    <row r="98">
      <c r="A98" s="343"/>
      <c r="B98" s="289"/>
      <c r="C98" s="289"/>
      <c r="D98" s="337"/>
    </row>
    <row r="99">
      <c r="A99" s="344"/>
      <c r="B99" s="339"/>
      <c r="C99" s="339"/>
      <c r="D99" s="337"/>
    </row>
    <row r="100">
      <c r="A100" s="343"/>
      <c r="B100" s="289"/>
      <c r="C100" s="289"/>
      <c r="D100" s="337"/>
    </row>
    <row r="101">
      <c r="A101" s="343"/>
      <c r="B101" s="289"/>
      <c r="C101" s="289"/>
      <c r="D101" s="337"/>
    </row>
    <row r="102">
      <c r="A102" s="343"/>
      <c r="B102" s="289"/>
      <c r="C102" s="289"/>
      <c r="D102" s="337"/>
    </row>
    <row r="103">
      <c r="A103" s="343"/>
      <c r="B103" s="289"/>
      <c r="C103" s="289"/>
      <c r="D103" s="337"/>
    </row>
    <row r="104">
      <c r="A104" s="343"/>
      <c r="B104" s="289"/>
      <c r="C104" s="289"/>
      <c r="D104" s="337"/>
    </row>
    <row r="105">
      <c r="A105" s="343"/>
      <c r="B105" s="289"/>
      <c r="C105" s="289"/>
      <c r="D105" s="337"/>
    </row>
    <row r="106">
      <c r="A106" s="343"/>
      <c r="B106" s="289"/>
      <c r="C106" s="289"/>
      <c r="D106" s="337"/>
    </row>
    <row r="107">
      <c r="A107" s="343"/>
      <c r="B107" s="289"/>
      <c r="C107" s="289"/>
      <c r="D107" s="337"/>
    </row>
    <row r="108">
      <c r="A108" s="343"/>
      <c r="B108" s="289"/>
      <c r="C108" s="289"/>
      <c r="D108" s="337"/>
    </row>
    <row r="109">
      <c r="A109" s="343"/>
      <c r="B109" s="289"/>
      <c r="C109" s="289"/>
      <c r="D109" s="337"/>
    </row>
    <row r="110">
      <c r="A110" s="343"/>
      <c r="B110" s="289"/>
      <c r="C110" s="289"/>
      <c r="D110" s="337"/>
    </row>
    <row r="111">
      <c r="A111" s="343"/>
      <c r="B111" s="289"/>
      <c r="C111" s="289"/>
      <c r="D111" s="337"/>
    </row>
    <row r="112">
      <c r="A112" s="343"/>
      <c r="B112" s="289"/>
      <c r="C112" s="289"/>
      <c r="D112" s="337"/>
    </row>
    <row r="113">
      <c r="A113" s="344"/>
      <c r="B113" s="339"/>
      <c r="C113" s="339"/>
      <c r="D113" s="337"/>
    </row>
    <row r="114">
      <c r="A114" s="343"/>
      <c r="B114" s="289"/>
      <c r="C114" s="289"/>
      <c r="D114" s="337"/>
    </row>
    <row r="115">
      <c r="A115" s="343"/>
      <c r="B115" s="289"/>
      <c r="C115" s="289"/>
      <c r="D115" s="337"/>
    </row>
    <row r="116">
      <c r="A116" s="343"/>
      <c r="B116" s="289"/>
      <c r="C116" s="289"/>
      <c r="D116" s="337"/>
    </row>
    <row r="117">
      <c r="A117" s="343"/>
      <c r="B117" s="289"/>
      <c r="C117" s="289"/>
      <c r="D117" s="337"/>
    </row>
    <row r="118">
      <c r="A118" s="344"/>
      <c r="B118" s="339"/>
      <c r="C118" s="339"/>
      <c r="D118" s="337"/>
    </row>
    <row r="119">
      <c r="A119" s="343"/>
      <c r="B119" s="289"/>
      <c r="C119" s="289"/>
      <c r="D119" s="337"/>
    </row>
    <row r="120">
      <c r="A120" s="343"/>
      <c r="B120" s="289"/>
      <c r="C120" s="289"/>
      <c r="D120" s="337"/>
    </row>
    <row r="121">
      <c r="A121" s="343"/>
      <c r="B121" s="289"/>
      <c r="C121" s="289"/>
      <c r="D121" s="337"/>
    </row>
    <row r="122">
      <c r="A122" s="344"/>
      <c r="B122" s="339"/>
      <c r="C122" s="339"/>
      <c r="D122" s="337"/>
    </row>
    <row r="123">
      <c r="A123" s="344"/>
      <c r="B123" s="339"/>
      <c r="C123" s="339"/>
      <c r="D123" s="337"/>
    </row>
    <row r="124">
      <c r="A124" s="343"/>
      <c r="B124" s="289"/>
      <c r="C124" s="289"/>
      <c r="D124" s="337"/>
    </row>
    <row r="125">
      <c r="A125" s="343"/>
      <c r="B125" s="289"/>
      <c r="C125" s="289"/>
      <c r="D125" s="337"/>
    </row>
    <row r="126">
      <c r="A126" s="343"/>
      <c r="B126" s="289"/>
      <c r="C126" s="289"/>
      <c r="D126" s="337"/>
    </row>
    <row r="127">
      <c r="A127" s="343"/>
      <c r="B127" s="289"/>
      <c r="C127" s="289"/>
      <c r="D127" s="337"/>
    </row>
    <row r="128">
      <c r="A128" s="343"/>
      <c r="B128" s="289"/>
      <c r="C128" s="289"/>
      <c r="D128" s="337"/>
    </row>
    <row r="129">
      <c r="A129" s="343"/>
      <c r="B129" s="289"/>
      <c r="C129" s="289"/>
      <c r="D129" s="337"/>
    </row>
    <row r="130">
      <c r="A130" s="344"/>
      <c r="B130" s="339"/>
      <c r="C130" s="339"/>
      <c r="D130" s="337"/>
    </row>
    <row r="131">
      <c r="A131" s="343"/>
      <c r="B131" s="289"/>
      <c r="C131" s="289"/>
      <c r="D131" s="337"/>
    </row>
    <row r="132">
      <c r="A132" s="343"/>
      <c r="B132" s="289"/>
      <c r="C132" s="289"/>
      <c r="D132" s="337"/>
    </row>
    <row r="133">
      <c r="A133" s="343"/>
      <c r="B133" s="289"/>
      <c r="C133" s="289"/>
      <c r="D133" s="337"/>
    </row>
    <row r="134">
      <c r="A134" s="343"/>
      <c r="B134" s="289"/>
      <c r="C134" s="289"/>
      <c r="D134" s="337"/>
    </row>
    <row r="135">
      <c r="A135" s="343"/>
      <c r="B135" s="289"/>
      <c r="C135" s="289"/>
      <c r="D135" s="337"/>
    </row>
    <row r="136">
      <c r="A136" s="343"/>
      <c r="B136" s="289"/>
      <c r="C136" s="289"/>
      <c r="D136" s="337"/>
    </row>
    <row r="137">
      <c r="A137" s="343"/>
      <c r="B137" s="289"/>
      <c r="C137" s="289"/>
      <c r="D137" s="337"/>
    </row>
    <row r="138">
      <c r="A138" s="343"/>
      <c r="B138" s="289"/>
      <c r="C138" s="289"/>
      <c r="D138" s="337"/>
    </row>
    <row r="139">
      <c r="A139" s="343"/>
      <c r="B139" s="289"/>
      <c r="C139" s="289"/>
      <c r="D139" s="337"/>
    </row>
    <row r="140">
      <c r="A140" s="343"/>
      <c r="B140" s="289"/>
      <c r="C140" s="289"/>
      <c r="D140" s="337"/>
    </row>
    <row r="141">
      <c r="A141" s="343"/>
      <c r="B141" s="289"/>
      <c r="C141" s="289"/>
      <c r="D141" s="337"/>
    </row>
    <row r="142">
      <c r="A142" s="343"/>
      <c r="B142" s="289"/>
      <c r="C142" s="289"/>
      <c r="D142" s="337"/>
    </row>
    <row r="143">
      <c r="A143" s="343"/>
      <c r="B143" s="289"/>
      <c r="C143" s="289"/>
      <c r="D143" s="337"/>
    </row>
    <row r="144">
      <c r="A144" s="343"/>
      <c r="B144" s="289"/>
      <c r="C144" s="289"/>
      <c r="D144" s="337"/>
    </row>
    <row r="145">
      <c r="A145" s="343"/>
      <c r="B145" s="289"/>
      <c r="C145" s="289"/>
      <c r="D145" s="337"/>
    </row>
    <row r="146">
      <c r="A146" s="343"/>
      <c r="B146" s="289"/>
      <c r="C146" s="289"/>
      <c r="D146" s="337"/>
    </row>
    <row r="147">
      <c r="A147" s="343"/>
      <c r="B147" s="289"/>
      <c r="C147" s="289"/>
      <c r="D147" s="337"/>
    </row>
    <row r="148">
      <c r="A148" s="343"/>
      <c r="B148" s="289"/>
      <c r="C148" s="289"/>
      <c r="D148" s="337"/>
    </row>
    <row r="149">
      <c r="A149" s="343"/>
      <c r="B149" s="289"/>
      <c r="C149" s="289"/>
      <c r="D149" s="337"/>
    </row>
    <row r="150">
      <c r="A150" s="343"/>
      <c r="B150" s="289"/>
      <c r="C150" s="289"/>
      <c r="D150" s="337"/>
    </row>
    <row r="151">
      <c r="A151" s="343"/>
      <c r="B151" s="289"/>
      <c r="C151" s="289"/>
      <c r="D151" s="337"/>
    </row>
    <row r="152">
      <c r="A152" s="343"/>
      <c r="B152" s="289"/>
      <c r="C152" s="289"/>
      <c r="D152" s="337"/>
    </row>
    <row r="153">
      <c r="A153" s="343"/>
      <c r="B153" s="289"/>
      <c r="C153" s="289"/>
      <c r="D153" s="337"/>
    </row>
    <row r="154">
      <c r="A154" s="343"/>
      <c r="B154" s="289"/>
      <c r="C154" s="289"/>
      <c r="D154" s="337"/>
    </row>
    <row r="155">
      <c r="A155" s="343"/>
      <c r="B155" s="289"/>
      <c r="C155" s="289"/>
      <c r="D155" s="337"/>
    </row>
    <row r="156">
      <c r="A156" s="343"/>
      <c r="B156" s="289"/>
      <c r="C156" s="289"/>
      <c r="D156" s="337"/>
    </row>
    <row r="157">
      <c r="A157" s="343"/>
      <c r="B157" s="289"/>
      <c r="C157" s="289"/>
      <c r="D157" s="337"/>
    </row>
    <row r="158">
      <c r="A158" s="343"/>
      <c r="B158" s="289"/>
      <c r="C158" s="289"/>
      <c r="D158" s="337"/>
    </row>
    <row r="159">
      <c r="A159" s="343"/>
      <c r="B159" s="289"/>
      <c r="C159" s="289"/>
      <c r="D159" s="337"/>
    </row>
    <row r="160">
      <c r="A160" s="343"/>
      <c r="B160" s="289"/>
      <c r="C160" s="289"/>
      <c r="D160" s="337"/>
    </row>
    <row r="161">
      <c r="A161" s="343"/>
      <c r="B161" s="289"/>
      <c r="C161" s="289"/>
      <c r="D161" s="337"/>
    </row>
    <row r="162">
      <c r="A162" s="343"/>
      <c r="B162" s="289"/>
      <c r="C162" s="289"/>
      <c r="D162" s="337"/>
    </row>
    <row r="163">
      <c r="A163" s="343"/>
      <c r="B163" s="289"/>
      <c r="C163" s="289"/>
      <c r="D163" s="337"/>
    </row>
    <row r="164">
      <c r="A164" s="343"/>
      <c r="B164" s="289"/>
      <c r="C164" s="289"/>
      <c r="D164" s="337"/>
    </row>
    <row r="165">
      <c r="A165" s="343"/>
      <c r="B165" s="289"/>
      <c r="C165" s="289"/>
      <c r="D165" s="337"/>
    </row>
    <row r="166">
      <c r="A166" s="343"/>
      <c r="B166" s="289"/>
      <c r="C166" s="289"/>
      <c r="D166" s="337"/>
    </row>
    <row r="167">
      <c r="A167" s="343"/>
      <c r="B167" s="289"/>
      <c r="C167" s="289"/>
      <c r="D167" s="337"/>
    </row>
    <row r="168">
      <c r="A168" s="343"/>
      <c r="B168" s="289"/>
      <c r="C168" s="289"/>
      <c r="D168" s="337"/>
    </row>
    <row r="169">
      <c r="A169" s="343"/>
      <c r="B169" s="289"/>
      <c r="C169" s="289"/>
      <c r="D169" s="337"/>
    </row>
    <row r="170">
      <c r="A170" s="344"/>
      <c r="B170" s="339"/>
      <c r="C170" s="339"/>
      <c r="D170" s="337"/>
    </row>
    <row r="171">
      <c r="A171" s="343"/>
      <c r="B171" s="289"/>
      <c r="C171" s="289"/>
      <c r="D171" s="337"/>
    </row>
    <row r="172">
      <c r="A172" s="343"/>
      <c r="B172" s="289"/>
      <c r="C172" s="289"/>
      <c r="D172" s="337"/>
    </row>
    <row r="173">
      <c r="A173" s="343"/>
      <c r="B173" s="289"/>
      <c r="C173" s="289"/>
      <c r="D173" s="337"/>
    </row>
    <row r="174">
      <c r="A174" s="343"/>
      <c r="B174" s="289"/>
      <c r="C174" s="289"/>
      <c r="D174" s="337"/>
    </row>
    <row r="175">
      <c r="A175" s="343"/>
      <c r="B175" s="289"/>
      <c r="C175" s="289"/>
      <c r="D175" s="337"/>
    </row>
    <row r="176">
      <c r="A176" s="343"/>
      <c r="B176" s="289"/>
      <c r="C176" s="289"/>
      <c r="D176" s="337"/>
    </row>
    <row r="177">
      <c r="A177" s="343"/>
      <c r="B177" s="289"/>
      <c r="C177" s="289"/>
      <c r="D177" s="337"/>
    </row>
    <row r="178">
      <c r="A178" s="343"/>
      <c r="B178" s="289"/>
      <c r="C178" s="289"/>
      <c r="D178" s="337"/>
    </row>
    <row r="179">
      <c r="A179" s="343"/>
      <c r="B179" s="289"/>
      <c r="C179" s="289"/>
      <c r="D179" s="337"/>
    </row>
    <row r="180">
      <c r="A180" s="343"/>
      <c r="B180" s="289"/>
      <c r="C180" s="289"/>
      <c r="D180" s="337"/>
    </row>
    <row r="181">
      <c r="A181" s="343"/>
      <c r="B181" s="289"/>
      <c r="C181" s="289"/>
      <c r="D181" s="337"/>
    </row>
    <row r="182">
      <c r="A182" s="343"/>
      <c r="B182" s="289"/>
      <c r="C182" s="289"/>
      <c r="D182" s="337"/>
    </row>
    <row r="183">
      <c r="A183" s="343"/>
      <c r="B183" s="289"/>
      <c r="C183" s="289"/>
      <c r="D183" s="337"/>
    </row>
    <row r="184">
      <c r="A184" s="343"/>
      <c r="B184" s="289"/>
      <c r="C184" s="289"/>
      <c r="D184" s="337"/>
    </row>
    <row r="185">
      <c r="A185" s="343"/>
      <c r="B185" s="289"/>
      <c r="C185" s="289"/>
      <c r="D185" s="337"/>
    </row>
    <row r="186">
      <c r="A186" s="343"/>
      <c r="B186" s="289"/>
      <c r="C186" s="289"/>
      <c r="D186" s="337"/>
    </row>
    <row r="187">
      <c r="A187" s="343"/>
      <c r="B187" s="289"/>
      <c r="C187" s="289"/>
      <c r="D187" s="337"/>
    </row>
    <row r="188">
      <c r="A188" s="343"/>
      <c r="B188" s="289"/>
      <c r="C188" s="289"/>
      <c r="D188" s="337"/>
    </row>
    <row r="189">
      <c r="A189" s="343"/>
      <c r="B189" s="289"/>
      <c r="C189" s="289"/>
      <c r="D189" s="337"/>
    </row>
    <row r="190">
      <c r="A190" s="343"/>
      <c r="B190" s="289"/>
      <c r="C190" s="289"/>
      <c r="D190" s="337"/>
    </row>
    <row r="191">
      <c r="A191" s="343"/>
      <c r="B191" s="289"/>
      <c r="C191" s="289"/>
      <c r="D191" s="337"/>
    </row>
    <row r="192">
      <c r="A192" s="343"/>
      <c r="B192" s="289"/>
      <c r="C192" s="289"/>
      <c r="D192" s="337"/>
    </row>
    <row r="193">
      <c r="A193" s="343"/>
      <c r="B193" s="289"/>
      <c r="C193" s="289"/>
      <c r="D193" s="337"/>
    </row>
    <row r="194">
      <c r="A194" s="343"/>
      <c r="B194" s="289"/>
      <c r="C194" s="289"/>
      <c r="D194" s="337"/>
    </row>
    <row r="195">
      <c r="A195" s="343"/>
      <c r="B195" s="289"/>
      <c r="C195" s="289"/>
      <c r="D195" s="337"/>
    </row>
    <row r="196">
      <c r="A196" s="343"/>
      <c r="B196" s="289"/>
      <c r="C196" s="289"/>
      <c r="D196" s="337"/>
    </row>
    <row r="197">
      <c r="A197" s="343"/>
      <c r="B197" s="289"/>
      <c r="C197" s="289"/>
      <c r="D197" s="337"/>
    </row>
    <row r="198">
      <c r="A198" s="343"/>
      <c r="B198" s="289"/>
      <c r="C198" s="289"/>
      <c r="D198" s="337"/>
    </row>
    <row r="199">
      <c r="A199" s="343"/>
      <c r="B199" s="289"/>
      <c r="C199" s="289"/>
      <c r="D199" s="337"/>
    </row>
    <row r="200">
      <c r="A200" s="343"/>
      <c r="B200" s="289"/>
      <c r="C200" s="289"/>
      <c r="D200" s="337"/>
    </row>
    <row r="201">
      <c r="A201" s="343"/>
      <c r="B201" s="289"/>
      <c r="C201" s="289"/>
      <c r="D201" s="337"/>
    </row>
    <row r="202">
      <c r="A202" s="343"/>
      <c r="B202" s="289"/>
      <c r="C202" s="289"/>
      <c r="D202" s="337"/>
    </row>
    <row r="203">
      <c r="A203" s="343"/>
      <c r="B203" s="289"/>
      <c r="C203" s="289"/>
      <c r="D203" s="337"/>
    </row>
    <row r="204">
      <c r="A204" s="343"/>
      <c r="B204" s="289"/>
      <c r="C204" s="289"/>
      <c r="D204" s="337"/>
    </row>
    <row r="205">
      <c r="A205" s="343"/>
      <c r="B205" s="289"/>
      <c r="C205" s="289"/>
      <c r="D205" s="337"/>
    </row>
    <row r="206">
      <c r="A206" s="343"/>
      <c r="B206" s="289"/>
      <c r="C206" s="289"/>
      <c r="D206" s="337"/>
    </row>
    <row r="207">
      <c r="A207" s="343"/>
      <c r="B207" s="289"/>
      <c r="C207" s="289"/>
      <c r="D207" s="337"/>
    </row>
    <row r="208">
      <c r="A208" s="343"/>
      <c r="B208" s="289"/>
      <c r="C208" s="289"/>
      <c r="D208" s="337"/>
    </row>
    <row r="209">
      <c r="A209" s="343"/>
      <c r="B209" s="289"/>
      <c r="C209" s="289"/>
      <c r="D209" s="337"/>
    </row>
    <row r="210">
      <c r="A210" s="343"/>
      <c r="B210" s="289"/>
      <c r="C210" s="289"/>
      <c r="D210" s="337"/>
    </row>
    <row r="211">
      <c r="A211" s="343"/>
      <c r="B211" s="289"/>
      <c r="C211" s="289"/>
      <c r="D211" s="337"/>
    </row>
    <row r="212">
      <c r="A212" s="343"/>
      <c r="B212" s="289"/>
      <c r="C212" s="289"/>
      <c r="D212" s="337"/>
    </row>
    <row r="213">
      <c r="A213" s="343"/>
      <c r="B213" s="289"/>
      <c r="C213" s="289"/>
      <c r="D213" s="337"/>
    </row>
    <row r="214">
      <c r="A214" s="343"/>
      <c r="B214" s="289"/>
      <c r="C214" s="289"/>
      <c r="D214" s="337"/>
    </row>
    <row r="215">
      <c r="A215" s="343"/>
      <c r="B215" s="289"/>
      <c r="C215" s="289"/>
      <c r="D215" s="337"/>
    </row>
    <row r="216">
      <c r="A216" s="343"/>
      <c r="B216" s="289"/>
      <c r="C216" s="289"/>
      <c r="D216" s="337"/>
    </row>
    <row r="217">
      <c r="A217" s="343"/>
      <c r="B217" s="289"/>
      <c r="C217" s="289"/>
      <c r="D217" s="337"/>
    </row>
    <row r="218">
      <c r="A218" s="343"/>
      <c r="B218" s="289"/>
      <c r="C218" s="289"/>
      <c r="D218" s="337"/>
    </row>
    <row r="219">
      <c r="A219" s="343"/>
      <c r="B219" s="289"/>
      <c r="C219" s="289"/>
      <c r="D219" s="337"/>
    </row>
    <row r="220">
      <c r="A220" s="343"/>
      <c r="B220" s="289"/>
      <c r="C220" s="289"/>
      <c r="D220" s="337"/>
    </row>
    <row r="221">
      <c r="A221" s="343"/>
      <c r="B221" s="289"/>
      <c r="C221" s="289"/>
      <c r="D221" s="337"/>
    </row>
    <row r="222">
      <c r="A222" s="343"/>
      <c r="B222" s="289"/>
      <c r="C222" s="289"/>
      <c r="D222" s="337"/>
    </row>
    <row r="223">
      <c r="A223" s="343"/>
      <c r="B223" s="289"/>
      <c r="C223" s="289"/>
      <c r="D223" s="337"/>
    </row>
    <row r="224">
      <c r="A224" s="343"/>
      <c r="B224" s="289"/>
      <c r="C224" s="289"/>
      <c r="D224" s="337"/>
    </row>
    <row r="225">
      <c r="A225" s="343"/>
      <c r="B225" s="289"/>
      <c r="C225" s="289"/>
      <c r="D225" s="337"/>
    </row>
    <row r="226">
      <c r="A226" s="343"/>
      <c r="B226" s="289"/>
      <c r="C226" s="289"/>
      <c r="D226" s="337"/>
    </row>
    <row r="227">
      <c r="A227" s="343"/>
      <c r="B227" s="289"/>
      <c r="C227" s="289"/>
      <c r="D227" s="337"/>
    </row>
    <row r="228">
      <c r="A228" s="343"/>
      <c r="B228" s="289"/>
      <c r="C228" s="289"/>
      <c r="D228" s="337"/>
    </row>
    <row r="229">
      <c r="A229" s="343"/>
      <c r="B229" s="289"/>
      <c r="C229" s="289"/>
      <c r="D229" s="337"/>
    </row>
    <row r="230">
      <c r="A230" s="343"/>
      <c r="B230" s="289"/>
      <c r="C230" s="289"/>
      <c r="D230" s="337"/>
    </row>
    <row r="231">
      <c r="A231" s="343"/>
      <c r="B231" s="289"/>
      <c r="C231" s="289"/>
      <c r="D231" s="337"/>
    </row>
    <row r="232">
      <c r="A232" s="343"/>
      <c r="B232" s="289"/>
      <c r="C232" s="289"/>
      <c r="D232" s="337"/>
    </row>
    <row r="233">
      <c r="A233" s="343"/>
      <c r="B233" s="289"/>
      <c r="C233" s="289"/>
      <c r="D233" s="337"/>
    </row>
    <row r="234">
      <c r="A234" s="343"/>
      <c r="B234" s="289"/>
      <c r="C234" s="289"/>
      <c r="D234" s="337"/>
    </row>
    <row r="235">
      <c r="A235" s="343"/>
      <c r="B235" s="289"/>
      <c r="C235" s="289"/>
      <c r="D235" s="337"/>
    </row>
    <row r="236">
      <c r="A236" s="343"/>
      <c r="B236" s="289"/>
      <c r="C236" s="289"/>
      <c r="D236" s="337"/>
    </row>
    <row r="237">
      <c r="A237" s="343"/>
      <c r="B237" s="289"/>
      <c r="C237" s="289"/>
      <c r="D237" s="337"/>
    </row>
    <row r="238">
      <c r="A238" s="343"/>
      <c r="B238" s="289"/>
      <c r="C238" s="289"/>
      <c r="D238" s="337"/>
    </row>
    <row r="239">
      <c r="A239" s="343"/>
      <c r="B239" s="289"/>
      <c r="C239" s="289"/>
      <c r="D239" s="337"/>
    </row>
    <row r="240">
      <c r="A240" s="343"/>
      <c r="B240" s="289"/>
      <c r="C240" s="289"/>
      <c r="D240" s="337"/>
    </row>
    <row r="241">
      <c r="A241" s="343"/>
      <c r="B241" s="289"/>
      <c r="C241" s="289"/>
      <c r="D241" s="337"/>
    </row>
    <row r="242">
      <c r="A242" s="343"/>
      <c r="B242" s="289"/>
      <c r="C242" s="289"/>
      <c r="D242" s="337"/>
    </row>
    <row r="243">
      <c r="A243" s="343"/>
      <c r="B243" s="289"/>
      <c r="C243" s="289"/>
      <c r="D243" s="337"/>
    </row>
    <row r="244">
      <c r="A244" s="343"/>
      <c r="B244" s="289"/>
      <c r="C244" s="289"/>
      <c r="D244" s="337"/>
    </row>
    <row r="245">
      <c r="A245" s="343"/>
      <c r="B245" s="289"/>
      <c r="C245" s="289"/>
      <c r="D245" s="337"/>
    </row>
    <row r="246">
      <c r="A246" s="343"/>
      <c r="B246" s="289"/>
      <c r="C246" s="289"/>
      <c r="D246" s="337"/>
    </row>
    <row r="247">
      <c r="A247" s="343"/>
      <c r="B247" s="289"/>
      <c r="C247" s="289"/>
      <c r="D247" s="337"/>
    </row>
    <row r="248">
      <c r="A248" s="343"/>
      <c r="B248" s="289"/>
      <c r="C248" s="289"/>
      <c r="D248" s="337"/>
    </row>
    <row r="249">
      <c r="A249" s="343"/>
      <c r="B249" s="289"/>
      <c r="C249" s="289"/>
      <c r="D249" s="337"/>
    </row>
    <row r="250">
      <c r="A250" s="343"/>
      <c r="B250" s="289"/>
      <c r="C250" s="289"/>
      <c r="D250" s="337"/>
    </row>
    <row r="251">
      <c r="A251" s="343"/>
      <c r="B251" s="289"/>
      <c r="C251" s="289"/>
      <c r="D251" s="337"/>
    </row>
    <row r="252">
      <c r="A252" s="343"/>
      <c r="B252" s="289"/>
      <c r="C252" s="289"/>
      <c r="D252" s="337"/>
    </row>
    <row r="253">
      <c r="A253" s="343"/>
      <c r="B253" s="289"/>
      <c r="C253" s="289"/>
      <c r="D253" s="337"/>
    </row>
    <row r="254">
      <c r="A254" s="343"/>
      <c r="B254" s="289"/>
      <c r="C254" s="289"/>
      <c r="D254" s="337"/>
    </row>
    <row r="255">
      <c r="A255" s="343"/>
      <c r="B255" s="289"/>
      <c r="C255" s="289"/>
      <c r="D255" s="337"/>
    </row>
    <row r="256">
      <c r="A256" s="343"/>
      <c r="B256" s="289"/>
      <c r="C256" s="289"/>
      <c r="D256" s="337"/>
    </row>
    <row r="257">
      <c r="A257" s="343"/>
      <c r="B257" s="289"/>
      <c r="C257" s="289"/>
      <c r="D257" s="337"/>
    </row>
    <row r="258">
      <c r="A258" s="343"/>
      <c r="B258" s="289"/>
      <c r="C258" s="289"/>
      <c r="D258" s="337"/>
    </row>
    <row r="259">
      <c r="A259" s="343"/>
      <c r="B259" s="289"/>
      <c r="C259" s="289"/>
      <c r="D259" s="337"/>
    </row>
    <row r="260">
      <c r="A260" s="343"/>
      <c r="B260" s="289"/>
      <c r="C260" s="289"/>
      <c r="D260" s="337"/>
    </row>
    <row r="261">
      <c r="A261" s="343"/>
      <c r="B261" s="289"/>
      <c r="C261" s="289"/>
      <c r="D261" s="337"/>
    </row>
    <row r="262">
      <c r="A262" s="343"/>
      <c r="B262" s="289"/>
      <c r="C262" s="289"/>
      <c r="D262" s="337"/>
    </row>
    <row r="263">
      <c r="A263" s="343"/>
      <c r="B263" s="289"/>
      <c r="C263" s="289"/>
      <c r="D263" s="337"/>
    </row>
    <row r="264">
      <c r="A264" s="343"/>
      <c r="B264" s="289"/>
      <c r="C264" s="289"/>
      <c r="D264" s="337"/>
    </row>
    <row r="265">
      <c r="A265" s="343"/>
      <c r="B265" s="289"/>
      <c r="C265" s="289"/>
      <c r="D265" s="337"/>
    </row>
    <row r="266">
      <c r="A266" s="343"/>
      <c r="B266" s="289"/>
      <c r="C266" s="289"/>
      <c r="D266" s="337"/>
    </row>
    <row r="267">
      <c r="A267" s="343"/>
      <c r="B267" s="289"/>
      <c r="C267" s="289"/>
      <c r="D267" s="337"/>
    </row>
    <row r="268">
      <c r="A268" s="343"/>
      <c r="B268" s="289"/>
      <c r="C268" s="289"/>
      <c r="D268" s="337"/>
    </row>
    <row r="269">
      <c r="A269" s="343"/>
      <c r="B269" s="289"/>
      <c r="C269" s="289"/>
      <c r="D269" s="337"/>
    </row>
    <row r="270">
      <c r="A270" s="343"/>
      <c r="B270" s="289"/>
      <c r="C270" s="289"/>
      <c r="D270" s="337"/>
    </row>
    <row r="271">
      <c r="A271" s="343"/>
      <c r="B271" s="289"/>
      <c r="C271" s="289"/>
      <c r="D271" s="337"/>
    </row>
    <row r="272">
      <c r="A272" s="343"/>
      <c r="B272" s="289"/>
      <c r="C272" s="289"/>
      <c r="D272" s="337"/>
    </row>
    <row r="273">
      <c r="A273" s="343"/>
      <c r="B273" s="289"/>
      <c r="C273" s="289"/>
      <c r="D273" s="337"/>
    </row>
    <row r="274">
      <c r="A274" s="343"/>
      <c r="B274" s="289"/>
      <c r="C274" s="289"/>
      <c r="D274" s="337"/>
    </row>
    <row r="275">
      <c r="A275" s="343"/>
      <c r="B275" s="289"/>
      <c r="C275" s="289"/>
      <c r="D275" s="337"/>
    </row>
    <row r="276">
      <c r="A276" s="343"/>
      <c r="B276" s="289"/>
      <c r="C276" s="289"/>
      <c r="D276" s="337"/>
    </row>
    <row r="277">
      <c r="A277" s="343"/>
      <c r="B277" s="289"/>
      <c r="C277" s="289"/>
      <c r="D277" s="337"/>
    </row>
    <row r="278">
      <c r="A278" s="343"/>
      <c r="B278" s="289"/>
      <c r="C278" s="289"/>
      <c r="D278" s="337"/>
    </row>
    <row r="279">
      <c r="A279" s="343"/>
      <c r="B279" s="289"/>
      <c r="C279" s="289"/>
      <c r="D279" s="337"/>
    </row>
    <row r="280">
      <c r="A280" s="343"/>
      <c r="B280" s="289"/>
      <c r="C280" s="289"/>
      <c r="D280" s="337"/>
    </row>
    <row r="281">
      <c r="A281" s="343"/>
      <c r="B281" s="289"/>
      <c r="C281" s="289"/>
      <c r="D281" s="337"/>
    </row>
    <row r="282">
      <c r="A282" s="343"/>
      <c r="B282" s="289"/>
      <c r="C282" s="289"/>
      <c r="D282" s="337"/>
    </row>
    <row r="283">
      <c r="A283" s="343"/>
      <c r="B283" s="289"/>
      <c r="C283" s="289"/>
      <c r="D283" s="337"/>
    </row>
    <row r="284">
      <c r="A284" s="343"/>
      <c r="B284" s="289"/>
      <c r="C284" s="289"/>
      <c r="D284" s="337"/>
    </row>
    <row r="285">
      <c r="A285" s="343"/>
      <c r="B285" s="289"/>
      <c r="C285" s="289"/>
      <c r="D285" s="337"/>
    </row>
    <row r="286">
      <c r="A286" s="343"/>
      <c r="B286" s="289"/>
      <c r="C286" s="289"/>
      <c r="D286" s="337"/>
    </row>
    <row r="287">
      <c r="A287" s="343"/>
      <c r="B287" s="289"/>
      <c r="C287" s="289"/>
      <c r="D287" s="337"/>
    </row>
    <row r="288">
      <c r="A288" s="343"/>
      <c r="B288" s="289"/>
      <c r="C288" s="289"/>
      <c r="D288" s="337"/>
    </row>
    <row r="289">
      <c r="A289" s="343"/>
      <c r="B289" s="289"/>
      <c r="C289" s="289"/>
      <c r="D289" s="337"/>
    </row>
    <row r="290">
      <c r="A290" s="343"/>
      <c r="B290" s="289"/>
      <c r="C290" s="289"/>
      <c r="D290" s="337"/>
    </row>
    <row r="291">
      <c r="A291" s="343"/>
      <c r="B291" s="289"/>
      <c r="C291" s="289"/>
      <c r="D291" s="337"/>
    </row>
    <row r="292">
      <c r="A292" s="343"/>
      <c r="B292" s="289"/>
      <c r="C292" s="289"/>
      <c r="D292" s="337"/>
    </row>
    <row r="293">
      <c r="A293" s="343"/>
      <c r="B293" s="289"/>
      <c r="C293" s="289"/>
      <c r="D293" s="337"/>
    </row>
    <row r="294">
      <c r="A294" s="343"/>
      <c r="B294" s="289"/>
      <c r="C294" s="289"/>
      <c r="D294" s="337"/>
    </row>
    <row r="295">
      <c r="A295" s="343"/>
      <c r="B295" s="289"/>
      <c r="C295" s="289"/>
      <c r="D295" s="337"/>
    </row>
    <row r="296">
      <c r="A296" s="343"/>
      <c r="B296" s="289"/>
      <c r="C296" s="289"/>
      <c r="D296" s="337"/>
    </row>
    <row r="297">
      <c r="A297" s="343"/>
      <c r="B297" s="289"/>
      <c r="C297" s="289"/>
      <c r="D297" s="337"/>
    </row>
    <row r="298">
      <c r="A298" s="343"/>
      <c r="B298" s="289"/>
      <c r="C298" s="289"/>
      <c r="D298" s="337"/>
    </row>
    <row r="299">
      <c r="A299" s="343"/>
      <c r="B299" s="289"/>
      <c r="C299" s="289"/>
      <c r="D299" s="337"/>
    </row>
    <row r="300">
      <c r="A300" s="343"/>
      <c r="B300" s="289"/>
      <c r="C300" s="289"/>
      <c r="D300" s="337"/>
    </row>
    <row r="301">
      <c r="A301" s="343"/>
      <c r="B301" s="289"/>
      <c r="C301" s="289"/>
      <c r="D301" s="337"/>
    </row>
    <row r="302">
      <c r="A302" s="343"/>
      <c r="B302" s="289"/>
      <c r="C302" s="289"/>
      <c r="D302" s="337"/>
    </row>
    <row r="303">
      <c r="A303" s="343"/>
      <c r="B303" s="289"/>
      <c r="C303" s="289"/>
      <c r="D303" s="337"/>
    </row>
    <row r="304">
      <c r="A304" s="343"/>
      <c r="B304" s="289"/>
      <c r="C304" s="289"/>
      <c r="D304" s="337"/>
    </row>
    <row r="305">
      <c r="A305" s="343"/>
      <c r="B305" s="289"/>
      <c r="C305" s="289"/>
      <c r="D305" s="337"/>
    </row>
    <row r="306">
      <c r="A306" s="343"/>
      <c r="B306" s="289"/>
      <c r="C306" s="289"/>
      <c r="D306" s="337"/>
    </row>
    <row r="307">
      <c r="A307" s="343"/>
      <c r="B307" s="289"/>
      <c r="C307" s="289"/>
      <c r="D307" s="337"/>
    </row>
    <row r="308">
      <c r="A308" s="343"/>
      <c r="B308" s="289"/>
      <c r="C308" s="289"/>
      <c r="D308" s="337"/>
    </row>
    <row r="309">
      <c r="A309" s="343"/>
      <c r="B309" s="289"/>
      <c r="C309" s="289"/>
      <c r="D309" s="337"/>
    </row>
    <row r="310">
      <c r="A310" s="343"/>
      <c r="B310" s="289"/>
      <c r="C310" s="289"/>
      <c r="D310" s="337"/>
    </row>
    <row r="311">
      <c r="A311" s="343"/>
      <c r="B311" s="289"/>
      <c r="C311" s="289"/>
      <c r="D311" s="337"/>
    </row>
    <row r="312">
      <c r="A312" s="343"/>
      <c r="B312" s="289"/>
      <c r="C312" s="289"/>
      <c r="D312" s="337"/>
    </row>
    <row r="313">
      <c r="A313" s="343"/>
      <c r="B313" s="289"/>
      <c r="C313" s="289"/>
      <c r="D313" s="337"/>
    </row>
    <row r="314">
      <c r="A314" s="343"/>
      <c r="B314" s="289"/>
      <c r="C314" s="289"/>
      <c r="D314" s="337"/>
    </row>
    <row r="315">
      <c r="A315" s="343"/>
      <c r="B315" s="289"/>
      <c r="C315" s="289"/>
      <c r="D315" s="337"/>
    </row>
    <row r="316">
      <c r="A316" s="343"/>
      <c r="B316" s="289"/>
      <c r="C316" s="289"/>
      <c r="D316" s="337"/>
    </row>
    <row r="317">
      <c r="A317" s="343"/>
      <c r="B317" s="289"/>
      <c r="C317" s="289"/>
      <c r="D317" s="337"/>
    </row>
    <row r="318">
      <c r="A318" s="343"/>
      <c r="B318" s="289"/>
      <c r="C318" s="289"/>
      <c r="D318" s="337"/>
    </row>
    <row r="319">
      <c r="A319" s="343"/>
      <c r="B319" s="289"/>
      <c r="C319" s="289"/>
      <c r="D319" s="337"/>
    </row>
    <row r="320">
      <c r="A320" s="343"/>
      <c r="B320" s="289"/>
      <c r="C320" s="289"/>
      <c r="D320" s="337"/>
    </row>
    <row r="321">
      <c r="A321" s="343"/>
      <c r="B321" s="289"/>
      <c r="C321" s="289"/>
      <c r="D321" s="337"/>
    </row>
    <row r="322">
      <c r="A322" s="343"/>
      <c r="B322" s="289"/>
      <c r="C322" s="289"/>
      <c r="D322" s="337"/>
    </row>
    <row r="323">
      <c r="A323" s="343"/>
      <c r="B323" s="289"/>
      <c r="C323" s="289"/>
      <c r="D323" s="337"/>
    </row>
    <row r="324">
      <c r="A324" s="343"/>
      <c r="B324" s="289"/>
      <c r="C324" s="289"/>
      <c r="D324" s="337"/>
    </row>
    <row r="325">
      <c r="A325" s="343"/>
      <c r="B325" s="289"/>
      <c r="C325" s="289"/>
      <c r="D325" s="337"/>
    </row>
    <row r="326">
      <c r="A326" s="343"/>
      <c r="B326" s="289"/>
      <c r="C326" s="289"/>
      <c r="D326" s="337"/>
    </row>
    <row r="327">
      <c r="A327" s="343"/>
      <c r="B327" s="289"/>
      <c r="C327" s="289"/>
      <c r="D327" s="337"/>
    </row>
    <row r="328">
      <c r="A328" s="343"/>
      <c r="B328" s="289"/>
      <c r="C328" s="289"/>
      <c r="D328" s="337"/>
    </row>
    <row r="329">
      <c r="A329" s="343"/>
      <c r="B329" s="289"/>
      <c r="C329" s="289"/>
      <c r="D329" s="337"/>
    </row>
    <row r="330">
      <c r="A330" s="343"/>
      <c r="B330" s="289"/>
      <c r="C330" s="289"/>
      <c r="D330" s="337"/>
    </row>
    <row r="331">
      <c r="A331" s="343"/>
      <c r="B331" s="289"/>
      <c r="C331" s="289"/>
      <c r="D331" s="337"/>
    </row>
    <row r="332">
      <c r="A332" s="343"/>
      <c r="B332" s="289"/>
      <c r="C332" s="289"/>
      <c r="D332" s="337"/>
    </row>
    <row r="333">
      <c r="A333" s="343"/>
      <c r="B333" s="289"/>
      <c r="C333" s="289"/>
      <c r="D333" s="337"/>
    </row>
    <row r="334">
      <c r="A334" s="343"/>
      <c r="B334" s="289"/>
      <c r="C334" s="289"/>
      <c r="D334" s="337"/>
    </row>
    <row r="335">
      <c r="A335" s="343"/>
      <c r="B335" s="289"/>
      <c r="C335" s="289"/>
      <c r="D335" s="337"/>
    </row>
    <row r="336">
      <c r="A336" s="343"/>
      <c r="B336" s="289"/>
      <c r="C336" s="289"/>
      <c r="D336" s="337"/>
    </row>
    <row r="337">
      <c r="A337" s="343"/>
      <c r="B337" s="289"/>
      <c r="C337" s="289"/>
      <c r="D337" s="337"/>
    </row>
    <row r="338">
      <c r="A338" s="343"/>
      <c r="B338" s="289"/>
      <c r="C338" s="289"/>
      <c r="D338" s="337"/>
    </row>
    <row r="339">
      <c r="A339" s="343"/>
      <c r="B339" s="289"/>
      <c r="C339" s="289"/>
      <c r="D339" s="337"/>
    </row>
    <row r="340">
      <c r="A340" s="343"/>
      <c r="B340" s="289"/>
      <c r="C340" s="289"/>
      <c r="D340" s="337"/>
    </row>
    <row r="341">
      <c r="A341" s="343"/>
      <c r="B341" s="289"/>
      <c r="C341" s="289"/>
      <c r="D341" s="337"/>
    </row>
    <row r="342">
      <c r="A342" s="343"/>
      <c r="B342" s="289"/>
      <c r="C342" s="289"/>
      <c r="D342" s="337"/>
    </row>
    <row r="343">
      <c r="A343" s="343"/>
      <c r="B343" s="289"/>
      <c r="C343" s="289"/>
      <c r="D343" s="337"/>
    </row>
    <row r="344">
      <c r="A344" s="343"/>
      <c r="B344" s="289"/>
      <c r="C344" s="289"/>
      <c r="D344" s="337"/>
    </row>
    <row r="345">
      <c r="A345" s="343"/>
      <c r="B345" s="289"/>
      <c r="C345" s="289"/>
      <c r="D345" s="337"/>
    </row>
    <row r="346">
      <c r="A346" s="343"/>
      <c r="B346" s="289"/>
      <c r="C346" s="289"/>
      <c r="D346" s="337"/>
    </row>
    <row r="347">
      <c r="A347" s="343"/>
      <c r="B347" s="289"/>
      <c r="C347" s="289"/>
      <c r="D347" s="337"/>
    </row>
    <row r="348">
      <c r="A348" s="343"/>
      <c r="B348" s="289"/>
      <c r="C348" s="289"/>
      <c r="D348" s="337"/>
    </row>
    <row r="349">
      <c r="A349" s="343"/>
      <c r="B349" s="289"/>
      <c r="C349" s="289"/>
      <c r="D349" s="337"/>
    </row>
    <row r="350">
      <c r="A350" s="343"/>
      <c r="B350" s="289"/>
      <c r="C350" s="289"/>
      <c r="D350" s="337"/>
    </row>
    <row r="351">
      <c r="A351" s="343"/>
      <c r="B351" s="289"/>
      <c r="C351" s="289"/>
      <c r="D351" s="337"/>
    </row>
    <row r="352">
      <c r="A352" s="343"/>
      <c r="B352" s="289"/>
      <c r="C352" s="289"/>
      <c r="D352" s="337"/>
    </row>
    <row r="353">
      <c r="A353" s="343"/>
      <c r="B353" s="289"/>
      <c r="C353" s="289"/>
      <c r="D353" s="337"/>
    </row>
    <row r="354">
      <c r="A354" s="343"/>
      <c r="B354" s="289"/>
      <c r="C354" s="289"/>
      <c r="D354" s="337"/>
    </row>
    <row r="355">
      <c r="A355" s="343"/>
      <c r="B355" s="289"/>
      <c r="C355" s="289"/>
      <c r="D355" s="337"/>
    </row>
    <row r="356">
      <c r="A356" s="343"/>
      <c r="B356" s="289"/>
      <c r="C356" s="289"/>
      <c r="D356" s="337"/>
    </row>
    <row r="357">
      <c r="A357" s="343"/>
      <c r="B357" s="289"/>
      <c r="C357" s="289"/>
      <c r="D357" s="337"/>
    </row>
    <row r="358">
      <c r="A358" s="343"/>
      <c r="B358" s="289"/>
      <c r="C358" s="289"/>
      <c r="D358" s="337"/>
    </row>
    <row r="359">
      <c r="A359" s="343"/>
      <c r="B359" s="289"/>
      <c r="C359" s="289"/>
      <c r="D359" s="337"/>
    </row>
    <row r="360">
      <c r="A360" s="343"/>
      <c r="B360" s="289"/>
      <c r="C360" s="289"/>
      <c r="D360" s="337"/>
    </row>
    <row r="361">
      <c r="A361" s="343"/>
      <c r="B361" s="289"/>
      <c r="C361" s="289"/>
      <c r="D361" s="337"/>
    </row>
    <row r="362">
      <c r="A362" s="343"/>
      <c r="B362" s="289"/>
      <c r="C362" s="289"/>
      <c r="D362" s="337"/>
    </row>
    <row r="363">
      <c r="A363" s="343"/>
      <c r="B363" s="289"/>
      <c r="C363" s="289"/>
      <c r="D363" s="337"/>
    </row>
    <row r="364">
      <c r="A364" s="343"/>
      <c r="B364" s="289"/>
      <c r="C364" s="289"/>
      <c r="D364" s="337"/>
    </row>
    <row r="365">
      <c r="A365" s="343"/>
      <c r="B365" s="289"/>
      <c r="C365" s="289"/>
      <c r="D365" s="337"/>
    </row>
    <row r="366">
      <c r="A366" s="343"/>
      <c r="B366" s="289"/>
      <c r="C366" s="289"/>
      <c r="D366" s="337"/>
    </row>
    <row r="367">
      <c r="A367" s="343"/>
      <c r="B367" s="289"/>
      <c r="C367" s="289"/>
      <c r="D367" s="337"/>
    </row>
    <row r="368">
      <c r="A368" s="343"/>
      <c r="B368" s="289"/>
      <c r="C368" s="289"/>
      <c r="D368" s="337"/>
    </row>
    <row r="369">
      <c r="A369" s="343"/>
      <c r="B369" s="289"/>
      <c r="C369" s="289"/>
      <c r="D369" s="337"/>
    </row>
    <row r="370">
      <c r="A370" s="343"/>
      <c r="B370" s="289"/>
      <c r="C370" s="289"/>
      <c r="D370" s="337"/>
    </row>
    <row r="371">
      <c r="A371" s="343"/>
      <c r="B371" s="289"/>
      <c r="C371" s="289"/>
      <c r="D371" s="337"/>
    </row>
    <row r="372">
      <c r="A372" s="343"/>
      <c r="B372" s="289"/>
      <c r="C372" s="289"/>
      <c r="D372" s="337"/>
    </row>
    <row r="373">
      <c r="A373" s="343"/>
      <c r="B373" s="289"/>
      <c r="C373" s="289"/>
      <c r="D373" s="337"/>
    </row>
    <row r="374">
      <c r="A374" s="343"/>
      <c r="B374" s="289"/>
      <c r="C374" s="289"/>
      <c r="D374" s="337"/>
    </row>
    <row r="375">
      <c r="A375" s="343"/>
      <c r="B375" s="289"/>
      <c r="C375" s="289"/>
      <c r="D375" s="337"/>
    </row>
    <row r="376">
      <c r="A376" s="343"/>
      <c r="B376" s="289"/>
      <c r="C376" s="289"/>
      <c r="D376" s="337"/>
    </row>
    <row r="377">
      <c r="A377" s="343"/>
      <c r="B377" s="289"/>
      <c r="C377" s="289"/>
      <c r="D377" s="337"/>
    </row>
    <row r="378">
      <c r="A378" s="343"/>
      <c r="B378" s="289"/>
      <c r="C378" s="289"/>
      <c r="D378" s="337"/>
    </row>
    <row r="379">
      <c r="A379" s="343"/>
      <c r="B379" s="289"/>
      <c r="C379" s="289"/>
      <c r="D379" s="337"/>
    </row>
    <row r="380">
      <c r="A380" s="343"/>
      <c r="B380" s="289"/>
      <c r="C380" s="289"/>
      <c r="D380" s="337"/>
    </row>
    <row r="381">
      <c r="A381" s="343"/>
      <c r="B381" s="289"/>
      <c r="C381" s="289"/>
      <c r="D381" s="337"/>
    </row>
    <row r="382">
      <c r="A382" s="343"/>
      <c r="B382" s="289"/>
      <c r="C382" s="289"/>
      <c r="D382" s="337"/>
    </row>
    <row r="383">
      <c r="A383" s="343"/>
      <c r="B383" s="289"/>
      <c r="C383" s="289"/>
      <c r="D383" s="337"/>
    </row>
    <row r="384">
      <c r="A384" s="343"/>
      <c r="B384" s="289"/>
      <c r="C384" s="289"/>
      <c r="D384" s="337"/>
    </row>
    <row r="385">
      <c r="A385" s="343"/>
      <c r="B385" s="289"/>
      <c r="C385" s="289"/>
      <c r="D385" s="337"/>
    </row>
    <row r="386">
      <c r="A386" s="343"/>
      <c r="B386" s="289"/>
      <c r="C386" s="289"/>
      <c r="D386" s="337"/>
    </row>
    <row r="387">
      <c r="A387" s="343"/>
      <c r="B387" s="289"/>
      <c r="C387" s="289"/>
      <c r="D387" s="337"/>
    </row>
    <row r="388">
      <c r="A388" s="343"/>
      <c r="B388" s="289"/>
      <c r="C388" s="289"/>
      <c r="D388" s="337"/>
    </row>
    <row r="389">
      <c r="A389" s="343"/>
      <c r="B389" s="289"/>
      <c r="C389" s="289"/>
      <c r="D389" s="337"/>
    </row>
    <row r="390">
      <c r="A390" s="343"/>
      <c r="B390" s="289"/>
      <c r="C390" s="289"/>
      <c r="D390" s="337"/>
    </row>
    <row r="391">
      <c r="A391" s="343"/>
      <c r="B391" s="289"/>
      <c r="C391" s="289"/>
      <c r="D391" s="337"/>
    </row>
    <row r="392">
      <c r="A392" s="343"/>
      <c r="B392" s="289"/>
      <c r="C392" s="289"/>
      <c r="D392" s="337"/>
    </row>
    <row r="393">
      <c r="A393" s="343"/>
      <c r="B393" s="289"/>
      <c r="C393" s="289"/>
      <c r="D393" s="337"/>
    </row>
    <row r="394">
      <c r="A394" s="343"/>
      <c r="B394" s="289"/>
      <c r="C394" s="289"/>
      <c r="D394" s="337"/>
    </row>
    <row r="395">
      <c r="A395" s="343"/>
      <c r="B395" s="289"/>
      <c r="C395" s="289"/>
      <c r="D395" s="337"/>
    </row>
    <row r="396">
      <c r="A396" s="343"/>
      <c r="B396" s="289"/>
      <c r="C396" s="289"/>
      <c r="D396" s="337"/>
    </row>
    <row r="397">
      <c r="A397" s="343"/>
      <c r="B397" s="289"/>
      <c r="C397" s="289"/>
      <c r="D397" s="337"/>
    </row>
    <row r="398">
      <c r="A398" s="343"/>
      <c r="B398" s="289"/>
      <c r="C398" s="289"/>
      <c r="D398" s="337"/>
    </row>
    <row r="399">
      <c r="A399" s="343"/>
      <c r="B399" s="289"/>
      <c r="C399" s="289"/>
      <c r="D399" s="337"/>
    </row>
    <row r="400">
      <c r="A400" s="343"/>
      <c r="B400" s="289"/>
      <c r="C400" s="289"/>
      <c r="D400" s="337"/>
    </row>
    <row r="401">
      <c r="A401" s="343"/>
      <c r="B401" s="289"/>
      <c r="C401" s="289"/>
      <c r="D401" s="337"/>
    </row>
    <row r="402">
      <c r="A402" s="343"/>
      <c r="B402" s="289"/>
      <c r="C402" s="289"/>
      <c r="D402" s="337"/>
    </row>
    <row r="403">
      <c r="A403" s="343"/>
      <c r="B403" s="289"/>
      <c r="C403" s="289"/>
      <c r="D403" s="337"/>
    </row>
    <row r="404">
      <c r="A404" s="343"/>
      <c r="B404" s="289"/>
      <c r="C404" s="289"/>
      <c r="D404" s="337"/>
    </row>
    <row r="405">
      <c r="A405" s="343"/>
      <c r="B405" s="289"/>
      <c r="C405" s="289"/>
      <c r="D405" s="337"/>
    </row>
    <row r="406">
      <c r="A406" s="343"/>
      <c r="B406" s="289"/>
      <c r="C406" s="289"/>
      <c r="D406" s="337"/>
    </row>
    <row r="407">
      <c r="A407" s="343"/>
      <c r="B407" s="289"/>
      <c r="C407" s="289"/>
      <c r="D407" s="337"/>
    </row>
    <row r="408">
      <c r="A408" s="343"/>
      <c r="B408" s="289"/>
      <c r="C408" s="289"/>
      <c r="D408" s="337"/>
    </row>
    <row r="409">
      <c r="A409" s="343"/>
      <c r="B409" s="289"/>
      <c r="C409" s="289"/>
      <c r="D409" s="337"/>
    </row>
    <row r="410">
      <c r="A410" s="343"/>
      <c r="B410" s="289"/>
      <c r="C410" s="289"/>
      <c r="D410" s="337"/>
    </row>
    <row r="411">
      <c r="A411" s="343"/>
      <c r="B411" s="289"/>
      <c r="C411" s="289"/>
      <c r="D411" s="337"/>
    </row>
    <row r="412">
      <c r="A412" s="343"/>
      <c r="B412" s="289"/>
      <c r="C412" s="289"/>
      <c r="D412" s="337"/>
    </row>
    <row r="413">
      <c r="A413" s="343"/>
      <c r="B413" s="289"/>
      <c r="C413" s="289"/>
      <c r="D413" s="337"/>
    </row>
    <row r="414">
      <c r="A414" s="343"/>
      <c r="B414" s="289"/>
      <c r="C414" s="289"/>
      <c r="D414" s="337"/>
    </row>
    <row r="415">
      <c r="A415" s="343"/>
      <c r="B415" s="289"/>
      <c r="C415" s="289"/>
      <c r="D415" s="337"/>
    </row>
    <row r="416">
      <c r="A416" s="343"/>
      <c r="B416" s="289"/>
      <c r="C416" s="289"/>
      <c r="D416" s="337"/>
    </row>
    <row r="417">
      <c r="A417" s="343"/>
      <c r="B417" s="289"/>
      <c r="C417" s="289"/>
      <c r="D417" s="337"/>
    </row>
    <row r="418">
      <c r="A418" s="343"/>
      <c r="B418" s="289"/>
      <c r="C418" s="289"/>
      <c r="D418" s="337"/>
    </row>
    <row r="419">
      <c r="A419" s="343"/>
      <c r="B419" s="289"/>
      <c r="C419" s="289"/>
      <c r="D419" s="337"/>
    </row>
    <row r="420">
      <c r="A420" s="343"/>
      <c r="B420" s="289"/>
      <c r="C420" s="289"/>
      <c r="D420" s="337"/>
    </row>
    <row r="421">
      <c r="A421" s="343"/>
      <c r="B421" s="289"/>
      <c r="C421" s="289"/>
      <c r="D421" s="337"/>
    </row>
    <row r="422">
      <c r="A422" s="343"/>
      <c r="B422" s="289"/>
      <c r="C422" s="289"/>
      <c r="D422" s="337"/>
    </row>
    <row r="423">
      <c r="A423" s="343"/>
      <c r="B423" s="289"/>
      <c r="C423" s="289"/>
      <c r="D423" s="337"/>
    </row>
    <row r="424">
      <c r="A424" s="343"/>
      <c r="B424" s="289"/>
      <c r="C424" s="289"/>
      <c r="D424" s="337"/>
    </row>
    <row r="425">
      <c r="A425" s="343"/>
      <c r="B425" s="289"/>
      <c r="C425" s="289"/>
      <c r="D425" s="337"/>
    </row>
    <row r="426">
      <c r="A426" s="343"/>
      <c r="B426" s="289"/>
      <c r="C426" s="289"/>
      <c r="D426" s="337"/>
    </row>
    <row r="427">
      <c r="A427" s="343"/>
      <c r="B427" s="289"/>
      <c r="C427" s="289"/>
      <c r="D427" s="337"/>
    </row>
    <row r="428">
      <c r="A428" s="343"/>
      <c r="B428" s="289"/>
      <c r="C428" s="289"/>
      <c r="D428" s="337"/>
    </row>
    <row r="429">
      <c r="A429" s="343"/>
      <c r="B429" s="289"/>
      <c r="C429" s="289"/>
      <c r="D429" s="337"/>
    </row>
    <row r="430">
      <c r="A430" s="343"/>
      <c r="B430" s="289"/>
      <c r="C430" s="289"/>
      <c r="D430" s="337"/>
    </row>
    <row r="431">
      <c r="A431" s="343"/>
      <c r="B431" s="289"/>
      <c r="C431" s="289"/>
      <c r="D431" s="337"/>
    </row>
    <row r="432">
      <c r="A432" s="343"/>
      <c r="B432" s="289"/>
      <c r="C432" s="289"/>
      <c r="D432" s="337"/>
    </row>
    <row r="433">
      <c r="A433" s="343"/>
      <c r="B433" s="289"/>
      <c r="C433" s="289"/>
      <c r="D433" s="337"/>
    </row>
    <row r="434">
      <c r="A434" s="343"/>
      <c r="B434" s="289"/>
      <c r="C434" s="289"/>
      <c r="D434" s="337"/>
    </row>
    <row r="435">
      <c r="A435" s="343"/>
      <c r="B435" s="289"/>
      <c r="C435" s="289"/>
      <c r="D435" s="337"/>
    </row>
    <row r="436">
      <c r="A436" s="343"/>
      <c r="B436" s="289"/>
      <c r="C436" s="289"/>
      <c r="D436" s="337"/>
    </row>
    <row r="437">
      <c r="A437" s="343"/>
      <c r="B437" s="289"/>
      <c r="C437" s="289"/>
      <c r="D437" s="337"/>
    </row>
    <row r="438">
      <c r="A438" s="343"/>
      <c r="B438" s="289"/>
      <c r="C438" s="289"/>
      <c r="D438" s="337"/>
    </row>
    <row r="439">
      <c r="A439" s="343"/>
      <c r="B439" s="289"/>
      <c r="C439" s="289"/>
      <c r="D439" s="337"/>
    </row>
    <row r="440">
      <c r="A440" s="343"/>
      <c r="B440" s="289"/>
      <c r="C440" s="289"/>
      <c r="D440" s="337"/>
    </row>
    <row r="441">
      <c r="A441" s="343"/>
      <c r="B441" s="289"/>
      <c r="C441" s="289"/>
      <c r="D441" s="337"/>
    </row>
    <row r="442">
      <c r="A442" s="343"/>
      <c r="B442" s="289"/>
      <c r="C442" s="289"/>
      <c r="D442" s="337"/>
    </row>
    <row r="443">
      <c r="A443" s="343"/>
      <c r="B443" s="289"/>
      <c r="C443" s="289"/>
      <c r="D443" s="337"/>
    </row>
    <row r="444">
      <c r="A444" s="343"/>
      <c r="B444" s="289"/>
      <c r="C444" s="289"/>
      <c r="D444" s="337"/>
    </row>
    <row r="445">
      <c r="A445" s="343"/>
      <c r="B445" s="289"/>
      <c r="C445" s="289"/>
      <c r="D445" s="337"/>
    </row>
    <row r="446">
      <c r="A446" s="343"/>
      <c r="B446" s="289"/>
      <c r="C446" s="289"/>
      <c r="D446" s="337"/>
    </row>
    <row r="447">
      <c r="A447" s="343"/>
      <c r="B447" s="289"/>
      <c r="C447" s="289"/>
      <c r="D447" s="337"/>
    </row>
    <row r="448">
      <c r="A448" s="343"/>
      <c r="B448" s="289"/>
      <c r="C448" s="289"/>
      <c r="D448" s="337"/>
    </row>
    <row r="449">
      <c r="A449" s="343"/>
      <c r="B449" s="289"/>
      <c r="C449" s="289"/>
      <c r="D449" s="337"/>
    </row>
    <row r="450">
      <c r="A450" s="343"/>
      <c r="B450" s="289"/>
      <c r="C450" s="289"/>
      <c r="D450" s="337"/>
    </row>
    <row r="451">
      <c r="A451" s="343"/>
      <c r="B451" s="289"/>
      <c r="C451" s="289"/>
      <c r="D451" s="337"/>
    </row>
    <row r="452">
      <c r="A452" s="343"/>
      <c r="B452" s="289"/>
      <c r="C452" s="289"/>
      <c r="D452" s="337"/>
    </row>
    <row r="453">
      <c r="A453" s="343"/>
      <c r="B453" s="289"/>
      <c r="C453" s="289"/>
      <c r="D453" s="337"/>
    </row>
    <row r="454">
      <c r="A454" s="343"/>
      <c r="B454" s="289"/>
      <c r="C454" s="289"/>
      <c r="D454" s="337"/>
    </row>
    <row r="455">
      <c r="A455" s="343"/>
      <c r="B455" s="289"/>
      <c r="C455" s="289"/>
      <c r="D455" s="337"/>
    </row>
    <row r="456">
      <c r="A456" s="343"/>
      <c r="B456" s="289"/>
      <c r="C456" s="289"/>
      <c r="D456" s="337"/>
    </row>
    <row r="457">
      <c r="A457" s="343"/>
      <c r="B457" s="289"/>
      <c r="C457" s="289"/>
      <c r="D457" s="337"/>
    </row>
    <row r="458">
      <c r="A458" s="343"/>
      <c r="B458" s="289"/>
      <c r="C458" s="289"/>
      <c r="D458" s="337"/>
    </row>
    <row r="459">
      <c r="A459" s="343"/>
      <c r="B459" s="289"/>
      <c r="C459" s="289"/>
      <c r="D459" s="337"/>
    </row>
    <row r="460">
      <c r="A460" s="343"/>
      <c r="B460" s="289"/>
      <c r="C460" s="289"/>
      <c r="D460" s="337"/>
    </row>
    <row r="461">
      <c r="A461" s="343"/>
      <c r="B461" s="289"/>
      <c r="C461" s="289"/>
      <c r="D461" s="337"/>
    </row>
    <row r="462">
      <c r="A462" s="343"/>
      <c r="B462" s="289"/>
      <c r="C462" s="289"/>
      <c r="D462" s="337"/>
    </row>
    <row r="463">
      <c r="A463" s="343"/>
      <c r="B463" s="289"/>
      <c r="C463" s="289"/>
      <c r="D463" s="337"/>
    </row>
    <row r="464">
      <c r="A464" s="343"/>
      <c r="B464" s="289"/>
      <c r="C464" s="289"/>
      <c r="D464" s="337"/>
    </row>
    <row r="465">
      <c r="A465" s="343"/>
      <c r="B465" s="289"/>
      <c r="C465" s="289"/>
      <c r="D465" s="337"/>
    </row>
    <row r="466">
      <c r="A466" s="343"/>
      <c r="B466" s="289"/>
      <c r="C466" s="289"/>
      <c r="D466" s="337"/>
    </row>
    <row r="467">
      <c r="A467" s="343"/>
      <c r="B467" s="289"/>
      <c r="C467" s="289"/>
      <c r="D467" s="337"/>
    </row>
    <row r="468">
      <c r="A468" s="343"/>
      <c r="B468" s="289"/>
      <c r="C468" s="289"/>
      <c r="D468" s="337"/>
    </row>
    <row r="469">
      <c r="A469" s="343"/>
      <c r="B469" s="289"/>
      <c r="C469" s="289"/>
      <c r="D469" s="337"/>
    </row>
    <row r="470">
      <c r="A470" s="343"/>
      <c r="B470" s="289"/>
      <c r="C470" s="289"/>
      <c r="D470" s="337"/>
    </row>
    <row r="471">
      <c r="A471" s="343"/>
      <c r="B471" s="289"/>
      <c r="C471" s="289"/>
      <c r="D471" s="337"/>
    </row>
    <row r="472">
      <c r="A472" s="343"/>
      <c r="B472" s="289"/>
      <c r="C472" s="289"/>
      <c r="D472" s="337"/>
    </row>
    <row r="473">
      <c r="A473" s="343"/>
      <c r="B473" s="289"/>
      <c r="C473" s="289"/>
      <c r="D473" s="337"/>
    </row>
    <row r="474">
      <c r="A474" s="343"/>
      <c r="B474" s="289"/>
      <c r="C474" s="289"/>
      <c r="D474" s="337"/>
    </row>
    <row r="475">
      <c r="A475" s="343"/>
      <c r="B475" s="289"/>
      <c r="C475" s="289"/>
      <c r="D475" s="337"/>
    </row>
    <row r="476">
      <c r="A476" s="343"/>
      <c r="B476" s="289"/>
      <c r="C476" s="289"/>
      <c r="D476" s="337"/>
    </row>
    <row r="477">
      <c r="A477" s="343"/>
      <c r="B477" s="289"/>
      <c r="C477" s="289"/>
      <c r="D477" s="337"/>
    </row>
    <row r="478">
      <c r="A478" s="343"/>
      <c r="B478" s="289"/>
      <c r="C478" s="289"/>
      <c r="D478" s="337"/>
    </row>
    <row r="479">
      <c r="A479" s="343"/>
      <c r="B479" s="289"/>
      <c r="C479" s="289"/>
      <c r="D479" s="337"/>
    </row>
    <row r="480">
      <c r="A480" s="343"/>
      <c r="B480" s="289"/>
      <c r="C480" s="289"/>
      <c r="D480" s="337"/>
    </row>
    <row r="481">
      <c r="A481" s="343"/>
      <c r="B481" s="289"/>
      <c r="C481" s="289"/>
      <c r="D481" s="337"/>
    </row>
    <row r="482">
      <c r="A482" s="343"/>
      <c r="B482" s="289"/>
      <c r="C482" s="289"/>
      <c r="D482" s="337"/>
    </row>
    <row r="483">
      <c r="A483" s="343"/>
      <c r="B483" s="289"/>
      <c r="C483" s="289"/>
      <c r="D483" s="337"/>
    </row>
    <row r="484">
      <c r="A484" s="343"/>
      <c r="B484" s="289"/>
      <c r="C484" s="289"/>
      <c r="D484" s="337"/>
    </row>
    <row r="485">
      <c r="A485" s="343"/>
      <c r="B485" s="289"/>
      <c r="C485" s="289"/>
      <c r="D485" s="337"/>
    </row>
    <row r="486">
      <c r="A486" s="343"/>
      <c r="B486" s="289"/>
      <c r="C486" s="289"/>
      <c r="D486" s="337"/>
    </row>
    <row r="487">
      <c r="A487" s="343"/>
      <c r="B487" s="289"/>
      <c r="C487" s="289"/>
      <c r="D487" s="337"/>
    </row>
    <row r="488">
      <c r="A488" s="343"/>
      <c r="B488" s="289"/>
      <c r="C488" s="289"/>
      <c r="D488" s="337"/>
    </row>
    <row r="489">
      <c r="A489" s="343"/>
      <c r="B489" s="289"/>
      <c r="C489" s="289"/>
      <c r="D489" s="337"/>
    </row>
    <row r="490">
      <c r="A490" s="343"/>
      <c r="B490" s="289"/>
      <c r="C490" s="289"/>
      <c r="D490" s="337"/>
    </row>
    <row r="491">
      <c r="A491" s="343"/>
      <c r="B491" s="289"/>
      <c r="C491" s="289"/>
      <c r="D491" s="337"/>
    </row>
    <row r="492">
      <c r="A492" s="343"/>
      <c r="B492" s="289"/>
      <c r="C492" s="289"/>
      <c r="D492" s="337"/>
    </row>
    <row r="493">
      <c r="A493" s="343"/>
      <c r="B493" s="289"/>
      <c r="C493" s="289"/>
      <c r="D493" s="337"/>
    </row>
    <row r="494">
      <c r="A494" s="343"/>
      <c r="B494" s="289"/>
      <c r="C494" s="289"/>
      <c r="D494" s="337"/>
    </row>
    <row r="495">
      <c r="A495" s="343"/>
      <c r="B495" s="289"/>
      <c r="C495" s="289"/>
      <c r="D495" s="337"/>
    </row>
    <row r="496">
      <c r="A496" s="343"/>
      <c r="B496" s="289"/>
      <c r="C496" s="289"/>
      <c r="D496" s="337"/>
    </row>
    <row r="497">
      <c r="A497" s="343"/>
      <c r="B497" s="289"/>
      <c r="C497" s="289"/>
      <c r="D497" s="337"/>
    </row>
    <row r="498">
      <c r="A498" s="343"/>
      <c r="B498" s="289"/>
      <c r="C498" s="289"/>
      <c r="D498" s="337"/>
    </row>
    <row r="499">
      <c r="A499" s="343"/>
      <c r="B499" s="289"/>
      <c r="C499" s="289"/>
      <c r="D499" s="337"/>
    </row>
    <row r="500">
      <c r="A500" s="343"/>
      <c r="B500" s="289"/>
      <c r="C500" s="289"/>
      <c r="D500" s="337"/>
    </row>
    <row r="501">
      <c r="A501" s="343"/>
      <c r="B501" s="289"/>
      <c r="C501" s="289"/>
      <c r="D501" s="337"/>
    </row>
    <row r="502">
      <c r="A502" s="343"/>
      <c r="B502" s="289"/>
      <c r="C502" s="289"/>
      <c r="D502" s="337"/>
    </row>
    <row r="503">
      <c r="A503" s="343"/>
      <c r="B503" s="289"/>
      <c r="C503" s="289"/>
      <c r="D503" s="337"/>
    </row>
    <row r="504">
      <c r="A504" s="343"/>
      <c r="B504" s="289"/>
      <c r="C504" s="289"/>
      <c r="D504" s="337"/>
    </row>
    <row r="505">
      <c r="A505" s="343"/>
      <c r="B505" s="289"/>
      <c r="C505" s="289"/>
      <c r="D505" s="337"/>
    </row>
    <row r="506">
      <c r="A506" s="343"/>
      <c r="B506" s="289"/>
      <c r="C506" s="289"/>
      <c r="D506" s="337"/>
    </row>
    <row r="507">
      <c r="A507" s="343"/>
      <c r="B507" s="289"/>
      <c r="C507" s="289"/>
      <c r="D507" s="337"/>
    </row>
    <row r="508">
      <c r="A508" s="343"/>
      <c r="B508" s="289"/>
      <c r="C508" s="289"/>
      <c r="D508" s="337"/>
    </row>
    <row r="509">
      <c r="A509" s="343"/>
      <c r="B509" s="289"/>
      <c r="C509" s="289"/>
      <c r="D509" s="337"/>
    </row>
    <row r="510">
      <c r="A510" s="343"/>
      <c r="B510" s="289"/>
      <c r="C510" s="289"/>
      <c r="D510" s="337"/>
    </row>
    <row r="511">
      <c r="A511" s="343"/>
      <c r="B511" s="289"/>
      <c r="C511" s="289"/>
      <c r="D511" s="337"/>
    </row>
    <row r="512">
      <c r="A512" s="343"/>
      <c r="B512" s="289"/>
      <c r="C512" s="289"/>
      <c r="D512" s="337"/>
    </row>
    <row r="513">
      <c r="A513" s="343"/>
      <c r="B513" s="289"/>
      <c r="C513" s="289"/>
      <c r="D513" s="337"/>
    </row>
    <row r="514">
      <c r="A514" s="343"/>
      <c r="B514" s="289"/>
      <c r="C514" s="289"/>
      <c r="D514" s="337"/>
    </row>
    <row r="515">
      <c r="A515" s="343"/>
      <c r="B515" s="289"/>
      <c r="C515" s="289"/>
      <c r="D515" s="337"/>
    </row>
    <row r="516">
      <c r="A516" s="343"/>
      <c r="B516" s="289"/>
      <c r="C516" s="289"/>
      <c r="D516" s="337"/>
    </row>
    <row r="517">
      <c r="A517" s="343"/>
      <c r="B517" s="289"/>
      <c r="C517" s="289"/>
      <c r="D517" s="337"/>
    </row>
    <row r="518">
      <c r="A518" s="343"/>
      <c r="B518" s="289"/>
      <c r="C518" s="289"/>
      <c r="D518" s="337"/>
    </row>
    <row r="519">
      <c r="A519" s="343"/>
      <c r="B519" s="289"/>
      <c r="C519" s="289"/>
      <c r="D519" s="337"/>
    </row>
    <row r="520">
      <c r="A520" s="343"/>
      <c r="B520" s="289"/>
      <c r="C520" s="289"/>
      <c r="D520" s="337"/>
    </row>
    <row r="521">
      <c r="A521" s="343"/>
      <c r="B521" s="289"/>
      <c r="C521" s="289"/>
      <c r="D521" s="337"/>
    </row>
    <row r="522">
      <c r="A522" s="343"/>
      <c r="B522" s="289"/>
      <c r="C522" s="289"/>
      <c r="D522" s="337"/>
    </row>
    <row r="523">
      <c r="A523" s="343"/>
      <c r="B523" s="289"/>
      <c r="C523" s="289"/>
      <c r="D523" s="337"/>
    </row>
    <row r="524">
      <c r="A524" s="343"/>
      <c r="B524" s="289"/>
      <c r="C524" s="289"/>
      <c r="D524" s="337"/>
    </row>
    <row r="525">
      <c r="A525" s="343"/>
      <c r="B525" s="289"/>
      <c r="C525" s="289"/>
      <c r="D525" s="337"/>
    </row>
    <row r="526">
      <c r="A526" s="343"/>
      <c r="B526" s="289"/>
      <c r="C526" s="289"/>
      <c r="D526" s="337"/>
    </row>
    <row r="527">
      <c r="A527" s="343"/>
      <c r="B527" s="289"/>
      <c r="C527" s="289"/>
      <c r="D527" s="337"/>
    </row>
    <row r="528">
      <c r="A528" s="343"/>
      <c r="B528" s="289"/>
      <c r="C528" s="289"/>
      <c r="D528" s="337"/>
    </row>
    <row r="529">
      <c r="A529" s="343"/>
      <c r="B529" s="289"/>
      <c r="C529" s="289"/>
      <c r="D529" s="337"/>
    </row>
    <row r="530">
      <c r="A530" s="343"/>
      <c r="B530" s="289"/>
      <c r="C530" s="289"/>
      <c r="D530" s="337"/>
    </row>
    <row r="531">
      <c r="A531" s="343"/>
      <c r="B531" s="289"/>
      <c r="C531" s="289"/>
      <c r="D531" s="337"/>
    </row>
    <row r="532">
      <c r="A532" s="343"/>
      <c r="B532" s="289"/>
      <c r="C532" s="289"/>
      <c r="D532" s="337"/>
    </row>
    <row r="533">
      <c r="A533" s="343"/>
      <c r="B533" s="289"/>
      <c r="C533" s="289"/>
      <c r="D533" s="337"/>
    </row>
    <row r="534">
      <c r="A534" s="343"/>
      <c r="B534" s="289"/>
      <c r="C534" s="289"/>
      <c r="D534" s="337"/>
    </row>
    <row r="535">
      <c r="A535" s="343"/>
      <c r="B535" s="289"/>
      <c r="C535" s="289"/>
      <c r="D535" s="337"/>
    </row>
    <row r="536">
      <c r="A536" s="343"/>
      <c r="B536" s="289"/>
      <c r="C536" s="289"/>
      <c r="D536" s="337"/>
    </row>
    <row r="537">
      <c r="A537" s="343"/>
      <c r="B537" s="289"/>
      <c r="C537" s="289"/>
      <c r="D537" s="337"/>
    </row>
    <row r="538">
      <c r="A538" s="343"/>
      <c r="B538" s="289"/>
      <c r="C538" s="289"/>
      <c r="D538" s="337"/>
    </row>
    <row r="539">
      <c r="A539" s="343"/>
      <c r="B539" s="289"/>
      <c r="C539" s="289"/>
      <c r="D539" s="337"/>
    </row>
    <row r="540">
      <c r="A540" s="343"/>
      <c r="B540" s="289"/>
      <c r="C540" s="289"/>
      <c r="D540" s="337"/>
    </row>
    <row r="541">
      <c r="A541" s="343"/>
      <c r="B541" s="289"/>
      <c r="C541" s="289"/>
      <c r="D541" s="337"/>
    </row>
    <row r="542">
      <c r="A542" s="343"/>
      <c r="B542" s="289"/>
      <c r="C542" s="289"/>
      <c r="D542" s="337"/>
    </row>
    <row r="543">
      <c r="A543" s="343"/>
      <c r="B543" s="289"/>
      <c r="C543" s="289"/>
      <c r="D543" s="337"/>
    </row>
    <row r="544">
      <c r="A544" s="343"/>
      <c r="B544" s="289"/>
      <c r="C544" s="289"/>
      <c r="D544" s="337"/>
    </row>
    <row r="545">
      <c r="A545" s="343"/>
      <c r="B545" s="289"/>
      <c r="C545" s="289"/>
      <c r="D545" s="337"/>
    </row>
    <row r="546">
      <c r="A546" s="343"/>
      <c r="B546" s="289"/>
      <c r="C546" s="289"/>
      <c r="D546" s="337"/>
    </row>
    <row r="547">
      <c r="A547" s="343"/>
      <c r="B547" s="289"/>
      <c r="C547" s="289"/>
      <c r="D547" s="337"/>
    </row>
    <row r="548">
      <c r="A548" s="343"/>
      <c r="B548" s="289"/>
      <c r="C548" s="289"/>
      <c r="D548" s="337"/>
    </row>
    <row r="549">
      <c r="A549" s="343"/>
      <c r="B549" s="289"/>
      <c r="C549" s="289"/>
      <c r="D549" s="337"/>
    </row>
    <row r="550">
      <c r="A550" s="343"/>
      <c r="B550" s="289"/>
      <c r="C550" s="289"/>
      <c r="D550" s="337"/>
    </row>
    <row r="551">
      <c r="A551" s="343"/>
      <c r="B551" s="289"/>
      <c r="C551" s="289"/>
      <c r="D551" s="337"/>
    </row>
    <row r="552">
      <c r="A552" s="343"/>
      <c r="B552" s="289"/>
      <c r="C552" s="289"/>
      <c r="D552" s="337"/>
    </row>
    <row r="553">
      <c r="A553" s="343"/>
      <c r="B553" s="289"/>
      <c r="C553" s="289"/>
      <c r="D553" s="337"/>
    </row>
    <row r="554">
      <c r="A554" s="343"/>
      <c r="B554" s="289"/>
      <c r="C554" s="289"/>
      <c r="D554" s="337"/>
    </row>
    <row r="555">
      <c r="A555" s="343"/>
      <c r="B555" s="289"/>
      <c r="C555" s="289"/>
      <c r="D555" s="337"/>
    </row>
    <row r="556">
      <c r="A556" s="343"/>
      <c r="B556" s="289"/>
      <c r="C556" s="289"/>
      <c r="D556" s="337"/>
    </row>
    <row r="557">
      <c r="A557" s="343"/>
      <c r="B557" s="289"/>
      <c r="C557" s="289"/>
      <c r="D557" s="337"/>
    </row>
    <row r="558">
      <c r="A558" s="343"/>
      <c r="B558" s="289"/>
      <c r="C558" s="289"/>
      <c r="D558" s="337"/>
    </row>
    <row r="559">
      <c r="A559" s="343"/>
      <c r="B559" s="289"/>
      <c r="C559" s="289"/>
      <c r="D559" s="337"/>
    </row>
    <row r="560">
      <c r="A560" s="343"/>
      <c r="B560" s="289"/>
      <c r="C560" s="289"/>
      <c r="D560" s="337"/>
    </row>
    <row r="561">
      <c r="A561" s="343"/>
      <c r="B561" s="289"/>
      <c r="C561" s="289"/>
      <c r="D561" s="337"/>
    </row>
    <row r="562">
      <c r="A562" s="343"/>
      <c r="B562" s="289"/>
      <c r="C562" s="289"/>
      <c r="D562" s="337"/>
    </row>
    <row r="563">
      <c r="A563" s="343"/>
      <c r="B563" s="289"/>
      <c r="C563" s="289"/>
      <c r="D563" s="337"/>
    </row>
    <row r="564">
      <c r="A564" s="343"/>
      <c r="B564" s="289"/>
      <c r="C564" s="289"/>
      <c r="D564" s="337"/>
    </row>
    <row r="565">
      <c r="A565" s="343"/>
      <c r="B565" s="289"/>
      <c r="C565" s="289"/>
      <c r="D565" s="337"/>
    </row>
    <row r="566">
      <c r="A566" s="343"/>
      <c r="B566" s="289"/>
      <c r="C566" s="289"/>
      <c r="D566" s="337"/>
    </row>
    <row r="567">
      <c r="A567" s="343"/>
      <c r="B567" s="289"/>
      <c r="C567" s="289"/>
      <c r="D567" s="337"/>
    </row>
    <row r="568">
      <c r="A568" s="343"/>
      <c r="B568" s="289"/>
      <c r="C568" s="289"/>
      <c r="D568" s="337"/>
    </row>
    <row r="569">
      <c r="A569" s="343"/>
      <c r="B569" s="289"/>
      <c r="C569" s="289"/>
      <c r="D569" s="337"/>
    </row>
    <row r="570">
      <c r="A570" s="343"/>
      <c r="B570" s="289"/>
      <c r="C570" s="289"/>
      <c r="D570" s="337"/>
    </row>
    <row r="571">
      <c r="A571" s="343"/>
      <c r="B571" s="289"/>
      <c r="C571" s="289"/>
      <c r="D571" s="337"/>
    </row>
    <row r="572">
      <c r="A572" s="343"/>
      <c r="B572" s="289"/>
      <c r="C572" s="289"/>
      <c r="D572" s="337"/>
    </row>
    <row r="573">
      <c r="A573" s="343"/>
      <c r="B573" s="289"/>
      <c r="C573" s="289"/>
      <c r="D573" s="337"/>
    </row>
    <row r="574">
      <c r="A574" s="343"/>
      <c r="B574" s="289"/>
      <c r="C574" s="289"/>
      <c r="D574" s="337"/>
    </row>
    <row r="575">
      <c r="A575" s="343"/>
      <c r="B575" s="289"/>
      <c r="C575" s="289"/>
      <c r="D575" s="337"/>
    </row>
    <row r="576">
      <c r="A576" s="343"/>
      <c r="B576" s="289"/>
      <c r="C576" s="289"/>
      <c r="D576" s="337"/>
    </row>
    <row r="577">
      <c r="A577" s="343"/>
      <c r="B577" s="289"/>
      <c r="C577" s="289"/>
      <c r="D577" s="337"/>
    </row>
    <row r="578">
      <c r="A578" s="343"/>
      <c r="B578" s="289"/>
      <c r="C578" s="289"/>
      <c r="D578" s="337"/>
    </row>
    <row r="579">
      <c r="A579" s="343"/>
      <c r="B579" s="289"/>
      <c r="C579" s="289"/>
      <c r="D579" s="337"/>
    </row>
    <row r="580">
      <c r="A580" s="343"/>
      <c r="B580" s="289"/>
      <c r="C580" s="289"/>
      <c r="D580" s="337"/>
    </row>
    <row r="581">
      <c r="A581" s="343"/>
      <c r="B581" s="289"/>
      <c r="C581" s="289"/>
      <c r="D581" s="337"/>
    </row>
    <row r="582">
      <c r="A582" s="343"/>
      <c r="B582" s="289"/>
      <c r="C582" s="289"/>
      <c r="D582" s="337"/>
    </row>
    <row r="583">
      <c r="A583" s="343"/>
      <c r="B583" s="289"/>
      <c r="C583" s="289"/>
      <c r="D583" s="337"/>
    </row>
    <row r="584">
      <c r="A584" s="343"/>
      <c r="B584" s="289"/>
      <c r="C584" s="289"/>
      <c r="D584" s="337"/>
    </row>
    <row r="585">
      <c r="A585" s="343"/>
      <c r="B585" s="289"/>
      <c r="C585" s="289"/>
      <c r="D585" s="337"/>
    </row>
    <row r="586">
      <c r="A586" s="343"/>
      <c r="B586" s="289"/>
      <c r="C586" s="289"/>
      <c r="D586" s="337"/>
    </row>
    <row r="587">
      <c r="A587" s="343"/>
      <c r="B587" s="289"/>
      <c r="C587" s="289"/>
      <c r="D587" s="337"/>
    </row>
    <row r="588">
      <c r="A588" s="343"/>
      <c r="B588" s="289"/>
      <c r="C588" s="289"/>
      <c r="D588" s="337"/>
    </row>
    <row r="589">
      <c r="A589" s="343"/>
      <c r="B589" s="289"/>
      <c r="C589" s="289"/>
      <c r="D589" s="337"/>
    </row>
    <row r="590">
      <c r="A590" s="343"/>
      <c r="B590" s="289"/>
      <c r="C590" s="289"/>
      <c r="D590" s="337"/>
    </row>
    <row r="591">
      <c r="A591" s="343"/>
      <c r="B591" s="289"/>
      <c r="C591" s="289"/>
      <c r="D591" s="337"/>
    </row>
    <row r="592">
      <c r="A592" s="343"/>
      <c r="B592" s="289"/>
      <c r="C592" s="289"/>
      <c r="D592" s="337"/>
    </row>
    <row r="593">
      <c r="A593" s="343"/>
      <c r="B593" s="289"/>
      <c r="C593" s="289"/>
      <c r="D593" s="337"/>
    </row>
    <row r="594">
      <c r="A594" s="343"/>
      <c r="B594" s="289"/>
      <c r="C594" s="289"/>
      <c r="D594" s="337"/>
    </row>
    <row r="595">
      <c r="A595" s="343"/>
      <c r="B595" s="289"/>
      <c r="C595" s="289"/>
      <c r="D595" s="337"/>
    </row>
    <row r="596">
      <c r="A596" s="343"/>
      <c r="B596" s="289"/>
      <c r="C596" s="289"/>
      <c r="D596" s="337"/>
    </row>
    <row r="597">
      <c r="A597" s="343"/>
      <c r="B597" s="289"/>
      <c r="C597" s="289"/>
      <c r="D597" s="337"/>
    </row>
    <row r="598">
      <c r="A598" s="343"/>
      <c r="B598" s="289"/>
      <c r="C598" s="289"/>
      <c r="D598" s="337"/>
    </row>
    <row r="599">
      <c r="A599" s="343"/>
      <c r="B599" s="289"/>
      <c r="C599" s="289"/>
      <c r="D599" s="337"/>
    </row>
    <row r="600">
      <c r="A600" s="343"/>
      <c r="B600" s="289"/>
      <c r="C600" s="289"/>
      <c r="D600" s="337"/>
    </row>
    <row r="601">
      <c r="A601" s="343"/>
      <c r="B601" s="289"/>
      <c r="C601" s="289"/>
      <c r="D601" s="337"/>
    </row>
    <row r="602">
      <c r="A602" s="343"/>
      <c r="B602" s="289"/>
      <c r="C602" s="289"/>
      <c r="D602" s="337"/>
    </row>
    <row r="603">
      <c r="A603" s="343"/>
      <c r="B603" s="289"/>
      <c r="C603" s="289"/>
      <c r="D603" s="337"/>
    </row>
    <row r="604">
      <c r="A604" s="343"/>
      <c r="B604" s="289"/>
      <c r="C604" s="289"/>
      <c r="D604" s="337"/>
    </row>
    <row r="605">
      <c r="A605" s="343"/>
      <c r="B605" s="289"/>
      <c r="C605" s="289"/>
      <c r="D605" s="337"/>
    </row>
    <row r="606">
      <c r="A606" s="343"/>
      <c r="B606" s="289"/>
      <c r="C606" s="289"/>
      <c r="D606" s="337"/>
    </row>
    <row r="607">
      <c r="A607" s="343"/>
      <c r="B607" s="289"/>
      <c r="C607" s="289"/>
      <c r="D607" s="337"/>
    </row>
    <row r="608">
      <c r="A608" s="343"/>
      <c r="B608" s="289"/>
      <c r="C608" s="289"/>
      <c r="D608" s="337"/>
    </row>
    <row r="609">
      <c r="A609" s="343"/>
      <c r="B609" s="289"/>
      <c r="C609" s="289"/>
      <c r="D609" s="337"/>
    </row>
    <row r="610">
      <c r="A610" s="343"/>
      <c r="B610" s="289"/>
      <c r="C610" s="289"/>
      <c r="D610" s="337"/>
    </row>
    <row r="611">
      <c r="A611" s="343"/>
      <c r="B611" s="289"/>
      <c r="C611" s="289"/>
      <c r="D611" s="337"/>
    </row>
    <row r="612">
      <c r="A612" s="343"/>
      <c r="B612" s="289"/>
      <c r="C612" s="289"/>
      <c r="D612" s="337"/>
    </row>
    <row r="613">
      <c r="A613" s="343"/>
      <c r="B613" s="289"/>
      <c r="C613" s="289"/>
      <c r="D613" s="337"/>
    </row>
    <row r="614">
      <c r="A614" s="343"/>
      <c r="B614" s="289"/>
      <c r="C614" s="289"/>
      <c r="D614" s="337"/>
    </row>
    <row r="615">
      <c r="A615" s="343"/>
      <c r="B615" s="289"/>
      <c r="C615" s="289"/>
      <c r="D615" s="337"/>
    </row>
    <row r="616">
      <c r="A616" s="343"/>
      <c r="B616" s="289"/>
      <c r="C616" s="289"/>
      <c r="D616" s="337"/>
    </row>
    <row r="617">
      <c r="A617" s="343"/>
      <c r="B617" s="289"/>
      <c r="C617" s="289"/>
      <c r="D617" s="337"/>
    </row>
    <row r="618">
      <c r="A618" s="343"/>
      <c r="B618" s="289"/>
      <c r="C618" s="289"/>
      <c r="D618" s="337"/>
    </row>
    <row r="619">
      <c r="A619" s="343"/>
      <c r="B619" s="289"/>
      <c r="C619" s="289"/>
      <c r="D619" s="337"/>
    </row>
    <row r="620">
      <c r="A620" s="343"/>
      <c r="B620" s="289"/>
      <c r="C620" s="289"/>
      <c r="D620" s="337"/>
    </row>
    <row r="621">
      <c r="A621" s="343"/>
      <c r="B621" s="289"/>
      <c r="C621" s="289"/>
      <c r="D621" s="337"/>
    </row>
    <row r="622">
      <c r="A622" s="343"/>
      <c r="B622" s="289"/>
      <c r="C622" s="289"/>
      <c r="D622" s="337"/>
    </row>
    <row r="623">
      <c r="A623" s="343"/>
      <c r="B623" s="289"/>
      <c r="C623" s="289"/>
      <c r="D623" s="337"/>
    </row>
    <row r="624">
      <c r="A624" s="343"/>
      <c r="B624" s="289"/>
      <c r="C624" s="289"/>
      <c r="D624" s="337"/>
    </row>
    <row r="625">
      <c r="A625" s="343"/>
      <c r="B625" s="289"/>
      <c r="C625" s="289"/>
      <c r="D625" s="337"/>
    </row>
    <row r="626">
      <c r="A626" s="343"/>
      <c r="B626" s="289"/>
      <c r="C626" s="289"/>
      <c r="D626" s="337"/>
    </row>
    <row r="627">
      <c r="A627" s="343"/>
      <c r="B627" s="289"/>
      <c r="C627" s="289"/>
      <c r="D627" s="337"/>
    </row>
    <row r="628">
      <c r="A628" s="343"/>
      <c r="B628" s="289"/>
      <c r="C628" s="289"/>
      <c r="D628" s="337"/>
    </row>
    <row r="629">
      <c r="A629" s="343"/>
      <c r="B629" s="289"/>
      <c r="C629" s="289"/>
      <c r="D629" s="337"/>
    </row>
    <row r="630">
      <c r="A630" s="343"/>
      <c r="B630" s="289"/>
      <c r="C630" s="289"/>
      <c r="D630" s="337"/>
    </row>
    <row r="631">
      <c r="A631" s="343"/>
      <c r="B631" s="289"/>
      <c r="C631" s="289"/>
      <c r="D631" s="337"/>
    </row>
    <row r="632">
      <c r="A632" s="343"/>
      <c r="B632" s="289"/>
      <c r="C632" s="289"/>
      <c r="D632" s="337"/>
    </row>
    <row r="633">
      <c r="A633" s="343"/>
      <c r="B633" s="289"/>
      <c r="C633" s="289"/>
      <c r="D633" s="337"/>
    </row>
    <row r="634">
      <c r="A634" s="343"/>
      <c r="B634" s="289"/>
      <c r="C634" s="289"/>
      <c r="D634" s="337"/>
    </row>
    <row r="635">
      <c r="A635" s="343"/>
      <c r="B635" s="289"/>
      <c r="C635" s="289"/>
      <c r="D635" s="337"/>
    </row>
    <row r="636">
      <c r="A636" s="343"/>
      <c r="B636" s="289"/>
      <c r="C636" s="289"/>
      <c r="D636" s="337"/>
    </row>
    <row r="637">
      <c r="A637" s="343"/>
      <c r="B637" s="289"/>
      <c r="C637" s="289"/>
      <c r="D637" s="337"/>
    </row>
    <row r="638">
      <c r="A638" s="343"/>
      <c r="B638" s="289"/>
      <c r="C638" s="289"/>
      <c r="D638" s="337"/>
    </row>
    <row r="639">
      <c r="A639" s="343"/>
      <c r="B639" s="289"/>
      <c r="C639" s="289"/>
      <c r="D639" s="337"/>
    </row>
    <row r="640">
      <c r="A640" s="343"/>
      <c r="B640" s="289"/>
      <c r="C640" s="289"/>
      <c r="D640" s="337"/>
    </row>
    <row r="641">
      <c r="A641" s="343"/>
      <c r="B641" s="289"/>
      <c r="C641" s="289"/>
      <c r="D641" s="337"/>
    </row>
    <row r="642">
      <c r="A642" s="343"/>
      <c r="B642" s="289"/>
      <c r="C642" s="289"/>
      <c r="D642" s="337"/>
    </row>
    <row r="643">
      <c r="A643" s="343"/>
      <c r="B643" s="289"/>
      <c r="C643" s="289"/>
      <c r="D643" s="337"/>
    </row>
    <row r="644">
      <c r="A644" s="343"/>
      <c r="B644" s="289"/>
      <c r="C644" s="289"/>
      <c r="D644" s="337"/>
    </row>
    <row r="645">
      <c r="A645" s="343"/>
      <c r="B645" s="289"/>
      <c r="C645" s="289"/>
      <c r="D645" s="337"/>
    </row>
    <row r="646">
      <c r="A646" s="343"/>
      <c r="B646" s="289"/>
      <c r="C646" s="289"/>
      <c r="D646" s="337"/>
    </row>
    <row r="647">
      <c r="A647" s="343"/>
      <c r="B647" s="289"/>
      <c r="C647" s="289"/>
      <c r="D647" s="337"/>
    </row>
    <row r="648">
      <c r="A648" s="343"/>
      <c r="B648" s="289"/>
      <c r="C648" s="289"/>
      <c r="D648" s="337"/>
    </row>
    <row r="649">
      <c r="A649" s="343"/>
      <c r="B649" s="289"/>
      <c r="C649" s="289"/>
      <c r="D649" s="337"/>
    </row>
    <row r="650">
      <c r="A650" s="343"/>
      <c r="B650" s="289"/>
      <c r="C650" s="289"/>
      <c r="D650" s="337"/>
    </row>
    <row r="651">
      <c r="A651" s="343"/>
      <c r="B651" s="289"/>
      <c r="C651" s="289"/>
      <c r="D651" s="337"/>
    </row>
    <row r="652">
      <c r="A652" s="343"/>
      <c r="B652" s="289"/>
      <c r="C652" s="289"/>
      <c r="D652" s="337"/>
    </row>
    <row r="653">
      <c r="A653" s="343"/>
      <c r="B653" s="289"/>
      <c r="C653" s="289"/>
      <c r="D653" s="337"/>
    </row>
    <row r="654">
      <c r="A654" s="343"/>
      <c r="B654" s="289"/>
      <c r="C654" s="289"/>
      <c r="D654" s="337"/>
    </row>
    <row r="655">
      <c r="A655" s="343"/>
      <c r="B655" s="289"/>
      <c r="C655" s="289"/>
      <c r="D655" s="337"/>
    </row>
    <row r="656">
      <c r="A656" s="343"/>
      <c r="B656" s="289"/>
      <c r="C656" s="289"/>
      <c r="D656" s="337"/>
    </row>
    <row r="657">
      <c r="A657" s="343"/>
      <c r="B657" s="289"/>
      <c r="C657" s="289"/>
      <c r="D657" s="337"/>
    </row>
    <row r="658">
      <c r="A658" s="343"/>
      <c r="B658" s="289"/>
      <c r="C658" s="289"/>
      <c r="D658" s="337"/>
    </row>
    <row r="659">
      <c r="A659" s="343"/>
      <c r="B659" s="289"/>
      <c r="C659" s="289"/>
      <c r="D659" s="337"/>
    </row>
    <row r="660">
      <c r="A660" s="343"/>
      <c r="B660" s="289"/>
      <c r="C660" s="289"/>
      <c r="D660" s="337"/>
    </row>
    <row r="661">
      <c r="A661" s="343"/>
      <c r="B661" s="289"/>
      <c r="C661" s="289"/>
      <c r="D661" s="337"/>
    </row>
    <row r="662">
      <c r="A662" s="343"/>
      <c r="B662" s="289"/>
      <c r="C662" s="289"/>
      <c r="D662" s="337"/>
    </row>
    <row r="663">
      <c r="A663" s="343"/>
      <c r="B663" s="289"/>
      <c r="C663" s="289"/>
      <c r="D663" s="337"/>
    </row>
    <row r="664">
      <c r="A664" s="343"/>
      <c r="B664" s="289"/>
      <c r="C664" s="289"/>
      <c r="D664" s="337"/>
    </row>
    <row r="665">
      <c r="A665" s="343"/>
      <c r="B665" s="289"/>
      <c r="C665" s="289"/>
      <c r="D665" s="337"/>
    </row>
    <row r="666">
      <c r="A666" s="343"/>
      <c r="B666" s="289"/>
      <c r="C666" s="289"/>
      <c r="D666" s="337"/>
    </row>
    <row r="667">
      <c r="A667" s="343"/>
      <c r="B667" s="289"/>
      <c r="C667" s="289"/>
      <c r="D667" s="337"/>
    </row>
    <row r="668">
      <c r="A668" s="343"/>
      <c r="B668" s="289"/>
      <c r="C668" s="289"/>
      <c r="D668" s="337"/>
    </row>
    <row r="669">
      <c r="A669" s="343"/>
      <c r="B669" s="289"/>
      <c r="C669" s="289"/>
      <c r="D669" s="337"/>
    </row>
    <row r="670">
      <c r="A670" s="343"/>
      <c r="B670" s="289"/>
      <c r="C670" s="289"/>
      <c r="D670" s="337"/>
    </row>
    <row r="671">
      <c r="A671" s="343"/>
      <c r="B671" s="289"/>
      <c r="C671" s="289"/>
      <c r="D671" s="337"/>
    </row>
    <row r="672">
      <c r="A672" s="343"/>
      <c r="B672" s="289"/>
      <c r="C672" s="289"/>
      <c r="D672" s="337"/>
    </row>
    <row r="673">
      <c r="A673" s="343"/>
      <c r="B673" s="289"/>
      <c r="C673" s="289"/>
      <c r="D673" s="337"/>
    </row>
    <row r="674">
      <c r="A674" s="343"/>
      <c r="B674" s="289"/>
      <c r="C674" s="289"/>
      <c r="D674" s="337"/>
    </row>
    <row r="675">
      <c r="A675" s="343"/>
      <c r="B675" s="289"/>
      <c r="C675" s="289"/>
      <c r="D675" s="337"/>
    </row>
    <row r="676">
      <c r="A676" s="343"/>
      <c r="B676" s="289"/>
      <c r="C676" s="289"/>
      <c r="D676" s="337"/>
    </row>
    <row r="677">
      <c r="A677" s="343"/>
      <c r="B677" s="289"/>
      <c r="C677" s="289"/>
      <c r="D677" s="337"/>
    </row>
    <row r="678">
      <c r="A678" s="343"/>
      <c r="B678" s="289"/>
      <c r="C678" s="289"/>
      <c r="D678" s="337"/>
    </row>
    <row r="679">
      <c r="A679" s="343"/>
      <c r="B679" s="289"/>
      <c r="C679" s="289"/>
      <c r="D679" s="337"/>
    </row>
    <row r="680">
      <c r="A680" s="343"/>
      <c r="B680" s="289"/>
      <c r="C680" s="289"/>
      <c r="D680" s="337"/>
    </row>
    <row r="681">
      <c r="A681" s="343"/>
      <c r="B681" s="289"/>
      <c r="C681" s="289"/>
      <c r="D681" s="337"/>
    </row>
    <row r="682">
      <c r="A682" s="343"/>
      <c r="B682" s="289"/>
      <c r="C682" s="289"/>
      <c r="D682" s="337"/>
    </row>
    <row r="683">
      <c r="A683" s="343"/>
      <c r="B683" s="289"/>
      <c r="C683" s="289"/>
      <c r="D683" s="337"/>
    </row>
    <row r="684">
      <c r="A684" s="343"/>
      <c r="B684" s="289"/>
      <c r="C684" s="289"/>
      <c r="D684" s="337"/>
    </row>
    <row r="685">
      <c r="A685" s="343"/>
      <c r="B685" s="289"/>
      <c r="C685" s="289"/>
      <c r="D685" s="337"/>
    </row>
    <row r="686">
      <c r="A686" s="343"/>
      <c r="B686" s="289"/>
      <c r="C686" s="289"/>
      <c r="D686" s="337"/>
    </row>
    <row r="687">
      <c r="A687" s="343"/>
      <c r="B687" s="289"/>
      <c r="C687" s="289"/>
      <c r="D687" s="337"/>
    </row>
    <row r="688">
      <c r="A688" s="343"/>
      <c r="B688" s="289"/>
      <c r="C688" s="289"/>
      <c r="D688" s="337"/>
    </row>
    <row r="689">
      <c r="A689" s="343"/>
      <c r="B689" s="289"/>
      <c r="C689" s="289"/>
      <c r="D689" s="337"/>
    </row>
    <row r="690">
      <c r="A690" s="343"/>
      <c r="B690" s="289"/>
      <c r="C690" s="289"/>
      <c r="D690" s="337"/>
    </row>
    <row r="691">
      <c r="A691" s="343"/>
      <c r="B691" s="289"/>
      <c r="C691" s="289"/>
      <c r="D691" s="337"/>
    </row>
    <row r="692">
      <c r="A692" s="343"/>
      <c r="B692" s="289"/>
      <c r="C692" s="289"/>
      <c r="D692" s="337"/>
    </row>
    <row r="693">
      <c r="A693" s="343"/>
      <c r="B693" s="289"/>
      <c r="C693" s="289"/>
      <c r="D693" s="337"/>
    </row>
    <row r="694">
      <c r="A694" s="343"/>
      <c r="B694" s="289"/>
      <c r="C694" s="289"/>
      <c r="D694" s="337"/>
    </row>
    <row r="695">
      <c r="A695" s="343"/>
      <c r="B695" s="289"/>
      <c r="C695" s="289"/>
      <c r="D695" s="337"/>
    </row>
    <row r="696">
      <c r="A696" s="343"/>
      <c r="B696" s="289"/>
      <c r="C696" s="289"/>
      <c r="D696" s="337"/>
    </row>
    <row r="697">
      <c r="A697" s="343"/>
      <c r="B697" s="289"/>
      <c r="C697" s="289"/>
      <c r="D697" s="337"/>
    </row>
    <row r="698">
      <c r="A698" s="343"/>
      <c r="B698" s="289"/>
      <c r="C698" s="289"/>
      <c r="D698" s="337"/>
    </row>
    <row r="699">
      <c r="A699" s="343"/>
      <c r="B699" s="289"/>
      <c r="C699" s="289"/>
      <c r="D699" s="337"/>
    </row>
    <row r="700">
      <c r="A700" s="343"/>
      <c r="B700" s="289"/>
      <c r="C700" s="289"/>
      <c r="D700" s="337"/>
    </row>
    <row r="701">
      <c r="A701" s="343"/>
      <c r="B701" s="289"/>
      <c r="C701" s="289"/>
      <c r="D701" s="337"/>
    </row>
    <row r="702">
      <c r="A702" s="343"/>
      <c r="B702" s="289"/>
      <c r="C702" s="289"/>
      <c r="D702" s="337"/>
    </row>
    <row r="703">
      <c r="A703" s="343"/>
      <c r="B703" s="289"/>
      <c r="C703" s="289"/>
      <c r="D703" s="337"/>
    </row>
    <row r="704">
      <c r="A704" s="343"/>
      <c r="B704" s="289"/>
      <c r="C704" s="289"/>
      <c r="D704" s="337"/>
    </row>
    <row r="705">
      <c r="A705" s="343"/>
      <c r="B705" s="289"/>
      <c r="C705" s="289"/>
      <c r="D705" s="337"/>
    </row>
    <row r="706">
      <c r="A706" s="343"/>
      <c r="B706" s="289"/>
      <c r="C706" s="289"/>
      <c r="D706" s="337"/>
    </row>
    <row r="707">
      <c r="A707" s="343"/>
      <c r="B707" s="289"/>
      <c r="C707" s="289"/>
      <c r="D707" s="337"/>
    </row>
    <row r="708">
      <c r="A708" s="343"/>
      <c r="B708" s="289"/>
      <c r="C708" s="289"/>
      <c r="D708" s="337"/>
    </row>
    <row r="709">
      <c r="A709" s="343"/>
      <c r="B709" s="289"/>
      <c r="C709" s="289"/>
      <c r="D709" s="337"/>
    </row>
    <row r="710">
      <c r="A710" s="343"/>
      <c r="B710" s="289"/>
      <c r="C710" s="289"/>
      <c r="D710" s="337"/>
    </row>
    <row r="711">
      <c r="A711" s="343"/>
      <c r="B711" s="289"/>
      <c r="C711" s="289"/>
      <c r="D711" s="337"/>
    </row>
    <row r="712">
      <c r="A712" s="343"/>
      <c r="B712" s="289"/>
      <c r="C712" s="289"/>
      <c r="D712" s="337"/>
    </row>
    <row r="713">
      <c r="A713" s="343"/>
      <c r="B713" s="289"/>
      <c r="C713" s="289"/>
      <c r="D713" s="337"/>
    </row>
    <row r="714">
      <c r="A714" s="343"/>
      <c r="B714" s="289"/>
      <c r="C714" s="289"/>
      <c r="D714" s="337"/>
    </row>
    <row r="715">
      <c r="A715" s="343"/>
      <c r="B715" s="289"/>
      <c r="C715" s="289"/>
      <c r="D715" s="337"/>
    </row>
    <row r="716">
      <c r="A716" s="343"/>
      <c r="B716" s="289"/>
      <c r="C716" s="289"/>
      <c r="D716" s="337"/>
    </row>
    <row r="717">
      <c r="A717" s="343"/>
      <c r="B717" s="289"/>
      <c r="C717" s="289"/>
      <c r="D717" s="337"/>
    </row>
    <row r="718">
      <c r="A718" s="343"/>
      <c r="B718" s="289"/>
      <c r="C718" s="289"/>
      <c r="D718" s="337"/>
    </row>
    <row r="719">
      <c r="A719" s="343"/>
      <c r="B719" s="289"/>
      <c r="C719" s="289"/>
      <c r="D719" s="337"/>
    </row>
    <row r="720">
      <c r="A720" s="343"/>
      <c r="B720" s="289"/>
      <c r="C720" s="289"/>
      <c r="D720" s="337"/>
    </row>
    <row r="721">
      <c r="A721" s="343"/>
      <c r="B721" s="289"/>
      <c r="C721" s="289"/>
      <c r="D721" s="337"/>
    </row>
    <row r="722">
      <c r="A722" s="343"/>
      <c r="B722" s="289"/>
      <c r="C722" s="289"/>
      <c r="D722" s="337"/>
    </row>
    <row r="723">
      <c r="A723" s="343"/>
      <c r="B723" s="289"/>
      <c r="C723" s="289"/>
      <c r="D723" s="337"/>
    </row>
    <row r="724">
      <c r="A724" s="343"/>
      <c r="B724" s="289"/>
      <c r="C724" s="289"/>
      <c r="D724" s="337"/>
    </row>
    <row r="725">
      <c r="A725" s="343"/>
      <c r="B725" s="289"/>
      <c r="C725" s="289"/>
      <c r="D725" s="337"/>
    </row>
    <row r="726">
      <c r="A726" s="343"/>
      <c r="B726" s="289"/>
      <c r="C726" s="289"/>
      <c r="D726" s="337"/>
    </row>
    <row r="727">
      <c r="A727" s="343"/>
      <c r="B727" s="289"/>
      <c r="C727" s="289"/>
      <c r="D727" s="337"/>
    </row>
    <row r="728">
      <c r="A728" s="343"/>
      <c r="B728" s="289"/>
      <c r="C728" s="289"/>
      <c r="D728" s="337"/>
    </row>
    <row r="729">
      <c r="A729" s="343"/>
      <c r="B729" s="289"/>
      <c r="C729" s="289"/>
      <c r="D729" s="337"/>
    </row>
    <row r="730">
      <c r="A730" s="343"/>
      <c r="B730" s="289"/>
      <c r="C730" s="289"/>
      <c r="D730" s="337"/>
    </row>
    <row r="731">
      <c r="A731" s="343"/>
      <c r="B731" s="289"/>
      <c r="C731" s="289"/>
      <c r="D731" s="337"/>
    </row>
    <row r="732">
      <c r="A732" s="343"/>
      <c r="B732" s="289"/>
      <c r="C732" s="289"/>
      <c r="D732" s="337"/>
    </row>
    <row r="733">
      <c r="A733" s="343"/>
      <c r="B733" s="289"/>
      <c r="C733" s="289"/>
      <c r="D733" s="337"/>
    </row>
    <row r="734">
      <c r="A734" s="343"/>
      <c r="B734" s="289"/>
      <c r="C734" s="289"/>
      <c r="D734" s="337"/>
    </row>
    <row r="735">
      <c r="A735" s="343"/>
      <c r="B735" s="289"/>
      <c r="C735" s="289"/>
      <c r="D735" s="337"/>
    </row>
    <row r="736">
      <c r="A736" s="343"/>
      <c r="B736" s="289"/>
      <c r="C736" s="289"/>
      <c r="D736" s="337"/>
    </row>
    <row r="737">
      <c r="A737" s="343"/>
      <c r="B737" s="289"/>
      <c r="C737" s="289"/>
      <c r="D737" s="337"/>
    </row>
    <row r="738">
      <c r="A738" s="343"/>
      <c r="B738" s="289"/>
      <c r="C738" s="289"/>
      <c r="D738" s="337"/>
    </row>
    <row r="739">
      <c r="A739" s="343"/>
      <c r="B739" s="289"/>
      <c r="C739" s="289"/>
      <c r="D739" s="337"/>
    </row>
    <row r="740">
      <c r="A740" s="343"/>
      <c r="B740" s="289"/>
      <c r="C740" s="289"/>
      <c r="D740" s="337"/>
    </row>
    <row r="741">
      <c r="A741" s="343"/>
      <c r="B741" s="289"/>
      <c r="C741" s="289"/>
      <c r="D741" s="337"/>
    </row>
    <row r="742">
      <c r="A742" s="343"/>
      <c r="B742" s="289"/>
      <c r="C742" s="289"/>
      <c r="D742" s="337"/>
    </row>
    <row r="743">
      <c r="A743" s="343"/>
      <c r="B743" s="289"/>
      <c r="C743" s="289"/>
      <c r="D743" s="337"/>
    </row>
    <row r="744">
      <c r="A744" s="343"/>
      <c r="B744" s="289"/>
      <c r="C744" s="289"/>
      <c r="D744" s="337"/>
    </row>
    <row r="745">
      <c r="A745" s="343"/>
      <c r="B745" s="289"/>
      <c r="C745" s="289"/>
      <c r="D745" s="337"/>
    </row>
    <row r="746">
      <c r="A746" s="343"/>
      <c r="B746" s="289"/>
      <c r="C746" s="289"/>
      <c r="D746" s="337"/>
    </row>
    <row r="747">
      <c r="A747" s="343"/>
      <c r="B747" s="289"/>
      <c r="C747" s="289"/>
      <c r="D747" s="337"/>
    </row>
    <row r="748">
      <c r="A748" s="343"/>
      <c r="B748" s="289"/>
      <c r="C748" s="289"/>
      <c r="D748" s="337"/>
    </row>
    <row r="749">
      <c r="A749" s="343"/>
      <c r="B749" s="289"/>
      <c r="C749" s="289"/>
      <c r="D749" s="337"/>
    </row>
    <row r="750">
      <c r="A750" s="343"/>
      <c r="B750" s="289"/>
      <c r="C750" s="289"/>
      <c r="D750" s="337"/>
    </row>
    <row r="751">
      <c r="A751" s="343"/>
      <c r="B751" s="289"/>
      <c r="C751" s="289"/>
      <c r="D751" s="337"/>
    </row>
    <row r="752">
      <c r="A752" s="343"/>
      <c r="B752" s="289"/>
      <c r="C752" s="289"/>
      <c r="D752" s="337"/>
    </row>
    <row r="753">
      <c r="A753" s="343"/>
      <c r="B753" s="289"/>
      <c r="C753" s="289"/>
      <c r="D753" s="337"/>
    </row>
    <row r="754">
      <c r="A754" s="343"/>
      <c r="B754" s="289"/>
      <c r="C754" s="289"/>
      <c r="D754" s="337"/>
    </row>
    <row r="755">
      <c r="A755" s="343"/>
      <c r="B755" s="289"/>
      <c r="C755" s="289"/>
      <c r="D755" s="337"/>
    </row>
    <row r="756">
      <c r="A756" s="343"/>
      <c r="B756" s="289"/>
      <c r="C756" s="289"/>
      <c r="D756" s="337"/>
    </row>
    <row r="757">
      <c r="A757" s="343"/>
      <c r="B757" s="289"/>
      <c r="C757" s="289"/>
      <c r="D757" s="337"/>
    </row>
    <row r="758">
      <c r="A758" s="343"/>
      <c r="B758" s="289"/>
      <c r="C758" s="289"/>
      <c r="D758" s="337"/>
    </row>
    <row r="759">
      <c r="A759" s="343"/>
      <c r="B759" s="289"/>
      <c r="C759" s="289"/>
      <c r="D759" s="337"/>
    </row>
    <row r="760">
      <c r="A760" s="343"/>
      <c r="B760" s="289"/>
      <c r="C760" s="289"/>
      <c r="D760" s="337"/>
    </row>
    <row r="761">
      <c r="A761" s="343"/>
      <c r="B761" s="289"/>
      <c r="C761" s="289"/>
      <c r="D761" s="337"/>
    </row>
    <row r="762">
      <c r="A762" s="343"/>
      <c r="B762" s="289"/>
      <c r="C762" s="289"/>
      <c r="D762" s="337"/>
    </row>
    <row r="763">
      <c r="A763" s="343"/>
      <c r="B763" s="289"/>
      <c r="C763" s="289"/>
      <c r="D763" s="337"/>
    </row>
    <row r="764">
      <c r="A764" s="343"/>
      <c r="B764" s="289"/>
      <c r="C764" s="289"/>
      <c r="D764" s="337"/>
    </row>
    <row r="765">
      <c r="A765" s="343"/>
      <c r="B765" s="289"/>
      <c r="C765" s="289"/>
      <c r="D765" s="337"/>
    </row>
    <row r="766">
      <c r="A766" s="343"/>
      <c r="B766" s="289"/>
      <c r="C766" s="289"/>
      <c r="D766" s="337"/>
    </row>
    <row r="767">
      <c r="A767" s="343"/>
      <c r="B767" s="289"/>
      <c r="C767" s="289"/>
      <c r="D767" s="337"/>
    </row>
    <row r="768">
      <c r="A768" s="343"/>
      <c r="B768" s="289"/>
      <c r="C768" s="289"/>
      <c r="D768" s="337"/>
    </row>
    <row r="769">
      <c r="A769" s="343"/>
      <c r="B769" s="289"/>
      <c r="C769" s="289"/>
      <c r="D769" s="337"/>
    </row>
    <row r="770">
      <c r="A770" s="343"/>
      <c r="B770" s="289"/>
      <c r="C770" s="289"/>
      <c r="D770" s="337"/>
    </row>
    <row r="771">
      <c r="A771" s="343"/>
      <c r="B771" s="289"/>
      <c r="C771" s="289"/>
      <c r="D771" s="337"/>
    </row>
    <row r="772">
      <c r="A772" s="343"/>
      <c r="B772" s="289"/>
      <c r="C772" s="289"/>
      <c r="D772" s="337"/>
    </row>
    <row r="773">
      <c r="A773" s="343"/>
      <c r="B773" s="289"/>
      <c r="C773" s="289"/>
      <c r="D773" s="337"/>
    </row>
    <row r="774">
      <c r="A774" s="343"/>
      <c r="B774" s="289"/>
      <c r="C774" s="289"/>
      <c r="D774" s="337"/>
    </row>
    <row r="775">
      <c r="A775" s="343"/>
      <c r="B775" s="289"/>
      <c r="C775" s="289"/>
      <c r="D775" s="337"/>
    </row>
    <row r="776">
      <c r="A776" s="343"/>
      <c r="B776" s="289"/>
      <c r="C776" s="289"/>
      <c r="D776" s="337"/>
    </row>
    <row r="777">
      <c r="A777" s="343"/>
      <c r="B777" s="289"/>
      <c r="C777" s="289"/>
      <c r="D777" s="337"/>
    </row>
    <row r="778">
      <c r="A778" s="343"/>
      <c r="B778" s="289"/>
      <c r="C778" s="289"/>
      <c r="D778" s="337"/>
    </row>
    <row r="779">
      <c r="A779" s="343"/>
      <c r="B779" s="289"/>
      <c r="C779" s="289"/>
      <c r="D779" s="337"/>
    </row>
    <row r="780">
      <c r="A780" s="343"/>
      <c r="B780" s="289"/>
      <c r="C780" s="289"/>
      <c r="D780" s="337"/>
    </row>
    <row r="781">
      <c r="A781" s="343"/>
      <c r="B781" s="289"/>
      <c r="C781" s="289"/>
      <c r="D781" s="337"/>
    </row>
    <row r="782">
      <c r="A782" s="343"/>
      <c r="B782" s="289"/>
      <c r="C782" s="289"/>
      <c r="D782" s="337"/>
    </row>
    <row r="783">
      <c r="A783" s="343"/>
      <c r="B783" s="289"/>
      <c r="C783" s="289"/>
      <c r="D783" s="337"/>
    </row>
    <row r="784">
      <c r="A784" s="343"/>
      <c r="B784" s="289"/>
      <c r="C784" s="289"/>
      <c r="D784" s="337"/>
    </row>
    <row r="785">
      <c r="A785" s="343"/>
      <c r="B785" s="289"/>
      <c r="C785" s="289"/>
      <c r="D785" s="337"/>
    </row>
    <row r="786">
      <c r="A786" s="343"/>
      <c r="B786" s="289"/>
      <c r="C786" s="289"/>
      <c r="D786" s="337"/>
    </row>
    <row r="787">
      <c r="A787" s="343"/>
      <c r="B787" s="289"/>
      <c r="C787" s="289"/>
      <c r="D787" s="337"/>
    </row>
    <row r="788">
      <c r="A788" s="343"/>
      <c r="B788" s="289"/>
      <c r="C788" s="289"/>
      <c r="D788" s="337"/>
    </row>
    <row r="789">
      <c r="A789" s="343"/>
      <c r="B789" s="289"/>
      <c r="C789" s="289"/>
      <c r="D789" s="337"/>
    </row>
    <row r="790">
      <c r="A790" s="343"/>
      <c r="B790" s="289"/>
      <c r="C790" s="289"/>
      <c r="D790" s="337"/>
    </row>
    <row r="791">
      <c r="A791" s="343"/>
      <c r="B791" s="289"/>
      <c r="C791" s="289"/>
      <c r="D791" s="337"/>
    </row>
    <row r="792">
      <c r="A792" s="343"/>
      <c r="B792" s="289"/>
      <c r="C792" s="289"/>
      <c r="D792" s="337"/>
    </row>
    <row r="793">
      <c r="A793" s="343"/>
      <c r="B793" s="289"/>
      <c r="C793" s="289"/>
      <c r="D793" s="337"/>
    </row>
    <row r="794">
      <c r="A794" s="343"/>
      <c r="B794" s="289"/>
      <c r="C794" s="289"/>
      <c r="D794" s="337"/>
    </row>
    <row r="795">
      <c r="A795" s="343"/>
      <c r="B795" s="289"/>
      <c r="C795" s="289"/>
      <c r="D795" s="337"/>
    </row>
    <row r="796">
      <c r="A796" s="343"/>
      <c r="B796" s="289"/>
      <c r="C796" s="289"/>
      <c r="D796" s="337"/>
    </row>
    <row r="797">
      <c r="A797" s="343"/>
      <c r="B797" s="289"/>
      <c r="C797" s="289"/>
      <c r="D797" s="337"/>
    </row>
    <row r="798">
      <c r="A798" s="343"/>
      <c r="B798" s="289"/>
      <c r="C798" s="289"/>
      <c r="D798" s="337"/>
    </row>
    <row r="799">
      <c r="A799" s="343"/>
      <c r="B799" s="289"/>
      <c r="C799" s="289"/>
      <c r="D799" s="337"/>
    </row>
    <row r="800">
      <c r="A800" s="343"/>
      <c r="B800" s="289"/>
      <c r="C800" s="289"/>
      <c r="D800" s="337"/>
    </row>
    <row r="801">
      <c r="A801" s="343"/>
      <c r="B801" s="289"/>
      <c r="C801" s="289"/>
      <c r="D801" s="337"/>
    </row>
    <row r="802">
      <c r="A802" s="343"/>
      <c r="B802" s="289"/>
      <c r="C802" s="289"/>
      <c r="D802" s="337"/>
    </row>
    <row r="803">
      <c r="A803" s="343"/>
      <c r="B803" s="289"/>
      <c r="C803" s="289"/>
      <c r="D803" s="337"/>
    </row>
    <row r="804">
      <c r="A804" s="343"/>
      <c r="B804" s="289"/>
      <c r="C804" s="289"/>
      <c r="D804" s="337"/>
    </row>
    <row r="805">
      <c r="A805" s="343"/>
      <c r="B805" s="289"/>
      <c r="C805" s="289"/>
      <c r="D805" s="337"/>
    </row>
    <row r="806">
      <c r="A806" s="343"/>
      <c r="B806" s="289"/>
      <c r="C806" s="289"/>
      <c r="D806" s="337"/>
    </row>
    <row r="807">
      <c r="A807" s="343"/>
      <c r="B807" s="289"/>
      <c r="C807" s="289"/>
      <c r="D807" s="337"/>
    </row>
    <row r="808">
      <c r="A808" s="343"/>
      <c r="B808" s="289"/>
      <c r="C808" s="289"/>
      <c r="D808" s="337"/>
    </row>
    <row r="809">
      <c r="A809" s="343"/>
      <c r="B809" s="289"/>
      <c r="C809" s="289"/>
      <c r="D809" s="337"/>
    </row>
    <row r="810">
      <c r="A810" s="343"/>
      <c r="B810" s="289"/>
      <c r="C810" s="289"/>
      <c r="D810" s="337"/>
    </row>
    <row r="811">
      <c r="A811" s="343"/>
      <c r="B811" s="289"/>
      <c r="C811" s="289"/>
      <c r="D811" s="337"/>
    </row>
    <row r="812">
      <c r="A812" s="343"/>
      <c r="B812" s="289"/>
      <c r="C812" s="289"/>
      <c r="D812" s="337"/>
    </row>
    <row r="813">
      <c r="A813" s="343"/>
      <c r="B813" s="289"/>
      <c r="C813" s="289"/>
      <c r="D813" s="337"/>
    </row>
    <row r="814">
      <c r="A814" s="343"/>
      <c r="B814" s="289"/>
      <c r="C814" s="289"/>
      <c r="D814" s="337"/>
    </row>
    <row r="815">
      <c r="A815" s="343"/>
      <c r="B815" s="289"/>
      <c r="C815" s="289"/>
      <c r="D815" s="337"/>
    </row>
    <row r="816">
      <c r="A816" s="343"/>
      <c r="B816" s="289"/>
      <c r="C816" s="289"/>
      <c r="D816" s="337"/>
    </row>
    <row r="817">
      <c r="A817" s="343"/>
      <c r="B817" s="289"/>
      <c r="C817" s="289"/>
      <c r="D817" s="337"/>
    </row>
    <row r="818">
      <c r="A818" s="343"/>
      <c r="B818" s="289"/>
      <c r="C818" s="289"/>
      <c r="D818" s="337"/>
    </row>
    <row r="819">
      <c r="A819" s="343"/>
      <c r="B819" s="289"/>
      <c r="C819" s="289"/>
      <c r="D819" s="337"/>
    </row>
    <row r="820">
      <c r="A820" s="343"/>
      <c r="B820" s="289"/>
      <c r="C820" s="289"/>
      <c r="D820" s="337"/>
    </row>
    <row r="821">
      <c r="A821" s="343"/>
      <c r="B821" s="289"/>
      <c r="C821" s="289"/>
      <c r="D821" s="337"/>
    </row>
    <row r="822">
      <c r="A822" s="343"/>
      <c r="B822" s="289"/>
      <c r="C822" s="289"/>
      <c r="D822" s="337"/>
    </row>
    <row r="823">
      <c r="A823" s="343"/>
      <c r="B823" s="289"/>
      <c r="C823" s="289"/>
      <c r="D823" s="337"/>
    </row>
    <row r="824">
      <c r="A824" s="343"/>
      <c r="B824" s="289"/>
      <c r="C824" s="289"/>
      <c r="D824" s="337"/>
    </row>
    <row r="825">
      <c r="A825" s="343"/>
      <c r="B825" s="289"/>
      <c r="C825" s="289"/>
      <c r="D825" s="337"/>
    </row>
    <row r="826">
      <c r="A826" s="343"/>
      <c r="B826" s="289"/>
      <c r="C826" s="289"/>
      <c r="D826" s="337"/>
    </row>
    <row r="827">
      <c r="A827" s="343"/>
      <c r="B827" s="289"/>
      <c r="C827" s="289"/>
      <c r="D827" s="337"/>
    </row>
    <row r="828">
      <c r="A828" s="343"/>
      <c r="B828" s="289"/>
      <c r="C828" s="289"/>
      <c r="D828" s="337"/>
    </row>
    <row r="829">
      <c r="A829" s="343"/>
      <c r="B829" s="289"/>
      <c r="C829" s="289"/>
      <c r="D829" s="337"/>
    </row>
    <row r="830">
      <c r="A830" s="343"/>
      <c r="B830" s="289"/>
      <c r="C830" s="289"/>
      <c r="D830" s="337"/>
    </row>
    <row r="831">
      <c r="A831" s="343"/>
      <c r="B831" s="289"/>
      <c r="C831" s="289"/>
      <c r="D831" s="337"/>
    </row>
    <row r="832">
      <c r="A832" s="343"/>
      <c r="B832" s="289"/>
      <c r="C832" s="289"/>
      <c r="D832" s="337"/>
    </row>
    <row r="833">
      <c r="A833" s="343"/>
      <c r="B833" s="289"/>
      <c r="C833" s="289"/>
      <c r="D833" s="337"/>
    </row>
    <row r="834">
      <c r="A834" s="343"/>
      <c r="B834" s="289"/>
      <c r="C834" s="289"/>
      <c r="D834" s="337"/>
    </row>
    <row r="835">
      <c r="A835" s="343"/>
      <c r="B835" s="289"/>
      <c r="C835" s="289"/>
      <c r="D835" s="337"/>
    </row>
    <row r="836">
      <c r="A836" s="343"/>
      <c r="B836" s="289"/>
      <c r="C836" s="289"/>
      <c r="D836" s="337"/>
    </row>
    <row r="837">
      <c r="A837" s="343"/>
      <c r="B837" s="289"/>
      <c r="C837" s="289"/>
      <c r="D837" s="337"/>
    </row>
    <row r="838">
      <c r="A838" s="343"/>
      <c r="B838" s="289"/>
      <c r="C838" s="289"/>
      <c r="D838" s="337"/>
    </row>
    <row r="839">
      <c r="A839" s="343"/>
      <c r="B839" s="289"/>
      <c r="C839" s="289"/>
      <c r="D839" s="337"/>
    </row>
    <row r="840">
      <c r="A840" s="343"/>
      <c r="B840" s="289"/>
      <c r="C840" s="289"/>
      <c r="D840" s="337"/>
    </row>
    <row r="841">
      <c r="A841" s="343"/>
      <c r="B841" s="289"/>
      <c r="C841" s="289"/>
      <c r="D841" s="337"/>
    </row>
    <row r="842">
      <c r="A842" s="343"/>
      <c r="B842" s="289"/>
      <c r="C842" s="289"/>
      <c r="D842" s="337"/>
    </row>
    <row r="843">
      <c r="A843" s="343"/>
      <c r="B843" s="289"/>
      <c r="C843" s="289"/>
      <c r="D843" s="337"/>
    </row>
    <row r="844">
      <c r="A844" s="343"/>
      <c r="B844" s="289"/>
      <c r="C844" s="289"/>
      <c r="D844" s="337"/>
    </row>
    <row r="845">
      <c r="A845" s="343"/>
      <c r="B845" s="289"/>
      <c r="C845" s="289"/>
      <c r="D845" s="337"/>
    </row>
    <row r="846">
      <c r="A846" s="343"/>
      <c r="B846" s="289"/>
      <c r="C846" s="289"/>
      <c r="D846" s="337"/>
    </row>
    <row r="847">
      <c r="A847" s="343"/>
      <c r="B847" s="289"/>
      <c r="C847" s="289"/>
      <c r="D847" s="337"/>
    </row>
    <row r="848">
      <c r="A848" s="343"/>
      <c r="B848" s="289"/>
      <c r="C848" s="289"/>
      <c r="D848" s="337"/>
    </row>
    <row r="849">
      <c r="A849" s="343"/>
      <c r="B849" s="289"/>
      <c r="C849" s="289"/>
      <c r="D849" s="337"/>
    </row>
    <row r="850">
      <c r="A850" s="343"/>
      <c r="B850" s="289"/>
      <c r="C850" s="289"/>
      <c r="D850" s="337"/>
    </row>
    <row r="851">
      <c r="A851" s="343"/>
      <c r="B851" s="289"/>
      <c r="C851" s="289"/>
      <c r="D851" s="337"/>
    </row>
    <row r="852">
      <c r="A852" s="343"/>
      <c r="B852" s="289"/>
      <c r="C852" s="289"/>
      <c r="D852" s="337"/>
    </row>
    <row r="853">
      <c r="A853" s="343"/>
      <c r="B853" s="289"/>
      <c r="C853" s="289"/>
      <c r="D853" s="337"/>
    </row>
    <row r="854">
      <c r="A854" s="343"/>
      <c r="B854" s="289"/>
      <c r="C854" s="289"/>
      <c r="D854" s="337"/>
    </row>
    <row r="855">
      <c r="A855" s="343"/>
      <c r="B855" s="289"/>
      <c r="C855" s="289"/>
      <c r="D855" s="337"/>
    </row>
    <row r="856">
      <c r="A856" s="343"/>
      <c r="B856" s="289"/>
      <c r="C856" s="289"/>
      <c r="D856" s="337"/>
    </row>
    <row r="857">
      <c r="A857" s="343"/>
      <c r="B857" s="289"/>
      <c r="C857" s="289"/>
      <c r="D857" s="337"/>
    </row>
    <row r="858">
      <c r="A858" s="343"/>
      <c r="B858" s="289"/>
      <c r="C858" s="289"/>
      <c r="D858" s="337"/>
    </row>
    <row r="859">
      <c r="A859" s="343"/>
      <c r="B859" s="289"/>
      <c r="C859" s="289"/>
      <c r="D859" s="337"/>
    </row>
    <row r="860">
      <c r="A860" s="343"/>
      <c r="B860" s="289"/>
      <c r="C860" s="289"/>
      <c r="D860" s="337"/>
    </row>
    <row r="861">
      <c r="A861" s="343"/>
      <c r="B861" s="289"/>
      <c r="C861" s="289"/>
      <c r="D861" s="337"/>
    </row>
    <row r="862">
      <c r="A862" s="343"/>
      <c r="B862" s="289"/>
      <c r="C862" s="289"/>
      <c r="D862" s="337"/>
    </row>
    <row r="863">
      <c r="A863" s="343"/>
      <c r="B863" s="289"/>
      <c r="C863" s="289"/>
      <c r="D863" s="337"/>
    </row>
    <row r="864">
      <c r="A864" s="343"/>
      <c r="B864" s="289"/>
      <c r="C864" s="289"/>
      <c r="D864" s="337"/>
    </row>
    <row r="865">
      <c r="A865" s="343"/>
      <c r="B865" s="289"/>
      <c r="C865" s="289"/>
      <c r="D865" s="337"/>
    </row>
    <row r="866">
      <c r="A866" s="343"/>
      <c r="B866" s="289"/>
      <c r="C866" s="289"/>
      <c r="D866" s="337"/>
    </row>
    <row r="867">
      <c r="A867" s="343"/>
      <c r="B867" s="289"/>
      <c r="C867" s="289"/>
      <c r="D867" s="337"/>
    </row>
    <row r="868">
      <c r="A868" s="343"/>
      <c r="B868" s="289"/>
      <c r="C868" s="289"/>
      <c r="D868" s="337"/>
    </row>
    <row r="869">
      <c r="A869" s="343"/>
      <c r="B869" s="289"/>
      <c r="C869" s="289"/>
      <c r="D869" s="337"/>
    </row>
    <row r="870">
      <c r="A870" s="343"/>
      <c r="B870" s="289"/>
      <c r="C870" s="289"/>
      <c r="D870" s="337"/>
    </row>
    <row r="871">
      <c r="A871" s="343"/>
      <c r="B871" s="289"/>
      <c r="C871" s="289"/>
      <c r="D871" s="337"/>
    </row>
    <row r="872">
      <c r="A872" s="343"/>
      <c r="B872" s="289"/>
      <c r="C872" s="289"/>
      <c r="D872" s="337"/>
    </row>
    <row r="873">
      <c r="A873" s="343"/>
      <c r="B873" s="289"/>
      <c r="C873" s="289"/>
      <c r="D873" s="337"/>
    </row>
    <row r="874">
      <c r="A874" s="343"/>
      <c r="B874" s="289"/>
      <c r="C874" s="289"/>
      <c r="D874" s="337"/>
    </row>
    <row r="875">
      <c r="A875" s="343"/>
      <c r="B875" s="289"/>
      <c r="C875" s="289"/>
      <c r="D875" s="337"/>
    </row>
    <row r="876">
      <c r="A876" s="343"/>
      <c r="B876" s="289"/>
      <c r="C876" s="289"/>
      <c r="D876" s="337"/>
    </row>
    <row r="877">
      <c r="A877" s="343"/>
      <c r="B877" s="289"/>
      <c r="C877" s="289"/>
      <c r="D877" s="337"/>
    </row>
    <row r="878">
      <c r="A878" s="343"/>
      <c r="B878" s="289"/>
      <c r="C878" s="289"/>
      <c r="D878" s="337"/>
    </row>
    <row r="879">
      <c r="A879" s="343"/>
      <c r="B879" s="289"/>
      <c r="C879" s="289"/>
      <c r="D879" s="337"/>
    </row>
    <row r="880">
      <c r="A880" s="343"/>
      <c r="B880" s="289"/>
      <c r="C880" s="289"/>
      <c r="D880" s="337"/>
    </row>
    <row r="881">
      <c r="A881" s="343"/>
      <c r="B881" s="289"/>
      <c r="C881" s="289"/>
      <c r="D881" s="337"/>
    </row>
    <row r="882">
      <c r="A882" s="343"/>
      <c r="B882" s="289"/>
      <c r="C882" s="289"/>
      <c r="D882" s="337"/>
    </row>
    <row r="883">
      <c r="A883" s="343"/>
      <c r="B883" s="289"/>
      <c r="C883" s="289"/>
      <c r="D883" s="337"/>
    </row>
    <row r="884">
      <c r="A884" s="343"/>
      <c r="B884" s="289"/>
      <c r="C884" s="289"/>
      <c r="D884" s="337"/>
    </row>
    <row r="885">
      <c r="A885" s="343"/>
      <c r="B885" s="289"/>
      <c r="C885" s="289"/>
      <c r="D885" s="337"/>
    </row>
    <row r="886">
      <c r="A886" s="343"/>
      <c r="B886" s="289"/>
      <c r="C886" s="289"/>
      <c r="D886" s="337"/>
    </row>
    <row r="887">
      <c r="A887" s="343"/>
      <c r="B887" s="289"/>
      <c r="C887" s="289"/>
      <c r="D887" s="337"/>
    </row>
    <row r="888">
      <c r="A888" s="343"/>
      <c r="B888" s="289"/>
      <c r="C888" s="289"/>
      <c r="D888" s="337"/>
    </row>
    <row r="889">
      <c r="A889" s="343"/>
      <c r="B889" s="289"/>
      <c r="C889" s="289"/>
      <c r="D889" s="337"/>
    </row>
    <row r="890">
      <c r="A890" s="343"/>
      <c r="B890" s="289"/>
      <c r="C890" s="289"/>
      <c r="D890" s="337"/>
    </row>
    <row r="891">
      <c r="A891" s="343"/>
      <c r="B891" s="289"/>
      <c r="C891" s="289"/>
      <c r="D891" s="337"/>
    </row>
    <row r="892">
      <c r="A892" s="343"/>
      <c r="B892" s="289"/>
      <c r="C892" s="289"/>
      <c r="D892" s="337"/>
    </row>
    <row r="893">
      <c r="A893" s="343"/>
      <c r="B893" s="289"/>
      <c r="C893" s="289"/>
      <c r="D893" s="337"/>
    </row>
    <row r="894">
      <c r="A894" s="343"/>
      <c r="B894" s="289"/>
      <c r="C894" s="289"/>
      <c r="D894" s="337"/>
    </row>
    <row r="895">
      <c r="A895" s="343"/>
      <c r="B895" s="289"/>
      <c r="C895" s="289"/>
      <c r="D895" s="337"/>
    </row>
    <row r="896">
      <c r="A896" s="343"/>
      <c r="B896" s="289"/>
      <c r="C896" s="289"/>
      <c r="D896" s="337"/>
    </row>
    <row r="897">
      <c r="A897" s="343"/>
      <c r="B897" s="289"/>
      <c r="C897" s="289"/>
      <c r="D897" s="337"/>
    </row>
    <row r="898">
      <c r="A898" s="343"/>
      <c r="B898" s="289"/>
      <c r="C898" s="289"/>
      <c r="D898" s="337"/>
    </row>
    <row r="899">
      <c r="A899" s="343"/>
      <c r="B899" s="289"/>
      <c r="C899" s="289"/>
      <c r="D899" s="337"/>
    </row>
    <row r="900">
      <c r="A900" s="343"/>
      <c r="B900" s="289"/>
      <c r="C900" s="289"/>
      <c r="D900" s="337"/>
    </row>
    <row r="901">
      <c r="A901" s="343"/>
      <c r="B901" s="289"/>
      <c r="C901" s="289"/>
      <c r="D901" s="337"/>
    </row>
    <row r="902">
      <c r="A902" s="343"/>
      <c r="B902" s="289"/>
      <c r="C902" s="289"/>
      <c r="D902" s="337"/>
    </row>
    <row r="903">
      <c r="A903" s="343"/>
      <c r="B903" s="289"/>
      <c r="C903" s="289"/>
      <c r="D903" s="337"/>
    </row>
    <row r="904">
      <c r="A904" s="343"/>
      <c r="B904" s="289"/>
      <c r="C904" s="289"/>
      <c r="D904" s="337"/>
    </row>
    <row r="905">
      <c r="A905" s="343"/>
      <c r="B905" s="289"/>
      <c r="C905" s="289"/>
      <c r="D905" s="337"/>
    </row>
    <row r="906">
      <c r="A906" s="343"/>
      <c r="B906" s="289"/>
      <c r="C906" s="289"/>
      <c r="D906" s="337"/>
    </row>
    <row r="907">
      <c r="A907" s="343"/>
      <c r="B907" s="289"/>
      <c r="C907" s="289"/>
      <c r="D907" s="337"/>
    </row>
    <row r="908">
      <c r="A908" s="343"/>
      <c r="B908" s="289"/>
      <c r="C908" s="289"/>
      <c r="D908" s="337"/>
    </row>
    <row r="909">
      <c r="A909" s="343"/>
      <c r="B909" s="289"/>
      <c r="C909" s="289"/>
      <c r="D909" s="337"/>
    </row>
    <row r="910">
      <c r="A910" s="343"/>
      <c r="B910" s="289"/>
      <c r="C910" s="289"/>
      <c r="D910" s="337"/>
    </row>
    <row r="911">
      <c r="A911" s="343"/>
      <c r="B911" s="289"/>
      <c r="C911" s="289"/>
      <c r="D911" s="337"/>
    </row>
    <row r="912">
      <c r="A912" s="343"/>
      <c r="B912" s="289"/>
      <c r="C912" s="289"/>
      <c r="D912" s="337"/>
    </row>
    <row r="913">
      <c r="A913" s="343"/>
      <c r="B913" s="289"/>
      <c r="C913" s="289"/>
      <c r="D913" s="337"/>
    </row>
    <row r="914">
      <c r="A914" s="343"/>
      <c r="B914" s="289"/>
      <c r="C914" s="289"/>
      <c r="D914" s="337"/>
    </row>
    <row r="915">
      <c r="A915" s="343"/>
      <c r="B915" s="289"/>
      <c r="C915" s="289"/>
      <c r="D915" s="337"/>
    </row>
    <row r="916">
      <c r="A916" s="343"/>
      <c r="B916" s="289"/>
      <c r="C916" s="289"/>
      <c r="D916" s="337"/>
    </row>
    <row r="917">
      <c r="A917" s="343"/>
      <c r="B917" s="289"/>
      <c r="C917" s="289"/>
      <c r="D917" s="337"/>
    </row>
    <row r="918">
      <c r="A918" s="343"/>
      <c r="B918" s="289"/>
      <c r="C918" s="289"/>
      <c r="D918" s="337"/>
    </row>
    <row r="919">
      <c r="A919" s="343"/>
      <c r="B919" s="289"/>
      <c r="C919" s="289"/>
      <c r="D919" s="337"/>
    </row>
    <row r="920">
      <c r="A920" s="343"/>
      <c r="B920" s="289"/>
      <c r="C920" s="289"/>
      <c r="D920" s="337"/>
    </row>
    <row r="921">
      <c r="A921" s="343"/>
      <c r="B921" s="289"/>
      <c r="C921" s="289"/>
      <c r="D921" s="337"/>
    </row>
    <row r="922">
      <c r="A922" s="343"/>
      <c r="B922" s="289"/>
      <c r="C922" s="289"/>
      <c r="D922" s="337"/>
    </row>
    <row r="923">
      <c r="A923" s="343"/>
      <c r="B923" s="289"/>
      <c r="C923" s="289"/>
      <c r="D923" s="337"/>
    </row>
    <row r="924">
      <c r="A924" s="343"/>
      <c r="B924" s="289"/>
      <c r="C924" s="289"/>
      <c r="D924" s="337"/>
    </row>
    <row r="925">
      <c r="A925" s="343"/>
      <c r="B925" s="289"/>
      <c r="C925" s="289"/>
      <c r="D925" s="337"/>
    </row>
    <row r="926">
      <c r="A926" s="343"/>
      <c r="B926" s="289"/>
      <c r="C926" s="289"/>
      <c r="D926" s="337"/>
    </row>
    <row r="927">
      <c r="A927" s="343"/>
      <c r="B927" s="289"/>
      <c r="C927" s="289"/>
      <c r="D927" s="337"/>
    </row>
    <row r="928">
      <c r="A928" s="343"/>
      <c r="B928" s="289"/>
      <c r="C928" s="289"/>
      <c r="D928" s="337"/>
    </row>
    <row r="929">
      <c r="A929" s="343"/>
      <c r="B929" s="289"/>
      <c r="C929" s="289"/>
      <c r="D929" s="337"/>
    </row>
    <row r="930">
      <c r="A930" s="343"/>
      <c r="B930" s="289"/>
      <c r="C930" s="289"/>
      <c r="D930" s="337"/>
    </row>
    <row r="931">
      <c r="A931" s="343"/>
      <c r="B931" s="289"/>
      <c r="C931" s="289"/>
      <c r="D931" s="337"/>
    </row>
    <row r="932">
      <c r="A932" s="343"/>
      <c r="B932" s="289"/>
      <c r="C932" s="289"/>
      <c r="D932" s="337"/>
    </row>
    <row r="933">
      <c r="A933" s="343"/>
      <c r="B933" s="289"/>
      <c r="C933" s="289"/>
      <c r="D933" s="337"/>
    </row>
    <row r="934">
      <c r="A934" s="343"/>
      <c r="B934" s="289"/>
      <c r="C934" s="289"/>
      <c r="D934" s="337"/>
    </row>
    <row r="935">
      <c r="A935" s="343"/>
      <c r="B935" s="289"/>
      <c r="C935" s="289"/>
      <c r="D935" s="337"/>
    </row>
    <row r="936">
      <c r="A936" s="343"/>
      <c r="B936" s="289"/>
      <c r="C936" s="289"/>
      <c r="D936" s="337"/>
    </row>
    <row r="937">
      <c r="A937" s="343"/>
      <c r="B937" s="289"/>
      <c r="C937" s="289"/>
      <c r="D937" s="337"/>
    </row>
    <row r="938">
      <c r="A938" s="343"/>
      <c r="B938" s="289"/>
      <c r="C938" s="289"/>
      <c r="D938" s="337"/>
    </row>
    <row r="939">
      <c r="A939" s="343"/>
      <c r="B939" s="289"/>
      <c r="C939" s="289"/>
      <c r="D939" s="337"/>
    </row>
    <row r="940">
      <c r="A940" s="343"/>
      <c r="B940" s="289"/>
      <c r="C940" s="289"/>
      <c r="D940" s="337"/>
    </row>
    <row r="941">
      <c r="A941" s="343"/>
      <c r="B941" s="289"/>
      <c r="C941" s="289"/>
      <c r="D941" s="337"/>
    </row>
    <row r="942">
      <c r="A942" s="343"/>
      <c r="B942" s="289"/>
      <c r="C942" s="289"/>
      <c r="D942" s="337"/>
    </row>
    <row r="943">
      <c r="A943" s="343"/>
      <c r="B943" s="289"/>
      <c r="C943" s="289"/>
      <c r="D943" s="337"/>
    </row>
    <row r="944">
      <c r="A944" s="343"/>
      <c r="B944" s="289"/>
      <c r="C944" s="289"/>
      <c r="D944" s="337"/>
    </row>
    <row r="945">
      <c r="A945" s="343"/>
      <c r="B945" s="289"/>
      <c r="C945" s="289"/>
      <c r="D945" s="337"/>
    </row>
    <row r="946">
      <c r="A946" s="343"/>
      <c r="B946" s="289"/>
      <c r="C946" s="289"/>
      <c r="D946" s="337"/>
    </row>
    <row r="947">
      <c r="A947" s="343"/>
      <c r="B947" s="289"/>
      <c r="C947" s="289"/>
      <c r="D947" s="337"/>
    </row>
    <row r="948">
      <c r="A948" s="343"/>
      <c r="B948" s="289"/>
      <c r="C948" s="289"/>
      <c r="D948" s="337"/>
    </row>
    <row r="949">
      <c r="A949" s="343"/>
      <c r="B949" s="289"/>
      <c r="C949" s="289"/>
      <c r="D949" s="337"/>
    </row>
    <row r="950">
      <c r="A950" s="343"/>
      <c r="B950" s="289"/>
      <c r="C950" s="289"/>
      <c r="D950" s="337"/>
    </row>
    <row r="951">
      <c r="A951" s="343"/>
      <c r="B951" s="289"/>
      <c r="C951" s="289"/>
      <c r="D951" s="337"/>
    </row>
    <row r="952">
      <c r="A952" s="343"/>
      <c r="B952" s="289"/>
      <c r="C952" s="289"/>
      <c r="D952" s="337"/>
    </row>
    <row r="953">
      <c r="A953" s="343"/>
      <c r="B953" s="289"/>
      <c r="C953" s="289"/>
      <c r="D953" s="337"/>
    </row>
    <row r="954">
      <c r="A954" s="343"/>
      <c r="B954" s="289"/>
      <c r="C954" s="289"/>
      <c r="D954" s="337"/>
    </row>
    <row r="955">
      <c r="A955" s="343"/>
      <c r="B955" s="289"/>
      <c r="C955" s="289"/>
      <c r="D955" s="337"/>
    </row>
    <row r="956">
      <c r="A956" s="343"/>
      <c r="B956" s="289"/>
      <c r="C956" s="289"/>
      <c r="D956" s="337"/>
    </row>
    <row r="957">
      <c r="A957" s="343"/>
      <c r="B957" s="289"/>
      <c r="C957" s="289"/>
      <c r="D957" s="337"/>
    </row>
    <row r="958">
      <c r="A958" s="343"/>
      <c r="B958" s="289"/>
      <c r="C958" s="289"/>
      <c r="D958" s="337"/>
    </row>
    <row r="959">
      <c r="A959" s="343"/>
      <c r="B959" s="289"/>
      <c r="C959" s="289"/>
      <c r="D959" s="337"/>
    </row>
    <row r="960">
      <c r="A960" s="343"/>
      <c r="B960" s="289"/>
      <c r="C960" s="289"/>
      <c r="D960" s="337"/>
    </row>
    <row r="961">
      <c r="A961" s="343"/>
      <c r="B961" s="289"/>
      <c r="C961" s="289"/>
      <c r="D961" s="337"/>
    </row>
    <row r="962">
      <c r="A962" s="343"/>
      <c r="B962" s="289"/>
      <c r="C962" s="289"/>
      <c r="D962" s="337"/>
    </row>
    <row r="963">
      <c r="A963" s="343"/>
      <c r="B963" s="289"/>
      <c r="C963" s="289"/>
      <c r="D963" s="337"/>
    </row>
    <row r="964">
      <c r="A964" s="343"/>
      <c r="B964" s="289"/>
      <c r="C964" s="289"/>
      <c r="D964" s="337"/>
    </row>
    <row r="965">
      <c r="A965" s="343"/>
      <c r="B965" s="289"/>
      <c r="C965" s="289"/>
      <c r="D965" s="337"/>
    </row>
    <row r="966">
      <c r="A966" s="343"/>
      <c r="B966" s="289"/>
      <c r="C966" s="289"/>
      <c r="D966" s="337"/>
    </row>
    <row r="967">
      <c r="A967" s="343"/>
      <c r="B967" s="289"/>
      <c r="C967" s="289"/>
      <c r="D967" s="337"/>
    </row>
    <row r="968">
      <c r="A968" s="343"/>
      <c r="B968" s="289"/>
      <c r="C968" s="289"/>
      <c r="D968" s="337"/>
    </row>
    <row r="969">
      <c r="A969" s="343"/>
      <c r="B969" s="289"/>
      <c r="C969" s="289"/>
      <c r="D969" s="337"/>
    </row>
    <row r="970">
      <c r="A970" s="343"/>
      <c r="B970" s="289"/>
      <c r="C970" s="289"/>
      <c r="D970" s="337"/>
    </row>
    <row r="971">
      <c r="A971" s="343"/>
      <c r="B971" s="289"/>
      <c r="C971" s="289"/>
      <c r="D971" s="337"/>
    </row>
    <row r="972">
      <c r="A972" s="343"/>
      <c r="B972" s="289"/>
      <c r="C972" s="289"/>
      <c r="D972" s="337"/>
    </row>
    <row r="973">
      <c r="A973" s="343"/>
      <c r="B973" s="289"/>
      <c r="C973" s="289"/>
      <c r="D973" s="337"/>
    </row>
    <row r="974">
      <c r="A974" s="343"/>
      <c r="B974" s="289"/>
      <c r="C974" s="289"/>
      <c r="D974" s="337"/>
    </row>
    <row r="975">
      <c r="A975" s="343"/>
      <c r="B975" s="289"/>
      <c r="C975" s="289"/>
      <c r="D975" s="337"/>
    </row>
    <row r="976">
      <c r="A976" s="343"/>
      <c r="B976" s="289"/>
      <c r="C976" s="289"/>
      <c r="D976" s="337"/>
    </row>
    <row r="977">
      <c r="A977" s="343"/>
      <c r="B977" s="289"/>
      <c r="C977" s="289"/>
      <c r="D977" s="337"/>
    </row>
    <row r="978">
      <c r="A978" s="343"/>
      <c r="B978" s="289"/>
      <c r="C978" s="289"/>
      <c r="D978" s="337"/>
    </row>
    <row r="979">
      <c r="A979" s="343"/>
      <c r="B979" s="289"/>
      <c r="C979" s="289"/>
      <c r="D979" s="337"/>
    </row>
    <row r="980">
      <c r="A980" s="343"/>
      <c r="B980" s="289"/>
      <c r="C980" s="289"/>
      <c r="D980" s="337"/>
    </row>
    <row r="981">
      <c r="A981" s="343"/>
      <c r="B981" s="289"/>
      <c r="C981" s="289"/>
      <c r="D981" s="337"/>
    </row>
    <row r="982">
      <c r="A982" s="343"/>
      <c r="B982" s="289"/>
      <c r="C982" s="289"/>
      <c r="D982" s="337"/>
    </row>
    <row r="983">
      <c r="A983" s="343"/>
      <c r="B983" s="289"/>
      <c r="C983" s="289"/>
      <c r="D983" s="337"/>
    </row>
    <row r="984">
      <c r="A984" s="343"/>
      <c r="B984" s="289"/>
      <c r="C984" s="289"/>
      <c r="D984" s="337"/>
    </row>
    <row r="985">
      <c r="A985" s="343"/>
      <c r="B985" s="289"/>
      <c r="C985" s="289"/>
      <c r="D985" s="337"/>
    </row>
    <row r="986">
      <c r="A986" s="343"/>
      <c r="B986" s="289"/>
      <c r="C986" s="289"/>
      <c r="D986" s="337"/>
    </row>
    <row r="987">
      <c r="A987" s="343"/>
      <c r="B987" s="289"/>
      <c r="C987" s="289"/>
      <c r="D987" s="337"/>
    </row>
    <row r="988">
      <c r="A988" s="343"/>
      <c r="B988" s="289"/>
      <c r="C988" s="289"/>
      <c r="D988" s="337"/>
    </row>
    <row r="989">
      <c r="A989" s="343"/>
      <c r="B989" s="289"/>
      <c r="C989" s="289"/>
      <c r="D989" s="337"/>
    </row>
    <row r="990">
      <c r="A990" s="343"/>
      <c r="B990" s="289"/>
      <c r="C990" s="289"/>
      <c r="D990" s="337"/>
    </row>
    <row r="991">
      <c r="A991" s="343"/>
      <c r="B991" s="289"/>
      <c r="C991" s="289"/>
      <c r="D991" s="337"/>
    </row>
    <row r="992">
      <c r="A992" s="343"/>
      <c r="B992" s="289"/>
      <c r="C992" s="289"/>
      <c r="D992" s="337"/>
    </row>
    <row r="993">
      <c r="A993" s="343"/>
      <c r="B993" s="289"/>
      <c r="C993" s="289"/>
      <c r="D993" s="337"/>
    </row>
    <row r="994">
      <c r="A994" s="343"/>
      <c r="B994" s="289"/>
      <c r="C994" s="289"/>
      <c r="D994" s="337"/>
    </row>
    <row r="995">
      <c r="A995" s="343"/>
      <c r="B995" s="289"/>
      <c r="C995" s="289"/>
      <c r="D995" s="337"/>
    </row>
    <row r="996">
      <c r="A996" s="343"/>
      <c r="B996" s="289"/>
      <c r="C996" s="289"/>
      <c r="D996" s="337"/>
    </row>
    <row r="997">
      <c r="A997" s="343"/>
      <c r="B997" s="289"/>
      <c r="C997" s="289"/>
      <c r="D997" s="337"/>
    </row>
    <row r="998">
      <c r="A998" s="343"/>
      <c r="B998" s="289"/>
      <c r="C998" s="289"/>
      <c r="D998" s="337"/>
    </row>
    <row r="999">
      <c r="A999" s="343"/>
      <c r="B999" s="289"/>
      <c r="C999" s="289"/>
      <c r="D999" s="337"/>
    </row>
    <row r="1000">
      <c r="A1000" s="343"/>
      <c r="B1000" s="289"/>
      <c r="C1000" s="289"/>
      <c r="D1000" s="337"/>
    </row>
    <row r="1001">
      <c r="A1001" s="343"/>
      <c r="B1001" s="289"/>
      <c r="C1001" s="289"/>
      <c r="D1001" s="337"/>
    </row>
    <row r="1002">
      <c r="A1002" s="343"/>
      <c r="B1002" s="289"/>
      <c r="C1002" s="289"/>
      <c r="D1002" s="337"/>
    </row>
    <row r="1003">
      <c r="A1003" s="343"/>
      <c r="B1003" s="289"/>
      <c r="C1003" s="289"/>
      <c r="D1003" s="337"/>
    </row>
    <row r="1004">
      <c r="A1004" s="343"/>
      <c r="B1004" s="289"/>
      <c r="C1004" s="289"/>
      <c r="D1004" s="337"/>
    </row>
    <row r="1005">
      <c r="A1005" s="343"/>
      <c r="B1005" s="289"/>
      <c r="C1005" s="289"/>
      <c r="D1005" s="337"/>
    </row>
    <row r="1006">
      <c r="A1006" s="343"/>
      <c r="B1006" s="289"/>
      <c r="C1006" s="289"/>
      <c r="D1006" s="337"/>
    </row>
    <row r="1007">
      <c r="A1007" s="343"/>
      <c r="B1007" s="289"/>
      <c r="C1007" s="289"/>
      <c r="D1007" s="337"/>
    </row>
    <row r="1008">
      <c r="A1008" s="343"/>
      <c r="B1008" s="289"/>
      <c r="C1008" s="289"/>
      <c r="D1008" s="337"/>
    </row>
    <row r="1009">
      <c r="A1009" s="343"/>
      <c r="B1009" s="289"/>
      <c r="C1009" s="289"/>
      <c r="D1009" s="337"/>
    </row>
    <row r="1010">
      <c r="A1010" s="343"/>
      <c r="B1010" s="289"/>
      <c r="C1010" s="289"/>
      <c r="D1010" s="337"/>
    </row>
    <row r="1011">
      <c r="A1011" s="343"/>
      <c r="B1011" s="289"/>
      <c r="C1011" s="289"/>
      <c r="D1011" s="337"/>
    </row>
    <row r="1012">
      <c r="A1012" s="343"/>
      <c r="B1012" s="289"/>
      <c r="C1012" s="289"/>
      <c r="D1012" s="337"/>
    </row>
    <row r="1013">
      <c r="A1013" s="343"/>
      <c r="B1013" s="289"/>
      <c r="C1013" s="289"/>
      <c r="D1013" s="337"/>
    </row>
    <row r="1014">
      <c r="A1014" s="343"/>
      <c r="B1014" s="289"/>
      <c r="C1014" s="289"/>
      <c r="D1014" s="337"/>
    </row>
    <row r="1015">
      <c r="A1015" s="343"/>
      <c r="B1015" s="289"/>
      <c r="C1015" s="289"/>
      <c r="D1015" s="337"/>
    </row>
    <row r="1016">
      <c r="A1016" s="343"/>
      <c r="B1016" s="289"/>
      <c r="C1016" s="289"/>
      <c r="D1016" s="337"/>
    </row>
    <row r="1017">
      <c r="A1017" s="343"/>
      <c r="B1017" s="289"/>
      <c r="C1017" s="289"/>
      <c r="D1017" s="337"/>
    </row>
    <row r="1018">
      <c r="A1018" s="343"/>
      <c r="B1018" s="289"/>
      <c r="C1018" s="289"/>
      <c r="D1018" s="337"/>
    </row>
    <row r="1019">
      <c r="A1019" s="343"/>
      <c r="B1019" s="289"/>
      <c r="C1019" s="289"/>
      <c r="D1019" s="337"/>
    </row>
    <row r="1020">
      <c r="A1020" s="343"/>
      <c r="B1020" s="289"/>
      <c r="C1020" s="289"/>
      <c r="D1020" s="337"/>
    </row>
    <row r="1021">
      <c r="A1021" s="343"/>
      <c r="B1021" s="289"/>
      <c r="C1021" s="289"/>
      <c r="D1021" s="337"/>
    </row>
    <row r="1022">
      <c r="A1022" s="343"/>
      <c r="B1022" s="289"/>
      <c r="C1022" s="289"/>
      <c r="D1022" s="337"/>
    </row>
    <row r="1023">
      <c r="A1023" s="343"/>
      <c r="B1023" s="289"/>
      <c r="C1023" s="289"/>
      <c r="D1023" s="337"/>
    </row>
    <row r="1024">
      <c r="A1024" s="343"/>
      <c r="B1024" s="289"/>
      <c r="C1024" s="289"/>
      <c r="D1024" s="337"/>
    </row>
    <row r="1025">
      <c r="A1025" s="343"/>
      <c r="B1025" s="289"/>
      <c r="C1025" s="289"/>
      <c r="D1025" s="337"/>
    </row>
    <row r="1026">
      <c r="A1026" s="343"/>
      <c r="B1026" s="289"/>
      <c r="C1026" s="289"/>
      <c r="D1026" s="337"/>
    </row>
    <row r="1027">
      <c r="A1027" s="343"/>
      <c r="B1027" s="289"/>
      <c r="C1027" s="289"/>
      <c r="D1027" s="337"/>
    </row>
    <row r="1028">
      <c r="A1028" s="343"/>
      <c r="B1028" s="289"/>
      <c r="C1028" s="289"/>
      <c r="D1028" s="337"/>
    </row>
    <row r="1029">
      <c r="A1029" s="343"/>
      <c r="B1029" s="289"/>
      <c r="C1029" s="289"/>
      <c r="D1029" s="337"/>
    </row>
    <row r="1030">
      <c r="A1030" s="343"/>
      <c r="B1030" s="289"/>
      <c r="C1030" s="289"/>
      <c r="D1030" s="337"/>
    </row>
    <row r="1031">
      <c r="A1031" s="343"/>
      <c r="B1031" s="289"/>
      <c r="C1031" s="289"/>
      <c r="D1031" s="337"/>
    </row>
    <row r="1032">
      <c r="A1032" s="343"/>
      <c r="B1032" s="289"/>
      <c r="C1032" s="289"/>
      <c r="D1032" s="337"/>
    </row>
    <row r="1033">
      <c r="A1033" s="343"/>
      <c r="B1033" s="289"/>
      <c r="C1033" s="289"/>
      <c r="D1033" s="337"/>
    </row>
    <row r="1034">
      <c r="A1034" s="343"/>
      <c r="B1034" s="289"/>
      <c r="C1034" s="289"/>
      <c r="D1034" s="337"/>
    </row>
    <row r="1035">
      <c r="A1035" s="343"/>
      <c r="B1035" s="289"/>
      <c r="C1035" s="289"/>
      <c r="D1035" s="337"/>
    </row>
    <row r="1036">
      <c r="A1036" s="343"/>
      <c r="B1036" s="289"/>
      <c r="C1036" s="289"/>
      <c r="D1036" s="337"/>
    </row>
    <row r="1037">
      <c r="A1037" s="343"/>
      <c r="B1037" s="289"/>
      <c r="C1037" s="289"/>
      <c r="D1037" s="337"/>
    </row>
    <row r="1038">
      <c r="A1038" s="343"/>
      <c r="B1038" s="289"/>
      <c r="C1038" s="289"/>
      <c r="D1038" s="337"/>
    </row>
    <row r="1039">
      <c r="A1039" s="343"/>
      <c r="B1039" s="289"/>
      <c r="C1039" s="289"/>
      <c r="D1039" s="337"/>
    </row>
    <row r="1040">
      <c r="A1040" s="343"/>
      <c r="B1040" s="289"/>
      <c r="C1040" s="289"/>
      <c r="D1040" s="337"/>
    </row>
    <row r="1041">
      <c r="A1041" s="343"/>
      <c r="B1041" s="289"/>
      <c r="C1041" s="289"/>
      <c r="D1041" s="337"/>
    </row>
    <row r="1042">
      <c r="A1042" s="343"/>
      <c r="B1042" s="289"/>
      <c r="C1042" s="289"/>
      <c r="D1042" s="337"/>
    </row>
    <row r="1043">
      <c r="A1043" s="343"/>
      <c r="B1043" s="289"/>
      <c r="C1043" s="289"/>
      <c r="D1043" s="337"/>
    </row>
    <row r="1044">
      <c r="A1044" s="343"/>
      <c r="B1044" s="289"/>
      <c r="C1044" s="289"/>
      <c r="D1044" s="337"/>
    </row>
    <row r="1045">
      <c r="A1045" s="343"/>
      <c r="B1045" s="289"/>
      <c r="C1045" s="289"/>
      <c r="D1045" s="337"/>
    </row>
    <row r="1046">
      <c r="A1046" s="343"/>
      <c r="B1046" s="289"/>
      <c r="C1046" s="289"/>
      <c r="D1046" s="337"/>
    </row>
    <row r="1047">
      <c r="A1047" s="343"/>
      <c r="B1047" s="289"/>
      <c r="C1047" s="289"/>
      <c r="D1047" s="337"/>
    </row>
    <row r="1048">
      <c r="A1048" s="343"/>
      <c r="B1048" s="289"/>
      <c r="C1048" s="289"/>
      <c r="D1048" s="337"/>
    </row>
    <row r="1049">
      <c r="A1049" s="343"/>
      <c r="B1049" s="289"/>
      <c r="C1049" s="289"/>
      <c r="D1049" s="337"/>
    </row>
    <row r="1050">
      <c r="A1050" s="343"/>
      <c r="B1050" s="289"/>
      <c r="C1050" s="289"/>
      <c r="D1050" s="337"/>
    </row>
    <row r="1051">
      <c r="A1051" s="343"/>
      <c r="B1051" s="289"/>
      <c r="C1051" s="289"/>
      <c r="D1051" s="337"/>
    </row>
    <row r="1052">
      <c r="A1052" s="343"/>
      <c r="B1052" s="289"/>
      <c r="C1052" s="289"/>
      <c r="D1052" s="337"/>
    </row>
    <row r="1053">
      <c r="A1053" s="343"/>
      <c r="B1053" s="289"/>
      <c r="C1053" s="289"/>
      <c r="D1053" s="337"/>
    </row>
    <row r="1054">
      <c r="A1054" s="343"/>
      <c r="B1054" s="289"/>
      <c r="C1054" s="289"/>
      <c r="D1054" s="337"/>
    </row>
    <row r="1055">
      <c r="A1055" s="343"/>
      <c r="B1055" s="289"/>
      <c r="C1055" s="289"/>
      <c r="D1055" s="337"/>
    </row>
    <row r="1056">
      <c r="A1056" s="343"/>
      <c r="B1056" s="289"/>
      <c r="C1056" s="289"/>
      <c r="D1056" s="337"/>
    </row>
    <row r="1057">
      <c r="A1057" s="343"/>
      <c r="B1057" s="289"/>
      <c r="C1057" s="289"/>
      <c r="D1057" s="337"/>
    </row>
    <row r="1058">
      <c r="A1058" s="343"/>
      <c r="B1058" s="289"/>
      <c r="C1058" s="289"/>
      <c r="D1058" s="337"/>
    </row>
    <row r="1059">
      <c r="A1059" s="343"/>
      <c r="B1059" s="289"/>
      <c r="C1059" s="289"/>
      <c r="D1059" s="337"/>
    </row>
    <row r="1060">
      <c r="A1060" s="343"/>
      <c r="B1060" s="289"/>
      <c r="C1060" s="289"/>
      <c r="D1060" s="337"/>
    </row>
    <row r="1061">
      <c r="A1061" s="343"/>
      <c r="B1061" s="289"/>
      <c r="C1061" s="289"/>
      <c r="D1061" s="337"/>
    </row>
    <row r="1062">
      <c r="A1062" s="343"/>
      <c r="B1062" s="289"/>
      <c r="C1062" s="289"/>
      <c r="D1062" s="337"/>
    </row>
    <row r="1063">
      <c r="A1063" s="343"/>
      <c r="B1063" s="289"/>
      <c r="C1063" s="289"/>
      <c r="D1063" s="337"/>
    </row>
    <row r="1064">
      <c r="A1064" s="343"/>
      <c r="B1064" s="289"/>
      <c r="C1064" s="289"/>
      <c r="D1064" s="337"/>
    </row>
    <row r="1065">
      <c r="A1065" s="343"/>
      <c r="B1065" s="289"/>
      <c r="C1065" s="289"/>
      <c r="D1065" s="337"/>
    </row>
    <row r="1066">
      <c r="A1066" s="343"/>
      <c r="B1066" s="289"/>
      <c r="C1066" s="289"/>
      <c r="D1066" s="337"/>
    </row>
    <row r="1067">
      <c r="A1067" s="343"/>
      <c r="B1067" s="289"/>
      <c r="C1067" s="289"/>
      <c r="D1067" s="337"/>
    </row>
    <row r="1068">
      <c r="A1068" s="343"/>
      <c r="B1068" s="289"/>
      <c r="C1068" s="289"/>
      <c r="D1068" s="337"/>
    </row>
    <row r="1069">
      <c r="A1069" s="343"/>
      <c r="B1069" s="289"/>
      <c r="C1069" s="289"/>
      <c r="D1069" s="337"/>
    </row>
    <row r="1070">
      <c r="A1070" s="343"/>
      <c r="B1070" s="289"/>
      <c r="C1070" s="289"/>
      <c r="D1070" s="337"/>
    </row>
    <row r="1071">
      <c r="A1071" s="343"/>
      <c r="B1071" s="289"/>
      <c r="C1071" s="289"/>
      <c r="D1071" s="337"/>
    </row>
    <row r="1072">
      <c r="A1072" s="343"/>
      <c r="B1072" s="289"/>
      <c r="C1072" s="289"/>
      <c r="D1072" s="337"/>
    </row>
    <row r="1073">
      <c r="A1073" s="343"/>
      <c r="B1073" s="289"/>
      <c r="C1073" s="289"/>
      <c r="D1073" s="337"/>
    </row>
    <row r="1074">
      <c r="A1074" s="343"/>
      <c r="B1074" s="289"/>
      <c r="C1074" s="289"/>
      <c r="D1074" s="337"/>
    </row>
    <row r="1075">
      <c r="A1075" s="343"/>
      <c r="B1075" s="289"/>
      <c r="C1075" s="289"/>
      <c r="D1075" s="337"/>
    </row>
    <row r="1076">
      <c r="A1076" s="343"/>
      <c r="B1076" s="289"/>
      <c r="C1076" s="289"/>
      <c r="D1076" s="337"/>
    </row>
    <row r="1077">
      <c r="A1077" s="343"/>
      <c r="B1077" s="289"/>
      <c r="C1077" s="289"/>
      <c r="D1077" s="337"/>
    </row>
    <row r="1078">
      <c r="A1078" s="343"/>
      <c r="B1078" s="289"/>
      <c r="C1078" s="289"/>
      <c r="D1078" s="337"/>
    </row>
    <row r="1079">
      <c r="A1079" s="343"/>
      <c r="B1079" s="289"/>
      <c r="C1079" s="289"/>
      <c r="D1079" s="337"/>
    </row>
    <row r="1080">
      <c r="A1080" s="343"/>
      <c r="B1080" s="289"/>
      <c r="C1080" s="289"/>
      <c r="D1080" s="337"/>
    </row>
    <row r="1081">
      <c r="A1081" s="343"/>
      <c r="B1081" s="289"/>
      <c r="C1081" s="289"/>
      <c r="D1081" s="337"/>
    </row>
    <row r="1082">
      <c r="A1082" s="343"/>
      <c r="B1082" s="289"/>
      <c r="C1082" s="289"/>
      <c r="D1082" s="337"/>
    </row>
    <row r="1083">
      <c r="A1083" s="343"/>
      <c r="B1083" s="289"/>
      <c r="C1083" s="289"/>
      <c r="D1083" s="337"/>
    </row>
    <row r="1084">
      <c r="A1084" s="343"/>
      <c r="B1084" s="289"/>
      <c r="C1084" s="289"/>
      <c r="D1084" s="337"/>
    </row>
    <row r="1085">
      <c r="A1085" s="343"/>
      <c r="B1085" s="289"/>
      <c r="C1085" s="289"/>
      <c r="D1085" s="337"/>
    </row>
    <row r="1086">
      <c r="A1086" s="343"/>
      <c r="B1086" s="289"/>
      <c r="C1086" s="289"/>
      <c r="D1086" s="337"/>
    </row>
    <row r="1087">
      <c r="A1087" s="343"/>
      <c r="B1087" s="289"/>
      <c r="C1087" s="289"/>
      <c r="D1087" s="337"/>
    </row>
    <row r="1088">
      <c r="A1088" s="343"/>
      <c r="B1088" s="289"/>
      <c r="C1088" s="289"/>
      <c r="D1088" s="337"/>
    </row>
    <row r="1089">
      <c r="A1089" s="343"/>
      <c r="B1089" s="289"/>
      <c r="C1089" s="289"/>
      <c r="D1089" s="337"/>
    </row>
    <row r="1090">
      <c r="A1090" s="343"/>
      <c r="B1090" s="289"/>
      <c r="C1090" s="289"/>
      <c r="D1090" s="337"/>
    </row>
    <row r="1091">
      <c r="A1091" s="343"/>
      <c r="B1091" s="289"/>
      <c r="C1091" s="289"/>
      <c r="D1091" s="337"/>
    </row>
    <row r="1092">
      <c r="A1092" s="343"/>
      <c r="B1092" s="289"/>
      <c r="C1092" s="289"/>
      <c r="D1092" s="337"/>
    </row>
    <row r="1093">
      <c r="A1093" s="343"/>
      <c r="B1093" s="289"/>
      <c r="C1093" s="289"/>
      <c r="D1093" s="337"/>
    </row>
    <row r="1094">
      <c r="A1094" s="343"/>
      <c r="B1094" s="289"/>
      <c r="C1094" s="289"/>
      <c r="D1094" s="337"/>
    </row>
    <row r="1095">
      <c r="A1095" s="343"/>
      <c r="B1095" s="289"/>
      <c r="C1095" s="289"/>
      <c r="D1095" s="337"/>
    </row>
    <row r="1096">
      <c r="A1096" s="343"/>
      <c r="B1096" s="289"/>
      <c r="C1096" s="289"/>
      <c r="D1096" s="337"/>
    </row>
    <row r="1097">
      <c r="A1097" s="343"/>
      <c r="B1097" s="289"/>
      <c r="C1097" s="289"/>
      <c r="D1097" s="337"/>
    </row>
    <row r="1098">
      <c r="A1098" s="343"/>
      <c r="B1098" s="289"/>
      <c r="C1098" s="289"/>
      <c r="D1098" s="337"/>
    </row>
    <row r="1099">
      <c r="A1099" s="343"/>
      <c r="B1099" s="289"/>
      <c r="C1099" s="289"/>
      <c r="D1099" s="337"/>
    </row>
    <row r="1100">
      <c r="A1100" s="343"/>
      <c r="B1100" s="289"/>
      <c r="C1100" s="289"/>
      <c r="D1100" s="337"/>
    </row>
    <row r="1101">
      <c r="A1101" s="343"/>
      <c r="B1101" s="289"/>
      <c r="C1101" s="289"/>
      <c r="D1101" s="337"/>
    </row>
    <row r="1102">
      <c r="A1102" s="343"/>
      <c r="B1102" s="289"/>
      <c r="C1102" s="289"/>
      <c r="D1102" s="337"/>
    </row>
    <row r="1103">
      <c r="A1103" s="343"/>
      <c r="B1103" s="289"/>
      <c r="C1103" s="289"/>
      <c r="D1103" s="337"/>
    </row>
    <row r="1104">
      <c r="A1104" s="343"/>
      <c r="B1104" s="289"/>
      <c r="C1104" s="289"/>
      <c r="D1104" s="337"/>
    </row>
    <row r="1105">
      <c r="A1105" s="343"/>
      <c r="B1105" s="289"/>
      <c r="C1105" s="289"/>
      <c r="D1105" s="337"/>
    </row>
    <row r="1106">
      <c r="A1106" s="343"/>
      <c r="B1106" s="289"/>
      <c r="C1106" s="289"/>
      <c r="D1106" s="337"/>
    </row>
    <row r="1107">
      <c r="A1107" s="343"/>
      <c r="B1107" s="289"/>
      <c r="C1107" s="289"/>
      <c r="D1107" s="337"/>
    </row>
    <row r="1108">
      <c r="A1108" s="343"/>
      <c r="B1108" s="289"/>
      <c r="C1108" s="289"/>
      <c r="D1108" s="337"/>
    </row>
    <row r="1109">
      <c r="A1109" s="343"/>
      <c r="B1109" s="289"/>
      <c r="C1109" s="289"/>
      <c r="D1109" s="337"/>
    </row>
    <row r="1110">
      <c r="A1110" s="343"/>
      <c r="B1110" s="289"/>
      <c r="C1110" s="289"/>
      <c r="D1110" s="337"/>
    </row>
    <row r="1111">
      <c r="A1111" s="343"/>
      <c r="B1111" s="289"/>
      <c r="C1111" s="289"/>
      <c r="D1111" s="337"/>
    </row>
    <row r="1112">
      <c r="A1112" s="343"/>
      <c r="B1112" s="289"/>
      <c r="C1112" s="289"/>
      <c r="D1112" s="337"/>
    </row>
    <row r="1113">
      <c r="A1113" s="343"/>
      <c r="B1113" s="289"/>
      <c r="C1113" s="289"/>
      <c r="D1113" s="337"/>
    </row>
    <row r="1114">
      <c r="A1114" s="343"/>
      <c r="B1114" s="289"/>
      <c r="C1114" s="289"/>
      <c r="D1114" s="337"/>
    </row>
    <row r="1115">
      <c r="A1115" s="343"/>
      <c r="B1115" s="289"/>
      <c r="C1115" s="289"/>
      <c r="D1115" s="337"/>
    </row>
    <row r="1116">
      <c r="A1116" s="343"/>
      <c r="B1116" s="289"/>
      <c r="C1116" s="289"/>
      <c r="D1116" s="337"/>
    </row>
    <row r="1117">
      <c r="A1117" s="343"/>
      <c r="B1117" s="289"/>
      <c r="C1117" s="289"/>
      <c r="D1117" s="337"/>
    </row>
    <row r="1118">
      <c r="A1118" s="343"/>
      <c r="B1118" s="289"/>
      <c r="C1118" s="289"/>
      <c r="D1118" s="337"/>
    </row>
    <row r="1119">
      <c r="A1119" s="343"/>
      <c r="B1119" s="289"/>
      <c r="C1119" s="289"/>
      <c r="D1119" s="337"/>
    </row>
    <row r="1120">
      <c r="A1120" s="343"/>
      <c r="B1120" s="289"/>
      <c r="C1120" s="289"/>
      <c r="D1120" s="337"/>
    </row>
    <row r="1121">
      <c r="A1121" s="343"/>
      <c r="B1121" s="289"/>
      <c r="C1121" s="289"/>
      <c r="D1121" s="337"/>
    </row>
    <row r="1122">
      <c r="A1122" s="343"/>
      <c r="B1122" s="289"/>
      <c r="C1122" s="289"/>
      <c r="D1122" s="337"/>
    </row>
    <row r="1123">
      <c r="A1123" s="343"/>
      <c r="B1123" s="289"/>
      <c r="C1123" s="289"/>
      <c r="D1123" s="337"/>
    </row>
    <row r="1124">
      <c r="A1124" s="343"/>
      <c r="B1124" s="289"/>
      <c r="C1124" s="289"/>
      <c r="D1124" s="337"/>
    </row>
    <row r="1125">
      <c r="A1125" s="343"/>
      <c r="B1125" s="289"/>
      <c r="C1125" s="289"/>
      <c r="D1125" s="337"/>
    </row>
    <row r="1126">
      <c r="A1126" s="343"/>
      <c r="B1126" s="289"/>
      <c r="C1126" s="289"/>
      <c r="D1126" s="337"/>
    </row>
    <row r="1127">
      <c r="A1127" s="343"/>
      <c r="B1127" s="289"/>
      <c r="C1127" s="289"/>
      <c r="D1127" s="337"/>
    </row>
    <row r="1128">
      <c r="A1128" s="343"/>
      <c r="B1128" s="289"/>
      <c r="C1128" s="289"/>
      <c r="D1128" s="337"/>
    </row>
    <row r="1129">
      <c r="A1129" s="343"/>
      <c r="B1129" s="289"/>
      <c r="C1129" s="289"/>
      <c r="D1129" s="337"/>
    </row>
    <row r="1130">
      <c r="A1130" s="343"/>
      <c r="B1130" s="289"/>
      <c r="C1130" s="289"/>
      <c r="D1130" s="337"/>
    </row>
    <row r="1131">
      <c r="A1131" s="343"/>
      <c r="B1131" s="289"/>
      <c r="C1131" s="289"/>
      <c r="D1131" s="337"/>
    </row>
    <row r="1132">
      <c r="A1132" s="343"/>
      <c r="B1132" s="289"/>
      <c r="C1132" s="289"/>
      <c r="D1132" s="337"/>
    </row>
    <row r="1133">
      <c r="A1133" s="343"/>
      <c r="B1133" s="289"/>
      <c r="C1133" s="289"/>
      <c r="D1133" s="337"/>
    </row>
    <row r="1134">
      <c r="A1134" s="343"/>
      <c r="B1134" s="289"/>
      <c r="C1134" s="289"/>
      <c r="D1134" s="337"/>
    </row>
    <row r="1135">
      <c r="A1135" s="343"/>
      <c r="B1135" s="289"/>
      <c r="C1135" s="289"/>
      <c r="D1135" s="337"/>
    </row>
    <row r="1136">
      <c r="A1136" s="343"/>
      <c r="B1136" s="289"/>
      <c r="C1136" s="289"/>
      <c r="D1136" s="337"/>
    </row>
    <row r="1137">
      <c r="A1137" s="343"/>
      <c r="B1137" s="289"/>
      <c r="C1137" s="289"/>
      <c r="D1137" s="337"/>
    </row>
    <row r="1138">
      <c r="A1138" s="343"/>
      <c r="B1138" s="289"/>
      <c r="C1138" s="289"/>
      <c r="D1138" s="337"/>
    </row>
    <row r="1139">
      <c r="A1139" s="343"/>
      <c r="B1139" s="289"/>
      <c r="C1139" s="289"/>
      <c r="D1139" s="337"/>
    </row>
    <row r="1140">
      <c r="A1140" s="343"/>
      <c r="B1140" s="289"/>
      <c r="C1140" s="289"/>
      <c r="D1140" s="337"/>
    </row>
    <row r="1141">
      <c r="A1141" s="343"/>
      <c r="B1141" s="289"/>
      <c r="C1141" s="289"/>
      <c r="D1141" s="337"/>
    </row>
    <row r="1142">
      <c r="A1142" s="343"/>
      <c r="B1142" s="289"/>
      <c r="C1142" s="289"/>
      <c r="D1142" s="337"/>
    </row>
    <row r="1143">
      <c r="A1143" s="343"/>
      <c r="B1143" s="289"/>
      <c r="C1143" s="289"/>
      <c r="D1143" s="337"/>
    </row>
    <row r="1144">
      <c r="A1144" s="343"/>
      <c r="B1144" s="289"/>
      <c r="C1144" s="289"/>
      <c r="D1144" s="337"/>
    </row>
    <row r="1145">
      <c r="A1145" s="343"/>
      <c r="B1145" s="289"/>
      <c r="C1145" s="289"/>
      <c r="D1145" s="337"/>
    </row>
    <row r="1146">
      <c r="A1146" s="343"/>
      <c r="B1146" s="289"/>
      <c r="C1146" s="289"/>
      <c r="D1146" s="337"/>
    </row>
    <row r="1147">
      <c r="A1147" s="343"/>
      <c r="B1147" s="289"/>
      <c r="C1147" s="289"/>
      <c r="D1147" s="337"/>
    </row>
    <row r="1148">
      <c r="A1148" s="343"/>
      <c r="B1148" s="289"/>
      <c r="C1148" s="289"/>
      <c r="D1148" s="337"/>
    </row>
    <row r="1149">
      <c r="A1149" s="343"/>
      <c r="B1149" s="289"/>
      <c r="C1149" s="289"/>
      <c r="D1149" s="337"/>
    </row>
    <row r="1150">
      <c r="A1150" s="343"/>
      <c r="B1150" s="289"/>
      <c r="C1150" s="289"/>
      <c r="D1150" s="337"/>
    </row>
    <row r="1151">
      <c r="A1151" s="343"/>
      <c r="B1151" s="289"/>
      <c r="C1151" s="289"/>
      <c r="D1151" s="337"/>
    </row>
    <row r="1152">
      <c r="A1152" s="343"/>
      <c r="B1152" s="289"/>
      <c r="C1152" s="289"/>
      <c r="D1152" s="337"/>
    </row>
    <row r="1153">
      <c r="A1153" s="343"/>
      <c r="B1153" s="289"/>
      <c r="C1153" s="289"/>
      <c r="D1153" s="337"/>
    </row>
    <row r="1154">
      <c r="A1154" s="343"/>
      <c r="B1154" s="289"/>
      <c r="C1154" s="289"/>
      <c r="D1154" s="337"/>
    </row>
    <row r="1155">
      <c r="A1155" s="343"/>
      <c r="B1155" s="289"/>
      <c r="C1155" s="289"/>
      <c r="D1155" s="337"/>
    </row>
    <row r="1156">
      <c r="A1156" s="343"/>
      <c r="B1156" s="289"/>
      <c r="C1156" s="289"/>
      <c r="D1156" s="337"/>
    </row>
    <row r="1157">
      <c r="A1157" s="343"/>
      <c r="B1157" s="289"/>
      <c r="C1157" s="289"/>
      <c r="D1157" s="337"/>
    </row>
    <row r="1158">
      <c r="A1158" s="343"/>
      <c r="B1158" s="289"/>
      <c r="C1158" s="289"/>
      <c r="D1158" s="337"/>
    </row>
    <row r="1159">
      <c r="A1159" s="343"/>
      <c r="B1159" s="289"/>
      <c r="C1159" s="289"/>
      <c r="D1159" s="337"/>
    </row>
    <row r="1160">
      <c r="A1160" s="343"/>
      <c r="B1160" s="289"/>
      <c r="C1160" s="289"/>
      <c r="D1160" s="337"/>
    </row>
    <row r="1161">
      <c r="A1161" s="343"/>
      <c r="B1161" s="289"/>
      <c r="C1161" s="289"/>
      <c r="D1161" s="337"/>
    </row>
    <row r="1162">
      <c r="A1162" s="343"/>
      <c r="B1162" s="289"/>
      <c r="C1162" s="289"/>
      <c r="D1162" s="337"/>
    </row>
    <row r="1163">
      <c r="A1163" s="343"/>
      <c r="B1163" s="289"/>
      <c r="C1163" s="289"/>
      <c r="D1163" s="337"/>
    </row>
    <row r="1164">
      <c r="A1164" s="343"/>
      <c r="B1164" s="289"/>
      <c r="C1164" s="289"/>
      <c r="D1164" s="337"/>
    </row>
    <row r="1165">
      <c r="A1165" s="343"/>
      <c r="B1165" s="289"/>
      <c r="C1165" s="289"/>
      <c r="D1165" s="337"/>
    </row>
    <row r="1166">
      <c r="A1166" s="343"/>
      <c r="B1166" s="289"/>
      <c r="C1166" s="289"/>
      <c r="D1166" s="337"/>
    </row>
    <row r="1167">
      <c r="A1167" s="343"/>
      <c r="B1167" s="289"/>
      <c r="C1167" s="289"/>
      <c r="D1167" s="337"/>
    </row>
    <row r="1168">
      <c r="A1168" s="343"/>
      <c r="B1168" s="289"/>
      <c r="C1168" s="289"/>
      <c r="D1168" s="337"/>
    </row>
    <row r="1169">
      <c r="A1169" s="343"/>
      <c r="B1169" s="289"/>
      <c r="C1169" s="289"/>
      <c r="D1169" s="337"/>
    </row>
    <row r="1170">
      <c r="A1170" s="343"/>
      <c r="B1170" s="289"/>
      <c r="C1170" s="289"/>
      <c r="D1170" s="337"/>
    </row>
    <row r="1171">
      <c r="A1171" s="343"/>
      <c r="B1171" s="289"/>
      <c r="C1171" s="289"/>
      <c r="D1171" s="337"/>
    </row>
    <row r="1172">
      <c r="A1172" s="343"/>
      <c r="B1172" s="289"/>
      <c r="C1172" s="289"/>
      <c r="D1172" s="337"/>
    </row>
    <row r="1173">
      <c r="A1173" s="343"/>
      <c r="B1173" s="289"/>
      <c r="C1173" s="289"/>
      <c r="D1173" s="337"/>
    </row>
    <row r="1174">
      <c r="A1174" s="343"/>
      <c r="B1174" s="289"/>
      <c r="C1174" s="289"/>
      <c r="D1174" s="337"/>
    </row>
    <row r="1175">
      <c r="A1175" s="343"/>
      <c r="B1175" s="289"/>
      <c r="C1175" s="289"/>
      <c r="D1175" s="337"/>
    </row>
    <row r="1176">
      <c r="A1176" s="343"/>
      <c r="B1176" s="289"/>
      <c r="C1176" s="289"/>
      <c r="D1176" s="337"/>
    </row>
    <row r="1177">
      <c r="A1177" s="343"/>
      <c r="B1177" s="289"/>
      <c r="C1177" s="289"/>
      <c r="D1177" s="337"/>
    </row>
    <row r="1178">
      <c r="A1178" s="343"/>
      <c r="B1178" s="289"/>
      <c r="C1178" s="289"/>
      <c r="D1178" s="337"/>
    </row>
    <row r="1179">
      <c r="A1179" s="343"/>
      <c r="B1179" s="289"/>
      <c r="C1179" s="289"/>
      <c r="D1179" s="337"/>
    </row>
    <row r="1180">
      <c r="A1180" s="343"/>
      <c r="B1180" s="289"/>
      <c r="C1180" s="289"/>
      <c r="D1180" s="337"/>
    </row>
    <row r="1181">
      <c r="A1181" s="343"/>
      <c r="B1181" s="289"/>
      <c r="C1181" s="289"/>
      <c r="D1181" s="337"/>
    </row>
    <row r="1182">
      <c r="A1182" s="343"/>
      <c r="B1182" s="289"/>
      <c r="C1182" s="289"/>
      <c r="D1182" s="337"/>
    </row>
    <row r="1183">
      <c r="A1183" s="343"/>
      <c r="B1183" s="289"/>
      <c r="C1183" s="289"/>
      <c r="D1183" s="337"/>
    </row>
    <row r="1184">
      <c r="A1184" s="343"/>
      <c r="B1184" s="289"/>
      <c r="C1184" s="289"/>
      <c r="D1184" s="337"/>
    </row>
    <row r="1185">
      <c r="A1185" s="343"/>
      <c r="B1185" s="289"/>
      <c r="C1185" s="289"/>
      <c r="D1185" s="337"/>
    </row>
    <row r="1186">
      <c r="A1186" s="343"/>
      <c r="B1186" s="289"/>
      <c r="C1186" s="289"/>
      <c r="D1186" s="337"/>
    </row>
    <row r="1187">
      <c r="A1187" s="343"/>
      <c r="B1187" s="289"/>
      <c r="C1187" s="289"/>
      <c r="D1187" s="337"/>
    </row>
    <row r="1188">
      <c r="A1188" s="343"/>
      <c r="B1188" s="289"/>
      <c r="C1188" s="289"/>
      <c r="D1188" s="337"/>
    </row>
    <row r="1189">
      <c r="A1189" s="343"/>
      <c r="B1189" s="289"/>
      <c r="C1189" s="289"/>
      <c r="D1189" s="337"/>
    </row>
    <row r="1190">
      <c r="A1190" s="343"/>
      <c r="B1190" s="289"/>
      <c r="C1190" s="289"/>
      <c r="D1190" s="337"/>
    </row>
    <row r="1191">
      <c r="A1191" s="343"/>
      <c r="B1191" s="289"/>
      <c r="C1191" s="289"/>
      <c r="D1191" s="337"/>
    </row>
    <row r="1192">
      <c r="A1192" s="343"/>
      <c r="B1192" s="289"/>
      <c r="C1192" s="289"/>
      <c r="D1192" s="337"/>
    </row>
    <row r="1193">
      <c r="A1193" s="343"/>
      <c r="B1193" s="289"/>
      <c r="C1193" s="289"/>
      <c r="D1193" s="337"/>
    </row>
    <row r="1194">
      <c r="A1194" s="343"/>
      <c r="B1194" s="289"/>
      <c r="C1194" s="289"/>
      <c r="D1194" s="337"/>
    </row>
    <row r="1195">
      <c r="A1195" s="343"/>
      <c r="B1195" s="289"/>
      <c r="C1195" s="289"/>
      <c r="D1195" s="337"/>
    </row>
    <row r="1196">
      <c r="A1196" s="343"/>
      <c r="B1196" s="289"/>
      <c r="C1196" s="289"/>
      <c r="D1196" s="337"/>
    </row>
    <row r="1197">
      <c r="A1197" s="343"/>
      <c r="B1197" s="289"/>
      <c r="C1197" s="289"/>
      <c r="D1197" s="337"/>
    </row>
    <row r="1198">
      <c r="A1198" s="343"/>
      <c r="B1198" s="289"/>
      <c r="C1198" s="289"/>
      <c r="D1198" s="337"/>
    </row>
    <row r="1199">
      <c r="A1199" s="343"/>
      <c r="B1199" s="289"/>
      <c r="C1199" s="289"/>
      <c r="D1199" s="337"/>
    </row>
    <row r="1200">
      <c r="A1200" s="343"/>
      <c r="B1200" s="289"/>
      <c r="C1200" s="289"/>
      <c r="D1200" s="337"/>
    </row>
    <row r="1201">
      <c r="A1201" s="343"/>
      <c r="B1201" s="289"/>
      <c r="C1201" s="289"/>
      <c r="D1201" s="337"/>
    </row>
    <row r="1202">
      <c r="A1202" s="343"/>
      <c r="B1202" s="289"/>
      <c r="C1202" s="289"/>
      <c r="D1202" s="337"/>
    </row>
    <row r="1203">
      <c r="A1203" s="343"/>
      <c r="B1203" s="289"/>
      <c r="C1203" s="289"/>
      <c r="D1203" s="337"/>
    </row>
    <row r="1204">
      <c r="A1204" s="343"/>
      <c r="B1204" s="289"/>
      <c r="C1204" s="289"/>
      <c r="D1204" s="337"/>
    </row>
    <row r="1205">
      <c r="A1205" s="343"/>
      <c r="B1205" s="289"/>
      <c r="C1205" s="289"/>
      <c r="D1205" s="337"/>
    </row>
    <row r="1206">
      <c r="A1206" s="343"/>
      <c r="B1206" s="289"/>
      <c r="C1206" s="289"/>
      <c r="D1206" s="337"/>
    </row>
    <row r="1207">
      <c r="A1207" s="343"/>
      <c r="B1207" s="289"/>
      <c r="C1207" s="289"/>
      <c r="D1207" s="337"/>
    </row>
    <row r="1208">
      <c r="A1208" s="343"/>
      <c r="B1208" s="289"/>
      <c r="C1208" s="289"/>
      <c r="D1208" s="337"/>
    </row>
    <row r="1209">
      <c r="A1209" s="343"/>
      <c r="B1209" s="289"/>
      <c r="C1209" s="289"/>
      <c r="D1209" s="337"/>
    </row>
    <row r="1210">
      <c r="A1210" s="343"/>
      <c r="B1210" s="289"/>
      <c r="C1210" s="289"/>
      <c r="D1210" s="337"/>
    </row>
    <row r="1211">
      <c r="A1211" s="343"/>
      <c r="B1211" s="289"/>
      <c r="C1211" s="289"/>
      <c r="D1211" s="337"/>
    </row>
    <row r="1212">
      <c r="A1212" s="343"/>
      <c r="B1212" s="289"/>
      <c r="C1212" s="289"/>
      <c r="D1212" s="337"/>
    </row>
    <row r="1213">
      <c r="A1213" s="343"/>
      <c r="B1213" s="289"/>
      <c r="C1213" s="289"/>
      <c r="D1213" s="337"/>
    </row>
    <row r="1214">
      <c r="A1214" s="343"/>
      <c r="B1214" s="289"/>
      <c r="C1214" s="289"/>
      <c r="D1214" s="337"/>
    </row>
    <row r="1215">
      <c r="A1215" s="343"/>
      <c r="B1215" s="289"/>
      <c r="C1215" s="289"/>
      <c r="D1215" s="337"/>
    </row>
    <row r="1216">
      <c r="A1216" s="343"/>
      <c r="B1216" s="289"/>
      <c r="C1216" s="289"/>
      <c r="D1216" s="337"/>
    </row>
    <row r="1217">
      <c r="A1217" s="343"/>
      <c r="B1217" s="289"/>
      <c r="C1217" s="289"/>
      <c r="D1217" s="337"/>
    </row>
    <row r="1218">
      <c r="A1218" s="343"/>
      <c r="B1218" s="289"/>
      <c r="C1218" s="289"/>
      <c r="D1218" s="337"/>
    </row>
    <row r="1219">
      <c r="A1219" s="343"/>
      <c r="B1219" s="289"/>
      <c r="C1219" s="289"/>
      <c r="D1219" s="337"/>
    </row>
    <row r="1220">
      <c r="A1220" s="343"/>
      <c r="B1220" s="289"/>
      <c r="C1220" s="289"/>
      <c r="D1220" s="337"/>
    </row>
    <row r="1221">
      <c r="A1221" s="343"/>
      <c r="B1221" s="289"/>
      <c r="C1221" s="289"/>
      <c r="D1221" s="337"/>
    </row>
    <row r="1222">
      <c r="A1222" s="343"/>
      <c r="B1222" s="289"/>
      <c r="C1222" s="289"/>
      <c r="D1222" s="337"/>
    </row>
    <row r="1223">
      <c r="A1223" s="343"/>
      <c r="B1223" s="289"/>
      <c r="C1223" s="289"/>
      <c r="D1223" s="337"/>
    </row>
    <row r="1224">
      <c r="A1224" s="343"/>
      <c r="B1224" s="289"/>
      <c r="C1224" s="289"/>
      <c r="D1224" s="337"/>
    </row>
    <row r="1225">
      <c r="A1225" s="343"/>
      <c r="B1225" s="289"/>
      <c r="C1225" s="289"/>
      <c r="D1225" s="337"/>
    </row>
    <row r="1226">
      <c r="A1226" s="343"/>
      <c r="B1226" s="289"/>
      <c r="C1226" s="289"/>
      <c r="D1226" s="337"/>
    </row>
    <row r="1227">
      <c r="A1227" s="343"/>
      <c r="B1227" s="289"/>
      <c r="C1227" s="289"/>
      <c r="D1227" s="337"/>
    </row>
    <row r="1228">
      <c r="A1228" s="343"/>
      <c r="B1228" s="289"/>
      <c r="C1228" s="289"/>
      <c r="D1228" s="337"/>
    </row>
    <row r="1229">
      <c r="A1229" s="343"/>
      <c r="B1229" s="289"/>
      <c r="C1229" s="289"/>
      <c r="D1229" s="337"/>
    </row>
    <row r="1230">
      <c r="A1230" s="343"/>
      <c r="B1230" s="289"/>
      <c r="C1230" s="289"/>
      <c r="D1230" s="337"/>
    </row>
    <row r="1231">
      <c r="A1231" s="343"/>
      <c r="B1231" s="289"/>
      <c r="C1231" s="289"/>
      <c r="D1231" s="337"/>
    </row>
    <row r="1232">
      <c r="A1232" s="343"/>
      <c r="B1232" s="289"/>
      <c r="C1232" s="289"/>
      <c r="D1232" s="337"/>
    </row>
    <row r="1233">
      <c r="A1233" s="343"/>
      <c r="B1233" s="289"/>
      <c r="C1233" s="289"/>
      <c r="D1233" s="337"/>
    </row>
    <row r="1234">
      <c r="A1234" s="343"/>
      <c r="B1234" s="289"/>
      <c r="C1234" s="289"/>
      <c r="D1234" s="337"/>
    </row>
    <row r="1235">
      <c r="A1235" s="343"/>
      <c r="B1235" s="289"/>
      <c r="C1235" s="289"/>
      <c r="D1235" s="337"/>
    </row>
    <row r="1236">
      <c r="A1236" s="343"/>
      <c r="B1236" s="289"/>
      <c r="C1236" s="289"/>
      <c r="D1236" s="337"/>
    </row>
    <row r="1237">
      <c r="A1237" s="343"/>
      <c r="B1237" s="289"/>
      <c r="C1237" s="289"/>
      <c r="D1237" s="337"/>
    </row>
    <row r="1238">
      <c r="A1238" s="343"/>
      <c r="B1238" s="289"/>
      <c r="C1238" s="289"/>
      <c r="D1238" s="337"/>
    </row>
    <row r="1239">
      <c r="A1239" s="343"/>
      <c r="B1239" s="289"/>
      <c r="C1239" s="289"/>
      <c r="D1239" s="337"/>
    </row>
    <row r="1240">
      <c r="A1240" s="343"/>
      <c r="B1240" s="289"/>
      <c r="C1240" s="289"/>
      <c r="D1240" s="337"/>
    </row>
    <row r="1241">
      <c r="A1241" s="343"/>
      <c r="B1241" s="289"/>
      <c r="C1241" s="289"/>
      <c r="D1241" s="337"/>
    </row>
    <row r="1242">
      <c r="A1242" s="343"/>
      <c r="B1242" s="289"/>
      <c r="C1242" s="289"/>
      <c r="D1242" s="337"/>
    </row>
    <row r="1243">
      <c r="A1243" s="343"/>
      <c r="B1243" s="289"/>
      <c r="C1243" s="289"/>
      <c r="D1243" s="337"/>
    </row>
    <row r="1244">
      <c r="A1244" s="343"/>
      <c r="B1244" s="289"/>
      <c r="C1244" s="289"/>
      <c r="D1244" s="337"/>
    </row>
    <row r="1245">
      <c r="A1245" s="343"/>
      <c r="B1245" s="289"/>
      <c r="C1245" s="289"/>
      <c r="D1245" s="337"/>
    </row>
    <row r="1246">
      <c r="A1246" s="343"/>
      <c r="B1246" s="289"/>
      <c r="C1246" s="289"/>
      <c r="D1246" s="337"/>
    </row>
    <row r="1247">
      <c r="A1247" s="343"/>
      <c r="B1247" s="289"/>
      <c r="C1247" s="289"/>
      <c r="D1247" s="337"/>
    </row>
    <row r="1248">
      <c r="A1248" s="343"/>
      <c r="B1248" s="289"/>
      <c r="C1248" s="289"/>
      <c r="D1248" s="337"/>
    </row>
    <row r="1249">
      <c r="A1249" s="343"/>
      <c r="B1249" s="289"/>
      <c r="C1249" s="289"/>
      <c r="D1249" s="337"/>
    </row>
    <row r="1250">
      <c r="A1250" s="343"/>
      <c r="B1250" s="289"/>
      <c r="C1250" s="289"/>
      <c r="D1250" s="337"/>
    </row>
    <row r="1251">
      <c r="A1251" s="343"/>
      <c r="B1251" s="289"/>
      <c r="C1251" s="289"/>
      <c r="D1251" s="337"/>
    </row>
    <row r="1252">
      <c r="A1252" s="343"/>
      <c r="B1252" s="289"/>
      <c r="C1252" s="289"/>
      <c r="D1252" s="337"/>
    </row>
    <row r="1253">
      <c r="A1253" s="343"/>
      <c r="B1253" s="289"/>
      <c r="C1253" s="289"/>
      <c r="D1253" s="337"/>
    </row>
    <row r="1254">
      <c r="A1254" s="343"/>
      <c r="B1254" s="289"/>
      <c r="C1254" s="289"/>
      <c r="D1254" s="337"/>
    </row>
    <row r="1255">
      <c r="A1255" s="343"/>
      <c r="B1255" s="289"/>
      <c r="C1255" s="289"/>
      <c r="D1255" s="337"/>
    </row>
    <row r="1256">
      <c r="A1256" s="343"/>
      <c r="B1256" s="289"/>
      <c r="C1256" s="289"/>
      <c r="D1256" s="337"/>
    </row>
    <row r="1257">
      <c r="A1257" s="343"/>
      <c r="B1257" s="289"/>
      <c r="C1257" s="289"/>
      <c r="D1257" s="337"/>
    </row>
    <row r="1258">
      <c r="A1258" s="343"/>
      <c r="B1258" s="289"/>
      <c r="C1258" s="289"/>
      <c r="D1258" s="337"/>
    </row>
    <row r="1259">
      <c r="A1259" s="343"/>
      <c r="B1259" s="289"/>
      <c r="C1259" s="289"/>
      <c r="D1259" s="337"/>
    </row>
    <row r="1260">
      <c r="A1260" s="343"/>
      <c r="B1260" s="289"/>
      <c r="C1260" s="289"/>
      <c r="D1260" s="337"/>
    </row>
    <row r="1261">
      <c r="A1261" s="343"/>
      <c r="B1261" s="289"/>
      <c r="C1261" s="289"/>
      <c r="D1261" s="337"/>
    </row>
    <row r="1262">
      <c r="A1262" s="343"/>
      <c r="B1262" s="289"/>
      <c r="C1262" s="289"/>
      <c r="D1262" s="337"/>
    </row>
    <row r="1263">
      <c r="A1263" s="343"/>
      <c r="B1263" s="289"/>
      <c r="C1263" s="289"/>
      <c r="D1263" s="337"/>
    </row>
    <row r="1264">
      <c r="A1264" s="343"/>
      <c r="B1264" s="289"/>
      <c r="C1264" s="289"/>
      <c r="D1264" s="337"/>
    </row>
    <row r="1265">
      <c r="A1265" s="343"/>
      <c r="B1265" s="289"/>
      <c r="C1265" s="289"/>
      <c r="D1265" s="337"/>
    </row>
    <row r="1266">
      <c r="A1266" s="343"/>
      <c r="B1266" s="289"/>
      <c r="C1266" s="289"/>
      <c r="D1266" s="337"/>
    </row>
    <row r="1267">
      <c r="A1267" s="343"/>
      <c r="B1267" s="289"/>
      <c r="C1267" s="289"/>
      <c r="D1267" s="337"/>
    </row>
    <row r="1268">
      <c r="A1268" s="343"/>
      <c r="B1268" s="289"/>
      <c r="C1268" s="289"/>
      <c r="D1268" s="337"/>
    </row>
    <row r="1269">
      <c r="A1269" s="343"/>
      <c r="B1269" s="289"/>
      <c r="C1269" s="289"/>
      <c r="D1269" s="337"/>
    </row>
    <row r="1270">
      <c r="A1270" s="343"/>
      <c r="B1270" s="289"/>
      <c r="C1270" s="289"/>
      <c r="D1270" s="337"/>
    </row>
    <row r="1271">
      <c r="A1271" s="343"/>
      <c r="B1271" s="289"/>
      <c r="C1271" s="289"/>
      <c r="D1271" s="337"/>
    </row>
    <row r="1272">
      <c r="A1272" s="343"/>
      <c r="B1272" s="289"/>
      <c r="C1272" s="289"/>
      <c r="D1272" s="337"/>
    </row>
    <row r="1273">
      <c r="A1273" s="343"/>
      <c r="B1273" s="289"/>
      <c r="C1273" s="289"/>
      <c r="D1273" s="337"/>
    </row>
    <row r="1274">
      <c r="A1274" s="343"/>
      <c r="B1274" s="289"/>
      <c r="C1274" s="289"/>
      <c r="D1274" s="337"/>
    </row>
    <row r="1275">
      <c r="A1275" s="343"/>
      <c r="B1275" s="289"/>
      <c r="C1275" s="289"/>
      <c r="D1275" s="337"/>
    </row>
    <row r="1276">
      <c r="A1276" s="343"/>
      <c r="B1276" s="289"/>
      <c r="C1276" s="289"/>
      <c r="D1276" s="337"/>
    </row>
    <row r="1277">
      <c r="A1277" s="343"/>
      <c r="B1277" s="289"/>
      <c r="C1277" s="289"/>
      <c r="D1277" s="337"/>
    </row>
    <row r="1278">
      <c r="A1278" s="343"/>
      <c r="B1278" s="289"/>
      <c r="C1278" s="289"/>
      <c r="D1278" s="337"/>
    </row>
    <row r="1279">
      <c r="A1279" s="343"/>
      <c r="B1279" s="289"/>
      <c r="C1279" s="289"/>
      <c r="D1279" s="337"/>
    </row>
    <row r="1280">
      <c r="A1280" s="343"/>
      <c r="B1280" s="289"/>
      <c r="C1280" s="289"/>
      <c r="D1280" s="337"/>
    </row>
    <row r="1281">
      <c r="A1281" s="343"/>
      <c r="B1281" s="289"/>
      <c r="C1281" s="289"/>
      <c r="D1281" s="337"/>
    </row>
    <row r="1282">
      <c r="A1282" s="343"/>
      <c r="B1282" s="289"/>
      <c r="C1282" s="289"/>
      <c r="D1282" s="337"/>
    </row>
    <row r="1283">
      <c r="A1283" s="343"/>
      <c r="B1283" s="289"/>
      <c r="C1283" s="289"/>
      <c r="D1283" s="337"/>
    </row>
    <row r="1284">
      <c r="A1284" s="343"/>
      <c r="B1284" s="289"/>
      <c r="C1284" s="289"/>
      <c r="D1284" s="337"/>
    </row>
    <row r="1285">
      <c r="A1285" s="343"/>
      <c r="B1285" s="289"/>
      <c r="C1285" s="289"/>
      <c r="D1285" s="337"/>
    </row>
    <row r="1286">
      <c r="A1286" s="343"/>
      <c r="B1286" s="289"/>
      <c r="C1286" s="289"/>
      <c r="D1286" s="337"/>
    </row>
    <row r="1287">
      <c r="A1287" s="343"/>
      <c r="B1287" s="289"/>
      <c r="C1287" s="289"/>
      <c r="D1287" s="337"/>
    </row>
    <row r="1288">
      <c r="A1288" s="343"/>
      <c r="B1288" s="289"/>
      <c r="C1288" s="289"/>
      <c r="D1288" s="337"/>
    </row>
    <row r="1289">
      <c r="A1289" s="343"/>
      <c r="B1289" s="289"/>
      <c r="C1289" s="289"/>
      <c r="D1289" s="337"/>
    </row>
    <row r="1290">
      <c r="A1290" s="343"/>
      <c r="B1290" s="289"/>
      <c r="C1290" s="289"/>
      <c r="D1290" s="337"/>
    </row>
    <row r="1291">
      <c r="A1291" s="343"/>
      <c r="B1291" s="289"/>
      <c r="C1291" s="289"/>
      <c r="D1291" s="337"/>
    </row>
    <row r="1292">
      <c r="A1292" s="343"/>
      <c r="B1292" s="289"/>
      <c r="C1292" s="289"/>
      <c r="D1292" s="337"/>
    </row>
    <row r="1293">
      <c r="A1293" s="343"/>
      <c r="B1293" s="289"/>
      <c r="C1293" s="289"/>
      <c r="D1293" s="337"/>
    </row>
    <row r="1294">
      <c r="A1294" s="343"/>
      <c r="B1294" s="289"/>
      <c r="C1294" s="289"/>
      <c r="D1294" s="337"/>
    </row>
    <row r="1295">
      <c r="A1295" s="343"/>
      <c r="B1295" s="289"/>
      <c r="C1295" s="289"/>
      <c r="D1295" s="337"/>
    </row>
    <row r="1296">
      <c r="A1296" s="343"/>
      <c r="B1296" s="289"/>
      <c r="C1296" s="289"/>
      <c r="D1296" s="337"/>
    </row>
    <row r="1297">
      <c r="A1297" s="343"/>
      <c r="B1297" s="289"/>
      <c r="C1297" s="289"/>
      <c r="D1297" s="337"/>
    </row>
    <row r="1298">
      <c r="A1298" s="343"/>
      <c r="B1298" s="289"/>
      <c r="C1298" s="289"/>
      <c r="D1298" s="337"/>
    </row>
    <row r="1299">
      <c r="A1299" s="343"/>
      <c r="B1299" s="289"/>
      <c r="C1299" s="289"/>
      <c r="D1299" s="337"/>
    </row>
    <row r="1300">
      <c r="A1300" s="343"/>
      <c r="B1300" s="289"/>
      <c r="C1300" s="289"/>
      <c r="D1300" s="337"/>
    </row>
    <row r="1301">
      <c r="A1301" s="343"/>
      <c r="B1301" s="289"/>
      <c r="C1301" s="289"/>
      <c r="D1301" s="337"/>
    </row>
    <row r="1302">
      <c r="A1302" s="343"/>
      <c r="B1302" s="289"/>
      <c r="C1302" s="289"/>
      <c r="D1302" s="337"/>
    </row>
    <row r="1303">
      <c r="A1303" s="343"/>
      <c r="B1303" s="289"/>
      <c r="C1303" s="289"/>
      <c r="D1303" s="337"/>
    </row>
    <row r="1304">
      <c r="A1304" s="343"/>
      <c r="B1304" s="289"/>
      <c r="C1304" s="289"/>
      <c r="D1304" s="337"/>
    </row>
    <row r="1305">
      <c r="A1305" s="343"/>
      <c r="B1305" s="289"/>
      <c r="C1305" s="289"/>
      <c r="D1305" s="337"/>
    </row>
    <row r="1306">
      <c r="A1306" s="343"/>
      <c r="B1306" s="289"/>
      <c r="C1306" s="289"/>
      <c r="D1306" s="337"/>
    </row>
    <row r="1307">
      <c r="A1307" s="343"/>
      <c r="B1307" s="289"/>
      <c r="C1307" s="289"/>
      <c r="D1307" s="337"/>
    </row>
    <row r="1308">
      <c r="A1308" s="343"/>
      <c r="B1308" s="289"/>
      <c r="C1308" s="289"/>
      <c r="D1308" s="337"/>
    </row>
    <row r="1309">
      <c r="A1309" s="343"/>
      <c r="B1309" s="289"/>
      <c r="C1309" s="289"/>
      <c r="D1309" s="337"/>
    </row>
    <row r="1310">
      <c r="A1310" s="343"/>
      <c r="B1310" s="289"/>
      <c r="C1310" s="289"/>
      <c r="D1310" s="337"/>
    </row>
    <row r="1311">
      <c r="A1311" s="343"/>
      <c r="B1311" s="289"/>
      <c r="C1311" s="289"/>
      <c r="D1311" s="337"/>
    </row>
    <row r="1312">
      <c r="A1312" s="343"/>
      <c r="B1312" s="289"/>
      <c r="C1312" s="289"/>
      <c r="D1312" s="337"/>
    </row>
    <row r="1313">
      <c r="A1313" s="343"/>
      <c r="B1313" s="289"/>
      <c r="C1313" s="289"/>
      <c r="D1313" s="337"/>
    </row>
    <row r="1314">
      <c r="A1314" s="343"/>
      <c r="B1314" s="289"/>
      <c r="C1314" s="289"/>
      <c r="D1314" s="337"/>
    </row>
    <row r="1315">
      <c r="A1315" s="343"/>
      <c r="B1315" s="289"/>
      <c r="C1315" s="289"/>
      <c r="D1315" s="337"/>
    </row>
    <row r="1316">
      <c r="A1316" s="343"/>
      <c r="B1316" s="289"/>
      <c r="C1316" s="289"/>
      <c r="D1316" s="337"/>
    </row>
    <row r="1317">
      <c r="A1317" s="343"/>
      <c r="B1317" s="289"/>
      <c r="C1317" s="289"/>
      <c r="D1317" s="337"/>
    </row>
    <row r="1318">
      <c r="A1318" s="343"/>
      <c r="B1318" s="289"/>
      <c r="C1318" s="289"/>
      <c r="D1318" s="337"/>
    </row>
    <row r="1319">
      <c r="A1319" s="343"/>
      <c r="B1319" s="289"/>
      <c r="C1319" s="289"/>
      <c r="D1319" s="337"/>
    </row>
    <row r="1320">
      <c r="A1320" s="343"/>
      <c r="B1320" s="289"/>
      <c r="C1320" s="289"/>
      <c r="D1320" s="337"/>
    </row>
    <row r="1321">
      <c r="A1321" s="343"/>
      <c r="B1321" s="289"/>
      <c r="C1321" s="289"/>
      <c r="D1321" s="337"/>
    </row>
    <row r="1322">
      <c r="A1322" s="343"/>
      <c r="B1322" s="289"/>
      <c r="C1322" s="289"/>
      <c r="D1322" s="337"/>
    </row>
    <row r="1323">
      <c r="A1323" s="343"/>
      <c r="B1323" s="289"/>
      <c r="C1323" s="289"/>
      <c r="D1323" s="337"/>
    </row>
    <row r="1324">
      <c r="A1324" s="343"/>
      <c r="B1324" s="289"/>
      <c r="C1324" s="289"/>
      <c r="D1324" s="337"/>
    </row>
    <row r="1325">
      <c r="A1325" s="343"/>
      <c r="B1325" s="289"/>
      <c r="C1325" s="289"/>
      <c r="D1325" s="337"/>
    </row>
    <row r="1326">
      <c r="A1326" s="343"/>
      <c r="B1326" s="289"/>
      <c r="C1326" s="289"/>
      <c r="D1326" s="337"/>
    </row>
    <row r="1327">
      <c r="A1327" s="343"/>
      <c r="B1327" s="289"/>
      <c r="C1327" s="289"/>
      <c r="D1327" s="337"/>
    </row>
    <row r="1328">
      <c r="A1328" s="343"/>
      <c r="B1328" s="289"/>
      <c r="C1328" s="289"/>
      <c r="D1328" s="337"/>
    </row>
    <row r="1329">
      <c r="A1329" s="343"/>
      <c r="B1329" s="289"/>
      <c r="C1329" s="289"/>
      <c r="D1329" s="337"/>
    </row>
    <row r="1330">
      <c r="A1330" s="343"/>
      <c r="B1330" s="289"/>
      <c r="C1330" s="289"/>
      <c r="D1330" s="337"/>
    </row>
    <row r="1331">
      <c r="A1331" s="343"/>
      <c r="B1331" s="289"/>
      <c r="C1331" s="289"/>
      <c r="D1331" s="337"/>
    </row>
    <row r="1332">
      <c r="A1332" s="343"/>
      <c r="B1332" s="289"/>
      <c r="C1332" s="289"/>
      <c r="D1332" s="337"/>
    </row>
    <row r="1333">
      <c r="A1333" s="343"/>
      <c r="B1333" s="289"/>
      <c r="C1333" s="289"/>
      <c r="D1333" s="337"/>
    </row>
    <row r="1334">
      <c r="A1334" s="343"/>
      <c r="B1334" s="289"/>
      <c r="C1334" s="289"/>
      <c r="D1334" s="337"/>
    </row>
    <row r="1335">
      <c r="A1335" s="343"/>
      <c r="B1335" s="289"/>
      <c r="C1335" s="289"/>
      <c r="D1335" s="337"/>
    </row>
    <row r="1336">
      <c r="A1336" s="343"/>
      <c r="B1336" s="289"/>
      <c r="C1336" s="289"/>
      <c r="D1336" s="337"/>
    </row>
    <row r="1337">
      <c r="A1337" s="343"/>
      <c r="B1337" s="289"/>
      <c r="C1337" s="289"/>
      <c r="D1337" s="337"/>
    </row>
    <row r="1338">
      <c r="A1338" s="343"/>
      <c r="B1338" s="289"/>
      <c r="C1338" s="289"/>
      <c r="D1338" s="337"/>
    </row>
    <row r="1339">
      <c r="A1339" s="343"/>
      <c r="B1339" s="289"/>
      <c r="C1339" s="289"/>
      <c r="D1339" s="337"/>
    </row>
    <row r="1340">
      <c r="A1340" s="343"/>
      <c r="B1340" s="289"/>
      <c r="C1340" s="289"/>
      <c r="D1340" s="337"/>
    </row>
    <row r="1341">
      <c r="A1341" s="343"/>
      <c r="B1341" s="289"/>
      <c r="C1341" s="289"/>
      <c r="D1341" s="337"/>
    </row>
    <row r="1342">
      <c r="A1342" s="343"/>
      <c r="B1342" s="289"/>
      <c r="C1342" s="289"/>
      <c r="D1342" s="337"/>
    </row>
    <row r="1343">
      <c r="A1343" s="343"/>
      <c r="B1343" s="289"/>
      <c r="C1343" s="289"/>
      <c r="D1343" s="337"/>
    </row>
    <row r="1344">
      <c r="A1344" s="343"/>
      <c r="B1344" s="289"/>
      <c r="C1344" s="289"/>
      <c r="D1344" s="337"/>
    </row>
    <row r="1345">
      <c r="A1345" s="343"/>
      <c r="B1345" s="289"/>
      <c r="C1345" s="289"/>
      <c r="D1345" s="337"/>
    </row>
    <row r="1346">
      <c r="A1346" s="343"/>
      <c r="B1346" s="289"/>
      <c r="C1346" s="289"/>
      <c r="D1346" s="337"/>
    </row>
    <row r="1347">
      <c r="A1347" s="343"/>
      <c r="B1347" s="289"/>
      <c r="C1347" s="289"/>
      <c r="D1347" s="337"/>
    </row>
    <row r="1348">
      <c r="A1348" s="343"/>
      <c r="B1348" s="289"/>
      <c r="C1348" s="289"/>
      <c r="D1348" s="337"/>
    </row>
    <row r="1349">
      <c r="A1349" s="343"/>
      <c r="B1349" s="289"/>
      <c r="C1349" s="289"/>
      <c r="D1349" s="337"/>
    </row>
    <row r="1350">
      <c r="A1350" s="343"/>
      <c r="B1350" s="289"/>
      <c r="C1350" s="289"/>
      <c r="D1350" s="337"/>
    </row>
    <row r="1351">
      <c r="A1351" s="343"/>
      <c r="B1351" s="289"/>
      <c r="C1351" s="289"/>
      <c r="D1351" s="337"/>
    </row>
    <row r="1352">
      <c r="A1352" s="343"/>
      <c r="B1352" s="289"/>
      <c r="C1352" s="289"/>
      <c r="D1352" s="337"/>
    </row>
    <row r="1353">
      <c r="A1353" s="343"/>
      <c r="B1353" s="289"/>
      <c r="C1353" s="289"/>
      <c r="D1353" s="337"/>
    </row>
    <row r="1354">
      <c r="A1354" s="343"/>
      <c r="B1354" s="289"/>
      <c r="C1354" s="289"/>
      <c r="D1354" s="337"/>
    </row>
    <row r="1355">
      <c r="A1355" s="343"/>
      <c r="B1355" s="289"/>
      <c r="C1355" s="289"/>
      <c r="D1355" s="337"/>
    </row>
    <row r="1356">
      <c r="A1356" s="343"/>
      <c r="B1356" s="289"/>
      <c r="C1356" s="289"/>
      <c r="D1356" s="337"/>
    </row>
    <row r="1357">
      <c r="A1357" s="343"/>
      <c r="B1357" s="289"/>
      <c r="C1357" s="289"/>
      <c r="D1357" s="337"/>
    </row>
    <row r="1358">
      <c r="A1358" s="343"/>
      <c r="B1358" s="289"/>
      <c r="C1358" s="289"/>
      <c r="D1358" s="337"/>
    </row>
    <row r="1359">
      <c r="A1359" s="343"/>
      <c r="B1359" s="289"/>
      <c r="C1359" s="289"/>
      <c r="D1359" s="337"/>
    </row>
    <row r="1360">
      <c r="A1360" s="343"/>
      <c r="B1360" s="289"/>
      <c r="C1360" s="289"/>
      <c r="D1360" s="337"/>
    </row>
    <row r="1361">
      <c r="A1361" s="343"/>
      <c r="B1361" s="289"/>
      <c r="C1361" s="289"/>
      <c r="D1361" s="337"/>
    </row>
    <row r="1362">
      <c r="A1362" s="343"/>
      <c r="B1362" s="289"/>
      <c r="C1362" s="289"/>
      <c r="D1362" s="337"/>
    </row>
    <row r="1363">
      <c r="A1363" s="343"/>
      <c r="B1363" s="289"/>
      <c r="C1363" s="289"/>
      <c r="D1363" s="337"/>
    </row>
    <row r="1364">
      <c r="A1364" s="343"/>
      <c r="B1364" s="289"/>
      <c r="C1364" s="289"/>
      <c r="D1364" s="337"/>
    </row>
    <row r="1365">
      <c r="A1365" s="343"/>
      <c r="B1365" s="289"/>
      <c r="C1365" s="289"/>
      <c r="D1365" s="337"/>
    </row>
    <row r="1366">
      <c r="A1366" s="343"/>
      <c r="B1366" s="289"/>
      <c r="C1366" s="289"/>
      <c r="D1366" s="337"/>
    </row>
    <row r="1367">
      <c r="A1367" s="343"/>
      <c r="B1367" s="289"/>
      <c r="C1367" s="289"/>
      <c r="D1367" s="337"/>
    </row>
    <row r="1368">
      <c r="A1368" s="343"/>
      <c r="B1368" s="289"/>
      <c r="C1368" s="289"/>
      <c r="D1368" s="337"/>
    </row>
    <row r="1369">
      <c r="A1369" s="343"/>
      <c r="B1369" s="289"/>
      <c r="C1369" s="289"/>
      <c r="D1369" s="337"/>
    </row>
    <row r="1370">
      <c r="A1370" s="343"/>
      <c r="B1370" s="289"/>
      <c r="C1370" s="289"/>
      <c r="D1370" s="337"/>
    </row>
    <row r="1371">
      <c r="A1371" s="343"/>
      <c r="B1371" s="289"/>
      <c r="C1371" s="289"/>
      <c r="D1371" s="337"/>
    </row>
    <row r="1372">
      <c r="A1372" s="343"/>
      <c r="B1372" s="289"/>
      <c r="C1372" s="289"/>
      <c r="D1372" s="337"/>
    </row>
    <row r="1373">
      <c r="A1373" s="343"/>
      <c r="B1373" s="289"/>
      <c r="C1373" s="289"/>
      <c r="D1373" s="337"/>
    </row>
    <row r="1374">
      <c r="A1374" s="343"/>
      <c r="B1374" s="289"/>
      <c r="C1374" s="289"/>
      <c r="D1374" s="337"/>
    </row>
    <row r="1375">
      <c r="A1375" s="343"/>
      <c r="B1375" s="289"/>
      <c r="C1375" s="289"/>
      <c r="D1375" s="337"/>
    </row>
    <row r="1376">
      <c r="A1376" s="343"/>
      <c r="B1376" s="289"/>
      <c r="C1376" s="289"/>
      <c r="D1376" s="337"/>
    </row>
    <row r="1377">
      <c r="A1377" s="343"/>
      <c r="B1377" s="289"/>
      <c r="C1377" s="289"/>
      <c r="D1377" s="337"/>
    </row>
    <row r="1378">
      <c r="A1378" s="343"/>
      <c r="B1378" s="289"/>
      <c r="C1378" s="289"/>
      <c r="D1378" s="337"/>
    </row>
    <row r="1379">
      <c r="A1379" s="343"/>
      <c r="B1379" s="289"/>
      <c r="C1379" s="289"/>
      <c r="D1379" s="337"/>
    </row>
    <row r="1380">
      <c r="A1380" s="343"/>
      <c r="B1380" s="289"/>
      <c r="C1380" s="289"/>
      <c r="D1380" s="337"/>
    </row>
    <row r="1381">
      <c r="A1381" s="343"/>
      <c r="B1381" s="289"/>
      <c r="C1381" s="289"/>
      <c r="D1381" s="337"/>
    </row>
    <row r="1382">
      <c r="A1382" s="343"/>
      <c r="B1382" s="289"/>
      <c r="C1382" s="289"/>
      <c r="D1382" s="337"/>
    </row>
    <row r="1383">
      <c r="A1383" s="343"/>
      <c r="B1383" s="289"/>
      <c r="C1383" s="289"/>
      <c r="D1383" s="337"/>
    </row>
    <row r="1384">
      <c r="A1384" s="343"/>
      <c r="B1384" s="289"/>
      <c r="C1384" s="289"/>
      <c r="D1384" s="337"/>
    </row>
    <row r="1385">
      <c r="A1385" s="343"/>
      <c r="B1385" s="289"/>
      <c r="C1385" s="289"/>
      <c r="D1385" s="337"/>
    </row>
    <row r="1386">
      <c r="A1386" s="343"/>
      <c r="B1386" s="289"/>
      <c r="C1386" s="289"/>
      <c r="D1386" s="337"/>
    </row>
    <row r="1387">
      <c r="A1387" s="343"/>
      <c r="B1387" s="289"/>
      <c r="C1387" s="289"/>
      <c r="D1387" s="337"/>
    </row>
    <row r="1388">
      <c r="A1388" s="343"/>
      <c r="B1388" s="289"/>
      <c r="C1388" s="289"/>
      <c r="D1388" s="337"/>
    </row>
    <row r="1389">
      <c r="A1389" s="343"/>
      <c r="B1389" s="289"/>
      <c r="C1389" s="289"/>
      <c r="D1389" s="337"/>
    </row>
    <row r="1390">
      <c r="A1390" s="343"/>
      <c r="B1390" s="289"/>
      <c r="C1390" s="289"/>
      <c r="D1390" s="337"/>
    </row>
    <row r="1391">
      <c r="A1391" s="343"/>
      <c r="B1391" s="289"/>
      <c r="C1391" s="289"/>
      <c r="D1391" s="337"/>
    </row>
    <row r="1392">
      <c r="A1392" s="343"/>
      <c r="B1392" s="289"/>
      <c r="C1392" s="289"/>
      <c r="D1392" s="337"/>
    </row>
    <row r="1393">
      <c r="A1393" s="343"/>
      <c r="B1393" s="289"/>
      <c r="C1393" s="289"/>
      <c r="D1393" s="337"/>
    </row>
    <row r="1394">
      <c r="A1394" s="343"/>
      <c r="B1394" s="289"/>
      <c r="C1394" s="289"/>
      <c r="D1394" s="337"/>
    </row>
    <row r="1395">
      <c r="A1395" s="343"/>
      <c r="B1395" s="289"/>
      <c r="C1395" s="289"/>
      <c r="D1395" s="337"/>
    </row>
    <row r="1396">
      <c r="A1396" s="343"/>
      <c r="B1396" s="289"/>
      <c r="C1396" s="289"/>
      <c r="D1396" s="337"/>
    </row>
    <row r="1397">
      <c r="A1397" s="343"/>
      <c r="B1397" s="289"/>
      <c r="C1397" s="289"/>
      <c r="D1397" s="337"/>
    </row>
    <row r="1398">
      <c r="A1398" s="343"/>
      <c r="B1398" s="289"/>
      <c r="C1398" s="289"/>
      <c r="D1398" s="337"/>
    </row>
    <row r="1399">
      <c r="A1399" s="343"/>
      <c r="B1399" s="289"/>
      <c r="C1399" s="289"/>
      <c r="D1399" s="337"/>
    </row>
    <row r="1400">
      <c r="A1400" s="343"/>
      <c r="B1400" s="289"/>
      <c r="C1400" s="289"/>
      <c r="D1400" s="337"/>
    </row>
    <row r="1401">
      <c r="A1401" s="343"/>
      <c r="B1401" s="289"/>
      <c r="C1401" s="289"/>
      <c r="D1401" s="337"/>
    </row>
    <row r="1402">
      <c r="A1402" s="343"/>
      <c r="B1402" s="289"/>
      <c r="C1402" s="289"/>
      <c r="D1402" s="337"/>
    </row>
    <row r="1403">
      <c r="A1403" s="343"/>
      <c r="B1403" s="289"/>
      <c r="C1403" s="289"/>
      <c r="D1403" s="337"/>
    </row>
    <row r="1404">
      <c r="A1404" s="343"/>
      <c r="B1404" s="289"/>
      <c r="C1404" s="289"/>
      <c r="D1404" s="337"/>
    </row>
    <row r="1405">
      <c r="A1405" s="343"/>
      <c r="B1405" s="289"/>
      <c r="C1405" s="289"/>
      <c r="D1405" s="337"/>
    </row>
    <row r="1406">
      <c r="A1406" s="343"/>
      <c r="B1406" s="289"/>
      <c r="C1406" s="289"/>
      <c r="D1406" s="337"/>
    </row>
    <row r="1407">
      <c r="A1407" s="343"/>
      <c r="B1407" s="289"/>
      <c r="C1407" s="289"/>
      <c r="D1407" s="337"/>
    </row>
    <row r="1408">
      <c r="A1408" s="343"/>
      <c r="B1408" s="289"/>
      <c r="C1408" s="289"/>
      <c r="D1408" s="337"/>
    </row>
    <row r="1409">
      <c r="A1409" s="343"/>
      <c r="B1409" s="289"/>
      <c r="C1409" s="289"/>
      <c r="D1409" s="337"/>
    </row>
    <row r="1410">
      <c r="A1410" s="343"/>
      <c r="B1410" s="289"/>
      <c r="C1410" s="289"/>
      <c r="D1410" s="337"/>
    </row>
    <row r="1411">
      <c r="A1411" s="343"/>
      <c r="B1411" s="289"/>
      <c r="C1411" s="289"/>
      <c r="D1411" s="337"/>
    </row>
    <row r="1412">
      <c r="A1412" s="343"/>
      <c r="B1412" s="289"/>
      <c r="C1412" s="289"/>
      <c r="D1412" s="337"/>
    </row>
    <row r="1413">
      <c r="A1413" s="343"/>
      <c r="B1413" s="289"/>
      <c r="C1413" s="289"/>
      <c r="D1413" s="337"/>
    </row>
    <row r="1414">
      <c r="A1414" s="343"/>
      <c r="B1414" s="289"/>
      <c r="C1414" s="289"/>
      <c r="D1414" s="337"/>
    </row>
    <row r="1415">
      <c r="A1415" s="343"/>
      <c r="B1415" s="289"/>
      <c r="C1415" s="289"/>
      <c r="D1415" s="337"/>
    </row>
    <row r="1416">
      <c r="A1416" s="343"/>
      <c r="B1416" s="289"/>
      <c r="C1416" s="289"/>
      <c r="D1416" s="337"/>
    </row>
    <row r="1417">
      <c r="A1417" s="343"/>
      <c r="B1417" s="289"/>
      <c r="C1417" s="289"/>
      <c r="D1417" s="337"/>
    </row>
    <row r="1418">
      <c r="A1418" s="343"/>
      <c r="B1418" s="289"/>
      <c r="C1418" s="289"/>
      <c r="D1418" s="337"/>
    </row>
    <row r="1419">
      <c r="A1419" s="343"/>
      <c r="B1419" s="289"/>
      <c r="C1419" s="289"/>
      <c r="D1419" s="337"/>
    </row>
    <row r="1420">
      <c r="A1420" s="343"/>
      <c r="B1420" s="289"/>
      <c r="C1420" s="289"/>
      <c r="D1420" s="337"/>
    </row>
    <row r="1421">
      <c r="A1421" s="343"/>
      <c r="B1421" s="289"/>
      <c r="C1421" s="289"/>
      <c r="D1421" s="337"/>
    </row>
    <row r="1422">
      <c r="A1422" s="343"/>
      <c r="B1422" s="289"/>
      <c r="C1422" s="289"/>
      <c r="D1422" s="337"/>
    </row>
    <row r="1423">
      <c r="A1423" s="343"/>
      <c r="B1423" s="289"/>
      <c r="C1423" s="289"/>
      <c r="D1423" s="337"/>
    </row>
    <row r="1424">
      <c r="A1424" s="343"/>
      <c r="B1424" s="289"/>
      <c r="C1424" s="289"/>
      <c r="D1424" s="337"/>
    </row>
    <row r="1425">
      <c r="A1425" s="343"/>
      <c r="B1425" s="289"/>
      <c r="C1425" s="289"/>
      <c r="D1425" s="337"/>
    </row>
    <row r="1426">
      <c r="A1426" s="343"/>
      <c r="B1426" s="289"/>
      <c r="C1426" s="289"/>
      <c r="D1426" s="337"/>
    </row>
    <row r="1427">
      <c r="A1427" s="343"/>
      <c r="B1427" s="289"/>
      <c r="C1427" s="289"/>
      <c r="D1427" s="337"/>
    </row>
    <row r="1428">
      <c r="A1428" s="343"/>
      <c r="B1428" s="289"/>
      <c r="C1428" s="289"/>
      <c r="D1428" s="337"/>
    </row>
    <row r="1429">
      <c r="A1429" s="343"/>
      <c r="B1429" s="289"/>
      <c r="C1429" s="289"/>
      <c r="D1429" s="337"/>
    </row>
    <row r="1430">
      <c r="A1430" s="343"/>
      <c r="B1430" s="289"/>
      <c r="C1430" s="289"/>
      <c r="D1430" s="337"/>
    </row>
    <row r="1431">
      <c r="A1431" s="343"/>
      <c r="B1431" s="289"/>
      <c r="C1431" s="289"/>
      <c r="D1431" s="337"/>
    </row>
    <row r="1432">
      <c r="A1432" s="343"/>
      <c r="B1432" s="289"/>
      <c r="C1432" s="289"/>
      <c r="D1432" s="337"/>
    </row>
    <row r="1433">
      <c r="A1433" s="343"/>
      <c r="B1433" s="289"/>
      <c r="C1433" s="289"/>
      <c r="D1433" s="337"/>
    </row>
    <row r="1434">
      <c r="A1434" s="343"/>
      <c r="B1434" s="289"/>
      <c r="C1434" s="289"/>
      <c r="D1434" s="337"/>
    </row>
    <row r="1435">
      <c r="A1435" s="343"/>
      <c r="B1435" s="289"/>
      <c r="C1435" s="289"/>
      <c r="D1435" s="337"/>
    </row>
    <row r="1436">
      <c r="A1436" s="343"/>
      <c r="B1436" s="289"/>
      <c r="C1436" s="289"/>
      <c r="D1436" s="337"/>
    </row>
    <row r="1437">
      <c r="A1437" s="343"/>
      <c r="B1437" s="289"/>
      <c r="C1437" s="289"/>
      <c r="D1437" s="337"/>
    </row>
    <row r="1438">
      <c r="A1438" s="343"/>
      <c r="B1438" s="289"/>
      <c r="C1438" s="289"/>
      <c r="D1438" s="337"/>
    </row>
    <row r="1439">
      <c r="A1439" s="343"/>
      <c r="B1439" s="289"/>
      <c r="C1439" s="289"/>
      <c r="D1439" s="337"/>
    </row>
    <row r="1440">
      <c r="A1440" s="343"/>
      <c r="B1440" s="289"/>
      <c r="C1440" s="289"/>
      <c r="D1440" s="337"/>
    </row>
    <row r="1441">
      <c r="A1441" s="343"/>
      <c r="B1441" s="289"/>
      <c r="C1441" s="289"/>
      <c r="D1441" s="337"/>
    </row>
    <row r="1442">
      <c r="A1442" s="343"/>
      <c r="B1442" s="289"/>
      <c r="C1442" s="289"/>
      <c r="D1442" s="337"/>
    </row>
    <row r="1443">
      <c r="A1443" s="343"/>
      <c r="B1443" s="289"/>
      <c r="C1443" s="289"/>
      <c r="D1443" s="337"/>
    </row>
    <row r="1444">
      <c r="A1444" s="343"/>
      <c r="B1444" s="289"/>
      <c r="C1444" s="289"/>
      <c r="D1444" s="337"/>
    </row>
    <row r="1445">
      <c r="A1445" s="343"/>
      <c r="B1445" s="289"/>
      <c r="C1445" s="289"/>
      <c r="D1445" s="337"/>
    </row>
    <row r="1446">
      <c r="A1446" s="343"/>
      <c r="B1446" s="289"/>
      <c r="C1446" s="289"/>
      <c r="D1446" s="337"/>
    </row>
    <row r="1447">
      <c r="A1447" s="343"/>
      <c r="B1447" s="289"/>
      <c r="C1447" s="289"/>
      <c r="D1447" s="337"/>
    </row>
    <row r="1448">
      <c r="A1448" s="343"/>
      <c r="B1448" s="289"/>
      <c r="C1448" s="289"/>
      <c r="D1448" s="337"/>
    </row>
    <row r="1449">
      <c r="A1449" s="343"/>
      <c r="B1449" s="289"/>
      <c r="C1449" s="289"/>
      <c r="D1449" s="337"/>
    </row>
    <row r="1450">
      <c r="A1450" s="343"/>
      <c r="B1450" s="289"/>
      <c r="C1450" s="289"/>
      <c r="D1450" s="337"/>
    </row>
    <row r="1451">
      <c r="A1451" s="343"/>
      <c r="B1451" s="289"/>
      <c r="C1451" s="289"/>
      <c r="D1451" s="337"/>
    </row>
    <row r="1452">
      <c r="A1452" s="343"/>
      <c r="B1452" s="289"/>
      <c r="C1452" s="289"/>
      <c r="D1452" s="337"/>
    </row>
    <row r="1453">
      <c r="A1453" s="343"/>
      <c r="B1453" s="289"/>
      <c r="C1453" s="289"/>
      <c r="D1453" s="337"/>
    </row>
    <row r="1454">
      <c r="A1454" s="343"/>
      <c r="B1454" s="289"/>
      <c r="C1454" s="289"/>
      <c r="D1454" s="337"/>
    </row>
    <row r="1455">
      <c r="A1455" s="343"/>
      <c r="B1455" s="289"/>
      <c r="C1455" s="289"/>
      <c r="D1455" s="337"/>
    </row>
    <row r="1456">
      <c r="A1456" s="343"/>
      <c r="B1456" s="289"/>
      <c r="C1456" s="289"/>
      <c r="D1456" s="337"/>
    </row>
    <row r="1457">
      <c r="A1457" s="343"/>
      <c r="B1457" s="289"/>
      <c r="C1457" s="289"/>
      <c r="D1457" s="337"/>
    </row>
    <row r="1458">
      <c r="A1458" s="343"/>
      <c r="B1458" s="289"/>
      <c r="C1458" s="289"/>
      <c r="D1458" s="337"/>
    </row>
    <row r="1459">
      <c r="A1459" s="343"/>
      <c r="B1459" s="289"/>
      <c r="C1459" s="289"/>
      <c r="D1459" s="337"/>
    </row>
    <row r="1460">
      <c r="A1460" s="343"/>
      <c r="B1460" s="289"/>
      <c r="C1460" s="289"/>
      <c r="D1460" s="337"/>
    </row>
    <row r="1461">
      <c r="A1461" s="343"/>
      <c r="B1461" s="289"/>
      <c r="C1461" s="289"/>
      <c r="D1461" s="337"/>
    </row>
    <row r="1462">
      <c r="A1462" s="343"/>
      <c r="B1462" s="289"/>
      <c r="C1462" s="289"/>
      <c r="D1462" s="337"/>
    </row>
    <row r="1463">
      <c r="A1463" s="343"/>
      <c r="B1463" s="289"/>
      <c r="C1463" s="289"/>
      <c r="D1463" s="337"/>
    </row>
    <row r="1464">
      <c r="A1464" s="343"/>
      <c r="B1464" s="289"/>
      <c r="C1464" s="289"/>
      <c r="D1464" s="337"/>
    </row>
    <row r="1465">
      <c r="A1465" s="343"/>
      <c r="B1465" s="289"/>
      <c r="C1465" s="289"/>
      <c r="D1465" s="337"/>
    </row>
    <row r="1466">
      <c r="A1466" s="343"/>
      <c r="B1466" s="289"/>
      <c r="C1466" s="289"/>
      <c r="D1466" s="337"/>
    </row>
    <row r="1467">
      <c r="A1467" s="343"/>
      <c r="B1467" s="289"/>
      <c r="C1467" s="289"/>
      <c r="D1467" s="337"/>
    </row>
    <row r="1468">
      <c r="A1468" s="343"/>
      <c r="B1468" s="289"/>
      <c r="C1468" s="289"/>
      <c r="D1468" s="337"/>
    </row>
    <row r="1469">
      <c r="A1469" s="343"/>
      <c r="B1469" s="289"/>
      <c r="C1469" s="289"/>
      <c r="D1469" s="337"/>
    </row>
    <row r="1470">
      <c r="A1470" s="343"/>
      <c r="B1470" s="289"/>
      <c r="C1470" s="289"/>
      <c r="D1470" s="337"/>
    </row>
    <row r="1471">
      <c r="A1471" s="343"/>
      <c r="B1471" s="289"/>
      <c r="C1471" s="289"/>
      <c r="D1471" s="337"/>
    </row>
    <row r="1472">
      <c r="A1472" s="343"/>
      <c r="B1472" s="289"/>
      <c r="C1472" s="289"/>
      <c r="D1472" s="337"/>
    </row>
    <row r="1473">
      <c r="A1473" s="343"/>
      <c r="B1473" s="289"/>
      <c r="C1473" s="289"/>
      <c r="D1473" s="337"/>
    </row>
    <row r="1474">
      <c r="A1474" s="343"/>
      <c r="B1474" s="289"/>
      <c r="C1474" s="289"/>
      <c r="D1474" s="337"/>
    </row>
    <row r="1475">
      <c r="A1475" s="343"/>
      <c r="B1475" s="289"/>
      <c r="C1475" s="289"/>
      <c r="D1475" s="337"/>
    </row>
    <row r="1476">
      <c r="A1476" s="343"/>
      <c r="B1476" s="289"/>
      <c r="C1476" s="289"/>
      <c r="D1476" s="337"/>
    </row>
    <row r="1477">
      <c r="A1477" s="343"/>
      <c r="B1477" s="289"/>
      <c r="C1477" s="289"/>
      <c r="D1477" s="337"/>
    </row>
    <row r="1478">
      <c r="A1478" s="343"/>
      <c r="B1478" s="289"/>
      <c r="C1478" s="289"/>
      <c r="D1478" s="337"/>
    </row>
    <row r="1479">
      <c r="A1479" s="343"/>
      <c r="B1479" s="289"/>
      <c r="C1479" s="289"/>
      <c r="D1479" s="337"/>
    </row>
    <row r="1480">
      <c r="A1480" s="343"/>
      <c r="B1480" s="289"/>
      <c r="C1480" s="289"/>
      <c r="D1480" s="337"/>
    </row>
    <row r="1481">
      <c r="A1481" s="343"/>
      <c r="B1481" s="289"/>
      <c r="C1481" s="289"/>
      <c r="D1481" s="337"/>
    </row>
    <row r="1482">
      <c r="A1482" s="343"/>
      <c r="B1482" s="289"/>
      <c r="C1482" s="289"/>
      <c r="D1482" s="337"/>
    </row>
    <row r="1483">
      <c r="A1483" s="343"/>
      <c r="B1483" s="289"/>
      <c r="C1483" s="289"/>
      <c r="D1483" s="337"/>
    </row>
    <row r="1484">
      <c r="A1484" s="343"/>
      <c r="B1484" s="289"/>
      <c r="C1484" s="289"/>
      <c r="D1484" s="337"/>
    </row>
    <row r="1485">
      <c r="A1485" s="343"/>
      <c r="B1485" s="289"/>
      <c r="C1485" s="289"/>
      <c r="D1485" s="337"/>
    </row>
    <row r="1486">
      <c r="A1486" s="343"/>
      <c r="B1486" s="289"/>
      <c r="C1486" s="289"/>
      <c r="D1486" s="337"/>
    </row>
    <row r="1487">
      <c r="A1487" s="343"/>
      <c r="B1487" s="289"/>
      <c r="C1487" s="289"/>
      <c r="D1487" s="337"/>
    </row>
    <row r="1488">
      <c r="A1488" s="343"/>
      <c r="B1488" s="289"/>
      <c r="C1488" s="289"/>
      <c r="D1488" s="337"/>
    </row>
    <row r="1489">
      <c r="A1489" s="343"/>
      <c r="B1489" s="289"/>
      <c r="C1489" s="289"/>
      <c r="D1489" s="337"/>
    </row>
    <row r="1490">
      <c r="A1490" s="343"/>
      <c r="B1490" s="289"/>
      <c r="C1490" s="289"/>
      <c r="D1490" s="337"/>
    </row>
    <row r="1491">
      <c r="A1491" s="343"/>
      <c r="B1491" s="289"/>
      <c r="C1491" s="289"/>
      <c r="D1491" s="337"/>
    </row>
    <row r="1492">
      <c r="A1492" s="343"/>
      <c r="B1492" s="289"/>
      <c r="C1492" s="289"/>
      <c r="D1492" s="337"/>
    </row>
    <row r="1493">
      <c r="A1493" s="343"/>
      <c r="B1493" s="289"/>
      <c r="C1493" s="289"/>
      <c r="D1493" s="337"/>
    </row>
    <row r="1494">
      <c r="A1494" s="343"/>
      <c r="B1494" s="289"/>
      <c r="C1494" s="289"/>
      <c r="D1494" s="337"/>
    </row>
    <row r="1495">
      <c r="A1495" s="343"/>
      <c r="B1495" s="289"/>
      <c r="C1495" s="289"/>
      <c r="D1495" s="337"/>
    </row>
    <row r="1496">
      <c r="A1496" s="343"/>
      <c r="B1496" s="289"/>
      <c r="C1496" s="289"/>
      <c r="D1496" s="337"/>
    </row>
    <row r="1497">
      <c r="A1497" s="343"/>
      <c r="B1497" s="289"/>
      <c r="C1497" s="289"/>
      <c r="D1497" s="337"/>
    </row>
    <row r="1498">
      <c r="A1498" s="343"/>
      <c r="B1498" s="289"/>
      <c r="C1498" s="289"/>
      <c r="D1498" s="337"/>
    </row>
    <row r="1499">
      <c r="A1499" s="343"/>
      <c r="B1499" s="289"/>
      <c r="C1499" s="289"/>
      <c r="D1499" s="337"/>
    </row>
    <row r="1500">
      <c r="A1500" s="343"/>
      <c r="B1500" s="289"/>
      <c r="C1500" s="289"/>
      <c r="D1500" s="337"/>
    </row>
    <row r="1501">
      <c r="A1501" s="343"/>
      <c r="B1501" s="289"/>
      <c r="C1501" s="289"/>
      <c r="D1501" s="337"/>
    </row>
    <row r="1502">
      <c r="A1502" s="343"/>
      <c r="B1502" s="289"/>
      <c r="C1502" s="289"/>
      <c r="D1502" s="337"/>
    </row>
    <row r="1503">
      <c r="A1503" s="343"/>
      <c r="B1503" s="289"/>
      <c r="C1503" s="289"/>
      <c r="D1503" s="337"/>
    </row>
    <row r="1504">
      <c r="A1504" s="343"/>
      <c r="B1504" s="289"/>
      <c r="C1504" s="289"/>
      <c r="D1504" s="337"/>
    </row>
    <row r="1505">
      <c r="A1505" s="343"/>
      <c r="B1505" s="289"/>
      <c r="C1505" s="289"/>
      <c r="D1505" s="337"/>
    </row>
    <row r="1506">
      <c r="A1506" s="343"/>
      <c r="B1506" s="289"/>
      <c r="C1506" s="289"/>
      <c r="D1506" s="337"/>
    </row>
    <row r="1507">
      <c r="A1507" s="343"/>
      <c r="B1507" s="289"/>
      <c r="C1507" s="289"/>
      <c r="D1507" s="337"/>
    </row>
    <row r="1508">
      <c r="A1508" s="343"/>
      <c r="B1508" s="289"/>
      <c r="C1508" s="289"/>
      <c r="D1508" s="337"/>
    </row>
    <row r="1509">
      <c r="A1509" s="343"/>
      <c r="B1509" s="289"/>
      <c r="C1509" s="289"/>
      <c r="D1509" s="337"/>
    </row>
    <row r="1510">
      <c r="A1510" s="343"/>
      <c r="B1510" s="289"/>
      <c r="C1510" s="289"/>
      <c r="D1510" s="337"/>
    </row>
    <row r="1511">
      <c r="A1511" s="343"/>
      <c r="B1511" s="289"/>
      <c r="C1511" s="289"/>
      <c r="D1511" s="337"/>
    </row>
    <row r="1512">
      <c r="A1512" s="343"/>
      <c r="B1512" s="289"/>
      <c r="C1512" s="289"/>
      <c r="D1512" s="337"/>
    </row>
    <row r="1513">
      <c r="A1513" s="343"/>
      <c r="B1513" s="289"/>
      <c r="C1513" s="289"/>
      <c r="D1513" s="337"/>
    </row>
    <row r="1514">
      <c r="A1514" s="343"/>
      <c r="B1514" s="289"/>
      <c r="C1514" s="289"/>
      <c r="D1514" s="337"/>
    </row>
    <row r="1515">
      <c r="A1515" s="343"/>
      <c r="B1515" s="289"/>
      <c r="C1515" s="289"/>
      <c r="D1515" s="337"/>
    </row>
    <row r="1516">
      <c r="A1516" s="343"/>
      <c r="B1516" s="289"/>
      <c r="C1516" s="289"/>
      <c r="D1516" s="337"/>
    </row>
    <row r="1517">
      <c r="A1517" s="343"/>
      <c r="B1517" s="289"/>
      <c r="C1517" s="289"/>
      <c r="D1517" s="337"/>
    </row>
    <row r="1518">
      <c r="A1518" s="343"/>
      <c r="B1518" s="289"/>
      <c r="C1518" s="289"/>
      <c r="D1518" s="337"/>
    </row>
    <row r="1519">
      <c r="A1519" s="343"/>
      <c r="B1519" s="289"/>
      <c r="C1519" s="289"/>
      <c r="D1519" s="337"/>
    </row>
    <row r="1520">
      <c r="A1520" s="343"/>
      <c r="B1520" s="289"/>
      <c r="C1520" s="289"/>
      <c r="D1520" s="337"/>
    </row>
    <row r="1521">
      <c r="A1521" s="343"/>
      <c r="B1521" s="289"/>
      <c r="C1521" s="289"/>
      <c r="D1521" s="337"/>
    </row>
    <row r="1522">
      <c r="A1522" s="343"/>
      <c r="B1522" s="289"/>
      <c r="C1522" s="289"/>
      <c r="D1522" s="337"/>
    </row>
    <row r="1523">
      <c r="A1523" s="343"/>
      <c r="B1523" s="289"/>
      <c r="C1523" s="289"/>
      <c r="D1523" s="337"/>
    </row>
    <row r="1524">
      <c r="A1524" s="343"/>
      <c r="B1524" s="289"/>
      <c r="C1524" s="289"/>
      <c r="D1524" s="337"/>
    </row>
    <row r="1525">
      <c r="A1525" s="343"/>
      <c r="B1525" s="289"/>
      <c r="C1525" s="289"/>
      <c r="D1525" s="337"/>
    </row>
    <row r="1526">
      <c r="A1526" s="343"/>
      <c r="B1526" s="289"/>
      <c r="C1526" s="289"/>
      <c r="D1526" s="337"/>
    </row>
    <row r="1527">
      <c r="A1527" s="343"/>
      <c r="B1527" s="289"/>
      <c r="C1527" s="289"/>
      <c r="D1527" s="337"/>
    </row>
    <row r="1528">
      <c r="A1528" s="343"/>
      <c r="B1528" s="289"/>
      <c r="C1528" s="289"/>
      <c r="D1528" s="337"/>
    </row>
    <row r="1529">
      <c r="A1529" s="343"/>
      <c r="B1529" s="289"/>
      <c r="C1529" s="289"/>
      <c r="D1529" s="337"/>
    </row>
    <row r="1530">
      <c r="A1530" s="343"/>
      <c r="B1530" s="289"/>
      <c r="C1530" s="289"/>
      <c r="D1530" s="337"/>
    </row>
    <row r="1531">
      <c r="A1531" s="343"/>
      <c r="B1531" s="289"/>
      <c r="C1531" s="289"/>
      <c r="D1531" s="337"/>
    </row>
    <row r="1532">
      <c r="A1532" s="343"/>
      <c r="B1532" s="289"/>
      <c r="C1532" s="289"/>
      <c r="D1532" s="337"/>
    </row>
    <row r="1533">
      <c r="A1533" s="343"/>
      <c r="B1533" s="289"/>
      <c r="C1533" s="289"/>
      <c r="D1533" s="337"/>
    </row>
    <row r="1534">
      <c r="A1534" s="343"/>
      <c r="B1534" s="289"/>
      <c r="C1534" s="289"/>
      <c r="D1534" s="337"/>
    </row>
    <row r="1535">
      <c r="A1535" s="343"/>
      <c r="B1535" s="289"/>
      <c r="C1535" s="289"/>
      <c r="D1535" s="337"/>
    </row>
    <row r="1536">
      <c r="A1536" s="343"/>
      <c r="B1536" s="289"/>
      <c r="C1536" s="289"/>
      <c r="D1536" s="337"/>
    </row>
    <row r="1537">
      <c r="A1537" s="343"/>
      <c r="B1537" s="289"/>
      <c r="C1537" s="289"/>
      <c r="D1537" s="337"/>
    </row>
    <row r="1538">
      <c r="A1538" s="343"/>
      <c r="B1538" s="289"/>
      <c r="C1538" s="289"/>
      <c r="D1538" s="337"/>
    </row>
    <row r="1539">
      <c r="A1539" s="343"/>
      <c r="B1539" s="289"/>
      <c r="C1539" s="289"/>
      <c r="D1539" s="337"/>
    </row>
    <row r="1540">
      <c r="A1540" s="343"/>
      <c r="B1540" s="289"/>
      <c r="C1540" s="289"/>
      <c r="D1540" s="337"/>
    </row>
    <row r="1541">
      <c r="A1541" s="343"/>
      <c r="B1541" s="289"/>
      <c r="C1541" s="289"/>
      <c r="D1541" s="337"/>
    </row>
    <row r="1542">
      <c r="A1542" s="343"/>
      <c r="B1542" s="289"/>
      <c r="C1542" s="289"/>
      <c r="D1542" s="337"/>
    </row>
    <row r="1543">
      <c r="A1543" s="343"/>
      <c r="B1543" s="289"/>
      <c r="C1543" s="289"/>
      <c r="D1543" s="337"/>
    </row>
    <row r="1544">
      <c r="A1544" s="343"/>
      <c r="B1544" s="289"/>
      <c r="C1544" s="289"/>
      <c r="D1544" s="337"/>
    </row>
    <row r="1545">
      <c r="A1545" s="343"/>
      <c r="B1545" s="289"/>
      <c r="C1545" s="289"/>
      <c r="D1545" s="337"/>
    </row>
    <row r="1546">
      <c r="A1546" s="343"/>
      <c r="B1546" s="289"/>
      <c r="C1546" s="289"/>
      <c r="D1546" s="337"/>
    </row>
    <row r="1547">
      <c r="A1547" s="343"/>
      <c r="B1547" s="289"/>
      <c r="C1547" s="289"/>
      <c r="D1547" s="337"/>
    </row>
    <row r="1548">
      <c r="A1548" s="343"/>
      <c r="B1548" s="289"/>
      <c r="C1548" s="289"/>
      <c r="D1548" s="337"/>
    </row>
    <row r="1549">
      <c r="A1549" s="343"/>
      <c r="B1549" s="289"/>
      <c r="C1549" s="289"/>
      <c r="D1549" s="337"/>
    </row>
    <row r="1550">
      <c r="A1550" s="343"/>
      <c r="B1550" s="289"/>
      <c r="C1550" s="289"/>
      <c r="D1550" s="337"/>
    </row>
    <row r="1551">
      <c r="A1551" s="343"/>
      <c r="B1551" s="289"/>
      <c r="C1551" s="289"/>
      <c r="D1551" s="337"/>
    </row>
    <row r="1552">
      <c r="A1552" s="343"/>
      <c r="B1552" s="289"/>
      <c r="C1552" s="289"/>
      <c r="D1552" s="337"/>
    </row>
    <row r="1553">
      <c r="A1553" s="343"/>
      <c r="B1553" s="289"/>
      <c r="C1553" s="289"/>
      <c r="D1553" s="337"/>
    </row>
    <row r="1554">
      <c r="A1554" s="343"/>
      <c r="B1554" s="289"/>
      <c r="C1554" s="289"/>
      <c r="D1554" s="337"/>
    </row>
    <row r="1555">
      <c r="A1555" s="343"/>
      <c r="B1555" s="289"/>
      <c r="C1555" s="289"/>
      <c r="D1555" s="337"/>
    </row>
    <row r="1556">
      <c r="A1556" s="343"/>
      <c r="B1556" s="289"/>
      <c r="C1556" s="289"/>
      <c r="D1556" s="337"/>
    </row>
    <row r="1557">
      <c r="A1557" s="343"/>
      <c r="B1557" s="289"/>
      <c r="C1557" s="289"/>
      <c r="D1557" s="337"/>
    </row>
    <row r="1558">
      <c r="A1558" s="343"/>
      <c r="B1558" s="289"/>
      <c r="C1558" s="289"/>
      <c r="D1558" s="337"/>
    </row>
    <row r="1559">
      <c r="A1559" s="343"/>
      <c r="B1559" s="289"/>
      <c r="C1559" s="289"/>
      <c r="D1559" s="337"/>
    </row>
    <row r="1560">
      <c r="A1560" s="343"/>
      <c r="B1560" s="289"/>
      <c r="C1560" s="289"/>
      <c r="D1560" s="337"/>
    </row>
    <row r="1561">
      <c r="A1561" s="343"/>
      <c r="B1561" s="289"/>
      <c r="C1561" s="289"/>
      <c r="D1561" s="337"/>
    </row>
    <row r="1562">
      <c r="A1562" s="343"/>
      <c r="B1562" s="289"/>
      <c r="C1562" s="289"/>
      <c r="D1562" s="337"/>
    </row>
    <row r="1563">
      <c r="A1563" s="343"/>
      <c r="B1563" s="289"/>
      <c r="C1563" s="289"/>
      <c r="D1563" s="337"/>
    </row>
    <row r="1564">
      <c r="A1564" s="343"/>
      <c r="B1564" s="289"/>
      <c r="C1564" s="289"/>
      <c r="D1564" s="337"/>
    </row>
    <row r="1565">
      <c r="A1565" s="343"/>
      <c r="B1565" s="289"/>
      <c r="C1565" s="289"/>
      <c r="D1565" s="337"/>
    </row>
    <row r="1566">
      <c r="A1566" s="343"/>
      <c r="B1566" s="289"/>
      <c r="C1566" s="289"/>
      <c r="D1566" s="337"/>
    </row>
    <row r="1567">
      <c r="A1567" s="343"/>
      <c r="B1567" s="289"/>
      <c r="C1567" s="289"/>
      <c r="D1567" s="337"/>
    </row>
    <row r="1568">
      <c r="A1568" s="343"/>
      <c r="B1568" s="289"/>
      <c r="C1568" s="289"/>
      <c r="D1568" s="337"/>
    </row>
    <row r="1569">
      <c r="A1569" s="343"/>
      <c r="B1569" s="289"/>
      <c r="C1569" s="289"/>
      <c r="D1569" s="337"/>
    </row>
    <row r="1570">
      <c r="A1570" s="343"/>
      <c r="B1570" s="289"/>
      <c r="C1570" s="289"/>
      <c r="D1570" s="337"/>
    </row>
    <row r="1571">
      <c r="A1571" s="343"/>
      <c r="B1571" s="289"/>
      <c r="C1571" s="289"/>
      <c r="D1571" s="337"/>
    </row>
    <row r="1572">
      <c r="A1572" s="343"/>
      <c r="B1572" s="289"/>
      <c r="C1572" s="289"/>
      <c r="D1572" s="337"/>
    </row>
    <row r="1573">
      <c r="A1573" s="343"/>
      <c r="B1573" s="289"/>
      <c r="C1573" s="289"/>
      <c r="D1573" s="337"/>
    </row>
    <row r="1574">
      <c r="A1574" s="343"/>
      <c r="B1574" s="289"/>
      <c r="C1574" s="289"/>
      <c r="D1574" s="337"/>
    </row>
    <row r="1575">
      <c r="A1575" s="343"/>
      <c r="B1575" s="289"/>
      <c r="C1575" s="289"/>
      <c r="D1575" s="337"/>
    </row>
    <row r="1576">
      <c r="A1576" s="343"/>
      <c r="B1576" s="289"/>
      <c r="C1576" s="289"/>
      <c r="D1576" s="337"/>
    </row>
    <row r="1577">
      <c r="A1577" s="343"/>
      <c r="B1577" s="289"/>
      <c r="C1577" s="289"/>
      <c r="D1577" s="337"/>
    </row>
    <row r="1578">
      <c r="A1578" s="343"/>
      <c r="B1578" s="289"/>
      <c r="C1578" s="289"/>
      <c r="D1578" s="337"/>
    </row>
    <row r="1579">
      <c r="A1579" s="343"/>
      <c r="B1579" s="289"/>
      <c r="C1579" s="289"/>
      <c r="D1579" s="337"/>
    </row>
    <row r="1580">
      <c r="A1580" s="343"/>
      <c r="B1580" s="289"/>
      <c r="C1580" s="289"/>
      <c r="D1580" s="337"/>
    </row>
    <row r="1581">
      <c r="A1581" s="343"/>
      <c r="B1581" s="289"/>
      <c r="C1581" s="289"/>
      <c r="D1581" s="337"/>
    </row>
    <row r="1582">
      <c r="A1582" s="343"/>
      <c r="B1582" s="289"/>
      <c r="C1582" s="289"/>
      <c r="D1582" s="337"/>
    </row>
    <row r="1583">
      <c r="A1583" s="343"/>
      <c r="B1583" s="289"/>
      <c r="C1583" s="289"/>
      <c r="D1583" s="337"/>
    </row>
    <row r="1584">
      <c r="A1584" s="343"/>
      <c r="B1584" s="289"/>
      <c r="C1584" s="289"/>
      <c r="D1584" s="337"/>
    </row>
    <row r="1585">
      <c r="A1585" s="343"/>
      <c r="B1585" s="289"/>
      <c r="C1585" s="289"/>
      <c r="D1585" s="337"/>
    </row>
    <row r="1586">
      <c r="A1586" s="343"/>
      <c r="B1586" s="289"/>
      <c r="C1586" s="289"/>
      <c r="D1586" s="337"/>
    </row>
    <row r="1587">
      <c r="A1587" s="343"/>
      <c r="B1587" s="289"/>
      <c r="C1587" s="289"/>
      <c r="D1587" s="337"/>
    </row>
    <row r="1588">
      <c r="A1588" s="343"/>
      <c r="B1588" s="289"/>
      <c r="C1588" s="289"/>
      <c r="D1588" s="337"/>
    </row>
    <row r="1589">
      <c r="A1589" s="343"/>
      <c r="B1589" s="289"/>
      <c r="C1589" s="289"/>
      <c r="D1589" s="337"/>
    </row>
    <row r="1590">
      <c r="A1590" s="343"/>
      <c r="B1590" s="289"/>
      <c r="C1590" s="289"/>
      <c r="D1590" s="337"/>
    </row>
    <row r="1591">
      <c r="A1591" s="343"/>
      <c r="B1591" s="289"/>
      <c r="C1591" s="289"/>
      <c r="D1591" s="337"/>
    </row>
    <row r="1592">
      <c r="A1592" s="343"/>
      <c r="B1592" s="289"/>
      <c r="C1592" s="289"/>
      <c r="D1592" s="337"/>
    </row>
    <row r="1593">
      <c r="A1593" s="343"/>
      <c r="B1593" s="289"/>
      <c r="C1593" s="289"/>
      <c r="D1593" s="337"/>
    </row>
    <row r="1594">
      <c r="A1594" s="343"/>
      <c r="B1594" s="289"/>
      <c r="C1594" s="289"/>
      <c r="D1594" s="337"/>
    </row>
    <row r="1595">
      <c r="A1595" s="343"/>
      <c r="B1595" s="289"/>
      <c r="C1595" s="289"/>
      <c r="D1595" s="337"/>
    </row>
    <row r="1596">
      <c r="A1596" s="343"/>
      <c r="B1596" s="289"/>
      <c r="C1596" s="289"/>
      <c r="D1596" s="337"/>
    </row>
    <row r="1597">
      <c r="A1597" s="343"/>
      <c r="B1597" s="289"/>
      <c r="C1597" s="289"/>
      <c r="D1597" s="337"/>
    </row>
    <row r="1598">
      <c r="A1598" s="343"/>
      <c r="B1598" s="289"/>
      <c r="C1598" s="289"/>
      <c r="D1598" s="337"/>
    </row>
    <row r="1599">
      <c r="A1599" s="343"/>
      <c r="B1599" s="289"/>
      <c r="C1599" s="289"/>
      <c r="D1599" s="337"/>
    </row>
    <row r="1600">
      <c r="A1600" s="343"/>
      <c r="B1600" s="289"/>
      <c r="C1600" s="289"/>
      <c r="D1600" s="337"/>
    </row>
    <row r="1601">
      <c r="A1601" s="343"/>
      <c r="B1601" s="289"/>
      <c r="C1601" s="289"/>
      <c r="D1601" s="337"/>
    </row>
    <row r="1602">
      <c r="A1602" s="343"/>
      <c r="B1602" s="289"/>
      <c r="C1602" s="289"/>
      <c r="D1602" s="337"/>
    </row>
    <row r="1603">
      <c r="A1603" s="343"/>
      <c r="B1603" s="289"/>
      <c r="C1603" s="289"/>
      <c r="D1603" s="337"/>
    </row>
    <row r="1604">
      <c r="A1604" s="343"/>
      <c r="B1604" s="289"/>
      <c r="C1604" s="289"/>
      <c r="D1604" s="337"/>
    </row>
    <row r="1605">
      <c r="A1605" s="343"/>
      <c r="B1605" s="289"/>
      <c r="C1605" s="289"/>
      <c r="D1605" s="337"/>
    </row>
    <row r="1606">
      <c r="A1606" s="343"/>
      <c r="B1606" s="289"/>
      <c r="C1606" s="289"/>
      <c r="D1606" s="337"/>
    </row>
    <row r="1607">
      <c r="A1607" s="343"/>
      <c r="B1607" s="289"/>
      <c r="C1607" s="289"/>
      <c r="D1607" s="337"/>
    </row>
    <row r="1608">
      <c r="A1608" s="343"/>
      <c r="B1608" s="289"/>
      <c r="C1608" s="289"/>
      <c r="D1608" s="337"/>
    </row>
    <row r="1609">
      <c r="A1609" s="343"/>
      <c r="B1609" s="289"/>
      <c r="C1609" s="289"/>
      <c r="D1609" s="337"/>
    </row>
    <row r="1610">
      <c r="A1610" s="343"/>
      <c r="B1610" s="289"/>
      <c r="C1610" s="289"/>
      <c r="D1610" s="337"/>
    </row>
    <row r="1611">
      <c r="A1611" s="343"/>
      <c r="B1611" s="289"/>
      <c r="C1611" s="289"/>
      <c r="D1611" s="337"/>
    </row>
    <row r="1612">
      <c r="A1612" s="343"/>
      <c r="B1612" s="289"/>
      <c r="C1612" s="289"/>
      <c r="D1612" s="337"/>
    </row>
    <row r="1613">
      <c r="A1613" s="343"/>
      <c r="B1613" s="289"/>
      <c r="C1613" s="289"/>
      <c r="D1613" s="337"/>
    </row>
    <row r="1614">
      <c r="A1614" s="343"/>
      <c r="B1614" s="289"/>
      <c r="C1614" s="289"/>
      <c r="D1614" s="337"/>
    </row>
    <row r="1615">
      <c r="A1615" s="343"/>
      <c r="B1615" s="289"/>
      <c r="C1615" s="289"/>
      <c r="D1615" s="337"/>
    </row>
    <row r="1616">
      <c r="A1616" s="343"/>
      <c r="B1616" s="289"/>
      <c r="C1616" s="289"/>
      <c r="D1616" s="337"/>
    </row>
    <row r="1617">
      <c r="A1617" s="343"/>
      <c r="B1617" s="289"/>
      <c r="C1617" s="289"/>
      <c r="D1617" s="337"/>
    </row>
    <row r="1618">
      <c r="A1618" s="343"/>
      <c r="B1618" s="289"/>
      <c r="C1618" s="289"/>
      <c r="D1618" s="337"/>
    </row>
    <row r="1619">
      <c r="A1619" s="343"/>
      <c r="B1619" s="289"/>
      <c r="C1619" s="289"/>
      <c r="D1619" s="337"/>
    </row>
    <row r="1620">
      <c r="A1620" s="343"/>
      <c r="B1620" s="289"/>
      <c r="C1620" s="289"/>
      <c r="D1620" s="337"/>
    </row>
    <row r="1621">
      <c r="A1621" s="343"/>
      <c r="B1621" s="289"/>
      <c r="C1621" s="289"/>
      <c r="D1621" s="337"/>
    </row>
    <row r="1622">
      <c r="A1622" s="343"/>
      <c r="B1622" s="289"/>
      <c r="C1622" s="289"/>
      <c r="D1622" s="337"/>
    </row>
    <row r="1623">
      <c r="A1623" s="343"/>
      <c r="B1623" s="289"/>
      <c r="C1623" s="289"/>
      <c r="D1623" s="337"/>
    </row>
    <row r="1624">
      <c r="A1624" s="343"/>
      <c r="B1624" s="289"/>
      <c r="C1624" s="289"/>
      <c r="D1624" s="337"/>
    </row>
    <row r="1625">
      <c r="A1625" s="343"/>
      <c r="B1625" s="289"/>
      <c r="C1625" s="289"/>
      <c r="D1625" s="337"/>
    </row>
    <row r="1626">
      <c r="A1626" s="343"/>
      <c r="B1626" s="289"/>
      <c r="C1626" s="289"/>
      <c r="D1626" s="337"/>
    </row>
    <row r="1627">
      <c r="A1627" s="343"/>
      <c r="B1627" s="289"/>
      <c r="C1627" s="289"/>
      <c r="D1627" s="337"/>
    </row>
    <row r="1628">
      <c r="A1628" s="343"/>
      <c r="B1628" s="289"/>
      <c r="C1628" s="289"/>
      <c r="D1628" s="337"/>
    </row>
    <row r="1629">
      <c r="A1629" s="343"/>
      <c r="B1629" s="289"/>
      <c r="C1629" s="289"/>
      <c r="D1629" s="337"/>
    </row>
    <row r="1630">
      <c r="A1630" s="343"/>
      <c r="B1630" s="289"/>
      <c r="C1630" s="289"/>
      <c r="D1630" s="337"/>
    </row>
    <row r="1631">
      <c r="A1631" s="343"/>
      <c r="B1631" s="289"/>
      <c r="C1631" s="289"/>
      <c r="D1631" s="337"/>
    </row>
    <row r="1632">
      <c r="A1632" s="343"/>
      <c r="B1632" s="289"/>
      <c r="C1632" s="289"/>
      <c r="D1632" s="337"/>
    </row>
    <row r="1633">
      <c r="A1633" s="343"/>
      <c r="B1633" s="289"/>
      <c r="C1633" s="289"/>
      <c r="D1633" s="337"/>
    </row>
    <row r="1634">
      <c r="A1634" s="343"/>
      <c r="B1634" s="289"/>
      <c r="C1634" s="289"/>
      <c r="D1634" s="337"/>
    </row>
    <row r="1635">
      <c r="A1635" s="343"/>
      <c r="B1635" s="289"/>
      <c r="C1635" s="289"/>
      <c r="D1635" s="337"/>
    </row>
    <row r="1636">
      <c r="A1636" s="343"/>
      <c r="B1636" s="289"/>
      <c r="C1636" s="289"/>
      <c r="D1636" s="337"/>
    </row>
    <row r="1637">
      <c r="A1637" s="343"/>
      <c r="B1637" s="289"/>
      <c r="C1637" s="289"/>
      <c r="D1637" s="337"/>
    </row>
    <row r="1638">
      <c r="A1638" s="343"/>
      <c r="B1638" s="289"/>
      <c r="C1638" s="289"/>
      <c r="D1638" s="337"/>
    </row>
    <row r="1639">
      <c r="A1639" s="343"/>
      <c r="B1639" s="289"/>
      <c r="C1639" s="289"/>
      <c r="D1639" s="337"/>
    </row>
    <row r="1640">
      <c r="A1640" s="343"/>
      <c r="B1640" s="289"/>
      <c r="C1640" s="289"/>
      <c r="D1640" s="337"/>
    </row>
    <row r="1641">
      <c r="A1641" s="343"/>
      <c r="B1641" s="289"/>
      <c r="C1641" s="289"/>
      <c r="D1641" s="337"/>
    </row>
    <row r="1642">
      <c r="A1642" s="343"/>
      <c r="B1642" s="289"/>
      <c r="C1642" s="289"/>
      <c r="D1642" s="337"/>
    </row>
    <row r="1643">
      <c r="A1643" s="343"/>
      <c r="B1643" s="289"/>
      <c r="C1643" s="289"/>
      <c r="D1643" s="337"/>
    </row>
    <row r="1644">
      <c r="A1644" s="343"/>
      <c r="B1644" s="289"/>
      <c r="C1644" s="289"/>
      <c r="D1644" s="337"/>
    </row>
    <row r="1645">
      <c r="A1645" s="343"/>
      <c r="B1645" s="289"/>
      <c r="C1645" s="289"/>
      <c r="D1645" s="337"/>
    </row>
    <row r="1646">
      <c r="A1646" s="343"/>
      <c r="B1646" s="289"/>
      <c r="C1646" s="289"/>
      <c r="D1646" s="337"/>
    </row>
    <row r="1647">
      <c r="A1647" s="343"/>
      <c r="B1647" s="289"/>
      <c r="C1647" s="289"/>
      <c r="D1647" s="337"/>
    </row>
    <row r="1648">
      <c r="A1648" s="343"/>
      <c r="B1648" s="289"/>
      <c r="C1648" s="289"/>
      <c r="D1648" s="337"/>
    </row>
    <row r="1649">
      <c r="A1649" s="343"/>
      <c r="B1649" s="289"/>
      <c r="C1649" s="289"/>
      <c r="D1649" s="337"/>
    </row>
    <row r="1650">
      <c r="A1650" s="343"/>
      <c r="B1650" s="289"/>
      <c r="C1650" s="289"/>
      <c r="D1650" s="337"/>
    </row>
    <row r="1651">
      <c r="A1651" s="343"/>
      <c r="B1651" s="289"/>
      <c r="C1651" s="289"/>
      <c r="D1651" s="337"/>
    </row>
    <row r="1652">
      <c r="A1652" s="343"/>
      <c r="B1652" s="289"/>
      <c r="C1652" s="289"/>
      <c r="D1652" s="337"/>
    </row>
    <row r="1653">
      <c r="A1653" s="343"/>
      <c r="B1653" s="289"/>
      <c r="C1653" s="289"/>
      <c r="D1653" s="337"/>
    </row>
    <row r="1654">
      <c r="A1654" s="343"/>
      <c r="B1654" s="289"/>
      <c r="C1654" s="289"/>
      <c r="D1654" s="337"/>
    </row>
    <row r="1655">
      <c r="A1655" s="343"/>
      <c r="B1655" s="289"/>
      <c r="C1655" s="289"/>
      <c r="D1655" s="337"/>
    </row>
    <row r="1656">
      <c r="A1656" s="343"/>
      <c r="B1656" s="289"/>
      <c r="C1656" s="289"/>
      <c r="D1656" s="337"/>
    </row>
    <row r="1657">
      <c r="A1657" s="343"/>
      <c r="B1657" s="289"/>
      <c r="C1657" s="289"/>
      <c r="D1657" s="337"/>
    </row>
    <row r="1658">
      <c r="A1658" s="343"/>
      <c r="B1658" s="289"/>
      <c r="C1658" s="289"/>
      <c r="D1658" s="337"/>
    </row>
    <row r="1659">
      <c r="A1659" s="343"/>
      <c r="B1659" s="289"/>
      <c r="C1659" s="289"/>
      <c r="D1659" s="337"/>
    </row>
    <row r="1660">
      <c r="A1660" s="343"/>
      <c r="B1660" s="289"/>
      <c r="C1660" s="289"/>
      <c r="D1660" s="337"/>
    </row>
    <row r="1661">
      <c r="A1661" s="343"/>
      <c r="B1661" s="289"/>
      <c r="C1661" s="289"/>
      <c r="D1661" s="337"/>
    </row>
    <row r="1662">
      <c r="A1662" s="343"/>
      <c r="B1662" s="289"/>
      <c r="C1662" s="289"/>
      <c r="D1662" s="337"/>
    </row>
    <row r="1663">
      <c r="A1663" s="343"/>
      <c r="B1663" s="289"/>
      <c r="C1663" s="289"/>
      <c r="D1663" s="337"/>
    </row>
    <row r="1664">
      <c r="A1664" s="343"/>
      <c r="B1664" s="289"/>
      <c r="C1664" s="289"/>
      <c r="D1664" s="337"/>
    </row>
    <row r="1665">
      <c r="A1665" s="343"/>
      <c r="B1665" s="289"/>
      <c r="C1665" s="289"/>
      <c r="D1665" s="337"/>
    </row>
    <row r="1666">
      <c r="A1666" s="343"/>
      <c r="B1666" s="289"/>
      <c r="C1666" s="289"/>
      <c r="D1666" s="337"/>
    </row>
    <row r="1667">
      <c r="A1667" s="343"/>
      <c r="B1667" s="289"/>
      <c r="C1667" s="289"/>
      <c r="D1667" s="337"/>
    </row>
    <row r="1668">
      <c r="A1668" s="343"/>
      <c r="B1668" s="289"/>
      <c r="C1668" s="289"/>
      <c r="D1668" s="337"/>
    </row>
    <row r="1669">
      <c r="A1669" s="343"/>
      <c r="B1669" s="289"/>
      <c r="C1669" s="289"/>
      <c r="D1669" s="337"/>
    </row>
    <row r="1670">
      <c r="A1670" s="343"/>
      <c r="B1670" s="289"/>
      <c r="C1670" s="289"/>
      <c r="D1670" s="337"/>
    </row>
    <row r="1671">
      <c r="A1671" s="343"/>
      <c r="B1671" s="289"/>
      <c r="C1671" s="289"/>
      <c r="D1671" s="337"/>
    </row>
    <row r="1672">
      <c r="A1672" s="343"/>
      <c r="B1672" s="289"/>
      <c r="C1672" s="289"/>
      <c r="D1672" s="337"/>
    </row>
    <row r="1673">
      <c r="A1673" s="343"/>
      <c r="B1673" s="289"/>
      <c r="C1673" s="289"/>
      <c r="D1673" s="337"/>
    </row>
    <row r="1674">
      <c r="A1674" s="343"/>
      <c r="B1674" s="289"/>
      <c r="C1674" s="289"/>
      <c r="D1674" s="337"/>
    </row>
    <row r="1675">
      <c r="A1675" s="343"/>
      <c r="B1675" s="289"/>
      <c r="C1675" s="289"/>
      <c r="D1675" s="337"/>
    </row>
    <row r="1676">
      <c r="A1676" s="343"/>
      <c r="B1676" s="289"/>
      <c r="C1676" s="289"/>
      <c r="D1676" s="337"/>
    </row>
    <row r="1677">
      <c r="A1677" s="343"/>
      <c r="B1677" s="289"/>
      <c r="C1677" s="289"/>
      <c r="D1677" s="337"/>
    </row>
    <row r="1678">
      <c r="A1678" s="343"/>
      <c r="B1678" s="289"/>
      <c r="C1678" s="289"/>
      <c r="D1678" s="337"/>
    </row>
    <row r="1679">
      <c r="A1679" s="343"/>
      <c r="B1679" s="289"/>
      <c r="C1679" s="289"/>
      <c r="D1679" s="337"/>
    </row>
    <row r="1680">
      <c r="A1680" s="343"/>
      <c r="B1680" s="289"/>
      <c r="C1680" s="289"/>
      <c r="D1680" s="337"/>
    </row>
    <row r="1681">
      <c r="A1681" s="343"/>
      <c r="B1681" s="289"/>
      <c r="C1681" s="289"/>
      <c r="D1681" s="337"/>
    </row>
    <row r="1682">
      <c r="A1682" s="343"/>
      <c r="B1682" s="289"/>
      <c r="C1682" s="289"/>
      <c r="D1682" s="337"/>
    </row>
    <row r="1683">
      <c r="A1683" s="343"/>
      <c r="B1683" s="289"/>
      <c r="C1683" s="289"/>
      <c r="D1683" s="337"/>
    </row>
    <row r="1684">
      <c r="A1684" s="343"/>
      <c r="B1684" s="289"/>
      <c r="C1684" s="289"/>
      <c r="D1684" s="337"/>
    </row>
    <row r="1685">
      <c r="A1685" s="343"/>
      <c r="B1685" s="289"/>
      <c r="C1685" s="289"/>
      <c r="D1685" s="337"/>
    </row>
    <row r="1686">
      <c r="A1686" s="343"/>
      <c r="B1686" s="289"/>
      <c r="C1686" s="289"/>
      <c r="D1686" s="337"/>
    </row>
    <row r="1687">
      <c r="A1687" s="343"/>
      <c r="B1687" s="289"/>
      <c r="C1687" s="289"/>
      <c r="D1687" s="337"/>
    </row>
    <row r="1688">
      <c r="A1688" s="343"/>
      <c r="B1688" s="289"/>
      <c r="C1688" s="289"/>
      <c r="D1688" s="337"/>
    </row>
    <row r="1689">
      <c r="A1689" s="343"/>
      <c r="B1689" s="289"/>
      <c r="C1689" s="289"/>
      <c r="D1689" s="337"/>
    </row>
    <row r="1690">
      <c r="A1690" s="343"/>
      <c r="B1690" s="289"/>
      <c r="C1690" s="289"/>
      <c r="D1690" s="337"/>
    </row>
    <row r="1691">
      <c r="A1691" s="343"/>
      <c r="B1691" s="289"/>
      <c r="C1691" s="289"/>
      <c r="D1691" s="337"/>
    </row>
    <row r="1692">
      <c r="A1692" s="343"/>
      <c r="B1692" s="289"/>
      <c r="C1692" s="289"/>
      <c r="D1692" s="337"/>
    </row>
    <row r="1693">
      <c r="A1693" s="343"/>
      <c r="B1693" s="289"/>
      <c r="C1693" s="289"/>
      <c r="D1693" s="337"/>
    </row>
    <row r="1694">
      <c r="A1694" s="343"/>
      <c r="B1694" s="289"/>
      <c r="C1694" s="289"/>
      <c r="D1694" s="337"/>
    </row>
    <row r="1695">
      <c r="A1695" s="343"/>
      <c r="B1695" s="289"/>
      <c r="C1695" s="289"/>
      <c r="D1695" s="337"/>
    </row>
    <row r="1696">
      <c r="A1696" s="343"/>
      <c r="B1696" s="289"/>
      <c r="C1696" s="289"/>
      <c r="D1696" s="337"/>
    </row>
    <row r="1697">
      <c r="A1697" s="343"/>
      <c r="B1697" s="289"/>
      <c r="C1697" s="289"/>
      <c r="D1697" s="337"/>
    </row>
    <row r="1698">
      <c r="A1698" s="343"/>
      <c r="B1698" s="289"/>
      <c r="C1698" s="289"/>
      <c r="D1698" s="337"/>
    </row>
    <row r="1699">
      <c r="A1699" s="343"/>
      <c r="B1699" s="289"/>
      <c r="C1699" s="289"/>
      <c r="D1699" s="337"/>
    </row>
    <row r="1700">
      <c r="A1700" s="343"/>
      <c r="B1700" s="289"/>
      <c r="C1700" s="289"/>
      <c r="D1700" s="337"/>
    </row>
    <row r="1701">
      <c r="A1701" s="343"/>
      <c r="B1701" s="289"/>
      <c r="C1701" s="289"/>
      <c r="D1701" s="337"/>
    </row>
    <row r="1702">
      <c r="A1702" s="343"/>
      <c r="B1702" s="289"/>
      <c r="C1702" s="289"/>
      <c r="D1702" s="337"/>
    </row>
    <row r="1703">
      <c r="A1703" s="343"/>
      <c r="B1703" s="289"/>
      <c r="C1703" s="289"/>
      <c r="D1703" s="337"/>
    </row>
    <row r="1704">
      <c r="A1704" s="343"/>
      <c r="B1704" s="289"/>
      <c r="C1704" s="289"/>
      <c r="D1704" s="337"/>
    </row>
    <row r="1705">
      <c r="A1705" s="343"/>
      <c r="B1705" s="289"/>
      <c r="C1705" s="289"/>
      <c r="D1705" s="337"/>
    </row>
    <row r="1706">
      <c r="A1706" s="343"/>
      <c r="B1706" s="289"/>
      <c r="C1706" s="289"/>
      <c r="D1706" s="337"/>
    </row>
    <row r="1707">
      <c r="A1707" s="343"/>
      <c r="B1707" s="289"/>
      <c r="C1707" s="289"/>
      <c r="D1707" s="337"/>
    </row>
    <row r="1708">
      <c r="A1708" s="343"/>
      <c r="B1708" s="289"/>
      <c r="C1708" s="289"/>
      <c r="D1708" s="337"/>
    </row>
    <row r="1709">
      <c r="A1709" s="343"/>
      <c r="B1709" s="289"/>
      <c r="C1709" s="289"/>
      <c r="D1709" s="337"/>
    </row>
    <row r="1710">
      <c r="A1710" s="343"/>
      <c r="B1710" s="289"/>
      <c r="C1710" s="289"/>
      <c r="D1710" s="337"/>
    </row>
    <row r="1711">
      <c r="A1711" s="343"/>
      <c r="B1711" s="289"/>
      <c r="C1711" s="289"/>
      <c r="D1711" s="337"/>
    </row>
    <row r="1712">
      <c r="A1712" s="343"/>
      <c r="B1712" s="289"/>
      <c r="C1712" s="289"/>
      <c r="D1712" s="337"/>
    </row>
    <row r="1713">
      <c r="A1713" s="343"/>
      <c r="B1713" s="289"/>
      <c r="C1713" s="289"/>
      <c r="D1713" s="337"/>
    </row>
    <row r="1714">
      <c r="A1714" s="343"/>
      <c r="B1714" s="289"/>
      <c r="C1714" s="289"/>
      <c r="D1714" s="337"/>
    </row>
    <row r="1715">
      <c r="A1715" s="343"/>
      <c r="B1715" s="289"/>
      <c r="C1715" s="289"/>
      <c r="D1715" s="337"/>
    </row>
    <row r="1716">
      <c r="A1716" s="343"/>
      <c r="B1716" s="289"/>
      <c r="C1716" s="289"/>
      <c r="D1716" s="337"/>
    </row>
    <row r="1717">
      <c r="A1717" s="343"/>
      <c r="B1717" s="289"/>
      <c r="C1717" s="289"/>
      <c r="D1717" s="337"/>
    </row>
    <row r="1718">
      <c r="A1718" s="343"/>
      <c r="B1718" s="289"/>
      <c r="C1718" s="289"/>
      <c r="D1718" s="337"/>
    </row>
    <row r="1719">
      <c r="A1719" s="343"/>
      <c r="B1719" s="289"/>
      <c r="C1719" s="289"/>
      <c r="D1719" s="337"/>
    </row>
    <row r="1720">
      <c r="A1720" s="343"/>
      <c r="B1720" s="289"/>
      <c r="C1720" s="289"/>
      <c r="D1720" s="337"/>
    </row>
    <row r="1721">
      <c r="A1721" s="343"/>
      <c r="B1721" s="289"/>
      <c r="C1721" s="289"/>
      <c r="D1721" s="337"/>
    </row>
    <row r="1722">
      <c r="A1722" s="343"/>
      <c r="B1722" s="289"/>
      <c r="C1722" s="289"/>
      <c r="D1722" s="337"/>
    </row>
    <row r="1723">
      <c r="A1723" s="343"/>
      <c r="B1723" s="289"/>
      <c r="C1723" s="289"/>
      <c r="D1723" s="337"/>
    </row>
    <row r="1724">
      <c r="A1724" s="343"/>
      <c r="B1724" s="289"/>
      <c r="C1724" s="289"/>
      <c r="D1724" s="337"/>
    </row>
    <row r="1725">
      <c r="A1725" s="343"/>
      <c r="B1725" s="289"/>
      <c r="C1725" s="289"/>
      <c r="D1725" s="337"/>
    </row>
    <row r="1726">
      <c r="A1726" s="343"/>
      <c r="B1726" s="289"/>
      <c r="C1726" s="289"/>
      <c r="D1726" s="337"/>
    </row>
    <row r="1727">
      <c r="A1727" s="343"/>
      <c r="B1727" s="289"/>
      <c r="C1727" s="289"/>
      <c r="D1727" s="337"/>
    </row>
    <row r="1728">
      <c r="A1728" s="343"/>
      <c r="B1728" s="289"/>
      <c r="C1728" s="289"/>
      <c r="D1728" s="337"/>
    </row>
    <row r="1729">
      <c r="A1729" s="343"/>
      <c r="B1729" s="289"/>
      <c r="C1729" s="289"/>
      <c r="D1729" s="337"/>
    </row>
    <row r="1730">
      <c r="A1730" s="343"/>
      <c r="B1730" s="289"/>
      <c r="C1730" s="289"/>
      <c r="D1730" s="337"/>
    </row>
    <row r="1731">
      <c r="A1731" s="343"/>
      <c r="B1731" s="289"/>
      <c r="C1731" s="289"/>
      <c r="D1731" s="337"/>
    </row>
    <row r="1732">
      <c r="A1732" s="343"/>
      <c r="B1732" s="289"/>
      <c r="C1732" s="289"/>
      <c r="D1732" s="337"/>
    </row>
    <row r="1733">
      <c r="A1733" s="343"/>
      <c r="B1733" s="289"/>
      <c r="C1733" s="289"/>
      <c r="D1733" s="337"/>
    </row>
    <row r="1734">
      <c r="A1734" s="343"/>
      <c r="B1734" s="289"/>
      <c r="C1734" s="289"/>
      <c r="D1734" s="337"/>
    </row>
    <row r="1735">
      <c r="A1735" s="343"/>
      <c r="B1735" s="289"/>
      <c r="C1735" s="289"/>
      <c r="D1735" s="337"/>
    </row>
    <row r="1736">
      <c r="A1736" s="343"/>
      <c r="B1736" s="289"/>
      <c r="C1736" s="289"/>
      <c r="D1736" s="337"/>
    </row>
    <row r="1737">
      <c r="A1737" s="343"/>
      <c r="B1737" s="289"/>
      <c r="C1737" s="289"/>
      <c r="D1737" s="337"/>
    </row>
    <row r="1738">
      <c r="A1738" s="343"/>
      <c r="B1738" s="289"/>
      <c r="C1738" s="289"/>
      <c r="D1738" s="337"/>
    </row>
    <row r="1739">
      <c r="A1739" s="343"/>
      <c r="B1739" s="289"/>
      <c r="C1739" s="289"/>
      <c r="D1739" s="337"/>
    </row>
    <row r="1740">
      <c r="A1740" s="343"/>
      <c r="B1740" s="289"/>
      <c r="C1740" s="289"/>
      <c r="D1740" s="337"/>
    </row>
    <row r="1741">
      <c r="A1741" s="343"/>
      <c r="B1741" s="289"/>
      <c r="C1741" s="289"/>
      <c r="D1741" s="337"/>
    </row>
    <row r="1742">
      <c r="A1742" s="343"/>
      <c r="B1742" s="289"/>
      <c r="C1742" s="289"/>
      <c r="D1742" s="337"/>
    </row>
    <row r="1743">
      <c r="A1743" s="343"/>
      <c r="B1743" s="289"/>
      <c r="C1743" s="289"/>
      <c r="D1743" s="337"/>
    </row>
    <row r="1744">
      <c r="A1744" s="343"/>
      <c r="B1744" s="289"/>
      <c r="C1744" s="289"/>
      <c r="D1744" s="337"/>
    </row>
    <row r="1745">
      <c r="A1745" s="343"/>
      <c r="B1745" s="289"/>
      <c r="C1745" s="289"/>
      <c r="D1745" s="337"/>
    </row>
    <row r="1746">
      <c r="A1746" s="343"/>
      <c r="B1746" s="289"/>
      <c r="C1746" s="289"/>
      <c r="D1746" s="337"/>
    </row>
    <row r="1747">
      <c r="A1747" s="343"/>
      <c r="B1747" s="289"/>
      <c r="C1747" s="289"/>
      <c r="D1747" s="337"/>
    </row>
    <row r="1748">
      <c r="A1748" s="343"/>
      <c r="B1748" s="289"/>
      <c r="C1748" s="289"/>
      <c r="D1748" s="337"/>
    </row>
    <row r="1749">
      <c r="A1749" s="343"/>
      <c r="B1749" s="289"/>
      <c r="C1749" s="289"/>
      <c r="D1749" s="337"/>
    </row>
    <row r="1750">
      <c r="A1750" s="343"/>
      <c r="B1750" s="289"/>
      <c r="C1750" s="289"/>
      <c r="D1750" s="337"/>
    </row>
    <row r="1751">
      <c r="A1751" s="343"/>
      <c r="B1751" s="289"/>
      <c r="C1751" s="289"/>
      <c r="D1751" s="337"/>
    </row>
    <row r="1752">
      <c r="A1752" s="343"/>
      <c r="B1752" s="289"/>
      <c r="C1752" s="289"/>
      <c r="D1752" s="337"/>
    </row>
    <row r="1753">
      <c r="A1753" s="343"/>
      <c r="B1753" s="289"/>
      <c r="C1753" s="289"/>
      <c r="D1753" s="337"/>
    </row>
    <row r="1754">
      <c r="A1754" s="343"/>
      <c r="B1754" s="289"/>
      <c r="C1754" s="289"/>
      <c r="D1754" s="337"/>
    </row>
    <row r="1755">
      <c r="A1755" s="343"/>
      <c r="B1755" s="289"/>
      <c r="C1755" s="289"/>
      <c r="D1755" s="337"/>
    </row>
    <row r="1756">
      <c r="A1756" s="343"/>
      <c r="B1756" s="289"/>
      <c r="C1756" s="289"/>
      <c r="D1756" s="337"/>
    </row>
    <row r="1757">
      <c r="A1757" s="343"/>
      <c r="B1757" s="289"/>
      <c r="C1757" s="289"/>
      <c r="D1757" s="337"/>
    </row>
    <row r="1758">
      <c r="A1758" s="343"/>
      <c r="B1758" s="289"/>
      <c r="C1758" s="289"/>
      <c r="D1758" s="337"/>
    </row>
    <row r="1759">
      <c r="A1759" s="343"/>
      <c r="B1759" s="289"/>
      <c r="C1759" s="289"/>
      <c r="D1759" s="337"/>
    </row>
    <row r="1760">
      <c r="A1760" s="343"/>
      <c r="B1760" s="289"/>
      <c r="C1760" s="289"/>
      <c r="D1760" s="337"/>
    </row>
    <row r="1761">
      <c r="A1761" s="343"/>
      <c r="B1761" s="289"/>
      <c r="C1761" s="289"/>
      <c r="D1761" s="337"/>
    </row>
    <row r="1762">
      <c r="A1762" s="343"/>
      <c r="B1762" s="289"/>
      <c r="C1762" s="289"/>
      <c r="D1762" s="337"/>
    </row>
    <row r="1763">
      <c r="A1763" s="343"/>
      <c r="B1763" s="289"/>
      <c r="C1763" s="289"/>
      <c r="D1763" s="337"/>
    </row>
    <row r="1764">
      <c r="A1764" s="343"/>
      <c r="B1764" s="289"/>
      <c r="C1764" s="289"/>
      <c r="D1764" s="337"/>
    </row>
    <row r="1765">
      <c r="A1765" s="343"/>
      <c r="B1765" s="289"/>
      <c r="C1765" s="289"/>
      <c r="D1765" s="337"/>
    </row>
    <row r="1766">
      <c r="A1766" s="343"/>
      <c r="B1766" s="289"/>
      <c r="C1766" s="289"/>
      <c r="D1766" s="337"/>
    </row>
    <row r="1767">
      <c r="A1767" s="343"/>
      <c r="B1767" s="289"/>
      <c r="C1767" s="289"/>
      <c r="D1767" s="337"/>
    </row>
    <row r="1768">
      <c r="A1768" s="343"/>
      <c r="B1768" s="289"/>
      <c r="C1768" s="289"/>
      <c r="D1768" s="337"/>
    </row>
    <row r="1769">
      <c r="A1769" s="343"/>
      <c r="B1769" s="289"/>
      <c r="C1769" s="289"/>
      <c r="D1769" s="337"/>
    </row>
    <row r="1770">
      <c r="A1770" s="343"/>
      <c r="B1770" s="289"/>
      <c r="C1770" s="289"/>
      <c r="D1770" s="337"/>
    </row>
    <row r="1771">
      <c r="A1771" s="343"/>
      <c r="B1771" s="289"/>
      <c r="C1771" s="289"/>
      <c r="D1771" s="337"/>
    </row>
    <row r="1772">
      <c r="A1772" s="343"/>
      <c r="B1772" s="289"/>
      <c r="C1772" s="289"/>
      <c r="D1772" s="337"/>
    </row>
    <row r="1773">
      <c r="A1773" s="343"/>
      <c r="B1773" s="289"/>
      <c r="C1773" s="289"/>
      <c r="D1773" s="337"/>
    </row>
    <row r="1774">
      <c r="A1774" s="343"/>
      <c r="B1774" s="289"/>
      <c r="C1774" s="289"/>
      <c r="D1774" s="337"/>
    </row>
    <row r="1775">
      <c r="A1775" s="343"/>
      <c r="B1775" s="289"/>
      <c r="C1775" s="289"/>
      <c r="D1775" s="337"/>
    </row>
    <row r="1776">
      <c r="A1776" s="343"/>
      <c r="B1776" s="289"/>
      <c r="C1776" s="289"/>
      <c r="D1776" s="337"/>
    </row>
    <row r="1777">
      <c r="A1777" s="343"/>
      <c r="B1777" s="289"/>
      <c r="C1777" s="289"/>
      <c r="D1777" s="337"/>
    </row>
    <row r="1778">
      <c r="A1778" s="343"/>
      <c r="B1778" s="289"/>
      <c r="C1778" s="289"/>
      <c r="D1778" s="337"/>
    </row>
    <row r="1779">
      <c r="A1779" s="343"/>
      <c r="B1779" s="289"/>
      <c r="C1779" s="289"/>
      <c r="D1779" s="337"/>
    </row>
    <row r="1780">
      <c r="A1780" s="343"/>
      <c r="B1780" s="289"/>
      <c r="C1780" s="289"/>
      <c r="D1780" s="337"/>
    </row>
    <row r="1781">
      <c r="A1781" s="343"/>
      <c r="B1781" s="289"/>
      <c r="C1781" s="289"/>
      <c r="D1781" s="337"/>
    </row>
    <row r="1782">
      <c r="A1782" s="343"/>
      <c r="B1782" s="289"/>
      <c r="C1782" s="289"/>
      <c r="D1782" s="337"/>
    </row>
    <row r="1783">
      <c r="A1783" s="343"/>
      <c r="B1783" s="289"/>
      <c r="C1783" s="289"/>
      <c r="D1783" s="337"/>
    </row>
    <row r="1784">
      <c r="A1784" s="343"/>
      <c r="B1784" s="289"/>
      <c r="C1784" s="289"/>
      <c r="D1784" s="337"/>
    </row>
    <row r="1785">
      <c r="A1785" s="343"/>
      <c r="B1785" s="289"/>
      <c r="C1785" s="289"/>
      <c r="D1785" s="337"/>
    </row>
    <row r="1786">
      <c r="A1786" s="343"/>
      <c r="B1786" s="289"/>
      <c r="C1786" s="289"/>
      <c r="D1786" s="337"/>
    </row>
    <row r="1787">
      <c r="A1787" s="343"/>
      <c r="B1787" s="289"/>
      <c r="C1787" s="289"/>
      <c r="D1787" s="337"/>
    </row>
    <row r="1788">
      <c r="A1788" s="343"/>
      <c r="B1788" s="289"/>
      <c r="C1788" s="289"/>
      <c r="D1788" s="337"/>
    </row>
    <row r="1789">
      <c r="A1789" s="343"/>
      <c r="B1789" s="289"/>
      <c r="C1789" s="289"/>
      <c r="D1789" s="337"/>
    </row>
    <row r="1790">
      <c r="A1790" s="343"/>
      <c r="B1790" s="289"/>
      <c r="C1790" s="289"/>
      <c r="D1790" s="337"/>
    </row>
    <row r="1791">
      <c r="A1791" s="343"/>
      <c r="B1791" s="289"/>
      <c r="C1791" s="289"/>
      <c r="D1791" s="337"/>
    </row>
    <row r="1792">
      <c r="A1792" s="343"/>
      <c r="B1792" s="289"/>
      <c r="C1792" s="289"/>
      <c r="D1792" s="337"/>
    </row>
    <row r="1793">
      <c r="A1793" s="343"/>
      <c r="B1793" s="289"/>
      <c r="C1793" s="289"/>
      <c r="D1793" s="337"/>
    </row>
    <row r="1794">
      <c r="A1794" s="343"/>
      <c r="B1794" s="289"/>
      <c r="C1794" s="289"/>
      <c r="D1794" s="337"/>
    </row>
    <row r="1795">
      <c r="A1795" s="343"/>
      <c r="B1795" s="289"/>
      <c r="C1795" s="289"/>
      <c r="D1795" s="337"/>
    </row>
    <row r="1796">
      <c r="A1796" s="343"/>
      <c r="B1796" s="289"/>
      <c r="C1796" s="289"/>
      <c r="D1796" s="337"/>
    </row>
    <row r="1797">
      <c r="A1797" s="343"/>
      <c r="B1797" s="289"/>
      <c r="C1797" s="289"/>
      <c r="D1797" s="337"/>
    </row>
    <row r="1798">
      <c r="A1798" s="343"/>
      <c r="B1798" s="289"/>
      <c r="C1798" s="289"/>
      <c r="D1798" s="337"/>
    </row>
    <row r="1799">
      <c r="A1799" s="343"/>
      <c r="B1799" s="289"/>
      <c r="C1799" s="289"/>
      <c r="D1799" s="337"/>
    </row>
    <row r="1800">
      <c r="A1800" s="343"/>
      <c r="B1800" s="289"/>
      <c r="C1800" s="289"/>
      <c r="D1800" s="337"/>
    </row>
    <row r="1801">
      <c r="A1801" s="343"/>
      <c r="B1801" s="289"/>
      <c r="C1801" s="289"/>
      <c r="D1801" s="337"/>
    </row>
    <row r="1802">
      <c r="A1802" s="343"/>
      <c r="B1802" s="289"/>
      <c r="C1802" s="289"/>
      <c r="D1802" s="337"/>
    </row>
    <row r="1803">
      <c r="A1803" s="343"/>
      <c r="B1803" s="289"/>
      <c r="C1803" s="289"/>
      <c r="D1803" s="337"/>
    </row>
    <row r="1804">
      <c r="A1804" s="343"/>
      <c r="B1804" s="289"/>
      <c r="C1804" s="289"/>
      <c r="D1804" s="337"/>
    </row>
    <row r="1805">
      <c r="A1805" s="343"/>
      <c r="B1805" s="289"/>
      <c r="C1805" s="289"/>
      <c r="D1805" s="337"/>
    </row>
    <row r="1806">
      <c r="A1806" s="343"/>
      <c r="B1806" s="289"/>
      <c r="C1806" s="289"/>
      <c r="D1806" s="337"/>
    </row>
    <row r="1807">
      <c r="A1807" s="343"/>
      <c r="B1807" s="289"/>
      <c r="C1807" s="289"/>
      <c r="D1807" s="337"/>
    </row>
    <row r="1808">
      <c r="A1808" s="343"/>
      <c r="B1808" s="289"/>
      <c r="C1808" s="289"/>
      <c r="D1808" s="337"/>
    </row>
    <row r="1809">
      <c r="A1809" s="343"/>
      <c r="B1809" s="289"/>
      <c r="C1809" s="289"/>
      <c r="D1809" s="337"/>
    </row>
    <row r="1810">
      <c r="A1810" s="343"/>
      <c r="B1810" s="289"/>
      <c r="C1810" s="289"/>
      <c r="D1810" s="337"/>
    </row>
    <row r="1811">
      <c r="A1811" s="343"/>
      <c r="B1811" s="289"/>
      <c r="C1811" s="289"/>
      <c r="D1811" s="337"/>
    </row>
    <row r="1812">
      <c r="A1812" s="343"/>
      <c r="B1812" s="289"/>
      <c r="C1812" s="289"/>
      <c r="D1812" s="337"/>
    </row>
    <row r="1813">
      <c r="A1813" s="343"/>
      <c r="B1813" s="289"/>
      <c r="C1813" s="289"/>
      <c r="D1813" s="337"/>
    </row>
    <row r="1814">
      <c r="A1814" s="343"/>
      <c r="B1814" s="289"/>
      <c r="C1814" s="289"/>
      <c r="D1814" s="337"/>
    </row>
    <row r="1815">
      <c r="A1815" s="343"/>
      <c r="B1815" s="289"/>
      <c r="C1815" s="289"/>
      <c r="D1815" s="337"/>
    </row>
    <row r="1816">
      <c r="A1816" s="343"/>
      <c r="B1816" s="289"/>
      <c r="C1816" s="289"/>
      <c r="D1816" s="337"/>
    </row>
    <row r="1817">
      <c r="A1817" s="343"/>
      <c r="B1817" s="289"/>
      <c r="C1817" s="289"/>
      <c r="D1817" s="337"/>
    </row>
    <row r="1818">
      <c r="A1818" s="343"/>
      <c r="B1818" s="289"/>
      <c r="C1818" s="289"/>
      <c r="D1818" s="337"/>
    </row>
    <row r="1819">
      <c r="A1819" s="343"/>
      <c r="B1819" s="289"/>
      <c r="C1819" s="289"/>
      <c r="D1819" s="337"/>
    </row>
    <row r="1820">
      <c r="A1820" s="343"/>
      <c r="B1820" s="289"/>
      <c r="C1820" s="289"/>
      <c r="D1820" s="337"/>
    </row>
    <row r="1821">
      <c r="A1821" s="343"/>
      <c r="B1821" s="289"/>
      <c r="C1821" s="289"/>
      <c r="D1821" s="337"/>
    </row>
    <row r="1822">
      <c r="A1822" s="343"/>
      <c r="B1822" s="289"/>
      <c r="C1822" s="289"/>
      <c r="D1822" s="337"/>
    </row>
    <row r="1823">
      <c r="A1823" s="343"/>
      <c r="B1823" s="289"/>
      <c r="C1823" s="289"/>
      <c r="D1823" s="337"/>
    </row>
    <row r="1824">
      <c r="A1824" s="343"/>
      <c r="B1824" s="289"/>
      <c r="C1824" s="289"/>
      <c r="D1824" s="337"/>
    </row>
    <row r="1825">
      <c r="A1825" s="343"/>
      <c r="B1825" s="289"/>
      <c r="C1825" s="289"/>
      <c r="D1825" s="337"/>
    </row>
    <row r="1826">
      <c r="A1826" s="343"/>
      <c r="B1826" s="289"/>
      <c r="C1826" s="289"/>
      <c r="D1826" s="337"/>
    </row>
    <row r="1827">
      <c r="A1827" s="343"/>
      <c r="B1827" s="289"/>
      <c r="C1827" s="289"/>
      <c r="D1827" s="337"/>
    </row>
    <row r="1828">
      <c r="A1828" s="343"/>
      <c r="B1828" s="289"/>
      <c r="C1828" s="289"/>
      <c r="D1828" s="337"/>
    </row>
    <row r="1829">
      <c r="A1829" s="343"/>
      <c r="B1829" s="289"/>
      <c r="C1829" s="289"/>
      <c r="D1829" s="337"/>
    </row>
    <row r="1830">
      <c r="A1830" s="343"/>
      <c r="B1830" s="289"/>
      <c r="C1830" s="289"/>
      <c r="D1830" s="337"/>
    </row>
    <row r="1831">
      <c r="A1831" s="343"/>
      <c r="B1831" s="289"/>
      <c r="C1831" s="289"/>
      <c r="D1831" s="337"/>
    </row>
    <row r="1832">
      <c r="A1832" s="343"/>
      <c r="B1832" s="289"/>
      <c r="C1832" s="289"/>
      <c r="D1832" s="337"/>
    </row>
    <row r="1833">
      <c r="A1833" s="343"/>
      <c r="B1833" s="289"/>
      <c r="C1833" s="289"/>
      <c r="D1833" s="337"/>
    </row>
    <row r="1834">
      <c r="A1834" s="343"/>
      <c r="B1834" s="289"/>
      <c r="C1834" s="289"/>
      <c r="D1834" s="337"/>
    </row>
    <row r="1835">
      <c r="A1835" s="343"/>
      <c r="B1835" s="289"/>
      <c r="C1835" s="289"/>
      <c r="D1835" s="337"/>
    </row>
    <row r="1836">
      <c r="A1836" s="343"/>
      <c r="B1836" s="289"/>
      <c r="C1836" s="289"/>
      <c r="D1836" s="337"/>
    </row>
    <row r="1837">
      <c r="A1837" s="343"/>
      <c r="B1837" s="289"/>
      <c r="C1837" s="289"/>
      <c r="D1837" s="337"/>
    </row>
    <row r="1838">
      <c r="A1838" s="343"/>
      <c r="B1838" s="289"/>
      <c r="C1838" s="289"/>
      <c r="D1838" s="337"/>
    </row>
    <row r="1839">
      <c r="A1839" s="343"/>
      <c r="B1839" s="289"/>
      <c r="C1839" s="289"/>
      <c r="D1839" s="337"/>
    </row>
    <row r="1840">
      <c r="A1840" s="343"/>
      <c r="B1840" s="289"/>
      <c r="C1840" s="289"/>
      <c r="D1840" s="337"/>
    </row>
    <row r="1841">
      <c r="A1841" s="343"/>
      <c r="B1841" s="289"/>
      <c r="C1841" s="289"/>
      <c r="D1841" s="337"/>
    </row>
    <row r="1842">
      <c r="A1842" s="343"/>
      <c r="B1842" s="289"/>
      <c r="C1842" s="289"/>
      <c r="D1842" s="337"/>
    </row>
    <row r="1843">
      <c r="A1843" s="343"/>
      <c r="B1843" s="289"/>
      <c r="C1843" s="289"/>
      <c r="D1843" s="337"/>
    </row>
    <row r="1844">
      <c r="A1844" s="343"/>
      <c r="B1844" s="289"/>
      <c r="C1844" s="289"/>
      <c r="D1844" s="337"/>
    </row>
    <row r="1845">
      <c r="A1845" s="343"/>
      <c r="B1845" s="289"/>
      <c r="C1845" s="289"/>
      <c r="D1845" s="337"/>
    </row>
    <row r="1846">
      <c r="A1846" s="343"/>
      <c r="B1846" s="289"/>
      <c r="C1846" s="289"/>
      <c r="D1846" s="337"/>
    </row>
    <row r="1847">
      <c r="A1847" s="343"/>
      <c r="B1847" s="289"/>
      <c r="C1847" s="289"/>
      <c r="D1847" s="337"/>
    </row>
    <row r="1848">
      <c r="A1848" s="343"/>
      <c r="B1848" s="289"/>
      <c r="C1848" s="289"/>
      <c r="D1848" s="337"/>
    </row>
    <row r="1849">
      <c r="A1849" s="343"/>
      <c r="B1849" s="289"/>
      <c r="C1849" s="289"/>
      <c r="D1849" s="337"/>
    </row>
    <row r="1850">
      <c r="A1850" s="343"/>
      <c r="B1850" s="289"/>
      <c r="C1850" s="289"/>
      <c r="D1850" s="337"/>
    </row>
    <row r="1851">
      <c r="A1851" s="343"/>
      <c r="B1851" s="289"/>
      <c r="C1851" s="289"/>
      <c r="D1851" s="337"/>
    </row>
    <row r="1852">
      <c r="A1852" s="343"/>
      <c r="B1852" s="289"/>
      <c r="C1852" s="289"/>
      <c r="D1852" s="337"/>
    </row>
    <row r="1853">
      <c r="A1853" s="343"/>
      <c r="B1853" s="289"/>
      <c r="C1853" s="289"/>
      <c r="D1853" s="337"/>
    </row>
    <row r="1854">
      <c r="A1854" s="343"/>
      <c r="B1854" s="289"/>
      <c r="C1854" s="289"/>
      <c r="D1854" s="337"/>
    </row>
    <row r="1855">
      <c r="A1855" s="343"/>
      <c r="B1855" s="289"/>
      <c r="C1855" s="289"/>
      <c r="D1855" s="337"/>
    </row>
    <row r="1856">
      <c r="A1856" s="343"/>
      <c r="B1856" s="289"/>
      <c r="C1856" s="289"/>
      <c r="D1856" s="337"/>
    </row>
    <row r="1857">
      <c r="A1857" s="343"/>
      <c r="B1857" s="289"/>
      <c r="C1857" s="289"/>
      <c r="D1857" s="337"/>
    </row>
    <row r="1858">
      <c r="A1858" s="343"/>
      <c r="B1858" s="289"/>
      <c r="C1858" s="289"/>
      <c r="D1858" s="337"/>
    </row>
    <row r="1859">
      <c r="A1859" s="343"/>
      <c r="B1859" s="289"/>
      <c r="C1859" s="289"/>
      <c r="D1859" s="337"/>
    </row>
    <row r="1860">
      <c r="A1860" s="343"/>
      <c r="B1860" s="289"/>
      <c r="C1860" s="289"/>
      <c r="D1860" s="337"/>
    </row>
    <row r="1861">
      <c r="A1861" s="343"/>
      <c r="B1861" s="289"/>
      <c r="C1861" s="289"/>
      <c r="D1861" s="337"/>
    </row>
    <row r="1862">
      <c r="A1862" s="343"/>
      <c r="B1862" s="289"/>
      <c r="C1862" s="289"/>
      <c r="D1862" s="337"/>
    </row>
    <row r="1863">
      <c r="A1863" s="343"/>
      <c r="B1863" s="289"/>
      <c r="C1863" s="289"/>
      <c r="D1863" s="337"/>
    </row>
    <row r="1864">
      <c r="A1864" s="343"/>
      <c r="B1864" s="289"/>
      <c r="C1864" s="289"/>
      <c r="D1864" s="337"/>
    </row>
    <row r="1865">
      <c r="A1865" s="343"/>
      <c r="B1865" s="289"/>
      <c r="C1865" s="289"/>
      <c r="D1865" s="337"/>
    </row>
    <row r="1866">
      <c r="A1866" s="343"/>
      <c r="B1866" s="289"/>
      <c r="C1866" s="289"/>
      <c r="D1866" s="337"/>
    </row>
    <row r="1867">
      <c r="A1867" s="343"/>
      <c r="B1867" s="289"/>
      <c r="C1867" s="289"/>
      <c r="D1867" s="337"/>
    </row>
    <row r="1868">
      <c r="A1868" s="343"/>
      <c r="B1868" s="289"/>
      <c r="C1868" s="289"/>
      <c r="D1868" s="337"/>
    </row>
    <row r="1869">
      <c r="A1869" s="343"/>
      <c r="B1869" s="289"/>
      <c r="C1869" s="289"/>
      <c r="D1869" s="337"/>
    </row>
    <row r="1870">
      <c r="A1870" s="343"/>
      <c r="B1870" s="289"/>
      <c r="C1870" s="289"/>
      <c r="D1870" s="337"/>
    </row>
    <row r="1871">
      <c r="A1871" s="343"/>
      <c r="B1871" s="289"/>
      <c r="C1871" s="289"/>
      <c r="D1871" s="337"/>
    </row>
    <row r="1872">
      <c r="A1872" s="343"/>
      <c r="B1872" s="289"/>
      <c r="C1872" s="289"/>
      <c r="D1872" s="337"/>
    </row>
    <row r="1873">
      <c r="A1873" s="343"/>
      <c r="B1873" s="289"/>
      <c r="C1873" s="289"/>
      <c r="D1873" s="337"/>
    </row>
    <row r="1874">
      <c r="A1874" s="343"/>
      <c r="B1874" s="289"/>
      <c r="C1874" s="289"/>
      <c r="D1874" s="337"/>
    </row>
    <row r="1875">
      <c r="A1875" s="343"/>
      <c r="B1875" s="289"/>
      <c r="C1875" s="289"/>
      <c r="D1875" s="337"/>
    </row>
    <row r="1876">
      <c r="A1876" s="343"/>
      <c r="B1876" s="289"/>
      <c r="C1876" s="289"/>
      <c r="D1876" s="337"/>
    </row>
    <row r="1877">
      <c r="A1877" s="343"/>
      <c r="B1877" s="289"/>
      <c r="C1877" s="289"/>
      <c r="D1877" s="337"/>
    </row>
    <row r="1878">
      <c r="A1878" s="343"/>
      <c r="B1878" s="289"/>
      <c r="C1878" s="289"/>
      <c r="D1878" s="337"/>
    </row>
    <row r="1879">
      <c r="A1879" s="343"/>
      <c r="B1879" s="289"/>
      <c r="C1879" s="289"/>
      <c r="D1879" s="337"/>
    </row>
    <row r="1880">
      <c r="A1880" s="343"/>
      <c r="B1880" s="289"/>
      <c r="C1880" s="289"/>
      <c r="D1880" s="337"/>
    </row>
    <row r="1881">
      <c r="A1881" s="343"/>
      <c r="B1881" s="289"/>
      <c r="C1881" s="289"/>
      <c r="D1881" s="337"/>
    </row>
    <row r="1882">
      <c r="A1882" s="343"/>
      <c r="B1882" s="289"/>
      <c r="C1882" s="289"/>
      <c r="D1882" s="337"/>
    </row>
    <row r="1883">
      <c r="A1883" s="343"/>
      <c r="B1883" s="289"/>
      <c r="C1883" s="289"/>
      <c r="D1883" s="337"/>
    </row>
    <row r="1884">
      <c r="A1884" s="343"/>
      <c r="B1884" s="289"/>
      <c r="C1884" s="289"/>
      <c r="D1884" s="337"/>
    </row>
    <row r="1885">
      <c r="A1885" s="343"/>
      <c r="B1885" s="289"/>
      <c r="C1885" s="289"/>
      <c r="D1885" s="337"/>
    </row>
    <row r="1886">
      <c r="A1886" s="343"/>
      <c r="B1886" s="289"/>
      <c r="C1886" s="289"/>
      <c r="D1886" s="337"/>
    </row>
    <row r="1887">
      <c r="A1887" s="343"/>
      <c r="B1887" s="289"/>
      <c r="C1887" s="289"/>
      <c r="D1887" s="337"/>
    </row>
    <row r="1888">
      <c r="A1888" s="343"/>
      <c r="B1888" s="289"/>
      <c r="C1888" s="289"/>
      <c r="D1888" s="337"/>
    </row>
    <row r="1889">
      <c r="A1889" s="343"/>
      <c r="B1889" s="289"/>
      <c r="C1889" s="289"/>
      <c r="D1889" s="337"/>
    </row>
    <row r="1890">
      <c r="A1890" s="343"/>
      <c r="B1890" s="289"/>
      <c r="C1890" s="289"/>
      <c r="D1890" s="337"/>
    </row>
    <row r="1891">
      <c r="A1891" s="343"/>
      <c r="B1891" s="289"/>
      <c r="C1891" s="289"/>
      <c r="D1891" s="337"/>
    </row>
    <row r="1892">
      <c r="A1892" s="343"/>
      <c r="B1892" s="289"/>
      <c r="C1892" s="289"/>
      <c r="D1892" s="337"/>
    </row>
    <row r="1893">
      <c r="A1893" s="343"/>
      <c r="B1893" s="289"/>
      <c r="C1893" s="289"/>
      <c r="D1893" s="337"/>
    </row>
    <row r="1894">
      <c r="A1894" s="343"/>
      <c r="B1894" s="289"/>
      <c r="C1894" s="289"/>
      <c r="D1894" s="337"/>
    </row>
    <row r="1895">
      <c r="A1895" s="343"/>
      <c r="B1895" s="289"/>
      <c r="C1895" s="289"/>
      <c r="D1895" s="337"/>
    </row>
    <row r="1896">
      <c r="A1896" s="343"/>
      <c r="B1896" s="289"/>
      <c r="C1896" s="289"/>
      <c r="D1896" s="337"/>
    </row>
    <row r="1897">
      <c r="A1897" s="343"/>
      <c r="B1897" s="289"/>
      <c r="C1897" s="289"/>
      <c r="D1897" s="337"/>
    </row>
    <row r="1898">
      <c r="A1898" s="343"/>
      <c r="B1898" s="289"/>
      <c r="C1898" s="289"/>
      <c r="D1898" s="337"/>
    </row>
    <row r="1899">
      <c r="A1899" s="343"/>
      <c r="B1899" s="289"/>
      <c r="C1899" s="289"/>
      <c r="D1899" s="337"/>
    </row>
    <row r="1900">
      <c r="A1900" s="343"/>
      <c r="B1900" s="289"/>
      <c r="C1900" s="289"/>
      <c r="D1900" s="337"/>
    </row>
    <row r="1901">
      <c r="A1901" s="343"/>
      <c r="B1901" s="289"/>
      <c r="C1901" s="289"/>
      <c r="D1901" s="337"/>
    </row>
    <row r="1902">
      <c r="A1902" s="343"/>
      <c r="B1902" s="289"/>
      <c r="C1902" s="289"/>
      <c r="D1902" s="337"/>
    </row>
    <row r="1903">
      <c r="A1903" s="343"/>
      <c r="B1903" s="289"/>
      <c r="C1903" s="289"/>
      <c r="D1903" s="337"/>
    </row>
    <row r="1904">
      <c r="A1904" s="343"/>
      <c r="B1904" s="289"/>
      <c r="C1904" s="289"/>
      <c r="D1904" s="337"/>
    </row>
    <row r="1905">
      <c r="A1905" s="343"/>
      <c r="B1905" s="289"/>
      <c r="C1905" s="289"/>
      <c r="D1905" s="337"/>
    </row>
    <row r="1906">
      <c r="A1906" s="343"/>
      <c r="B1906" s="289"/>
      <c r="C1906" s="289"/>
      <c r="D1906" s="337"/>
    </row>
    <row r="1907">
      <c r="A1907" s="343"/>
      <c r="B1907" s="289"/>
      <c r="C1907" s="289"/>
      <c r="D1907" s="337"/>
    </row>
    <row r="1908">
      <c r="A1908" s="343"/>
      <c r="B1908" s="289"/>
      <c r="C1908" s="289"/>
      <c r="D1908" s="337"/>
    </row>
    <row r="1909">
      <c r="A1909" s="343"/>
      <c r="B1909" s="289"/>
      <c r="C1909" s="289"/>
      <c r="D1909" s="337"/>
    </row>
    <row r="1910">
      <c r="A1910" s="343"/>
      <c r="B1910" s="289"/>
      <c r="C1910" s="289"/>
      <c r="D1910" s="337"/>
    </row>
    <row r="1911">
      <c r="A1911" s="343"/>
      <c r="B1911" s="289"/>
      <c r="C1911" s="289"/>
      <c r="D1911" s="337"/>
    </row>
    <row r="1912">
      <c r="A1912" s="343"/>
      <c r="B1912" s="289"/>
      <c r="C1912" s="289"/>
      <c r="D1912" s="337"/>
    </row>
    <row r="1913">
      <c r="A1913" s="343"/>
      <c r="B1913" s="289"/>
      <c r="C1913" s="289"/>
      <c r="D1913" s="337"/>
    </row>
    <row r="1914">
      <c r="A1914" s="343"/>
      <c r="B1914" s="289"/>
      <c r="C1914" s="289"/>
      <c r="D1914" s="337"/>
    </row>
    <row r="1915">
      <c r="A1915" s="343"/>
      <c r="B1915" s="289"/>
      <c r="C1915" s="289"/>
      <c r="D1915" s="337"/>
    </row>
    <row r="1916">
      <c r="A1916" s="343"/>
      <c r="B1916" s="289"/>
      <c r="C1916" s="289"/>
      <c r="D1916" s="337"/>
    </row>
    <row r="1917">
      <c r="A1917" s="343"/>
      <c r="B1917" s="289"/>
      <c r="C1917" s="289"/>
      <c r="D1917" s="337"/>
    </row>
    <row r="1918">
      <c r="A1918" s="343"/>
      <c r="B1918" s="289"/>
      <c r="C1918" s="289"/>
      <c r="D1918" s="337"/>
    </row>
    <row r="1919">
      <c r="A1919" s="343"/>
      <c r="B1919" s="289"/>
      <c r="C1919" s="289"/>
      <c r="D1919" s="337"/>
    </row>
    <row r="1920">
      <c r="A1920" s="343"/>
      <c r="B1920" s="289"/>
      <c r="C1920" s="289"/>
      <c r="D1920" s="337"/>
    </row>
    <row r="1921">
      <c r="A1921" s="343"/>
      <c r="B1921" s="289"/>
      <c r="C1921" s="289"/>
      <c r="D1921" s="337"/>
    </row>
    <row r="1922">
      <c r="A1922" s="343"/>
      <c r="B1922" s="289"/>
      <c r="C1922" s="289"/>
      <c r="D1922" s="337"/>
    </row>
    <row r="1923">
      <c r="A1923" s="343"/>
      <c r="B1923" s="289"/>
      <c r="C1923" s="289"/>
      <c r="D1923" s="337"/>
    </row>
    <row r="1924">
      <c r="A1924" s="343"/>
      <c r="B1924" s="289"/>
      <c r="C1924" s="289"/>
      <c r="D1924" s="337"/>
    </row>
    <row r="1925">
      <c r="A1925" s="343"/>
      <c r="B1925" s="289"/>
      <c r="C1925" s="289"/>
      <c r="D1925" s="337"/>
    </row>
    <row r="1926">
      <c r="A1926" s="343"/>
      <c r="B1926" s="289"/>
      <c r="C1926" s="289"/>
      <c r="D1926" s="337"/>
    </row>
    <row r="1927">
      <c r="A1927" s="343"/>
      <c r="B1927" s="289"/>
      <c r="C1927" s="289"/>
      <c r="D1927" s="337"/>
    </row>
    <row r="1928">
      <c r="A1928" s="343"/>
      <c r="B1928" s="289"/>
      <c r="C1928" s="289"/>
      <c r="D1928" s="337"/>
    </row>
    <row r="1929">
      <c r="A1929" s="343"/>
      <c r="B1929" s="289"/>
      <c r="C1929" s="289"/>
      <c r="D1929" s="337"/>
    </row>
    <row r="1930">
      <c r="A1930" s="343"/>
      <c r="B1930" s="289"/>
      <c r="C1930" s="289"/>
      <c r="D1930" s="337"/>
    </row>
    <row r="1931">
      <c r="A1931" s="343"/>
      <c r="B1931" s="289"/>
      <c r="C1931" s="289"/>
      <c r="D1931" s="337"/>
    </row>
    <row r="1932">
      <c r="A1932" s="343"/>
      <c r="B1932" s="289"/>
      <c r="C1932" s="289"/>
      <c r="D1932" s="337"/>
    </row>
    <row r="1933">
      <c r="A1933" s="343"/>
      <c r="B1933" s="289"/>
      <c r="C1933" s="289"/>
      <c r="D1933" s="337"/>
    </row>
    <row r="1934">
      <c r="A1934" s="343"/>
      <c r="B1934" s="289"/>
      <c r="C1934" s="289"/>
      <c r="D1934" s="337"/>
    </row>
    <row r="1935">
      <c r="A1935" s="343"/>
      <c r="B1935" s="289"/>
      <c r="C1935" s="289"/>
      <c r="D1935" s="337"/>
    </row>
    <row r="1936">
      <c r="A1936" s="343"/>
      <c r="B1936" s="289"/>
      <c r="C1936" s="289"/>
      <c r="D1936" s="337"/>
    </row>
    <row r="1937">
      <c r="A1937" s="343"/>
      <c r="B1937" s="289"/>
      <c r="C1937" s="289"/>
      <c r="D1937" s="337"/>
    </row>
    <row r="1938">
      <c r="A1938" s="343"/>
      <c r="B1938" s="289"/>
      <c r="C1938" s="289"/>
      <c r="D1938" s="337"/>
    </row>
    <row r="1939">
      <c r="A1939" s="343"/>
      <c r="B1939" s="289"/>
      <c r="C1939" s="289"/>
      <c r="D1939" s="337"/>
    </row>
    <row r="1940">
      <c r="A1940" s="343"/>
      <c r="B1940" s="289"/>
      <c r="C1940" s="289"/>
      <c r="D1940" s="337"/>
    </row>
    <row r="1941">
      <c r="A1941" s="343"/>
      <c r="B1941" s="289"/>
      <c r="C1941" s="289"/>
      <c r="D1941" s="337"/>
    </row>
    <row r="1942">
      <c r="A1942" s="343"/>
      <c r="B1942" s="289"/>
      <c r="C1942" s="289"/>
      <c r="D1942" s="337"/>
    </row>
    <row r="1943">
      <c r="A1943" s="343"/>
      <c r="B1943" s="289"/>
      <c r="C1943" s="289"/>
      <c r="D1943" s="337"/>
    </row>
    <row r="1944">
      <c r="A1944" s="343"/>
      <c r="B1944" s="289"/>
      <c r="C1944" s="289"/>
      <c r="D1944" s="337"/>
    </row>
    <row r="1945">
      <c r="A1945" s="343"/>
      <c r="B1945" s="289"/>
      <c r="C1945" s="289"/>
      <c r="D1945" s="337"/>
    </row>
    <row r="1946">
      <c r="A1946" s="343"/>
      <c r="B1946" s="289"/>
      <c r="C1946" s="289"/>
      <c r="D1946" s="337"/>
    </row>
    <row r="1947">
      <c r="A1947" s="343"/>
      <c r="B1947" s="289"/>
      <c r="C1947" s="289"/>
      <c r="D1947" s="337"/>
    </row>
    <row r="1948">
      <c r="A1948" s="343"/>
      <c r="B1948" s="289"/>
      <c r="C1948" s="289"/>
      <c r="D1948" s="337"/>
    </row>
    <row r="1949">
      <c r="A1949" s="343"/>
      <c r="B1949" s="289"/>
      <c r="C1949" s="289"/>
      <c r="D1949" s="337"/>
    </row>
    <row r="1950">
      <c r="A1950" s="343"/>
      <c r="B1950" s="289"/>
      <c r="C1950" s="289"/>
      <c r="D1950" s="337"/>
    </row>
    <row r="1951">
      <c r="A1951" s="343"/>
      <c r="B1951" s="289"/>
      <c r="C1951" s="289"/>
      <c r="D1951" s="337"/>
    </row>
    <row r="1952">
      <c r="A1952" s="343"/>
      <c r="B1952" s="289"/>
      <c r="C1952" s="289"/>
      <c r="D1952" s="337"/>
    </row>
    <row r="1953">
      <c r="A1953" s="343"/>
      <c r="B1953" s="289"/>
      <c r="C1953" s="289"/>
      <c r="D1953" s="337"/>
    </row>
    <row r="1954">
      <c r="A1954" s="343"/>
      <c r="B1954" s="289"/>
      <c r="C1954" s="289"/>
      <c r="D1954" s="337"/>
    </row>
    <row r="1955">
      <c r="A1955" s="343"/>
      <c r="B1955" s="289"/>
      <c r="C1955" s="289"/>
      <c r="D1955" s="337"/>
    </row>
    <row r="1956">
      <c r="A1956" s="343"/>
      <c r="B1956" s="289"/>
      <c r="C1956" s="289"/>
      <c r="D1956" s="337"/>
    </row>
    <row r="1957">
      <c r="A1957" s="343"/>
      <c r="B1957" s="289"/>
      <c r="C1957" s="289"/>
      <c r="D1957" s="337"/>
    </row>
    <row r="1958">
      <c r="A1958" s="343"/>
      <c r="B1958" s="289"/>
      <c r="C1958" s="289"/>
      <c r="D1958" s="337"/>
    </row>
    <row r="1959">
      <c r="A1959" s="343"/>
      <c r="B1959" s="289"/>
      <c r="C1959" s="289"/>
      <c r="D1959" s="337"/>
    </row>
    <row r="1960">
      <c r="A1960" s="343"/>
      <c r="B1960" s="289"/>
      <c r="C1960" s="289"/>
      <c r="D1960" s="337"/>
    </row>
    <row r="1961">
      <c r="A1961" s="343"/>
      <c r="B1961" s="289"/>
      <c r="C1961" s="289"/>
      <c r="D1961" s="337"/>
    </row>
    <row r="1962">
      <c r="A1962" s="343"/>
      <c r="B1962" s="289"/>
      <c r="C1962" s="289"/>
      <c r="D1962" s="337"/>
    </row>
    <row r="1963">
      <c r="A1963" s="343"/>
      <c r="B1963" s="289"/>
      <c r="C1963" s="289"/>
      <c r="D1963" s="337"/>
    </row>
    <row r="1964">
      <c r="A1964" s="343"/>
      <c r="B1964" s="289"/>
      <c r="C1964" s="289"/>
      <c r="D1964" s="337"/>
    </row>
    <row r="1965">
      <c r="A1965" s="343"/>
      <c r="B1965" s="289"/>
      <c r="C1965" s="289"/>
      <c r="D1965" s="337"/>
    </row>
    <row r="1966">
      <c r="A1966" s="343"/>
      <c r="B1966" s="289"/>
      <c r="C1966" s="289"/>
      <c r="D1966" s="337"/>
    </row>
    <row r="1967">
      <c r="A1967" s="343"/>
      <c r="B1967" s="289"/>
      <c r="C1967" s="289"/>
      <c r="D1967" s="337"/>
    </row>
    <row r="1968">
      <c r="A1968" s="343"/>
      <c r="B1968" s="289"/>
      <c r="C1968" s="289"/>
      <c r="D1968" s="337"/>
    </row>
    <row r="1969">
      <c r="A1969" s="343"/>
      <c r="B1969" s="289"/>
      <c r="C1969" s="289"/>
      <c r="D1969" s="337"/>
    </row>
    <row r="1970">
      <c r="A1970" s="343"/>
      <c r="B1970" s="289"/>
      <c r="C1970" s="289"/>
      <c r="D1970" s="337"/>
    </row>
    <row r="1971">
      <c r="A1971" s="343"/>
      <c r="B1971" s="289"/>
      <c r="C1971" s="289"/>
      <c r="D1971" s="337"/>
    </row>
    <row r="1972">
      <c r="A1972" s="343"/>
      <c r="B1972" s="289"/>
      <c r="C1972" s="289"/>
      <c r="D1972" s="337"/>
    </row>
    <row r="1973">
      <c r="A1973" s="343"/>
      <c r="B1973" s="289"/>
      <c r="C1973" s="289"/>
      <c r="D1973" s="337"/>
    </row>
    <row r="1974">
      <c r="A1974" s="343"/>
      <c r="B1974" s="289"/>
      <c r="C1974" s="289"/>
      <c r="D1974" s="337"/>
    </row>
    <row r="1975">
      <c r="A1975" s="343"/>
      <c r="B1975" s="289"/>
      <c r="C1975" s="289"/>
      <c r="D1975" s="337"/>
    </row>
    <row r="1976">
      <c r="A1976" s="343"/>
      <c r="B1976" s="289"/>
      <c r="C1976" s="289"/>
      <c r="D1976" s="337"/>
    </row>
    <row r="1977">
      <c r="A1977" s="343"/>
      <c r="B1977" s="289"/>
      <c r="C1977" s="289"/>
      <c r="D1977" s="337"/>
    </row>
    <row r="1978">
      <c r="A1978" s="343"/>
      <c r="B1978" s="289"/>
      <c r="C1978" s="289"/>
      <c r="D1978" s="337"/>
    </row>
    <row r="1979">
      <c r="A1979" s="343"/>
      <c r="B1979" s="289"/>
      <c r="C1979" s="289"/>
      <c r="D1979" s="337"/>
    </row>
    <row r="1980">
      <c r="A1980" s="343"/>
      <c r="B1980" s="289"/>
      <c r="C1980" s="289"/>
      <c r="D1980" s="337"/>
    </row>
    <row r="1981">
      <c r="A1981" s="343"/>
      <c r="B1981" s="289"/>
      <c r="C1981" s="289"/>
      <c r="D1981" s="337"/>
    </row>
    <row r="1982">
      <c r="A1982" s="343"/>
      <c r="B1982" s="289"/>
      <c r="C1982" s="289"/>
      <c r="D1982" s="337"/>
    </row>
    <row r="1983">
      <c r="A1983" s="343"/>
      <c r="B1983" s="289"/>
      <c r="C1983" s="289"/>
      <c r="D1983" s="337"/>
    </row>
    <row r="1984">
      <c r="A1984" s="343"/>
      <c r="B1984" s="289"/>
      <c r="C1984" s="289"/>
      <c r="D1984" s="337"/>
    </row>
    <row r="1985">
      <c r="A1985" s="343"/>
      <c r="B1985" s="289"/>
      <c r="C1985" s="289"/>
      <c r="D1985" s="337"/>
    </row>
    <row r="1986">
      <c r="A1986" s="343"/>
      <c r="B1986" s="289"/>
      <c r="C1986" s="289"/>
      <c r="D1986" s="337"/>
    </row>
    <row r="1987">
      <c r="A1987" s="343"/>
      <c r="B1987" s="289"/>
      <c r="C1987" s="289"/>
      <c r="D1987" s="337"/>
    </row>
    <row r="1988">
      <c r="A1988" s="343"/>
      <c r="B1988" s="289"/>
      <c r="C1988" s="289"/>
      <c r="D1988" s="337"/>
    </row>
    <row r="1989">
      <c r="A1989" s="343"/>
      <c r="B1989" s="289"/>
      <c r="C1989" s="289"/>
      <c r="D1989" s="337"/>
    </row>
    <row r="1990">
      <c r="A1990" s="343"/>
      <c r="B1990" s="289"/>
      <c r="C1990" s="289"/>
      <c r="D1990" s="337"/>
    </row>
    <row r="1991">
      <c r="A1991" s="343"/>
      <c r="B1991" s="289"/>
      <c r="C1991" s="289"/>
      <c r="D1991" s="337"/>
    </row>
    <row r="1992">
      <c r="A1992" s="343"/>
      <c r="B1992" s="289"/>
      <c r="C1992" s="289"/>
      <c r="D1992" s="337"/>
    </row>
    <row r="1993">
      <c r="A1993" s="343"/>
      <c r="B1993" s="289"/>
      <c r="C1993" s="289"/>
      <c r="D1993" s="337"/>
    </row>
    <row r="1994">
      <c r="A1994" s="343"/>
      <c r="B1994" s="289"/>
      <c r="C1994" s="289"/>
      <c r="D1994" s="337"/>
    </row>
    <row r="1995">
      <c r="A1995" s="343"/>
      <c r="B1995" s="289"/>
      <c r="C1995" s="289"/>
      <c r="D1995" s="337"/>
    </row>
    <row r="1996">
      <c r="A1996" s="343"/>
      <c r="B1996" s="289"/>
      <c r="C1996" s="289"/>
      <c r="D1996" s="337"/>
    </row>
    <row r="1997">
      <c r="A1997" s="343"/>
      <c r="B1997" s="289"/>
      <c r="C1997" s="289"/>
      <c r="D1997" s="337"/>
    </row>
    <row r="1998">
      <c r="A1998" s="343"/>
      <c r="B1998" s="289"/>
      <c r="C1998" s="289"/>
      <c r="D1998" s="337"/>
    </row>
    <row r="1999">
      <c r="A1999" s="343"/>
      <c r="B1999" s="289"/>
      <c r="C1999" s="289"/>
      <c r="D1999" s="337"/>
    </row>
    <row r="2000">
      <c r="A2000" s="343"/>
      <c r="B2000" s="289"/>
      <c r="C2000" s="289"/>
      <c r="D2000" s="337"/>
    </row>
    <row r="2001">
      <c r="A2001" s="343"/>
      <c r="B2001" s="289"/>
      <c r="C2001" s="289"/>
      <c r="D2001" s="337"/>
    </row>
    <row r="2002">
      <c r="A2002" s="343"/>
      <c r="B2002" s="289"/>
      <c r="C2002" s="289"/>
      <c r="D2002" s="337"/>
    </row>
    <row r="2003">
      <c r="A2003" s="343"/>
      <c r="B2003" s="289"/>
      <c r="C2003" s="289"/>
      <c r="D2003" s="337"/>
    </row>
    <row r="2004">
      <c r="A2004" s="343"/>
      <c r="B2004" s="289"/>
      <c r="C2004" s="289"/>
      <c r="D2004" s="337"/>
    </row>
    <row r="2005">
      <c r="A2005" s="343"/>
      <c r="B2005" s="289"/>
      <c r="C2005" s="289"/>
      <c r="D2005" s="337"/>
    </row>
    <row r="2006">
      <c r="A2006" s="343"/>
      <c r="B2006" s="289"/>
      <c r="C2006" s="289"/>
      <c r="D2006" s="337"/>
    </row>
    <row r="2007">
      <c r="A2007" s="343"/>
      <c r="B2007" s="289"/>
      <c r="C2007" s="289"/>
      <c r="D2007" s="337"/>
    </row>
    <row r="2008">
      <c r="A2008" s="343"/>
      <c r="B2008" s="289"/>
      <c r="C2008" s="289"/>
      <c r="D2008" s="337"/>
    </row>
    <row r="2009">
      <c r="A2009" s="343"/>
      <c r="B2009" s="289"/>
      <c r="C2009" s="289"/>
      <c r="D2009" s="337"/>
    </row>
    <row r="2010">
      <c r="A2010" s="343"/>
      <c r="B2010" s="289"/>
      <c r="C2010" s="289"/>
      <c r="D2010" s="337"/>
    </row>
    <row r="2011">
      <c r="A2011" s="343"/>
      <c r="B2011" s="289"/>
      <c r="C2011" s="289"/>
      <c r="D2011" s="337"/>
    </row>
    <row r="2012">
      <c r="A2012" s="343"/>
      <c r="B2012" s="289"/>
      <c r="C2012" s="289"/>
      <c r="D2012" s="337"/>
    </row>
    <row r="2013">
      <c r="A2013" s="343"/>
      <c r="B2013" s="289"/>
      <c r="C2013" s="289"/>
      <c r="D2013" s="337"/>
    </row>
    <row r="2014">
      <c r="A2014" s="343"/>
      <c r="B2014" s="289"/>
      <c r="C2014" s="289"/>
      <c r="D2014" s="337"/>
    </row>
    <row r="2015">
      <c r="A2015" s="343"/>
      <c r="B2015" s="289"/>
      <c r="C2015" s="289"/>
      <c r="D2015" s="337"/>
    </row>
    <row r="2016">
      <c r="A2016" s="343"/>
      <c r="B2016" s="289"/>
      <c r="C2016" s="289"/>
      <c r="D2016" s="337"/>
    </row>
    <row r="2017">
      <c r="A2017" s="343"/>
      <c r="B2017" s="289"/>
      <c r="C2017" s="289"/>
      <c r="D2017" s="337"/>
    </row>
    <row r="2018">
      <c r="A2018" s="343"/>
      <c r="B2018" s="289"/>
      <c r="C2018" s="289"/>
      <c r="D2018" s="337"/>
    </row>
    <row r="2019">
      <c r="A2019" s="343"/>
      <c r="B2019" s="289"/>
      <c r="C2019" s="289"/>
      <c r="D2019" s="337"/>
    </row>
    <row r="2020">
      <c r="A2020" s="343"/>
      <c r="B2020" s="289"/>
      <c r="C2020" s="289"/>
      <c r="D2020" s="337"/>
    </row>
    <row r="2021">
      <c r="A2021" s="343"/>
      <c r="B2021" s="289"/>
      <c r="C2021" s="289"/>
      <c r="D2021" s="337"/>
    </row>
    <row r="2022">
      <c r="A2022" s="343"/>
      <c r="B2022" s="289"/>
      <c r="C2022" s="289"/>
      <c r="D2022" s="337"/>
    </row>
    <row r="2023">
      <c r="A2023" s="343"/>
      <c r="B2023" s="289"/>
      <c r="C2023" s="289"/>
      <c r="D2023" s="337"/>
    </row>
    <row r="2024">
      <c r="A2024" s="343"/>
      <c r="B2024" s="289"/>
      <c r="C2024" s="289"/>
      <c r="D2024" s="337"/>
    </row>
    <row r="2025">
      <c r="A2025" s="343"/>
      <c r="B2025" s="289"/>
      <c r="C2025" s="289"/>
      <c r="D2025" s="337"/>
    </row>
    <row r="2026">
      <c r="A2026" s="343"/>
      <c r="B2026" s="289"/>
      <c r="C2026" s="289"/>
      <c r="D2026" s="337"/>
    </row>
    <row r="2027">
      <c r="A2027" s="343"/>
      <c r="B2027" s="289"/>
      <c r="C2027" s="289"/>
      <c r="D2027" s="337"/>
    </row>
    <row r="2028">
      <c r="A2028" s="343"/>
      <c r="B2028" s="289"/>
      <c r="C2028" s="289"/>
      <c r="D2028" s="337"/>
    </row>
    <row r="2029">
      <c r="A2029" s="343"/>
      <c r="B2029" s="289"/>
      <c r="C2029" s="289"/>
      <c r="D2029" s="337"/>
    </row>
    <row r="2030">
      <c r="A2030" s="343"/>
      <c r="B2030" s="289"/>
      <c r="C2030" s="289"/>
      <c r="D2030" s="337"/>
    </row>
    <row r="2031">
      <c r="A2031" s="343"/>
      <c r="B2031" s="289"/>
      <c r="C2031" s="289"/>
      <c r="D2031" s="337"/>
    </row>
    <row r="2032">
      <c r="A2032" s="343"/>
      <c r="B2032" s="289"/>
      <c r="C2032" s="289"/>
      <c r="D2032" s="337"/>
    </row>
    <row r="2033">
      <c r="A2033" s="343"/>
      <c r="B2033" s="289"/>
      <c r="C2033" s="289"/>
      <c r="D2033" s="337"/>
    </row>
    <row r="2034">
      <c r="A2034" s="343"/>
      <c r="B2034" s="289"/>
      <c r="C2034" s="289"/>
      <c r="D2034" s="337"/>
    </row>
    <row r="2035">
      <c r="A2035" s="343"/>
      <c r="B2035" s="289"/>
      <c r="C2035" s="289"/>
      <c r="D2035" s="337"/>
    </row>
    <row r="2036">
      <c r="A2036" s="343"/>
      <c r="B2036" s="289"/>
      <c r="C2036" s="289"/>
      <c r="D2036" s="337"/>
    </row>
  </sheetData>
  <autoFilter ref="$A$1:$D$2036">
    <sortState ref="A1:D2036">
      <sortCondition ref="B1:B2036"/>
    </sortState>
  </autoFilter>
  <conditionalFormatting sqref="B2:B2036">
    <cfRule type="containsText" dxfId="14" priority="1" operator="containsText" text="NCIV">
      <formula>NOT(ISERROR(SEARCH(("NCIV"),(B2))))</formula>
    </cfRule>
  </conditionalFormatting>
  <conditionalFormatting sqref="B2:B2036">
    <cfRule type="containsText" dxfId="15" priority="2" operator="containsText" text="NTEC">
      <formula>NOT(ISERROR(SEARCH(("NTEC"),(B2))))</formula>
    </cfRule>
  </conditionalFormatting>
  <conditionalFormatting sqref="B2:B2036">
    <cfRule type="containsText" dxfId="16" priority="3" operator="containsText" text="NCON">
      <formula>NOT(ISERROR(SEARCH(("NCON"),(B2))))</formula>
    </cfRule>
  </conditionalFormatting>
  <conditionalFormatting sqref="B2:B2036">
    <cfRule type="containsText" dxfId="17" priority="4" operator="containsText" text="NDADOS">
      <formula>NOT(ISERROR(SEARCH(("NDADOS"),(B2))))</formula>
    </cfRule>
  </conditionalFormatting>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6.25"/>
    <col customWidth="1" min="2" max="11" width="18.88"/>
  </cols>
  <sheetData>
    <row r="1">
      <c r="A1" s="345" t="s">
        <v>1035</v>
      </c>
      <c r="B1" s="346" t="s">
        <v>494</v>
      </c>
      <c r="C1" s="346" t="s">
        <v>1036</v>
      </c>
      <c r="D1" s="346" t="s">
        <v>1037</v>
      </c>
      <c r="E1" s="346" t="s">
        <v>1038</v>
      </c>
      <c r="F1" s="347" t="s">
        <v>1039</v>
      </c>
      <c r="G1" s="347" t="s">
        <v>1040</v>
      </c>
      <c r="H1" s="348" t="s">
        <v>1041</v>
      </c>
      <c r="I1" s="348" t="s">
        <v>1042</v>
      </c>
      <c r="J1" s="349" t="s">
        <v>1043</v>
      </c>
      <c r="K1" s="346" t="s">
        <v>1044</v>
      </c>
    </row>
    <row r="2">
      <c r="A2" s="96" t="s">
        <v>1045</v>
      </c>
      <c r="B2" s="302">
        <v>44621.82581783565</v>
      </c>
      <c r="C2" s="96" t="s">
        <v>1046</v>
      </c>
      <c r="E2" s="96">
        <v>5.0</v>
      </c>
      <c r="F2" s="96">
        <v>5.0</v>
      </c>
      <c r="G2" s="96">
        <v>5.0</v>
      </c>
      <c r="H2" s="96" t="s">
        <v>1047</v>
      </c>
      <c r="J2" s="96" t="s">
        <v>1048</v>
      </c>
      <c r="K2" s="93">
        <f t="shared" ref="K2:K64" si="1">AVERAGEA(E2:G2)</f>
        <v>5</v>
      </c>
    </row>
    <row r="3" hidden="1">
      <c r="A3" s="96" t="s">
        <v>1049</v>
      </c>
      <c r="B3" s="302">
        <v>44635.68713648148</v>
      </c>
      <c r="C3" s="96" t="s">
        <v>1050</v>
      </c>
      <c r="D3" s="96" t="s">
        <v>1049</v>
      </c>
      <c r="E3" s="96">
        <v>5.0</v>
      </c>
      <c r="F3" s="96">
        <v>5.0</v>
      </c>
      <c r="G3" s="96">
        <v>5.0</v>
      </c>
      <c r="H3" s="96" t="s">
        <v>1051</v>
      </c>
      <c r="J3" s="96" t="s">
        <v>1052</v>
      </c>
      <c r="K3" s="93">
        <f t="shared" si="1"/>
        <v>5</v>
      </c>
    </row>
    <row r="4">
      <c r="A4" s="96" t="s">
        <v>1053</v>
      </c>
      <c r="B4" s="302">
        <v>44641.766838449075</v>
      </c>
      <c r="C4" s="96" t="s">
        <v>1054</v>
      </c>
      <c r="E4" s="96">
        <v>5.0</v>
      </c>
      <c r="F4" s="96">
        <v>5.0</v>
      </c>
      <c r="G4" s="96">
        <v>5.0</v>
      </c>
      <c r="J4" s="96" t="s">
        <v>1048</v>
      </c>
      <c r="K4" s="93">
        <f t="shared" si="1"/>
        <v>5</v>
      </c>
    </row>
    <row r="5">
      <c r="A5" s="96" t="s">
        <v>1055</v>
      </c>
      <c r="B5" s="302">
        <v>44642.103270810185</v>
      </c>
      <c r="C5" s="96" t="s">
        <v>1056</v>
      </c>
      <c r="D5" s="96" t="s">
        <v>1057</v>
      </c>
      <c r="E5" s="96">
        <v>5.0</v>
      </c>
      <c r="F5" s="96">
        <v>4.0</v>
      </c>
      <c r="G5" s="96">
        <v>5.0</v>
      </c>
      <c r="H5" s="96" t="s">
        <v>1058</v>
      </c>
      <c r="J5" s="96" t="s">
        <v>1048</v>
      </c>
      <c r="K5" s="93">
        <f t="shared" si="1"/>
        <v>4.666666667</v>
      </c>
    </row>
    <row r="6">
      <c r="A6" s="96" t="s">
        <v>1059</v>
      </c>
      <c r="B6" s="302">
        <v>44642.47737050926</v>
      </c>
      <c r="C6" s="96" t="s">
        <v>1060</v>
      </c>
      <c r="D6" s="96" t="s">
        <v>1061</v>
      </c>
      <c r="E6" s="96">
        <v>5.0</v>
      </c>
      <c r="F6" s="96">
        <v>5.0</v>
      </c>
      <c r="G6" s="96">
        <v>5.0</v>
      </c>
      <c r="J6" s="96" t="s">
        <v>1048</v>
      </c>
      <c r="K6" s="93">
        <f t="shared" si="1"/>
        <v>5</v>
      </c>
    </row>
    <row r="7">
      <c r="A7" s="96" t="s">
        <v>1062</v>
      </c>
      <c r="B7" s="302">
        <v>44642.604292013886</v>
      </c>
      <c r="C7" s="96" t="s">
        <v>1063</v>
      </c>
      <c r="D7" s="96" t="s">
        <v>1064</v>
      </c>
      <c r="E7" s="96">
        <v>5.0</v>
      </c>
      <c r="F7" s="96">
        <v>5.0</v>
      </c>
      <c r="G7" s="96">
        <v>5.0</v>
      </c>
      <c r="J7" s="96" t="s">
        <v>1048</v>
      </c>
      <c r="K7" s="93">
        <f t="shared" si="1"/>
        <v>5</v>
      </c>
    </row>
    <row r="8">
      <c r="A8" s="96" t="s">
        <v>1065</v>
      </c>
      <c r="B8" s="302">
        <v>44648.45973427083</v>
      </c>
      <c r="C8" s="96" t="s">
        <v>1066</v>
      </c>
      <c r="D8" s="96" t="s">
        <v>1067</v>
      </c>
      <c r="E8" s="96">
        <v>5.0</v>
      </c>
      <c r="F8" s="96">
        <v>5.0</v>
      </c>
      <c r="G8" s="96">
        <v>5.0</v>
      </c>
      <c r="H8" s="96" t="s">
        <v>1068</v>
      </c>
      <c r="I8" s="96" t="s">
        <v>1069</v>
      </c>
      <c r="J8" s="96" t="s">
        <v>1048</v>
      </c>
      <c r="K8" s="93">
        <f t="shared" si="1"/>
        <v>5</v>
      </c>
    </row>
    <row r="9">
      <c r="A9" s="96" t="s">
        <v>1059</v>
      </c>
      <c r="B9" s="302">
        <v>44649.80306810186</v>
      </c>
      <c r="C9" s="96" t="s">
        <v>1060</v>
      </c>
      <c r="D9" s="96" t="s">
        <v>1061</v>
      </c>
      <c r="E9" s="96">
        <v>4.0</v>
      </c>
      <c r="F9" s="96">
        <v>4.0</v>
      </c>
      <c r="G9" s="96">
        <v>4.0</v>
      </c>
      <c r="J9" s="96" t="s">
        <v>1048</v>
      </c>
      <c r="K9" s="93">
        <f t="shared" si="1"/>
        <v>4</v>
      </c>
    </row>
    <row r="10">
      <c r="A10" s="96" t="s">
        <v>1053</v>
      </c>
      <c r="B10" s="302">
        <v>44649.89443488426</v>
      </c>
      <c r="C10" s="96" t="s">
        <v>1070</v>
      </c>
      <c r="E10" s="96">
        <v>5.0</v>
      </c>
      <c r="F10" s="96">
        <v>5.0</v>
      </c>
      <c r="G10" s="96">
        <v>5.0</v>
      </c>
      <c r="J10" s="96" t="s">
        <v>1048</v>
      </c>
      <c r="K10" s="93">
        <f t="shared" si="1"/>
        <v>5</v>
      </c>
    </row>
    <row r="11">
      <c r="A11" s="96" t="s">
        <v>1065</v>
      </c>
      <c r="B11" s="302">
        <v>44653.31808171296</v>
      </c>
      <c r="C11" s="96" t="s">
        <v>1066</v>
      </c>
      <c r="D11" s="96" t="s">
        <v>1071</v>
      </c>
      <c r="E11" s="96">
        <v>5.0</v>
      </c>
      <c r="F11" s="96">
        <v>5.0</v>
      </c>
      <c r="G11" s="96">
        <v>5.0</v>
      </c>
      <c r="H11" s="96" t="s">
        <v>1072</v>
      </c>
      <c r="I11" s="96" t="s">
        <v>1073</v>
      </c>
      <c r="J11" s="96" t="s">
        <v>1048</v>
      </c>
      <c r="K11" s="93">
        <f t="shared" si="1"/>
        <v>5</v>
      </c>
    </row>
    <row r="12">
      <c r="A12" s="96" t="s">
        <v>1074</v>
      </c>
      <c r="B12" s="302">
        <v>44665.749341504634</v>
      </c>
      <c r="C12" s="96" t="s">
        <v>1075</v>
      </c>
      <c r="E12" s="96">
        <v>5.0</v>
      </c>
      <c r="F12" s="96">
        <v>5.0</v>
      </c>
      <c r="G12" s="96">
        <v>5.0</v>
      </c>
      <c r="H12" s="96" t="s">
        <v>1076</v>
      </c>
      <c r="J12" s="96" t="s">
        <v>1048</v>
      </c>
      <c r="K12" s="93">
        <f t="shared" si="1"/>
        <v>5</v>
      </c>
    </row>
    <row r="13">
      <c r="A13" s="96" t="s">
        <v>1074</v>
      </c>
      <c r="B13" s="302">
        <v>44669.78106263889</v>
      </c>
      <c r="C13" s="96" t="s">
        <v>1077</v>
      </c>
      <c r="D13" s="96" t="s">
        <v>1078</v>
      </c>
      <c r="E13" s="96">
        <v>5.0</v>
      </c>
      <c r="F13" s="96">
        <v>5.0</v>
      </c>
      <c r="G13" s="96">
        <v>5.0</v>
      </c>
      <c r="H13" s="96" t="s">
        <v>1079</v>
      </c>
      <c r="J13" s="96" t="s">
        <v>1048</v>
      </c>
      <c r="K13" s="93">
        <f t="shared" si="1"/>
        <v>5</v>
      </c>
    </row>
    <row r="14" hidden="1">
      <c r="A14" s="93"/>
      <c r="B14" s="302">
        <v>44670.80747706018</v>
      </c>
      <c r="C14" s="96" t="s">
        <v>1080</v>
      </c>
      <c r="E14" s="96">
        <v>5.0</v>
      </c>
      <c r="F14" s="96">
        <v>5.0</v>
      </c>
      <c r="G14" s="96">
        <v>5.0</v>
      </c>
      <c r="H14" s="96" t="s">
        <v>1081</v>
      </c>
      <c r="J14" s="96" t="s">
        <v>44</v>
      </c>
      <c r="K14" s="93">
        <f t="shared" si="1"/>
        <v>5</v>
      </c>
    </row>
    <row r="15" hidden="1">
      <c r="A15" s="93"/>
      <c r="B15" s="302">
        <v>44676.570138194445</v>
      </c>
      <c r="C15" s="96" t="s">
        <v>1082</v>
      </c>
      <c r="E15" s="96">
        <v>5.0</v>
      </c>
      <c r="F15" s="96">
        <v>5.0</v>
      </c>
      <c r="G15" s="96">
        <v>5.0</v>
      </c>
      <c r="K15" s="93">
        <f t="shared" si="1"/>
        <v>5</v>
      </c>
    </row>
    <row r="16">
      <c r="A16" s="96" t="s">
        <v>1074</v>
      </c>
      <c r="B16" s="302">
        <v>44678.777585104166</v>
      </c>
      <c r="C16" s="96" t="s">
        <v>1077</v>
      </c>
      <c r="D16" s="96" t="s">
        <v>1083</v>
      </c>
      <c r="E16" s="96">
        <v>5.0</v>
      </c>
      <c r="F16" s="96">
        <v>5.0</v>
      </c>
      <c r="G16" s="96">
        <v>5.0</v>
      </c>
      <c r="J16" s="96" t="s">
        <v>1048</v>
      </c>
      <c r="K16" s="93">
        <f t="shared" si="1"/>
        <v>5</v>
      </c>
    </row>
    <row r="17">
      <c r="A17" s="96" t="s">
        <v>1074</v>
      </c>
      <c r="B17" s="302">
        <v>44678.777924560185</v>
      </c>
      <c r="C17" s="96" t="s">
        <v>1077</v>
      </c>
      <c r="D17" s="96" t="s">
        <v>1083</v>
      </c>
      <c r="E17" s="96">
        <v>5.0</v>
      </c>
      <c r="F17" s="96">
        <v>5.0</v>
      </c>
      <c r="G17" s="96">
        <v>5.0</v>
      </c>
      <c r="J17" s="96" t="s">
        <v>1048</v>
      </c>
      <c r="K17" s="93">
        <f t="shared" si="1"/>
        <v>5</v>
      </c>
    </row>
    <row r="18" hidden="1">
      <c r="A18" s="96" t="s">
        <v>1084</v>
      </c>
      <c r="B18" s="302">
        <v>44679.43069461806</v>
      </c>
      <c r="C18" s="96" t="s">
        <v>1085</v>
      </c>
      <c r="D18" s="96" t="s">
        <v>1084</v>
      </c>
      <c r="E18" s="96">
        <v>4.0</v>
      </c>
      <c r="F18" s="96">
        <v>4.0</v>
      </c>
      <c r="G18" s="96">
        <v>5.0</v>
      </c>
      <c r="J18" s="96" t="s">
        <v>1052</v>
      </c>
      <c r="K18" s="93">
        <f t="shared" si="1"/>
        <v>4.333333333</v>
      </c>
    </row>
    <row r="19">
      <c r="A19" s="96" t="s">
        <v>1086</v>
      </c>
      <c r="B19" s="302">
        <v>44679.65114857639</v>
      </c>
      <c r="C19" s="96" t="s">
        <v>1087</v>
      </c>
      <c r="E19" s="96">
        <v>5.0</v>
      </c>
      <c r="F19" s="96">
        <v>5.0</v>
      </c>
      <c r="G19" s="96">
        <v>5.0</v>
      </c>
      <c r="H19" s="96" t="s">
        <v>1088</v>
      </c>
      <c r="I19" s="96" t="s">
        <v>1089</v>
      </c>
      <c r="J19" s="96" t="s">
        <v>1048</v>
      </c>
      <c r="K19" s="93">
        <f t="shared" si="1"/>
        <v>5</v>
      </c>
    </row>
    <row r="20">
      <c r="A20" s="96" t="s">
        <v>1086</v>
      </c>
      <c r="B20" s="302">
        <v>44679.658661134265</v>
      </c>
      <c r="C20" s="96" t="s">
        <v>1090</v>
      </c>
      <c r="D20" s="96" t="s">
        <v>1091</v>
      </c>
      <c r="E20" s="96">
        <v>5.0</v>
      </c>
      <c r="F20" s="96">
        <v>5.0</v>
      </c>
      <c r="G20" s="96">
        <v>5.0</v>
      </c>
      <c r="I20" s="96" t="s">
        <v>1092</v>
      </c>
      <c r="J20" s="96" t="s">
        <v>1048</v>
      </c>
      <c r="K20" s="93">
        <f t="shared" si="1"/>
        <v>5</v>
      </c>
    </row>
    <row r="21">
      <c r="A21" s="96" t="s">
        <v>1045</v>
      </c>
      <c r="B21" s="302">
        <v>44679.66167173611</v>
      </c>
      <c r="C21" s="96" t="s">
        <v>1093</v>
      </c>
      <c r="E21" s="96">
        <v>4.0</v>
      </c>
      <c r="F21" s="96">
        <v>4.0</v>
      </c>
      <c r="G21" s="96">
        <v>4.0</v>
      </c>
      <c r="H21" s="96" t="s">
        <v>1094</v>
      </c>
      <c r="J21" s="96" t="s">
        <v>1048</v>
      </c>
      <c r="K21" s="93">
        <f t="shared" si="1"/>
        <v>4</v>
      </c>
    </row>
    <row r="22" hidden="1">
      <c r="A22" s="96" t="s">
        <v>1095</v>
      </c>
      <c r="B22" s="302">
        <v>44680.528812268516</v>
      </c>
      <c r="C22" s="96" t="s">
        <v>1096</v>
      </c>
      <c r="E22" s="96">
        <v>5.0</v>
      </c>
      <c r="F22" s="96">
        <v>5.0</v>
      </c>
      <c r="G22" s="96">
        <v>5.0</v>
      </c>
      <c r="I22" s="96" t="s">
        <v>1097</v>
      </c>
      <c r="J22" s="350"/>
      <c r="K22" s="93">
        <f t="shared" si="1"/>
        <v>5</v>
      </c>
    </row>
    <row r="23" hidden="1">
      <c r="A23" s="96" t="s">
        <v>1098</v>
      </c>
      <c r="B23" s="302">
        <v>44692.674828206014</v>
      </c>
      <c r="C23" s="96" t="s">
        <v>1099</v>
      </c>
      <c r="D23" s="96" t="s">
        <v>1100</v>
      </c>
      <c r="E23" s="96">
        <v>5.0</v>
      </c>
      <c r="F23" s="96">
        <v>5.0</v>
      </c>
      <c r="G23" s="96">
        <v>5.0</v>
      </c>
      <c r="H23" s="96" t="s">
        <v>1101</v>
      </c>
      <c r="J23" s="96" t="s">
        <v>1052</v>
      </c>
      <c r="K23" s="93">
        <f t="shared" si="1"/>
        <v>5</v>
      </c>
    </row>
    <row r="24">
      <c r="A24" s="96" t="s">
        <v>1102</v>
      </c>
      <c r="B24" s="302">
        <v>44698.807237037036</v>
      </c>
      <c r="C24" s="96" t="s">
        <v>1103</v>
      </c>
      <c r="E24" s="96">
        <v>4.0</v>
      </c>
      <c r="F24" s="96">
        <v>4.0</v>
      </c>
      <c r="G24" s="96">
        <v>4.0</v>
      </c>
      <c r="J24" s="96" t="s">
        <v>1048</v>
      </c>
      <c r="K24" s="93">
        <f t="shared" si="1"/>
        <v>4</v>
      </c>
    </row>
    <row r="25">
      <c r="A25" s="96" t="s">
        <v>1104</v>
      </c>
      <c r="B25" s="302">
        <v>44704.420530787036</v>
      </c>
      <c r="C25" s="96" t="s">
        <v>1105</v>
      </c>
      <c r="D25" s="96" t="s">
        <v>1106</v>
      </c>
      <c r="E25" s="96">
        <v>5.0</v>
      </c>
      <c r="F25" s="96">
        <v>5.0</v>
      </c>
      <c r="G25" s="96">
        <v>5.0</v>
      </c>
      <c r="H25" s="96" t="s">
        <v>1107</v>
      </c>
      <c r="I25" s="96" t="s">
        <v>1108</v>
      </c>
      <c r="J25" s="96" t="s">
        <v>1048</v>
      </c>
      <c r="K25" s="93">
        <f t="shared" si="1"/>
        <v>5</v>
      </c>
    </row>
    <row r="26">
      <c r="A26" s="96" t="s">
        <v>1109</v>
      </c>
      <c r="B26" s="302">
        <v>44708.84189388889</v>
      </c>
      <c r="C26" s="96" t="s">
        <v>1110</v>
      </c>
      <c r="D26" s="96" t="s">
        <v>1111</v>
      </c>
      <c r="E26" s="96">
        <v>5.0</v>
      </c>
      <c r="F26" s="96">
        <v>5.0</v>
      </c>
      <c r="G26" s="96">
        <v>5.0</v>
      </c>
      <c r="J26" s="96" t="s">
        <v>1048</v>
      </c>
      <c r="K26" s="93">
        <f t="shared" si="1"/>
        <v>5</v>
      </c>
    </row>
    <row r="27">
      <c r="A27" s="96" t="s">
        <v>1104</v>
      </c>
      <c r="B27" s="302">
        <v>44711.942575520836</v>
      </c>
      <c r="C27" s="96" t="s">
        <v>1105</v>
      </c>
      <c r="D27" s="96" t="s">
        <v>1106</v>
      </c>
      <c r="E27" s="96">
        <v>5.0</v>
      </c>
      <c r="F27" s="96">
        <v>5.0</v>
      </c>
      <c r="G27" s="96">
        <v>5.0</v>
      </c>
      <c r="J27" s="96" t="s">
        <v>1048</v>
      </c>
      <c r="K27" s="93">
        <f t="shared" si="1"/>
        <v>5</v>
      </c>
    </row>
    <row r="28" hidden="1">
      <c r="A28" s="93"/>
      <c r="B28" s="302">
        <v>44726.42931025463</v>
      </c>
      <c r="C28" s="96" t="s">
        <v>1112</v>
      </c>
      <c r="D28" s="96" t="s">
        <v>1113</v>
      </c>
      <c r="E28" s="96">
        <v>5.0</v>
      </c>
      <c r="F28" s="96">
        <v>4.0</v>
      </c>
      <c r="G28" s="96">
        <v>5.0</v>
      </c>
      <c r="I28" s="96" t="s">
        <v>1114</v>
      </c>
      <c r="J28" s="96" t="s">
        <v>1052</v>
      </c>
      <c r="K28" s="93">
        <f t="shared" si="1"/>
        <v>4.666666667</v>
      </c>
    </row>
    <row r="29">
      <c r="A29" s="96" t="s">
        <v>1104</v>
      </c>
      <c r="B29" s="302">
        <v>44727.89483813658</v>
      </c>
      <c r="C29" s="96" t="s">
        <v>1105</v>
      </c>
      <c r="D29" s="96" t="s">
        <v>1106</v>
      </c>
      <c r="E29" s="96">
        <v>5.0</v>
      </c>
      <c r="F29" s="96">
        <v>5.0</v>
      </c>
      <c r="G29" s="96">
        <v>5.0</v>
      </c>
      <c r="H29" s="96" t="s">
        <v>1115</v>
      </c>
      <c r="I29" s="96" t="s">
        <v>1116</v>
      </c>
      <c r="J29" s="96" t="s">
        <v>1048</v>
      </c>
      <c r="K29" s="93">
        <f t="shared" si="1"/>
        <v>5</v>
      </c>
    </row>
    <row r="30">
      <c r="A30" s="96" t="s">
        <v>1109</v>
      </c>
      <c r="B30" s="302">
        <v>44732.876381215276</v>
      </c>
      <c r="C30" s="96" t="s">
        <v>1117</v>
      </c>
      <c r="D30" s="96" t="s">
        <v>1118</v>
      </c>
      <c r="E30" s="96">
        <v>5.0</v>
      </c>
      <c r="F30" s="96">
        <v>5.0</v>
      </c>
      <c r="G30" s="96">
        <v>5.0</v>
      </c>
      <c r="J30" s="96" t="s">
        <v>1048</v>
      </c>
      <c r="K30" s="93">
        <f t="shared" si="1"/>
        <v>5</v>
      </c>
    </row>
    <row r="31">
      <c r="A31" s="96" t="s">
        <v>1119</v>
      </c>
      <c r="B31" s="302">
        <v>44740.67382574074</v>
      </c>
      <c r="C31" s="96" t="s">
        <v>1120</v>
      </c>
      <c r="D31" s="96" t="s">
        <v>1064</v>
      </c>
      <c r="E31" s="96">
        <v>4.0</v>
      </c>
      <c r="F31" s="96">
        <v>5.0</v>
      </c>
      <c r="G31" s="96">
        <v>5.0</v>
      </c>
      <c r="H31" s="96" t="s">
        <v>1121</v>
      </c>
      <c r="J31" s="96" t="s">
        <v>1048</v>
      </c>
      <c r="K31" s="93">
        <f t="shared" si="1"/>
        <v>4.666666667</v>
      </c>
    </row>
    <row r="32">
      <c r="A32" s="96" t="s">
        <v>1122</v>
      </c>
      <c r="B32" s="302">
        <v>44743.82119199074</v>
      </c>
      <c r="C32" s="96" t="s">
        <v>1123</v>
      </c>
      <c r="D32" s="96" t="s">
        <v>1124</v>
      </c>
      <c r="E32" s="96">
        <v>5.0</v>
      </c>
      <c r="F32" s="96">
        <v>5.0</v>
      </c>
      <c r="G32" s="96">
        <v>5.0</v>
      </c>
      <c r="H32" s="96" t="s">
        <v>1125</v>
      </c>
      <c r="J32" s="96" t="s">
        <v>1048</v>
      </c>
      <c r="K32" s="93">
        <f t="shared" si="1"/>
        <v>5</v>
      </c>
    </row>
    <row r="33">
      <c r="A33" s="96" t="s">
        <v>1119</v>
      </c>
      <c r="B33" s="302">
        <v>44761.38385128472</v>
      </c>
      <c r="C33" s="96" t="s">
        <v>1063</v>
      </c>
      <c r="D33" s="96" t="s">
        <v>1064</v>
      </c>
      <c r="E33" s="96">
        <v>5.0</v>
      </c>
      <c r="F33" s="96">
        <v>5.0</v>
      </c>
      <c r="G33" s="96">
        <v>5.0</v>
      </c>
      <c r="J33" s="96" t="s">
        <v>1048</v>
      </c>
      <c r="K33" s="93">
        <f t="shared" si="1"/>
        <v>5</v>
      </c>
    </row>
    <row r="34" hidden="1">
      <c r="A34" s="93"/>
      <c r="B34" s="302">
        <v>44767.574262442125</v>
      </c>
      <c r="C34" s="96" t="s">
        <v>1126</v>
      </c>
      <c r="D34" s="96" t="s">
        <v>1127</v>
      </c>
      <c r="E34" s="96">
        <v>2.0</v>
      </c>
      <c r="F34" s="96">
        <v>2.0</v>
      </c>
      <c r="G34" s="96">
        <v>1.0</v>
      </c>
      <c r="I34" s="96" t="s">
        <v>1128</v>
      </c>
      <c r="J34" s="350"/>
      <c r="K34" s="93">
        <f t="shared" si="1"/>
        <v>1.666666667</v>
      </c>
    </row>
    <row r="35">
      <c r="A35" s="96" t="s">
        <v>1129</v>
      </c>
      <c r="B35" s="302">
        <v>44767.70260329861</v>
      </c>
      <c r="C35" s="96" t="s">
        <v>1075</v>
      </c>
      <c r="D35" s="96" t="s">
        <v>1130</v>
      </c>
      <c r="E35" s="96">
        <v>5.0</v>
      </c>
      <c r="F35" s="96">
        <v>5.0</v>
      </c>
      <c r="G35" s="96">
        <v>5.0</v>
      </c>
      <c r="J35" s="96" t="s">
        <v>1048</v>
      </c>
      <c r="K35" s="93">
        <f t="shared" si="1"/>
        <v>5</v>
      </c>
    </row>
    <row r="36" hidden="1">
      <c r="A36" s="93"/>
      <c r="B36" s="302">
        <v>44769.44251975694</v>
      </c>
      <c r="C36" s="96" t="s">
        <v>1131</v>
      </c>
      <c r="D36" s="96" t="s">
        <v>1132</v>
      </c>
      <c r="E36" s="96">
        <v>5.0</v>
      </c>
      <c r="F36" s="96">
        <v>4.0</v>
      </c>
      <c r="G36" s="96">
        <v>5.0</v>
      </c>
      <c r="H36" s="96" t="s">
        <v>1133</v>
      </c>
      <c r="K36" s="93">
        <f t="shared" si="1"/>
        <v>4.666666667</v>
      </c>
    </row>
    <row r="37">
      <c r="A37" s="96" t="s">
        <v>1122</v>
      </c>
      <c r="B37" s="302">
        <v>44769.75586348379</v>
      </c>
      <c r="C37" s="96" t="s">
        <v>1134</v>
      </c>
      <c r="D37" s="96" t="s">
        <v>1135</v>
      </c>
      <c r="E37" s="96">
        <v>5.0</v>
      </c>
      <c r="F37" s="96">
        <v>5.0</v>
      </c>
      <c r="G37" s="96">
        <v>5.0</v>
      </c>
      <c r="J37" s="96" t="s">
        <v>1048</v>
      </c>
      <c r="K37" s="93">
        <f t="shared" si="1"/>
        <v>5</v>
      </c>
    </row>
    <row r="38">
      <c r="A38" s="96" t="s">
        <v>1136</v>
      </c>
      <c r="B38" s="302">
        <v>44772.67496521991</v>
      </c>
      <c r="C38" s="96" t="s">
        <v>1137</v>
      </c>
      <c r="E38" s="96">
        <v>5.0</v>
      </c>
      <c r="F38" s="96">
        <v>5.0</v>
      </c>
      <c r="G38" s="96">
        <v>5.0</v>
      </c>
      <c r="I38" s="96" t="s">
        <v>1138</v>
      </c>
      <c r="J38" s="96" t="s">
        <v>1048</v>
      </c>
      <c r="K38" s="93">
        <f t="shared" si="1"/>
        <v>5</v>
      </c>
    </row>
    <row r="39">
      <c r="A39" s="96" t="s">
        <v>1139</v>
      </c>
      <c r="B39" s="302">
        <v>44776.449817569446</v>
      </c>
      <c r="C39" s="96" t="s">
        <v>1140</v>
      </c>
      <c r="D39" s="96" t="s">
        <v>1139</v>
      </c>
      <c r="E39" s="96">
        <v>5.0</v>
      </c>
      <c r="F39" s="96">
        <v>5.0</v>
      </c>
      <c r="G39" s="96">
        <v>5.0</v>
      </c>
      <c r="J39" s="96" t="s">
        <v>1048</v>
      </c>
      <c r="K39" s="93">
        <f t="shared" si="1"/>
        <v>5</v>
      </c>
    </row>
    <row r="40">
      <c r="A40" s="96" t="s">
        <v>1122</v>
      </c>
      <c r="B40" s="302">
        <v>44776.59548949074</v>
      </c>
      <c r="C40" s="96" t="s">
        <v>1141</v>
      </c>
      <c r="D40" s="96" t="s">
        <v>1124</v>
      </c>
      <c r="E40" s="96">
        <v>5.0</v>
      </c>
      <c r="F40" s="96">
        <v>5.0</v>
      </c>
      <c r="G40" s="96">
        <v>5.0</v>
      </c>
      <c r="J40" s="96" t="s">
        <v>1048</v>
      </c>
      <c r="K40" s="93">
        <f t="shared" si="1"/>
        <v>5</v>
      </c>
    </row>
    <row r="41">
      <c r="A41" s="96" t="s">
        <v>1119</v>
      </c>
      <c r="B41" s="302">
        <v>44777.649320613426</v>
      </c>
      <c r="C41" s="96" t="s">
        <v>1142</v>
      </c>
      <c r="D41" s="96" t="s">
        <v>1064</v>
      </c>
      <c r="E41" s="96">
        <v>5.0</v>
      </c>
      <c r="F41" s="96">
        <v>5.0</v>
      </c>
      <c r="G41" s="96">
        <v>5.0</v>
      </c>
      <c r="J41" s="96" t="s">
        <v>1048</v>
      </c>
      <c r="K41" s="93">
        <f t="shared" si="1"/>
        <v>5</v>
      </c>
    </row>
    <row r="42" hidden="1">
      <c r="A42" s="93"/>
      <c r="B42" s="302">
        <v>44778.403544479166</v>
      </c>
      <c r="C42" s="96" t="s">
        <v>1143</v>
      </c>
      <c r="E42" s="96">
        <v>5.0</v>
      </c>
      <c r="F42" s="96">
        <v>5.0</v>
      </c>
      <c r="G42" s="96">
        <v>5.0</v>
      </c>
      <c r="K42" s="93">
        <f t="shared" si="1"/>
        <v>5</v>
      </c>
    </row>
    <row r="43">
      <c r="A43" s="96" t="s">
        <v>1119</v>
      </c>
      <c r="B43" s="302">
        <v>44784.62757449074</v>
      </c>
      <c r="C43" s="96" t="s">
        <v>1063</v>
      </c>
      <c r="D43" s="96" t="s">
        <v>1064</v>
      </c>
      <c r="E43" s="96">
        <v>5.0</v>
      </c>
      <c r="F43" s="96">
        <v>5.0</v>
      </c>
      <c r="G43" s="96">
        <v>5.0</v>
      </c>
      <c r="J43" s="96" t="s">
        <v>1048</v>
      </c>
      <c r="K43" s="93">
        <f t="shared" si="1"/>
        <v>5</v>
      </c>
    </row>
    <row r="44">
      <c r="A44" s="96" t="s">
        <v>1136</v>
      </c>
      <c r="B44" s="302">
        <v>44784.75005446759</v>
      </c>
      <c r="C44" s="96" t="s">
        <v>1137</v>
      </c>
      <c r="E44" s="96">
        <v>5.0</v>
      </c>
      <c r="F44" s="96">
        <v>5.0</v>
      </c>
      <c r="G44" s="96">
        <v>5.0</v>
      </c>
      <c r="J44" s="96" t="s">
        <v>1048</v>
      </c>
      <c r="K44" s="93">
        <f t="shared" si="1"/>
        <v>5</v>
      </c>
    </row>
    <row r="45" hidden="1">
      <c r="A45" s="93"/>
      <c r="B45" s="302">
        <v>44789.847903194444</v>
      </c>
      <c r="C45" s="96" t="s">
        <v>1144</v>
      </c>
      <c r="D45" s="96" t="s">
        <v>1145</v>
      </c>
      <c r="E45" s="96">
        <v>5.0</v>
      </c>
      <c r="F45" s="96">
        <v>5.0</v>
      </c>
      <c r="G45" s="96">
        <v>5.0</v>
      </c>
      <c r="J45" s="96" t="s">
        <v>1052</v>
      </c>
      <c r="K45" s="93">
        <f t="shared" si="1"/>
        <v>5</v>
      </c>
    </row>
    <row r="46">
      <c r="A46" s="96" t="s">
        <v>1136</v>
      </c>
      <c r="B46" s="302">
        <v>44790.40593631944</v>
      </c>
      <c r="C46" s="96" t="s">
        <v>1146</v>
      </c>
      <c r="E46" s="96">
        <v>5.0</v>
      </c>
      <c r="F46" s="96">
        <v>5.0</v>
      </c>
      <c r="G46" s="96">
        <v>5.0</v>
      </c>
      <c r="J46" s="96" t="s">
        <v>1048</v>
      </c>
      <c r="K46" s="93">
        <f t="shared" si="1"/>
        <v>5</v>
      </c>
    </row>
    <row r="47">
      <c r="A47" s="96" t="s">
        <v>1147</v>
      </c>
      <c r="B47" s="302">
        <v>44796.58010107639</v>
      </c>
      <c r="C47" s="96" t="s">
        <v>1105</v>
      </c>
      <c r="E47" s="96">
        <v>5.0</v>
      </c>
      <c r="F47" s="96">
        <v>5.0</v>
      </c>
      <c r="G47" s="96">
        <v>5.0</v>
      </c>
      <c r="J47" s="96" t="s">
        <v>1048</v>
      </c>
      <c r="K47" s="93">
        <f t="shared" si="1"/>
        <v>5</v>
      </c>
    </row>
    <row r="48" hidden="1">
      <c r="A48" s="93"/>
      <c r="B48" s="302">
        <v>44796.5861672801</v>
      </c>
      <c r="C48" s="96" t="s">
        <v>1148</v>
      </c>
      <c r="D48" s="96" t="s">
        <v>1149</v>
      </c>
      <c r="E48" s="96">
        <v>5.0</v>
      </c>
      <c r="F48" s="96">
        <v>5.0</v>
      </c>
      <c r="G48" s="96">
        <v>5.0</v>
      </c>
      <c r="K48" s="93">
        <f t="shared" si="1"/>
        <v>5</v>
      </c>
    </row>
    <row r="49" hidden="1">
      <c r="A49" s="93"/>
      <c r="B49" s="302">
        <v>44802.5365131713</v>
      </c>
      <c r="C49" s="96" t="s">
        <v>1150</v>
      </c>
      <c r="E49" s="96">
        <v>3.0</v>
      </c>
      <c r="F49" s="96">
        <v>3.0</v>
      </c>
      <c r="G49" s="96">
        <v>3.0</v>
      </c>
      <c r="K49" s="93">
        <f t="shared" si="1"/>
        <v>3</v>
      </c>
    </row>
    <row r="50">
      <c r="A50" s="96" t="s">
        <v>1119</v>
      </c>
      <c r="B50" s="302">
        <v>44803.82578118055</v>
      </c>
      <c r="C50" s="96" t="s">
        <v>1063</v>
      </c>
      <c r="D50" s="96" t="s">
        <v>1064</v>
      </c>
      <c r="E50" s="96">
        <v>5.0</v>
      </c>
      <c r="F50" s="96">
        <v>5.0</v>
      </c>
      <c r="G50" s="96">
        <v>5.0</v>
      </c>
      <c r="J50" s="96" t="s">
        <v>1048</v>
      </c>
      <c r="K50" s="93">
        <f t="shared" si="1"/>
        <v>5</v>
      </c>
    </row>
    <row r="51">
      <c r="A51" s="96" t="s">
        <v>1151</v>
      </c>
      <c r="B51" s="302">
        <v>44805.918610266206</v>
      </c>
      <c r="C51" s="96" t="s">
        <v>1152</v>
      </c>
      <c r="E51" s="96">
        <v>4.0</v>
      </c>
      <c r="F51" s="96">
        <v>5.0</v>
      </c>
      <c r="G51" s="96">
        <v>5.0</v>
      </c>
      <c r="H51" s="96" t="s">
        <v>1153</v>
      </c>
      <c r="I51" s="96" t="s">
        <v>1154</v>
      </c>
      <c r="J51" s="96" t="s">
        <v>1048</v>
      </c>
      <c r="K51" s="93">
        <f t="shared" si="1"/>
        <v>4.666666667</v>
      </c>
    </row>
    <row r="52">
      <c r="A52" s="96" t="s">
        <v>1155</v>
      </c>
      <c r="B52" s="302">
        <v>44806.744293703705</v>
      </c>
      <c r="C52" s="96" t="s">
        <v>1156</v>
      </c>
      <c r="D52" s="96" t="s">
        <v>1157</v>
      </c>
      <c r="E52" s="96">
        <v>5.0</v>
      </c>
      <c r="F52" s="96">
        <v>5.0</v>
      </c>
      <c r="G52" s="96">
        <v>5.0</v>
      </c>
      <c r="H52" s="96" t="s">
        <v>1158</v>
      </c>
      <c r="I52" s="96" t="s">
        <v>1159</v>
      </c>
      <c r="J52" s="96" t="s">
        <v>1048</v>
      </c>
      <c r="K52" s="93">
        <f t="shared" si="1"/>
        <v>5</v>
      </c>
    </row>
    <row r="53" hidden="1">
      <c r="A53" s="96" t="s">
        <v>1160</v>
      </c>
      <c r="B53" s="302">
        <v>44809.74152931713</v>
      </c>
      <c r="C53" s="96" t="s">
        <v>1161</v>
      </c>
      <c r="D53" s="96" t="s">
        <v>1160</v>
      </c>
      <c r="E53" s="96">
        <v>5.0</v>
      </c>
      <c r="F53" s="96">
        <v>5.0</v>
      </c>
      <c r="G53" s="96">
        <v>5.0</v>
      </c>
      <c r="I53" s="96" t="s">
        <v>1162</v>
      </c>
      <c r="J53" s="96" t="s">
        <v>1052</v>
      </c>
      <c r="K53" s="93">
        <f t="shared" si="1"/>
        <v>5</v>
      </c>
    </row>
    <row r="54">
      <c r="A54" s="96" t="s">
        <v>1129</v>
      </c>
      <c r="B54" s="302">
        <v>44809.7562428588</v>
      </c>
      <c r="C54" s="96" t="s">
        <v>1163</v>
      </c>
      <c r="E54" s="96">
        <v>5.0</v>
      </c>
      <c r="F54" s="96">
        <v>5.0</v>
      </c>
      <c r="G54" s="96">
        <v>5.0</v>
      </c>
      <c r="H54" s="96" t="s">
        <v>1164</v>
      </c>
      <c r="J54" s="96" t="s">
        <v>1048</v>
      </c>
      <c r="K54" s="93">
        <f t="shared" si="1"/>
        <v>5</v>
      </c>
    </row>
    <row r="55">
      <c r="A55" s="96" t="s">
        <v>1165</v>
      </c>
      <c r="B55" s="302">
        <v>44809.82081881944</v>
      </c>
      <c r="C55" s="96" t="s">
        <v>1166</v>
      </c>
      <c r="E55" s="96">
        <v>5.0</v>
      </c>
      <c r="F55" s="96">
        <v>5.0</v>
      </c>
      <c r="G55" s="96">
        <v>5.0</v>
      </c>
      <c r="H55" s="96" t="s">
        <v>1167</v>
      </c>
      <c r="J55" s="96" t="s">
        <v>1048</v>
      </c>
      <c r="K55" s="93">
        <f t="shared" si="1"/>
        <v>5</v>
      </c>
    </row>
    <row r="56">
      <c r="A56" s="96" t="s">
        <v>1147</v>
      </c>
      <c r="B56" s="302">
        <v>44811.4170980787</v>
      </c>
      <c r="C56" s="96" t="s">
        <v>1105</v>
      </c>
      <c r="D56" s="96" t="s">
        <v>1106</v>
      </c>
      <c r="E56" s="96">
        <v>5.0</v>
      </c>
      <c r="F56" s="96">
        <v>5.0</v>
      </c>
      <c r="G56" s="96">
        <v>5.0</v>
      </c>
      <c r="J56" s="96" t="s">
        <v>1048</v>
      </c>
      <c r="K56" s="93">
        <f t="shared" si="1"/>
        <v>5</v>
      </c>
    </row>
    <row r="57">
      <c r="A57" s="96" t="s">
        <v>1151</v>
      </c>
      <c r="B57" s="302">
        <v>44813.650543958334</v>
      </c>
      <c r="C57" s="96" t="s">
        <v>1168</v>
      </c>
      <c r="E57" s="96">
        <v>5.0</v>
      </c>
      <c r="F57" s="96">
        <v>5.0</v>
      </c>
      <c r="G57" s="96">
        <v>5.0</v>
      </c>
      <c r="H57" s="96" t="s">
        <v>1169</v>
      </c>
      <c r="I57" s="96" t="s">
        <v>1170</v>
      </c>
      <c r="J57" s="96" t="s">
        <v>1048</v>
      </c>
      <c r="K57" s="93">
        <f t="shared" si="1"/>
        <v>5</v>
      </c>
    </row>
    <row r="58">
      <c r="A58" s="96" t="s">
        <v>1155</v>
      </c>
      <c r="B58" s="302">
        <v>44816.50229991898</v>
      </c>
      <c r="C58" s="96" t="s">
        <v>1171</v>
      </c>
      <c r="D58" s="96" t="s">
        <v>1157</v>
      </c>
      <c r="E58" s="96">
        <v>5.0</v>
      </c>
      <c r="F58" s="96">
        <v>5.0</v>
      </c>
      <c r="G58" s="96">
        <v>5.0</v>
      </c>
      <c r="J58" s="96" t="s">
        <v>1048</v>
      </c>
      <c r="K58" s="93">
        <f t="shared" si="1"/>
        <v>5</v>
      </c>
    </row>
    <row r="59">
      <c r="A59" s="96" t="s">
        <v>1119</v>
      </c>
      <c r="B59" s="302">
        <v>44817.71265408565</v>
      </c>
      <c r="C59" s="96" t="s">
        <v>1063</v>
      </c>
      <c r="D59" s="96" t="s">
        <v>1064</v>
      </c>
      <c r="E59" s="96">
        <v>5.0</v>
      </c>
      <c r="F59" s="96">
        <v>5.0</v>
      </c>
      <c r="G59" s="96">
        <v>5.0</v>
      </c>
      <c r="I59" s="96" t="s">
        <v>1172</v>
      </c>
      <c r="J59" s="96" t="s">
        <v>1048</v>
      </c>
      <c r="K59" s="93">
        <f t="shared" si="1"/>
        <v>5</v>
      </c>
    </row>
    <row r="60">
      <c r="A60" s="96" t="s">
        <v>1165</v>
      </c>
      <c r="B60" s="302">
        <v>44817.91233791667</v>
      </c>
      <c r="C60" s="96" t="s">
        <v>1166</v>
      </c>
      <c r="E60" s="96">
        <v>5.0</v>
      </c>
      <c r="F60" s="96">
        <v>5.0</v>
      </c>
      <c r="G60" s="96">
        <v>5.0</v>
      </c>
      <c r="H60" s="96" t="s">
        <v>1173</v>
      </c>
      <c r="J60" s="96" t="s">
        <v>1048</v>
      </c>
      <c r="K60" s="93">
        <f t="shared" si="1"/>
        <v>5</v>
      </c>
    </row>
    <row r="61">
      <c r="A61" s="96" t="s">
        <v>1165</v>
      </c>
      <c r="B61" s="302">
        <v>44826.84181924768</v>
      </c>
      <c r="C61" s="96" t="s">
        <v>1166</v>
      </c>
      <c r="E61" s="96">
        <v>5.0</v>
      </c>
      <c r="F61" s="96">
        <v>5.0</v>
      </c>
      <c r="G61" s="96">
        <v>5.0</v>
      </c>
      <c r="I61" s="96" t="s">
        <v>1174</v>
      </c>
      <c r="J61" s="96" t="s">
        <v>1048</v>
      </c>
      <c r="K61" s="93">
        <f t="shared" si="1"/>
        <v>5</v>
      </c>
    </row>
    <row r="62">
      <c r="A62" s="96" t="s">
        <v>1175</v>
      </c>
      <c r="B62" s="302">
        <v>44827.66083486111</v>
      </c>
      <c r="C62" s="96" t="s">
        <v>1123</v>
      </c>
      <c r="D62" s="96" t="s">
        <v>1176</v>
      </c>
      <c r="E62" s="96">
        <v>3.0</v>
      </c>
      <c r="F62" s="96">
        <v>3.0</v>
      </c>
      <c r="G62" s="96">
        <v>3.0</v>
      </c>
      <c r="H62" s="96" t="s">
        <v>1177</v>
      </c>
      <c r="I62" s="96" t="s">
        <v>1178</v>
      </c>
      <c r="J62" s="96" t="s">
        <v>1048</v>
      </c>
      <c r="K62" s="93">
        <f t="shared" si="1"/>
        <v>3</v>
      </c>
    </row>
    <row r="63">
      <c r="A63" s="96" t="s">
        <v>1179</v>
      </c>
      <c r="B63" s="302">
        <v>44831.536961157406</v>
      </c>
      <c r="C63" s="96" t="s">
        <v>1180</v>
      </c>
      <c r="D63" s="96" t="s">
        <v>1181</v>
      </c>
      <c r="E63" s="96">
        <v>5.0</v>
      </c>
      <c r="F63" s="96">
        <v>5.0</v>
      </c>
      <c r="G63" s="96">
        <v>5.0</v>
      </c>
      <c r="J63" s="96" t="s">
        <v>1048</v>
      </c>
      <c r="K63" s="93">
        <f t="shared" si="1"/>
        <v>5</v>
      </c>
    </row>
    <row r="64">
      <c r="A64" s="96" t="s">
        <v>1155</v>
      </c>
      <c r="B64" s="302">
        <v>44831.6666832176</v>
      </c>
      <c r="C64" s="96" t="s">
        <v>1171</v>
      </c>
      <c r="D64" s="96" t="s">
        <v>1157</v>
      </c>
      <c r="E64" s="96">
        <v>3.0</v>
      </c>
      <c r="F64" s="96">
        <v>5.0</v>
      </c>
      <c r="G64" s="96">
        <v>4.0</v>
      </c>
      <c r="H64" s="96" t="s">
        <v>1182</v>
      </c>
      <c r="J64" s="96" t="s">
        <v>1048</v>
      </c>
      <c r="K64" s="93">
        <f t="shared" si="1"/>
        <v>4</v>
      </c>
    </row>
    <row r="65" hidden="1">
      <c r="A65" s="93"/>
      <c r="B65" s="302">
        <v>44839.47669688657</v>
      </c>
      <c r="C65" s="96" t="s">
        <v>1183</v>
      </c>
      <c r="E65" s="96">
        <v>4.0</v>
      </c>
      <c r="F65" s="96">
        <v>1.0</v>
      </c>
      <c r="G65" s="96">
        <v>2.0</v>
      </c>
      <c r="J65" s="96" t="s">
        <v>1184</v>
      </c>
    </row>
    <row r="66">
      <c r="A66" s="96" t="s">
        <v>1151</v>
      </c>
      <c r="B66" s="302">
        <v>44848.76297841435</v>
      </c>
      <c r="C66" s="96" t="s">
        <v>1185</v>
      </c>
      <c r="E66" s="96">
        <v>4.0</v>
      </c>
      <c r="F66" s="96">
        <v>5.0</v>
      </c>
      <c r="G66" s="96">
        <v>5.0</v>
      </c>
      <c r="I66" s="96" t="s">
        <v>1186</v>
      </c>
      <c r="J66" s="96" t="s">
        <v>1048</v>
      </c>
      <c r="K66" s="93">
        <f t="shared" ref="K66:K68" si="2">AVERAGEA(E66:G66)</f>
        <v>4.666666667</v>
      </c>
    </row>
    <row r="67">
      <c r="A67" s="96" t="s">
        <v>1175</v>
      </c>
      <c r="B67" s="302">
        <v>44850.57710030093</v>
      </c>
      <c r="C67" s="96" t="s">
        <v>1123</v>
      </c>
      <c r="D67" s="96" t="s">
        <v>1187</v>
      </c>
      <c r="E67" s="96">
        <v>3.0</v>
      </c>
      <c r="F67" s="96">
        <v>3.0</v>
      </c>
      <c r="G67" s="96">
        <v>3.0</v>
      </c>
      <c r="H67" s="96" t="s">
        <v>1188</v>
      </c>
      <c r="I67" s="96" t="s">
        <v>1189</v>
      </c>
      <c r="J67" s="96" t="s">
        <v>1048</v>
      </c>
      <c r="K67" s="93">
        <f t="shared" si="2"/>
        <v>3</v>
      </c>
    </row>
    <row r="68">
      <c r="A68" s="96" t="s">
        <v>1136</v>
      </c>
      <c r="B68" s="302">
        <v>44855.66830513889</v>
      </c>
      <c r="C68" s="96" t="s">
        <v>1137</v>
      </c>
      <c r="E68" s="96">
        <v>5.0</v>
      </c>
      <c r="F68" s="96">
        <v>5.0</v>
      </c>
      <c r="G68" s="96">
        <v>5.0</v>
      </c>
      <c r="J68" s="96" t="s">
        <v>1048</v>
      </c>
      <c r="K68" s="93">
        <f t="shared" si="2"/>
        <v>5</v>
      </c>
    </row>
    <row r="69" hidden="1">
      <c r="A69" s="93"/>
      <c r="B69" s="302">
        <v>44860.69299083333</v>
      </c>
      <c r="C69" s="96" t="s">
        <v>1190</v>
      </c>
      <c r="D69" s="96" t="s">
        <v>1191</v>
      </c>
      <c r="E69" s="96">
        <v>5.0</v>
      </c>
      <c r="F69" s="96">
        <v>4.0</v>
      </c>
      <c r="G69" s="96">
        <v>5.0</v>
      </c>
      <c r="J69" s="96" t="s">
        <v>1184</v>
      </c>
    </row>
    <row r="70">
      <c r="A70" s="96" t="s">
        <v>1175</v>
      </c>
      <c r="B70" s="302">
        <v>44865.73082810185</v>
      </c>
      <c r="C70" s="96" t="s">
        <v>1192</v>
      </c>
      <c r="D70" s="96" t="s">
        <v>1176</v>
      </c>
      <c r="E70" s="96">
        <v>5.0</v>
      </c>
      <c r="F70" s="96">
        <v>5.0</v>
      </c>
      <c r="G70" s="96">
        <v>5.0</v>
      </c>
      <c r="J70" s="96" t="s">
        <v>1048</v>
      </c>
      <c r="K70" s="93">
        <f t="shared" ref="K70:K108" si="3">AVERAGEA(E70:G70)</f>
        <v>5</v>
      </c>
    </row>
    <row r="71">
      <c r="A71" s="96" t="s">
        <v>1147</v>
      </c>
      <c r="B71" s="302">
        <v>44865.89771908565</v>
      </c>
      <c r="C71" s="96" t="s">
        <v>1105</v>
      </c>
      <c r="D71" s="96" t="s">
        <v>1106</v>
      </c>
      <c r="E71" s="96">
        <v>4.0</v>
      </c>
      <c r="F71" s="96">
        <v>3.0</v>
      </c>
      <c r="G71" s="96">
        <v>4.0</v>
      </c>
      <c r="J71" s="96" t="s">
        <v>1048</v>
      </c>
      <c r="K71" s="93">
        <f t="shared" si="3"/>
        <v>3.666666667</v>
      </c>
    </row>
    <row r="72">
      <c r="A72" s="96" t="s">
        <v>1193</v>
      </c>
      <c r="B72" s="302">
        <v>44866.73855915509</v>
      </c>
      <c r="C72" s="96" t="s">
        <v>1194</v>
      </c>
      <c r="D72" s="96" t="s">
        <v>1195</v>
      </c>
      <c r="E72" s="96">
        <v>5.0</v>
      </c>
      <c r="F72" s="96">
        <v>4.0</v>
      </c>
      <c r="G72" s="96">
        <v>4.0</v>
      </c>
      <c r="H72" s="96" t="s">
        <v>1196</v>
      </c>
      <c r="J72" s="96" t="s">
        <v>1048</v>
      </c>
      <c r="K72" s="93">
        <f t="shared" si="3"/>
        <v>4.333333333</v>
      </c>
    </row>
    <row r="73">
      <c r="A73" s="96" t="s">
        <v>1151</v>
      </c>
      <c r="B73" s="302">
        <v>44870.69560122685</v>
      </c>
      <c r="C73" s="96" t="s">
        <v>1185</v>
      </c>
      <c r="E73" s="96">
        <v>4.0</v>
      </c>
      <c r="F73" s="96">
        <v>4.0</v>
      </c>
      <c r="G73" s="96">
        <v>4.0</v>
      </c>
      <c r="I73" s="96" t="s">
        <v>1197</v>
      </c>
      <c r="J73" s="96" t="s">
        <v>1048</v>
      </c>
      <c r="K73" s="93">
        <f t="shared" si="3"/>
        <v>4</v>
      </c>
    </row>
    <row r="74">
      <c r="A74" s="96" t="s">
        <v>1136</v>
      </c>
      <c r="B74" s="302">
        <v>44872.45729496528</v>
      </c>
      <c r="C74" s="96" t="s">
        <v>1137</v>
      </c>
      <c r="E74" s="96">
        <v>5.0</v>
      </c>
      <c r="F74" s="96">
        <v>5.0</v>
      </c>
      <c r="G74" s="96">
        <v>5.0</v>
      </c>
      <c r="J74" s="96" t="s">
        <v>1048</v>
      </c>
      <c r="K74" s="93">
        <f t="shared" si="3"/>
        <v>5</v>
      </c>
    </row>
    <row r="75">
      <c r="A75" s="96" t="s">
        <v>1198</v>
      </c>
      <c r="B75" s="302">
        <v>44873.97721655093</v>
      </c>
      <c r="C75" s="96" t="s">
        <v>1199</v>
      </c>
      <c r="D75" s="96" t="s">
        <v>1200</v>
      </c>
      <c r="E75" s="96">
        <v>4.0</v>
      </c>
      <c r="F75" s="96">
        <v>4.0</v>
      </c>
      <c r="G75" s="96">
        <v>3.0</v>
      </c>
      <c r="H75" s="96" t="s">
        <v>1201</v>
      </c>
      <c r="J75" s="96" t="s">
        <v>1048</v>
      </c>
      <c r="K75" s="93">
        <f t="shared" si="3"/>
        <v>3.666666667</v>
      </c>
    </row>
    <row r="76">
      <c r="A76" s="96" t="s">
        <v>1202</v>
      </c>
      <c r="B76" s="302">
        <v>44874.78512940972</v>
      </c>
      <c r="C76" s="96" t="s">
        <v>1203</v>
      </c>
      <c r="E76" s="96">
        <v>5.0</v>
      </c>
      <c r="F76" s="96">
        <v>4.0</v>
      </c>
      <c r="G76" s="96">
        <v>4.0</v>
      </c>
      <c r="J76" s="96" t="s">
        <v>1048</v>
      </c>
      <c r="K76" s="93">
        <f t="shared" si="3"/>
        <v>4.333333333</v>
      </c>
    </row>
    <row r="77">
      <c r="A77" s="93"/>
      <c r="B77" s="302">
        <v>44876.59859958333</v>
      </c>
      <c r="C77" s="96" t="s">
        <v>1204</v>
      </c>
      <c r="D77" s="96" t="s">
        <v>1205</v>
      </c>
      <c r="E77" s="96">
        <v>5.0</v>
      </c>
      <c r="F77" s="96">
        <v>3.0</v>
      </c>
      <c r="G77" s="96">
        <v>4.0</v>
      </c>
      <c r="H77" s="96" t="s">
        <v>1206</v>
      </c>
      <c r="I77" s="96" t="s">
        <v>1207</v>
      </c>
      <c r="J77" s="96" t="s">
        <v>1184</v>
      </c>
      <c r="K77" s="93">
        <f t="shared" si="3"/>
        <v>4</v>
      </c>
    </row>
    <row r="78">
      <c r="A78" s="96" t="s">
        <v>1208</v>
      </c>
      <c r="B78" s="302">
        <v>44876.69687476852</v>
      </c>
      <c r="C78" s="96" t="s">
        <v>1209</v>
      </c>
      <c r="D78" s="96" t="s">
        <v>1210</v>
      </c>
      <c r="E78" s="96">
        <v>5.0</v>
      </c>
      <c r="F78" s="96">
        <v>5.0</v>
      </c>
      <c r="G78" s="96">
        <v>5.0</v>
      </c>
      <c r="H78" s="96" t="s">
        <v>1211</v>
      </c>
      <c r="J78" s="96" t="s">
        <v>1048</v>
      </c>
      <c r="K78" s="93">
        <f t="shared" si="3"/>
        <v>5</v>
      </c>
    </row>
    <row r="79">
      <c r="A79" s="93"/>
      <c r="B79" s="302">
        <v>44881.62936194445</v>
      </c>
      <c r="C79" s="96" t="s">
        <v>1212</v>
      </c>
      <c r="D79" s="96" t="s">
        <v>1213</v>
      </c>
      <c r="E79" s="96">
        <v>4.0</v>
      </c>
      <c r="F79" s="96">
        <v>5.0</v>
      </c>
      <c r="G79" s="96">
        <v>4.0</v>
      </c>
      <c r="J79" s="96" t="s">
        <v>1184</v>
      </c>
      <c r="K79" s="93">
        <f t="shared" si="3"/>
        <v>4.333333333</v>
      </c>
    </row>
    <row r="80">
      <c r="A80" s="93"/>
      <c r="B80" s="302">
        <v>44881.67598645833</v>
      </c>
      <c r="C80" s="96" t="s">
        <v>1214</v>
      </c>
      <c r="D80" s="96" t="s">
        <v>1215</v>
      </c>
      <c r="E80" s="96">
        <v>4.0</v>
      </c>
      <c r="F80" s="96">
        <v>5.0</v>
      </c>
      <c r="G80" s="96">
        <v>3.0</v>
      </c>
      <c r="J80" s="96" t="s">
        <v>1184</v>
      </c>
      <c r="K80" s="93">
        <f t="shared" si="3"/>
        <v>4</v>
      </c>
    </row>
    <row r="81">
      <c r="A81" s="93"/>
      <c r="B81" s="302">
        <v>44883.40868652778</v>
      </c>
      <c r="C81" s="96" t="s">
        <v>1216</v>
      </c>
      <c r="E81" s="96">
        <v>5.0</v>
      </c>
      <c r="F81" s="96">
        <v>5.0</v>
      </c>
      <c r="G81" s="96">
        <v>5.0</v>
      </c>
      <c r="J81" s="96" t="s">
        <v>1048</v>
      </c>
      <c r="K81" s="93">
        <f t="shared" si="3"/>
        <v>5</v>
      </c>
    </row>
    <row r="82">
      <c r="A82" s="93"/>
      <c r="B82" s="302">
        <v>44886.86118353009</v>
      </c>
      <c r="C82" s="96" t="s">
        <v>1137</v>
      </c>
      <c r="E82" s="96">
        <v>5.0</v>
      </c>
      <c r="F82" s="96">
        <v>5.0</v>
      </c>
      <c r="G82" s="96">
        <v>5.0</v>
      </c>
      <c r="J82" s="96" t="s">
        <v>1048</v>
      </c>
      <c r="K82" s="93">
        <f t="shared" si="3"/>
        <v>5</v>
      </c>
    </row>
    <row r="83">
      <c r="A83" s="93"/>
      <c r="B83" s="302">
        <v>44890.38167717593</v>
      </c>
      <c r="C83" s="96" t="s">
        <v>1217</v>
      </c>
      <c r="E83" s="96">
        <v>5.0</v>
      </c>
      <c r="F83" s="96">
        <v>5.0</v>
      </c>
      <c r="G83" s="96">
        <v>5.0</v>
      </c>
      <c r="H83" s="96" t="s">
        <v>1218</v>
      </c>
      <c r="J83" s="96" t="s">
        <v>1048</v>
      </c>
      <c r="K83" s="93">
        <f t="shared" si="3"/>
        <v>5</v>
      </c>
    </row>
    <row r="84">
      <c r="A84" s="93"/>
      <c r="B84" s="302">
        <v>44892.93106876157</v>
      </c>
      <c r="C84" s="96" t="s">
        <v>1219</v>
      </c>
      <c r="D84" s="96" t="s">
        <v>1220</v>
      </c>
      <c r="E84" s="96">
        <v>2.0</v>
      </c>
      <c r="F84" s="96">
        <v>4.0</v>
      </c>
      <c r="G84" s="96">
        <v>4.0</v>
      </c>
      <c r="H84" s="96" t="s">
        <v>1221</v>
      </c>
      <c r="J84" s="96" t="s">
        <v>1048</v>
      </c>
      <c r="K84" s="93">
        <f t="shared" si="3"/>
        <v>3.333333333</v>
      </c>
    </row>
    <row r="85">
      <c r="A85" s="93"/>
      <c r="B85" s="302">
        <v>44893.93249327547</v>
      </c>
      <c r="C85" s="96" t="s">
        <v>1222</v>
      </c>
      <c r="D85" s="96" t="s">
        <v>1223</v>
      </c>
      <c r="E85" s="96">
        <v>5.0</v>
      </c>
      <c r="F85" s="96">
        <v>5.0</v>
      </c>
      <c r="G85" s="96">
        <v>5.0</v>
      </c>
      <c r="H85" s="96" t="s">
        <v>1224</v>
      </c>
      <c r="J85" s="96" t="s">
        <v>1048</v>
      </c>
      <c r="K85" s="93">
        <f t="shared" si="3"/>
        <v>5</v>
      </c>
    </row>
    <row r="86">
      <c r="A86" s="93"/>
      <c r="B86" s="302">
        <v>44896.73972084491</v>
      </c>
      <c r="C86" s="96" t="s">
        <v>1123</v>
      </c>
      <c r="D86" s="96" t="s">
        <v>1225</v>
      </c>
      <c r="E86" s="96">
        <v>5.0</v>
      </c>
      <c r="F86" s="96">
        <v>5.0</v>
      </c>
      <c r="G86" s="96">
        <v>5.0</v>
      </c>
      <c r="H86" s="96" t="s">
        <v>1226</v>
      </c>
      <c r="J86" s="96" t="s">
        <v>1048</v>
      </c>
      <c r="K86" s="93">
        <f t="shared" si="3"/>
        <v>5</v>
      </c>
    </row>
    <row r="87">
      <c r="A87" s="93"/>
      <c r="B87" s="302">
        <v>44915.30714888889</v>
      </c>
      <c r="C87" s="96" t="s">
        <v>1146</v>
      </c>
      <c r="E87" s="96">
        <v>5.0</v>
      </c>
      <c r="F87" s="96">
        <v>5.0</v>
      </c>
      <c r="G87" s="96">
        <v>5.0</v>
      </c>
      <c r="J87" s="96" t="s">
        <v>1048</v>
      </c>
      <c r="K87" s="93">
        <f t="shared" si="3"/>
        <v>5</v>
      </c>
    </row>
    <row r="88">
      <c r="A88" s="93"/>
      <c r="B88" s="302">
        <v>44915.341749189814</v>
      </c>
      <c r="C88" s="96" t="s">
        <v>1180</v>
      </c>
      <c r="D88" s="96" t="s">
        <v>1181</v>
      </c>
      <c r="E88" s="96">
        <v>4.0</v>
      </c>
      <c r="F88" s="96">
        <v>4.0</v>
      </c>
      <c r="G88" s="96">
        <v>3.0</v>
      </c>
      <c r="I88" s="96" t="s">
        <v>1227</v>
      </c>
      <c r="J88" s="96" t="s">
        <v>1048</v>
      </c>
      <c r="K88" s="93">
        <f t="shared" si="3"/>
        <v>3.666666667</v>
      </c>
    </row>
    <row r="89">
      <c r="A89" s="93"/>
      <c r="B89" s="302">
        <v>44932.49808590278</v>
      </c>
      <c r="C89" s="96" t="s">
        <v>1228</v>
      </c>
      <c r="D89" s="96" t="s">
        <v>1229</v>
      </c>
      <c r="E89" s="96">
        <v>4.0</v>
      </c>
      <c r="F89" s="96">
        <v>5.0</v>
      </c>
      <c r="G89" s="96">
        <v>5.0</v>
      </c>
      <c r="H89" s="96" t="s">
        <v>1230</v>
      </c>
      <c r="J89" s="96" t="s">
        <v>1048</v>
      </c>
      <c r="K89" s="93">
        <f t="shared" si="3"/>
        <v>4.666666667</v>
      </c>
    </row>
    <row r="90">
      <c r="A90" s="93"/>
      <c r="B90" s="302">
        <v>44932.66127842593</v>
      </c>
      <c r="C90" s="96" t="s">
        <v>1231</v>
      </c>
      <c r="D90" s="96" t="s">
        <v>1232</v>
      </c>
      <c r="E90" s="96">
        <v>4.0</v>
      </c>
      <c r="F90" s="96">
        <v>4.0</v>
      </c>
      <c r="G90" s="96">
        <v>4.0</v>
      </c>
      <c r="I90" s="96" t="s">
        <v>1233</v>
      </c>
      <c r="J90" s="96" t="s">
        <v>1048</v>
      </c>
      <c r="K90" s="93">
        <f t="shared" si="3"/>
        <v>4</v>
      </c>
    </row>
    <row r="91">
      <c r="A91" s="93"/>
      <c r="B91" s="302">
        <v>44943.29954678241</v>
      </c>
      <c r="C91" s="96" t="s">
        <v>1231</v>
      </c>
      <c r="D91" s="96" t="s">
        <v>1232</v>
      </c>
      <c r="E91" s="96">
        <v>5.0</v>
      </c>
      <c r="F91" s="96">
        <v>5.0</v>
      </c>
      <c r="G91" s="96">
        <v>5.0</v>
      </c>
      <c r="J91" s="96" t="s">
        <v>1048</v>
      </c>
      <c r="K91" s="93">
        <f t="shared" si="3"/>
        <v>5</v>
      </c>
    </row>
    <row r="92">
      <c r="A92" s="93"/>
      <c r="B92" s="302">
        <v>44945.78805375</v>
      </c>
      <c r="C92" s="96" t="s">
        <v>1234</v>
      </c>
      <c r="E92" s="96">
        <v>5.0</v>
      </c>
      <c r="F92" s="96">
        <v>4.0</v>
      </c>
      <c r="G92" s="96">
        <v>3.0</v>
      </c>
      <c r="J92" s="96" t="s">
        <v>1048</v>
      </c>
      <c r="K92" s="93">
        <f t="shared" si="3"/>
        <v>4</v>
      </c>
    </row>
    <row r="93">
      <c r="A93" s="93"/>
      <c r="B93" s="302">
        <v>44951.90601114584</v>
      </c>
      <c r="C93" s="96" t="s">
        <v>1235</v>
      </c>
      <c r="D93" s="96" t="s">
        <v>1236</v>
      </c>
      <c r="E93" s="96">
        <v>4.0</v>
      </c>
      <c r="F93" s="96">
        <v>4.0</v>
      </c>
      <c r="G93" s="96">
        <v>4.0</v>
      </c>
      <c r="H93" s="96" t="s">
        <v>1237</v>
      </c>
      <c r="I93" s="96" t="s">
        <v>1238</v>
      </c>
      <c r="J93" s="96" t="s">
        <v>1048</v>
      </c>
      <c r="K93" s="93">
        <f t="shared" si="3"/>
        <v>4</v>
      </c>
    </row>
    <row r="94">
      <c r="A94" s="93"/>
      <c r="B94" s="302">
        <v>44953.43449518518</v>
      </c>
      <c r="C94" s="96" t="s">
        <v>1239</v>
      </c>
      <c r="D94" s="96" t="s">
        <v>1240</v>
      </c>
      <c r="E94" s="96">
        <v>5.0</v>
      </c>
      <c r="F94" s="96">
        <v>5.0</v>
      </c>
      <c r="G94" s="96">
        <v>5.0</v>
      </c>
      <c r="J94" s="96" t="s">
        <v>1048</v>
      </c>
      <c r="K94" s="93">
        <f t="shared" si="3"/>
        <v>5</v>
      </c>
    </row>
    <row r="95">
      <c r="A95" s="93"/>
      <c r="B95" s="302">
        <v>44953.62420158565</v>
      </c>
      <c r="C95" s="96" t="s">
        <v>1241</v>
      </c>
      <c r="D95" s="96" t="s">
        <v>1242</v>
      </c>
      <c r="E95" s="96">
        <v>5.0</v>
      </c>
      <c r="F95" s="96">
        <v>5.0</v>
      </c>
      <c r="G95" s="96">
        <v>5.0</v>
      </c>
      <c r="J95" s="96" t="s">
        <v>1184</v>
      </c>
      <c r="K95" s="93">
        <f t="shared" si="3"/>
        <v>5</v>
      </c>
    </row>
    <row r="96">
      <c r="A96" s="93"/>
      <c r="B96" s="302">
        <v>44953.694276215276</v>
      </c>
      <c r="C96" s="96" t="s">
        <v>1243</v>
      </c>
      <c r="D96" s="96" t="s">
        <v>1244</v>
      </c>
      <c r="E96" s="96">
        <v>4.0</v>
      </c>
      <c r="F96" s="96">
        <v>5.0</v>
      </c>
      <c r="G96" s="96">
        <v>5.0</v>
      </c>
      <c r="J96" s="96" t="s">
        <v>1184</v>
      </c>
      <c r="K96" s="93">
        <f t="shared" si="3"/>
        <v>4.666666667</v>
      </c>
    </row>
    <row r="97">
      <c r="A97" s="93"/>
      <c r="B97" s="302">
        <v>44957.630659965274</v>
      </c>
      <c r="C97" s="96" t="s">
        <v>1222</v>
      </c>
      <c r="D97" s="96" t="s">
        <v>1223</v>
      </c>
      <c r="E97" s="96">
        <v>5.0</v>
      </c>
      <c r="F97" s="96">
        <v>5.0</v>
      </c>
      <c r="G97" s="96">
        <v>4.0</v>
      </c>
      <c r="H97" s="96" t="s">
        <v>1245</v>
      </c>
      <c r="J97" s="96" t="s">
        <v>1048</v>
      </c>
      <c r="K97" s="93">
        <f t="shared" si="3"/>
        <v>4.666666667</v>
      </c>
    </row>
    <row r="98">
      <c r="A98" s="93"/>
      <c r="B98" s="302">
        <v>44957.83984071759</v>
      </c>
      <c r="C98" s="96" t="s">
        <v>1234</v>
      </c>
      <c r="E98" s="96">
        <v>5.0</v>
      </c>
      <c r="F98" s="96">
        <v>5.0</v>
      </c>
      <c r="G98" s="96">
        <v>5.0</v>
      </c>
      <c r="J98" s="96" t="s">
        <v>1048</v>
      </c>
      <c r="K98" s="93">
        <f t="shared" si="3"/>
        <v>5</v>
      </c>
    </row>
    <row r="99">
      <c r="A99" s="93"/>
      <c r="B99" s="302">
        <v>44960.67435877315</v>
      </c>
      <c r="C99" s="96" t="s">
        <v>1246</v>
      </c>
      <c r="D99" s="96" t="s">
        <v>1247</v>
      </c>
      <c r="E99" s="96">
        <v>5.0</v>
      </c>
      <c r="F99" s="96">
        <v>5.0</v>
      </c>
      <c r="G99" s="96">
        <v>5.0</v>
      </c>
      <c r="I99" s="96" t="s">
        <v>1248</v>
      </c>
      <c r="J99" s="96" t="s">
        <v>1048</v>
      </c>
      <c r="K99" s="93">
        <f t="shared" si="3"/>
        <v>5</v>
      </c>
    </row>
    <row r="100">
      <c r="A100" s="93"/>
      <c r="B100" s="302">
        <v>44963.654590949074</v>
      </c>
      <c r="C100" s="96" t="s">
        <v>1249</v>
      </c>
      <c r="D100" s="96" t="s">
        <v>1250</v>
      </c>
      <c r="E100" s="96">
        <v>5.0</v>
      </c>
      <c r="F100" s="96">
        <v>4.0</v>
      </c>
      <c r="G100" s="96">
        <v>4.0</v>
      </c>
      <c r="J100" s="96" t="s">
        <v>1048</v>
      </c>
      <c r="K100" s="93">
        <f t="shared" si="3"/>
        <v>4.333333333</v>
      </c>
    </row>
    <row r="101">
      <c r="A101" s="93"/>
      <c r="B101" s="302">
        <v>44967.56253555555</v>
      </c>
      <c r="C101" s="96" t="s">
        <v>1251</v>
      </c>
      <c r="D101" s="96" t="s">
        <v>1252</v>
      </c>
      <c r="E101" s="96">
        <v>5.0</v>
      </c>
      <c r="F101" s="96">
        <v>5.0</v>
      </c>
      <c r="G101" s="96">
        <v>5.0</v>
      </c>
      <c r="J101" s="96" t="s">
        <v>1048</v>
      </c>
      <c r="K101" s="93">
        <f t="shared" si="3"/>
        <v>5</v>
      </c>
    </row>
    <row r="102">
      <c r="A102" s="93"/>
      <c r="B102" s="302">
        <v>44967.61766790509</v>
      </c>
      <c r="C102" s="96" t="s">
        <v>1253</v>
      </c>
      <c r="D102" s="96" t="s">
        <v>1254</v>
      </c>
      <c r="E102" s="96">
        <v>5.0</v>
      </c>
      <c r="F102" s="96">
        <v>5.0</v>
      </c>
      <c r="G102" s="96">
        <v>5.0</v>
      </c>
      <c r="I102" s="96" t="s">
        <v>1255</v>
      </c>
      <c r="K102" s="93">
        <f t="shared" si="3"/>
        <v>5</v>
      </c>
    </row>
    <row r="103">
      <c r="A103" s="93"/>
      <c r="B103" s="302">
        <v>44971.34452987269</v>
      </c>
      <c r="C103" s="96" t="s">
        <v>1256</v>
      </c>
      <c r="E103" s="96">
        <v>5.0</v>
      </c>
      <c r="F103" s="96">
        <v>5.0</v>
      </c>
      <c r="G103" s="96">
        <v>5.0</v>
      </c>
      <c r="K103" s="93">
        <f t="shared" si="3"/>
        <v>5</v>
      </c>
    </row>
    <row r="104">
      <c r="A104" s="93"/>
      <c r="B104" s="302">
        <v>44971.41751678241</v>
      </c>
      <c r="C104" s="96" t="s">
        <v>1246</v>
      </c>
      <c r="D104" s="96" t="s">
        <v>1247</v>
      </c>
      <c r="E104" s="96">
        <v>4.0</v>
      </c>
      <c r="F104" s="96">
        <v>3.0</v>
      </c>
      <c r="G104" s="96">
        <v>4.0</v>
      </c>
      <c r="H104" s="96" t="s">
        <v>1257</v>
      </c>
      <c r="I104" s="96" t="s">
        <v>1258</v>
      </c>
      <c r="J104" s="96" t="s">
        <v>1048</v>
      </c>
      <c r="K104" s="93">
        <f t="shared" si="3"/>
        <v>3.666666667</v>
      </c>
    </row>
    <row r="105">
      <c r="A105" s="93"/>
      <c r="B105" s="302">
        <v>44971.61536039352</v>
      </c>
      <c r="C105" s="96" t="s">
        <v>1259</v>
      </c>
      <c r="D105" s="96" t="s">
        <v>1260</v>
      </c>
      <c r="E105" s="96">
        <v>5.0</v>
      </c>
      <c r="F105" s="96">
        <v>4.0</v>
      </c>
      <c r="G105" s="96">
        <v>4.0</v>
      </c>
      <c r="H105" s="96" t="s">
        <v>1261</v>
      </c>
      <c r="J105" s="96" t="s">
        <v>1184</v>
      </c>
      <c r="K105" s="93">
        <f t="shared" si="3"/>
        <v>4.333333333</v>
      </c>
    </row>
    <row r="106">
      <c r="A106" s="93"/>
      <c r="B106" s="302">
        <v>44973.57807930556</v>
      </c>
      <c r="C106" s="96" t="s">
        <v>1262</v>
      </c>
      <c r="D106" s="96" t="s">
        <v>1263</v>
      </c>
      <c r="E106" s="96">
        <v>5.0</v>
      </c>
      <c r="F106" s="96">
        <v>5.0</v>
      </c>
      <c r="G106" s="96">
        <v>5.0</v>
      </c>
      <c r="J106" s="96" t="s">
        <v>1184</v>
      </c>
      <c r="K106" s="93">
        <f t="shared" si="3"/>
        <v>5</v>
      </c>
    </row>
    <row r="107">
      <c r="A107" s="93"/>
      <c r="B107" s="302">
        <v>44973.72092032408</v>
      </c>
      <c r="C107" s="96" t="s">
        <v>1264</v>
      </c>
      <c r="D107" s="96" t="s">
        <v>1254</v>
      </c>
      <c r="E107" s="96">
        <v>4.0</v>
      </c>
      <c r="F107" s="96">
        <v>4.0</v>
      </c>
      <c r="G107" s="96">
        <v>4.0</v>
      </c>
      <c r="J107" s="96" t="s">
        <v>1048</v>
      </c>
      <c r="K107" s="93">
        <f t="shared" si="3"/>
        <v>4</v>
      </c>
    </row>
    <row r="108">
      <c r="A108" s="93"/>
      <c r="B108" s="302">
        <v>44975.3401710301</v>
      </c>
      <c r="C108" s="96" t="s">
        <v>1265</v>
      </c>
      <c r="D108" s="96" t="s">
        <v>1266</v>
      </c>
      <c r="E108" s="96">
        <v>3.0</v>
      </c>
      <c r="F108" s="96">
        <v>5.0</v>
      </c>
      <c r="G108" s="96">
        <v>4.0</v>
      </c>
      <c r="H108" s="96" t="s">
        <v>1267</v>
      </c>
      <c r="J108" s="96" t="s">
        <v>1184</v>
      </c>
      <c r="K108" s="93">
        <f t="shared" si="3"/>
        <v>4</v>
      </c>
    </row>
    <row r="109">
      <c r="A109" s="93"/>
      <c r="B109" s="302">
        <v>44977.424735057866</v>
      </c>
      <c r="C109" s="96" t="s">
        <v>1228</v>
      </c>
      <c r="D109" s="96" t="s">
        <v>1268</v>
      </c>
      <c r="E109" s="96">
        <v>5.0</v>
      </c>
      <c r="F109" s="96">
        <v>5.0</v>
      </c>
      <c r="G109" s="96">
        <v>5.0</v>
      </c>
      <c r="J109" s="96" t="s">
        <v>1048</v>
      </c>
    </row>
    <row r="110" hidden="1">
      <c r="A110" s="93"/>
      <c r="K110" s="93" t="str">
        <f>AVERAGEIFS(K32:K55,J32:J55,"NTec")*2</f>
        <v>#DIV/0!</v>
      </c>
    </row>
    <row r="111" hidden="1">
      <c r="A111" s="93"/>
      <c r="K111" s="93">
        <f>SUM(K2:K31)</f>
        <v>145.3333333</v>
      </c>
    </row>
    <row r="112" hidden="1">
      <c r="A112" s="93"/>
      <c r="K112" s="96">
        <v>23.0</v>
      </c>
    </row>
    <row r="113">
      <c r="A113" s="93"/>
      <c r="K113" s="93" t="str">
        <f t="shared" ref="K113:K209" si="4">AVERAGEA(E113:G113)</f>
        <v>#DIV/0!</v>
      </c>
    </row>
    <row r="114">
      <c r="A114" s="93"/>
      <c r="K114" s="93" t="str">
        <f t="shared" si="4"/>
        <v>#DIV/0!</v>
      </c>
    </row>
    <row r="115">
      <c r="A115" s="93"/>
      <c r="K115" s="93" t="str">
        <f t="shared" si="4"/>
        <v>#DIV/0!</v>
      </c>
    </row>
    <row r="116">
      <c r="A116" s="93"/>
      <c r="K116" s="93" t="str">
        <f t="shared" si="4"/>
        <v>#DIV/0!</v>
      </c>
    </row>
    <row r="117">
      <c r="A117" s="93"/>
      <c r="K117" s="93" t="str">
        <f t="shared" si="4"/>
        <v>#DIV/0!</v>
      </c>
    </row>
    <row r="118">
      <c r="A118" s="93"/>
      <c r="K118" s="93" t="str">
        <f t="shared" si="4"/>
        <v>#DIV/0!</v>
      </c>
    </row>
    <row r="119">
      <c r="A119" s="93"/>
      <c r="K119" s="93" t="str">
        <f t="shared" si="4"/>
        <v>#DIV/0!</v>
      </c>
    </row>
    <row r="120">
      <c r="A120" s="93"/>
      <c r="K120" s="93" t="str">
        <f t="shared" si="4"/>
        <v>#DIV/0!</v>
      </c>
    </row>
    <row r="121">
      <c r="A121" s="93"/>
      <c r="K121" s="93" t="str">
        <f t="shared" si="4"/>
        <v>#DIV/0!</v>
      </c>
    </row>
    <row r="122">
      <c r="A122" s="93"/>
      <c r="K122" s="93" t="str">
        <f t="shared" si="4"/>
        <v>#DIV/0!</v>
      </c>
    </row>
    <row r="123">
      <c r="A123" s="93"/>
      <c r="K123" s="93" t="str">
        <f t="shared" si="4"/>
        <v>#DIV/0!</v>
      </c>
    </row>
    <row r="124">
      <c r="A124" s="93"/>
      <c r="K124" s="93" t="str">
        <f t="shared" si="4"/>
        <v>#DIV/0!</v>
      </c>
    </row>
    <row r="125">
      <c r="A125" s="93"/>
      <c r="K125" s="93" t="str">
        <f t="shared" si="4"/>
        <v>#DIV/0!</v>
      </c>
    </row>
    <row r="126">
      <c r="A126" s="93"/>
      <c r="K126" s="93" t="str">
        <f t="shared" si="4"/>
        <v>#DIV/0!</v>
      </c>
    </row>
    <row r="127">
      <c r="A127" s="93"/>
      <c r="K127" s="93" t="str">
        <f t="shared" si="4"/>
        <v>#DIV/0!</v>
      </c>
    </row>
    <row r="128">
      <c r="A128" s="93"/>
      <c r="K128" s="93" t="str">
        <f t="shared" si="4"/>
        <v>#DIV/0!</v>
      </c>
    </row>
    <row r="129">
      <c r="A129" s="93"/>
      <c r="K129" s="93" t="str">
        <f t="shared" si="4"/>
        <v>#DIV/0!</v>
      </c>
    </row>
    <row r="130">
      <c r="A130" s="93"/>
      <c r="K130" s="93" t="str">
        <f t="shared" si="4"/>
        <v>#DIV/0!</v>
      </c>
    </row>
    <row r="131">
      <c r="A131" s="93"/>
      <c r="K131" s="93" t="str">
        <f t="shared" si="4"/>
        <v>#DIV/0!</v>
      </c>
    </row>
    <row r="132">
      <c r="A132" s="93"/>
      <c r="K132" s="93" t="str">
        <f t="shared" si="4"/>
        <v>#DIV/0!</v>
      </c>
    </row>
    <row r="133">
      <c r="A133" s="93"/>
      <c r="K133" s="93" t="str">
        <f t="shared" si="4"/>
        <v>#DIV/0!</v>
      </c>
    </row>
    <row r="134">
      <c r="A134" s="93"/>
      <c r="K134" s="93" t="str">
        <f t="shared" si="4"/>
        <v>#DIV/0!</v>
      </c>
    </row>
    <row r="135">
      <c r="A135" s="93"/>
      <c r="K135" s="93" t="str">
        <f t="shared" si="4"/>
        <v>#DIV/0!</v>
      </c>
    </row>
    <row r="136">
      <c r="A136" s="93"/>
      <c r="K136" s="93" t="str">
        <f t="shared" si="4"/>
        <v>#DIV/0!</v>
      </c>
    </row>
    <row r="137">
      <c r="A137" s="93"/>
      <c r="K137" s="93" t="str">
        <f t="shared" si="4"/>
        <v>#DIV/0!</v>
      </c>
    </row>
    <row r="138">
      <c r="A138" s="93"/>
      <c r="K138" s="93" t="str">
        <f t="shared" si="4"/>
        <v>#DIV/0!</v>
      </c>
    </row>
    <row r="139">
      <c r="A139" s="93"/>
      <c r="K139" s="93" t="str">
        <f t="shared" si="4"/>
        <v>#DIV/0!</v>
      </c>
    </row>
    <row r="140">
      <c r="A140" s="93"/>
      <c r="K140" s="93" t="str">
        <f t="shared" si="4"/>
        <v>#DIV/0!</v>
      </c>
    </row>
    <row r="141">
      <c r="A141" s="93"/>
      <c r="K141" s="93" t="str">
        <f t="shared" si="4"/>
        <v>#DIV/0!</v>
      </c>
    </row>
    <row r="142">
      <c r="A142" s="93"/>
      <c r="K142" s="93" t="str">
        <f t="shared" si="4"/>
        <v>#DIV/0!</v>
      </c>
    </row>
    <row r="143">
      <c r="A143" s="93"/>
      <c r="K143" s="93" t="str">
        <f t="shared" si="4"/>
        <v>#DIV/0!</v>
      </c>
    </row>
    <row r="144">
      <c r="A144" s="93"/>
      <c r="K144" s="93" t="str">
        <f t="shared" si="4"/>
        <v>#DIV/0!</v>
      </c>
    </row>
    <row r="145">
      <c r="A145" s="93"/>
      <c r="K145" s="93" t="str">
        <f t="shared" si="4"/>
        <v>#DIV/0!</v>
      </c>
    </row>
    <row r="146">
      <c r="A146" s="93"/>
      <c r="K146" s="93" t="str">
        <f t="shared" si="4"/>
        <v>#DIV/0!</v>
      </c>
    </row>
    <row r="147">
      <c r="A147" s="93"/>
      <c r="K147" s="93" t="str">
        <f t="shared" si="4"/>
        <v>#DIV/0!</v>
      </c>
    </row>
    <row r="148">
      <c r="A148" s="93"/>
      <c r="K148" s="93" t="str">
        <f t="shared" si="4"/>
        <v>#DIV/0!</v>
      </c>
    </row>
    <row r="149">
      <c r="A149" s="93"/>
      <c r="K149" s="93" t="str">
        <f t="shared" si="4"/>
        <v>#DIV/0!</v>
      </c>
    </row>
    <row r="150">
      <c r="A150" s="93"/>
      <c r="K150" s="93" t="str">
        <f t="shared" si="4"/>
        <v>#DIV/0!</v>
      </c>
    </row>
    <row r="151">
      <c r="A151" s="93"/>
      <c r="K151" s="93" t="str">
        <f t="shared" si="4"/>
        <v>#DIV/0!</v>
      </c>
    </row>
    <row r="152">
      <c r="A152" s="93"/>
      <c r="K152" s="93" t="str">
        <f t="shared" si="4"/>
        <v>#DIV/0!</v>
      </c>
    </row>
    <row r="153">
      <c r="A153" s="93"/>
      <c r="K153" s="93" t="str">
        <f t="shared" si="4"/>
        <v>#DIV/0!</v>
      </c>
    </row>
    <row r="154">
      <c r="A154" s="93"/>
      <c r="K154" s="93" t="str">
        <f t="shared" si="4"/>
        <v>#DIV/0!</v>
      </c>
    </row>
    <row r="155">
      <c r="A155" s="93"/>
      <c r="K155" s="93" t="str">
        <f t="shared" si="4"/>
        <v>#DIV/0!</v>
      </c>
    </row>
    <row r="156">
      <c r="A156" s="93"/>
      <c r="K156" s="93" t="str">
        <f t="shared" si="4"/>
        <v>#DIV/0!</v>
      </c>
    </row>
    <row r="157">
      <c r="A157" s="93"/>
      <c r="K157" s="93" t="str">
        <f t="shared" si="4"/>
        <v>#DIV/0!</v>
      </c>
    </row>
    <row r="158">
      <c r="A158" s="93"/>
      <c r="K158" s="93" t="str">
        <f t="shared" si="4"/>
        <v>#DIV/0!</v>
      </c>
    </row>
    <row r="159">
      <c r="A159" s="93"/>
      <c r="K159" s="93" t="str">
        <f t="shared" si="4"/>
        <v>#DIV/0!</v>
      </c>
    </row>
    <row r="160">
      <c r="A160" s="93"/>
      <c r="K160" s="93" t="str">
        <f t="shared" si="4"/>
        <v>#DIV/0!</v>
      </c>
    </row>
    <row r="161">
      <c r="A161" s="93"/>
      <c r="K161" s="93" t="str">
        <f t="shared" si="4"/>
        <v>#DIV/0!</v>
      </c>
    </row>
    <row r="162">
      <c r="A162" s="93"/>
      <c r="K162" s="93" t="str">
        <f t="shared" si="4"/>
        <v>#DIV/0!</v>
      </c>
    </row>
    <row r="163">
      <c r="A163" s="93"/>
      <c r="K163" s="93" t="str">
        <f t="shared" si="4"/>
        <v>#DIV/0!</v>
      </c>
    </row>
    <row r="164">
      <c r="A164" s="93"/>
      <c r="K164" s="93" t="str">
        <f t="shared" si="4"/>
        <v>#DIV/0!</v>
      </c>
    </row>
    <row r="165">
      <c r="A165" s="93"/>
      <c r="K165" s="93" t="str">
        <f t="shared" si="4"/>
        <v>#DIV/0!</v>
      </c>
    </row>
    <row r="166">
      <c r="A166" s="93"/>
      <c r="K166" s="93" t="str">
        <f t="shared" si="4"/>
        <v>#DIV/0!</v>
      </c>
    </row>
    <row r="167">
      <c r="A167" s="93"/>
      <c r="K167" s="93" t="str">
        <f t="shared" si="4"/>
        <v>#DIV/0!</v>
      </c>
    </row>
    <row r="168">
      <c r="A168" s="93"/>
      <c r="K168" s="93" t="str">
        <f t="shared" si="4"/>
        <v>#DIV/0!</v>
      </c>
    </row>
    <row r="169">
      <c r="A169" s="93"/>
      <c r="K169" s="93" t="str">
        <f t="shared" si="4"/>
        <v>#DIV/0!</v>
      </c>
    </row>
    <row r="170">
      <c r="A170" s="93"/>
      <c r="K170" s="93" t="str">
        <f t="shared" si="4"/>
        <v>#DIV/0!</v>
      </c>
    </row>
    <row r="171">
      <c r="A171" s="93"/>
      <c r="K171" s="93" t="str">
        <f t="shared" si="4"/>
        <v>#DIV/0!</v>
      </c>
    </row>
    <row r="172">
      <c r="A172" s="93"/>
      <c r="K172" s="93" t="str">
        <f t="shared" si="4"/>
        <v>#DIV/0!</v>
      </c>
    </row>
    <row r="173">
      <c r="A173" s="93"/>
      <c r="K173" s="93" t="str">
        <f t="shared" si="4"/>
        <v>#DIV/0!</v>
      </c>
    </row>
    <row r="174">
      <c r="A174" s="93"/>
      <c r="K174" s="93" t="str">
        <f t="shared" si="4"/>
        <v>#DIV/0!</v>
      </c>
    </row>
    <row r="175">
      <c r="A175" s="93"/>
      <c r="K175" s="93" t="str">
        <f t="shared" si="4"/>
        <v>#DIV/0!</v>
      </c>
    </row>
    <row r="176">
      <c r="A176" s="93"/>
      <c r="K176" s="93" t="str">
        <f t="shared" si="4"/>
        <v>#DIV/0!</v>
      </c>
    </row>
    <row r="177">
      <c r="A177" s="93"/>
      <c r="K177" s="93" t="str">
        <f t="shared" si="4"/>
        <v>#DIV/0!</v>
      </c>
    </row>
    <row r="178">
      <c r="A178" s="93"/>
      <c r="K178" s="93" t="str">
        <f t="shared" si="4"/>
        <v>#DIV/0!</v>
      </c>
    </row>
    <row r="179">
      <c r="A179" s="93"/>
      <c r="K179" s="93" t="str">
        <f t="shared" si="4"/>
        <v>#DIV/0!</v>
      </c>
    </row>
    <row r="180">
      <c r="A180" s="93"/>
      <c r="K180" s="93" t="str">
        <f t="shared" si="4"/>
        <v>#DIV/0!</v>
      </c>
    </row>
    <row r="181">
      <c r="A181" s="93"/>
      <c r="K181" s="93" t="str">
        <f t="shared" si="4"/>
        <v>#DIV/0!</v>
      </c>
    </row>
    <row r="182">
      <c r="A182" s="93"/>
      <c r="K182" s="93" t="str">
        <f t="shared" si="4"/>
        <v>#DIV/0!</v>
      </c>
    </row>
    <row r="183">
      <c r="A183" s="93"/>
      <c r="K183" s="93" t="str">
        <f t="shared" si="4"/>
        <v>#DIV/0!</v>
      </c>
    </row>
    <row r="184">
      <c r="A184" s="93"/>
      <c r="K184" s="93" t="str">
        <f t="shared" si="4"/>
        <v>#DIV/0!</v>
      </c>
    </row>
    <row r="185">
      <c r="A185" s="93"/>
      <c r="K185" s="93" t="str">
        <f t="shared" si="4"/>
        <v>#DIV/0!</v>
      </c>
    </row>
    <row r="186">
      <c r="A186" s="93"/>
      <c r="K186" s="93" t="str">
        <f t="shared" si="4"/>
        <v>#DIV/0!</v>
      </c>
    </row>
    <row r="187">
      <c r="A187" s="93"/>
      <c r="K187" s="93" t="str">
        <f t="shared" si="4"/>
        <v>#DIV/0!</v>
      </c>
    </row>
    <row r="188">
      <c r="A188" s="93"/>
      <c r="K188" s="93" t="str">
        <f t="shared" si="4"/>
        <v>#DIV/0!</v>
      </c>
    </row>
    <row r="189">
      <c r="A189" s="93"/>
      <c r="K189" s="93" t="str">
        <f t="shared" si="4"/>
        <v>#DIV/0!</v>
      </c>
    </row>
    <row r="190">
      <c r="A190" s="93"/>
      <c r="K190" s="93" t="str">
        <f t="shared" si="4"/>
        <v>#DIV/0!</v>
      </c>
    </row>
    <row r="191">
      <c r="A191" s="93"/>
      <c r="K191" s="93" t="str">
        <f t="shared" si="4"/>
        <v>#DIV/0!</v>
      </c>
    </row>
    <row r="192">
      <c r="A192" s="93"/>
      <c r="K192" s="93" t="str">
        <f t="shared" si="4"/>
        <v>#DIV/0!</v>
      </c>
    </row>
    <row r="193">
      <c r="A193" s="93"/>
      <c r="K193" s="93" t="str">
        <f t="shared" si="4"/>
        <v>#DIV/0!</v>
      </c>
    </row>
    <row r="194">
      <c r="A194" s="93"/>
      <c r="K194" s="93" t="str">
        <f t="shared" si="4"/>
        <v>#DIV/0!</v>
      </c>
    </row>
    <row r="195">
      <c r="A195" s="93"/>
      <c r="K195" s="93" t="str">
        <f t="shared" si="4"/>
        <v>#DIV/0!</v>
      </c>
    </row>
    <row r="196">
      <c r="A196" s="93"/>
      <c r="K196" s="93" t="str">
        <f t="shared" si="4"/>
        <v>#DIV/0!</v>
      </c>
    </row>
    <row r="197">
      <c r="A197" s="93"/>
      <c r="K197" s="93" t="str">
        <f t="shared" si="4"/>
        <v>#DIV/0!</v>
      </c>
    </row>
    <row r="198">
      <c r="A198" s="93"/>
      <c r="K198" s="93" t="str">
        <f t="shared" si="4"/>
        <v>#DIV/0!</v>
      </c>
    </row>
    <row r="199">
      <c r="A199" s="93"/>
      <c r="K199" s="93" t="str">
        <f t="shared" si="4"/>
        <v>#DIV/0!</v>
      </c>
    </row>
    <row r="200">
      <c r="A200" s="93"/>
      <c r="K200" s="93" t="str">
        <f t="shared" si="4"/>
        <v>#DIV/0!</v>
      </c>
    </row>
    <row r="201">
      <c r="A201" s="93"/>
      <c r="K201" s="93" t="str">
        <f t="shared" si="4"/>
        <v>#DIV/0!</v>
      </c>
    </row>
    <row r="202">
      <c r="A202" s="93"/>
      <c r="K202" s="93" t="str">
        <f t="shared" si="4"/>
        <v>#DIV/0!</v>
      </c>
    </row>
    <row r="203">
      <c r="A203" s="93"/>
      <c r="K203" s="93" t="str">
        <f t="shared" si="4"/>
        <v>#DIV/0!</v>
      </c>
    </row>
    <row r="204">
      <c r="A204" s="93"/>
      <c r="K204" s="93" t="str">
        <f t="shared" si="4"/>
        <v>#DIV/0!</v>
      </c>
    </row>
    <row r="205">
      <c r="A205" s="93"/>
      <c r="K205" s="93" t="str">
        <f t="shared" si="4"/>
        <v>#DIV/0!</v>
      </c>
    </row>
    <row r="206">
      <c r="A206" s="93"/>
      <c r="K206" s="93" t="str">
        <f t="shared" si="4"/>
        <v>#DIV/0!</v>
      </c>
    </row>
    <row r="207">
      <c r="A207" s="93"/>
      <c r="K207" s="93" t="str">
        <f t="shared" si="4"/>
        <v>#DIV/0!</v>
      </c>
    </row>
    <row r="208">
      <c r="A208" s="93"/>
      <c r="K208" s="93" t="str">
        <f t="shared" si="4"/>
        <v>#DIV/0!</v>
      </c>
    </row>
    <row r="209">
      <c r="A209" s="93"/>
      <c r="K209" s="93" t="str">
        <f t="shared" si="4"/>
        <v>#DIV/0!</v>
      </c>
    </row>
  </sheetData>
  <autoFilter ref="$A$1:$K$112">
    <filterColumn colId="9">
      <filters>
        <filter val="Núcleo de Tecnologia"/>
      </filters>
    </filterColumn>
  </autoFilter>
  <dataValidations>
    <dataValidation type="list" allowBlank="1" sqref="A2:A209">
      <formula1>Base!$A$4:$A$1529</formula1>
    </dataValidation>
  </dataValidation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5" width="18.88"/>
  </cols>
  <sheetData>
    <row r="1">
      <c r="A1" s="345" t="s">
        <v>1035</v>
      </c>
      <c r="B1" s="351" t="s">
        <v>494</v>
      </c>
      <c r="C1" s="352" t="s">
        <v>1036</v>
      </c>
      <c r="D1" s="351" t="s">
        <v>1037</v>
      </c>
      <c r="E1" s="351" t="s">
        <v>1269</v>
      </c>
      <c r="F1" s="351" t="s">
        <v>1041</v>
      </c>
      <c r="G1" s="351" t="s">
        <v>1270</v>
      </c>
      <c r="H1" s="351" t="s">
        <v>1271</v>
      </c>
      <c r="I1" s="351" t="s">
        <v>1042</v>
      </c>
      <c r="J1" s="351"/>
      <c r="K1" s="351"/>
    </row>
    <row r="2">
      <c r="A2" s="93"/>
      <c r="B2" s="302"/>
    </row>
    <row r="3">
      <c r="A3" s="96" t="s">
        <v>1272</v>
      </c>
      <c r="B3" s="302">
        <v>44623.54953523148</v>
      </c>
      <c r="C3" s="96" t="s">
        <v>71</v>
      </c>
      <c r="D3" s="96" t="s">
        <v>1273</v>
      </c>
      <c r="E3" s="96" t="s">
        <v>1274</v>
      </c>
      <c r="F3" s="96" t="s">
        <v>1275</v>
      </c>
      <c r="G3" s="96" t="s">
        <v>1276</v>
      </c>
      <c r="H3" s="96">
        <v>10.0</v>
      </c>
      <c r="I3" s="96" t="s">
        <v>1277</v>
      </c>
    </row>
    <row r="4">
      <c r="A4" s="96" t="s">
        <v>1045</v>
      </c>
      <c r="B4" s="302">
        <v>44627.469174212965</v>
      </c>
      <c r="C4" s="96" t="s">
        <v>1093</v>
      </c>
      <c r="E4" s="96" t="s">
        <v>1274</v>
      </c>
      <c r="G4" s="96" t="s">
        <v>1278</v>
      </c>
      <c r="H4" s="96">
        <v>9.0</v>
      </c>
    </row>
    <row r="5">
      <c r="A5" s="96" t="s">
        <v>1279</v>
      </c>
      <c r="B5" s="302">
        <v>44634.62957232639</v>
      </c>
      <c r="C5" s="96" t="s">
        <v>1280</v>
      </c>
      <c r="D5" s="96" t="s">
        <v>1279</v>
      </c>
      <c r="E5" s="96" t="s">
        <v>1274</v>
      </c>
      <c r="G5" s="96" t="s">
        <v>1276</v>
      </c>
      <c r="H5" s="96">
        <v>10.0</v>
      </c>
      <c r="I5" s="96" t="s">
        <v>1281</v>
      </c>
    </row>
    <row r="6">
      <c r="A6" s="93"/>
      <c r="B6" s="302">
        <v>44635.398996805554</v>
      </c>
      <c r="C6" s="96" t="s">
        <v>1282</v>
      </c>
      <c r="D6" s="96" t="s">
        <v>1283</v>
      </c>
      <c r="E6" s="96" t="s">
        <v>1274</v>
      </c>
      <c r="G6" s="96" t="s">
        <v>1276</v>
      </c>
      <c r="H6" s="96">
        <v>8.0</v>
      </c>
      <c r="I6" s="96" t="s">
        <v>1284</v>
      </c>
    </row>
    <row r="7">
      <c r="A7" s="96" t="s">
        <v>1285</v>
      </c>
      <c r="B7" s="302">
        <v>44644.41551015046</v>
      </c>
      <c r="C7" s="96" t="s">
        <v>1204</v>
      </c>
      <c r="D7" s="96" t="s">
        <v>1285</v>
      </c>
      <c r="E7" s="96" t="s">
        <v>1274</v>
      </c>
      <c r="F7" s="96" t="s">
        <v>1286</v>
      </c>
      <c r="G7" s="96" t="s">
        <v>1276</v>
      </c>
      <c r="H7" s="96">
        <v>10.0</v>
      </c>
      <c r="I7" s="96" t="s">
        <v>1287</v>
      </c>
    </row>
    <row r="8">
      <c r="A8" s="96" t="s">
        <v>1098</v>
      </c>
      <c r="B8" s="302">
        <v>44650.41787868056</v>
      </c>
      <c r="C8" s="96" t="s">
        <v>1288</v>
      </c>
      <c r="D8" s="96" t="s">
        <v>1289</v>
      </c>
      <c r="E8" s="96" t="s">
        <v>1274</v>
      </c>
      <c r="F8" s="96" t="s">
        <v>1290</v>
      </c>
      <c r="G8" s="96" t="s">
        <v>1276</v>
      </c>
      <c r="H8" s="96">
        <v>10.0</v>
      </c>
    </row>
    <row r="9">
      <c r="A9" s="96" t="s">
        <v>1291</v>
      </c>
      <c r="B9" s="302">
        <v>44651.39193454861</v>
      </c>
      <c r="C9" s="96" t="s">
        <v>1292</v>
      </c>
      <c r="D9" s="96" t="s">
        <v>1291</v>
      </c>
      <c r="E9" s="96" t="s">
        <v>1293</v>
      </c>
      <c r="F9" s="96" t="s">
        <v>1294</v>
      </c>
      <c r="G9" s="96" t="s">
        <v>1276</v>
      </c>
      <c r="H9" s="96">
        <v>10.0</v>
      </c>
      <c r="I9" s="96" t="s">
        <v>1295</v>
      </c>
    </row>
    <row r="10">
      <c r="A10" s="96" t="s">
        <v>1053</v>
      </c>
      <c r="B10" s="302">
        <v>44652.716179930554</v>
      </c>
      <c r="C10" s="96" t="s">
        <v>1070</v>
      </c>
      <c r="E10" s="96" t="s">
        <v>1296</v>
      </c>
      <c r="G10" s="96" t="s">
        <v>1278</v>
      </c>
      <c r="H10" s="96">
        <v>10.0</v>
      </c>
    </row>
    <row r="11">
      <c r="A11" s="96" t="s">
        <v>1297</v>
      </c>
      <c r="B11" s="302">
        <v>44663.588016504626</v>
      </c>
      <c r="C11" s="96" t="s">
        <v>1298</v>
      </c>
      <c r="D11" s="96" t="s">
        <v>1297</v>
      </c>
      <c r="E11" s="96" t="s">
        <v>1274</v>
      </c>
      <c r="F11" s="96" t="s">
        <v>1299</v>
      </c>
      <c r="G11" s="96" t="s">
        <v>1276</v>
      </c>
      <c r="H11" s="96">
        <v>9.0</v>
      </c>
      <c r="I11" s="96" t="s">
        <v>1300</v>
      </c>
    </row>
    <row r="12">
      <c r="A12" s="96" t="s">
        <v>1049</v>
      </c>
      <c r="B12" s="302">
        <v>44663.60321185185</v>
      </c>
      <c r="C12" s="96" t="s">
        <v>1301</v>
      </c>
      <c r="D12" s="96" t="s">
        <v>1049</v>
      </c>
      <c r="E12" s="96" t="s">
        <v>1274</v>
      </c>
      <c r="G12" s="96" t="s">
        <v>1276</v>
      </c>
      <c r="H12" s="96">
        <v>10.0</v>
      </c>
      <c r="I12" s="96" t="s">
        <v>1302</v>
      </c>
    </row>
    <row r="13">
      <c r="A13" s="96" t="s">
        <v>1303</v>
      </c>
      <c r="B13" s="302">
        <v>44664.69579641204</v>
      </c>
      <c r="C13" s="96" t="s">
        <v>1241</v>
      </c>
      <c r="D13" s="96" t="s">
        <v>1304</v>
      </c>
      <c r="E13" s="96" t="s">
        <v>1293</v>
      </c>
      <c r="F13" s="96" t="s">
        <v>1305</v>
      </c>
      <c r="G13" s="96" t="s">
        <v>1276</v>
      </c>
      <c r="H13" s="96">
        <v>8.0</v>
      </c>
      <c r="I13" s="96" t="s">
        <v>1306</v>
      </c>
    </row>
    <row r="14">
      <c r="A14" s="96" t="s">
        <v>1307</v>
      </c>
      <c r="B14" s="302">
        <v>44665.46900462963</v>
      </c>
      <c r="C14" s="96" t="s">
        <v>1308</v>
      </c>
      <c r="D14" s="96" t="s">
        <v>1307</v>
      </c>
      <c r="E14" s="96" t="s">
        <v>1293</v>
      </c>
      <c r="F14" s="96" t="s">
        <v>1309</v>
      </c>
      <c r="G14" s="96" t="s">
        <v>1276</v>
      </c>
      <c r="H14" s="96">
        <v>10.0</v>
      </c>
      <c r="I14" s="96" t="s">
        <v>1310</v>
      </c>
    </row>
    <row r="15">
      <c r="A15" s="96" t="s">
        <v>1065</v>
      </c>
      <c r="B15" s="302">
        <v>44669.6572814699</v>
      </c>
      <c r="C15" s="96" t="s">
        <v>1311</v>
      </c>
      <c r="D15" s="96" t="s">
        <v>1065</v>
      </c>
      <c r="E15" s="96" t="s">
        <v>1296</v>
      </c>
      <c r="G15" s="96" t="s">
        <v>1276</v>
      </c>
      <c r="H15" s="96">
        <v>10.0</v>
      </c>
    </row>
    <row r="16">
      <c r="A16" s="96" t="s">
        <v>1059</v>
      </c>
      <c r="B16" s="302">
        <v>44673.614164618055</v>
      </c>
      <c r="C16" s="96" t="s">
        <v>1060</v>
      </c>
      <c r="D16" s="96" t="s">
        <v>1312</v>
      </c>
      <c r="E16" s="96" t="s">
        <v>1274</v>
      </c>
      <c r="G16" s="96" t="s">
        <v>1278</v>
      </c>
      <c r="H16" s="96">
        <v>10.0</v>
      </c>
      <c r="I16" s="96" t="s">
        <v>1313</v>
      </c>
    </row>
    <row r="17">
      <c r="A17" s="96" t="s">
        <v>1062</v>
      </c>
      <c r="B17" s="302">
        <v>44673.63101295139</v>
      </c>
      <c r="C17" s="96" t="s">
        <v>1063</v>
      </c>
      <c r="D17" s="96" t="s">
        <v>1314</v>
      </c>
      <c r="E17" s="96" t="s">
        <v>1274</v>
      </c>
      <c r="G17" s="96" t="s">
        <v>1276</v>
      </c>
      <c r="H17" s="96">
        <v>10.0</v>
      </c>
    </row>
    <row r="18">
      <c r="A18" s="96" t="s">
        <v>1315</v>
      </c>
      <c r="B18" s="302">
        <v>44687.76854457176</v>
      </c>
      <c r="C18" s="96" t="s">
        <v>1316</v>
      </c>
      <c r="D18" s="96" t="s">
        <v>1315</v>
      </c>
      <c r="E18" s="96" t="s">
        <v>1274</v>
      </c>
      <c r="F18" s="96" t="s">
        <v>1317</v>
      </c>
      <c r="G18" s="96" t="s">
        <v>1276</v>
      </c>
      <c r="H18" s="96">
        <v>9.0</v>
      </c>
      <c r="I18" s="96" t="s">
        <v>1318</v>
      </c>
    </row>
    <row r="19">
      <c r="A19" s="96" t="s">
        <v>1319</v>
      </c>
      <c r="B19" s="302">
        <v>44687.8405971875</v>
      </c>
      <c r="C19" s="96" t="s">
        <v>1320</v>
      </c>
      <c r="D19" s="96" t="s">
        <v>1321</v>
      </c>
      <c r="E19" s="96" t="s">
        <v>1296</v>
      </c>
      <c r="G19" s="96" t="s">
        <v>1322</v>
      </c>
      <c r="H19" s="96">
        <v>10.0</v>
      </c>
      <c r="I19" s="96" t="s">
        <v>1323</v>
      </c>
    </row>
    <row r="20">
      <c r="A20" s="96" t="s">
        <v>1324</v>
      </c>
      <c r="B20" s="302">
        <v>44694.59077672454</v>
      </c>
      <c r="C20" s="96" t="s">
        <v>1325</v>
      </c>
      <c r="D20" s="96" t="s">
        <v>1326</v>
      </c>
      <c r="E20" s="96" t="s">
        <v>1293</v>
      </c>
      <c r="G20" s="96" t="s">
        <v>1327</v>
      </c>
      <c r="H20" s="96">
        <v>8.0</v>
      </c>
    </row>
    <row r="21">
      <c r="A21" s="96" t="s">
        <v>1074</v>
      </c>
      <c r="B21" s="302">
        <v>44694.61332748843</v>
      </c>
      <c r="C21" s="96" t="s">
        <v>1075</v>
      </c>
      <c r="E21" s="96" t="s">
        <v>1274</v>
      </c>
      <c r="F21" s="96" t="s">
        <v>1328</v>
      </c>
      <c r="G21" s="96" t="s">
        <v>1276</v>
      </c>
      <c r="H21" s="96">
        <v>10.0</v>
      </c>
    </row>
    <row r="22">
      <c r="A22" s="96" t="s">
        <v>1329</v>
      </c>
      <c r="B22" s="302">
        <v>44698.59215081019</v>
      </c>
      <c r="C22" s="96" t="s">
        <v>1330</v>
      </c>
      <c r="D22" s="96" t="s">
        <v>1331</v>
      </c>
      <c r="E22" s="96" t="s">
        <v>1274</v>
      </c>
      <c r="G22" s="96" t="s">
        <v>1276</v>
      </c>
      <c r="H22" s="96">
        <v>10.0</v>
      </c>
      <c r="I22" s="96" t="s">
        <v>1332</v>
      </c>
    </row>
    <row r="23">
      <c r="A23" s="96" t="s">
        <v>1333</v>
      </c>
      <c r="B23" s="302">
        <v>44714.74044545139</v>
      </c>
      <c r="C23" s="96" t="s">
        <v>1334</v>
      </c>
      <c r="D23" s="96" t="s">
        <v>1335</v>
      </c>
      <c r="E23" s="96" t="s">
        <v>1296</v>
      </c>
      <c r="F23" s="96" t="s">
        <v>1336</v>
      </c>
      <c r="G23" s="96" t="s">
        <v>1276</v>
      </c>
      <c r="H23" s="96">
        <v>10.0</v>
      </c>
      <c r="I23" s="96" t="s">
        <v>1337</v>
      </c>
    </row>
    <row r="24">
      <c r="A24" s="96" t="s">
        <v>1338</v>
      </c>
      <c r="B24" s="302">
        <v>44715.343037569444</v>
      </c>
      <c r="C24" s="96" t="s">
        <v>1339</v>
      </c>
      <c r="D24" s="96" t="s">
        <v>1340</v>
      </c>
      <c r="E24" s="96" t="s">
        <v>1293</v>
      </c>
      <c r="F24" s="96" t="s">
        <v>1341</v>
      </c>
      <c r="G24" s="96" t="s">
        <v>1278</v>
      </c>
      <c r="H24" s="96">
        <v>9.0</v>
      </c>
      <c r="I24" s="96" t="s">
        <v>1342</v>
      </c>
    </row>
    <row r="25">
      <c r="A25" s="93"/>
      <c r="B25" s="302">
        <v>44726.46254277778</v>
      </c>
      <c r="C25" s="96" t="s">
        <v>1343</v>
      </c>
      <c r="D25" s="96" t="s">
        <v>1344</v>
      </c>
      <c r="E25" s="96" t="s">
        <v>1274</v>
      </c>
      <c r="F25" s="96" t="s">
        <v>1345</v>
      </c>
      <c r="G25" s="96" t="s">
        <v>1276</v>
      </c>
      <c r="H25" s="96">
        <v>9.0</v>
      </c>
      <c r="I25" s="96" t="s">
        <v>1346</v>
      </c>
    </row>
    <row r="26">
      <c r="A26" s="93"/>
      <c r="B26" s="302">
        <v>44726.773693842595</v>
      </c>
      <c r="C26" s="96" t="s">
        <v>1347</v>
      </c>
      <c r="D26" s="96" t="s">
        <v>1348</v>
      </c>
      <c r="E26" s="96" t="s">
        <v>1274</v>
      </c>
      <c r="G26" s="96" t="s">
        <v>1276</v>
      </c>
      <c r="H26" s="96">
        <v>10.0</v>
      </c>
      <c r="I26" s="96" t="s">
        <v>1349</v>
      </c>
    </row>
    <row r="27">
      <c r="A27" s="96" t="s">
        <v>1350</v>
      </c>
      <c r="B27" s="302">
        <v>44733.701850196754</v>
      </c>
      <c r="C27" s="96" t="s">
        <v>1351</v>
      </c>
      <c r="D27" s="96" t="s">
        <v>1350</v>
      </c>
      <c r="E27" s="96" t="s">
        <v>1293</v>
      </c>
      <c r="F27" s="96" t="s">
        <v>1352</v>
      </c>
      <c r="G27" s="96" t="s">
        <v>1276</v>
      </c>
      <c r="H27" s="96">
        <v>7.0</v>
      </c>
      <c r="I27" s="96" t="s">
        <v>1353</v>
      </c>
    </row>
    <row r="28">
      <c r="A28" s="93"/>
      <c r="B28" s="302">
        <v>44735.57766159722</v>
      </c>
      <c r="C28" s="96" t="s">
        <v>1354</v>
      </c>
      <c r="D28" s="96" t="s">
        <v>1355</v>
      </c>
      <c r="E28" s="96" t="s">
        <v>1293</v>
      </c>
      <c r="F28" s="96" t="s">
        <v>1356</v>
      </c>
      <c r="G28" s="96" t="s">
        <v>1278</v>
      </c>
      <c r="H28" s="96">
        <v>9.0</v>
      </c>
      <c r="I28" s="96" t="s">
        <v>1357</v>
      </c>
    </row>
    <row r="29">
      <c r="A29" s="93"/>
      <c r="B29" s="302">
        <v>44775.522353078704</v>
      </c>
      <c r="C29" s="96" t="s">
        <v>1358</v>
      </c>
      <c r="E29" s="96" t="s">
        <v>1274</v>
      </c>
      <c r="F29" s="96" t="s">
        <v>1359</v>
      </c>
      <c r="G29" s="96" t="s">
        <v>1322</v>
      </c>
      <c r="H29" s="96">
        <v>9.0</v>
      </c>
      <c r="I29" s="96" t="s">
        <v>1360</v>
      </c>
    </row>
    <row r="30">
      <c r="A30" s="93"/>
      <c r="B30" s="302">
        <v>44778.46624820602</v>
      </c>
      <c r="C30" s="96" t="s">
        <v>1361</v>
      </c>
      <c r="D30" s="96" t="s">
        <v>1362</v>
      </c>
      <c r="E30" s="96" t="s">
        <v>1274</v>
      </c>
      <c r="G30" s="96" t="s">
        <v>1363</v>
      </c>
      <c r="H30" s="96">
        <v>10.0</v>
      </c>
      <c r="I30" s="96" t="s">
        <v>1364</v>
      </c>
    </row>
    <row r="31">
      <c r="A31" s="93"/>
      <c r="B31" s="302">
        <v>44778.67415993055</v>
      </c>
      <c r="C31" s="96" t="s">
        <v>1365</v>
      </c>
      <c r="D31" s="96" t="s">
        <v>1366</v>
      </c>
      <c r="E31" s="96" t="s">
        <v>1274</v>
      </c>
      <c r="F31" s="96" t="s">
        <v>1367</v>
      </c>
      <c r="G31" s="96" t="s">
        <v>1278</v>
      </c>
      <c r="H31" s="96">
        <v>10.0</v>
      </c>
      <c r="I31" s="96" t="s">
        <v>1368</v>
      </c>
    </row>
    <row r="32">
      <c r="A32" s="93"/>
      <c r="B32" s="302">
        <v>44782.785009479165</v>
      </c>
      <c r="C32" s="96" t="s">
        <v>1369</v>
      </c>
      <c r="D32" s="96" t="s">
        <v>1370</v>
      </c>
      <c r="E32" s="96" t="s">
        <v>1274</v>
      </c>
      <c r="G32" s="96" t="s">
        <v>1276</v>
      </c>
      <c r="H32" s="96">
        <v>8.0</v>
      </c>
      <c r="I32" s="96" t="s">
        <v>1371</v>
      </c>
    </row>
    <row r="33">
      <c r="A33" s="93"/>
      <c r="B33" s="302">
        <v>44782.84547851852</v>
      </c>
      <c r="C33" s="96" t="s">
        <v>1123</v>
      </c>
      <c r="D33" s="96" t="s">
        <v>1372</v>
      </c>
      <c r="E33" s="96" t="s">
        <v>1296</v>
      </c>
      <c r="G33" s="96" t="s">
        <v>1276</v>
      </c>
      <c r="H33" s="96">
        <v>10.0</v>
      </c>
    </row>
    <row r="34">
      <c r="A34" s="93"/>
      <c r="B34" s="302">
        <v>44785.652572858795</v>
      </c>
      <c r="C34" s="96" t="s">
        <v>1373</v>
      </c>
      <c r="D34" s="96" t="s">
        <v>1374</v>
      </c>
      <c r="E34" s="96" t="s">
        <v>1274</v>
      </c>
      <c r="G34" s="96" t="s">
        <v>1278</v>
      </c>
      <c r="H34" s="96">
        <v>9.0</v>
      </c>
      <c r="I34" s="96" t="s">
        <v>1375</v>
      </c>
    </row>
    <row r="35">
      <c r="A35" s="93"/>
      <c r="B35" s="302">
        <v>44788.885439722224</v>
      </c>
      <c r="C35" s="96" t="s">
        <v>1376</v>
      </c>
      <c r="D35" s="96" t="s">
        <v>1139</v>
      </c>
      <c r="E35" s="96" t="s">
        <v>1296</v>
      </c>
      <c r="F35" s="96" t="s">
        <v>1377</v>
      </c>
      <c r="G35" s="96" t="s">
        <v>1276</v>
      </c>
      <c r="H35" s="96">
        <v>10.0</v>
      </c>
    </row>
    <row r="36">
      <c r="A36" s="93"/>
      <c r="B36" s="302">
        <v>44809.61424618056</v>
      </c>
      <c r="C36" s="96" t="s">
        <v>1378</v>
      </c>
      <c r="D36" s="96" t="s">
        <v>1379</v>
      </c>
      <c r="E36" s="96" t="s">
        <v>1274</v>
      </c>
      <c r="G36" s="96" t="s">
        <v>1276</v>
      </c>
      <c r="H36" s="96">
        <v>9.0</v>
      </c>
      <c r="I36" s="96" t="s">
        <v>1380</v>
      </c>
    </row>
    <row r="37">
      <c r="A37" s="93"/>
      <c r="B37" s="302">
        <v>44813.646567233794</v>
      </c>
      <c r="C37" s="96" t="s">
        <v>1381</v>
      </c>
      <c r="D37" s="96" t="s">
        <v>1382</v>
      </c>
      <c r="E37" s="96" t="s">
        <v>1296</v>
      </c>
      <c r="G37" s="96" t="s">
        <v>1276</v>
      </c>
      <c r="H37" s="96">
        <v>10.0</v>
      </c>
      <c r="I37" s="96" t="s">
        <v>1383</v>
      </c>
    </row>
    <row r="38">
      <c r="A38" s="93"/>
      <c r="B38" s="302">
        <v>44817.41184223379</v>
      </c>
      <c r="C38" s="96" t="s">
        <v>1384</v>
      </c>
      <c r="D38" s="96" t="s">
        <v>1385</v>
      </c>
      <c r="E38" s="96" t="s">
        <v>1274</v>
      </c>
      <c r="F38" s="96" t="s">
        <v>1386</v>
      </c>
      <c r="G38" s="96" t="s">
        <v>1276</v>
      </c>
      <c r="H38" s="96">
        <v>10.0</v>
      </c>
    </row>
    <row r="39">
      <c r="A39" s="93"/>
      <c r="B39" s="302">
        <v>44837.50846019676</v>
      </c>
      <c r="C39" s="96" t="s">
        <v>1387</v>
      </c>
      <c r="D39" s="96" t="s">
        <v>1388</v>
      </c>
      <c r="E39" s="96" t="s">
        <v>1296</v>
      </c>
      <c r="F39" s="96" t="s">
        <v>1389</v>
      </c>
      <c r="G39" s="96" t="s">
        <v>1276</v>
      </c>
      <c r="H39" s="96">
        <v>10.0</v>
      </c>
      <c r="I39" s="96" t="s">
        <v>1390</v>
      </c>
    </row>
    <row r="40">
      <c r="A40" s="93"/>
      <c r="B40" s="302">
        <v>44837.74183883102</v>
      </c>
      <c r="C40" s="96" t="s">
        <v>1391</v>
      </c>
      <c r="D40" s="96" t="s">
        <v>1392</v>
      </c>
      <c r="E40" s="96" t="s">
        <v>1296</v>
      </c>
      <c r="F40" s="96" t="s">
        <v>1393</v>
      </c>
      <c r="G40" s="96" t="s">
        <v>1276</v>
      </c>
      <c r="H40" s="96">
        <v>10.0</v>
      </c>
      <c r="I40" s="96" t="s">
        <v>1394</v>
      </c>
    </row>
    <row r="41">
      <c r="A41" s="93"/>
      <c r="B41" s="302">
        <v>44838.335069374996</v>
      </c>
      <c r="C41" s="96" t="s">
        <v>1369</v>
      </c>
      <c r="D41" s="96" t="s">
        <v>1395</v>
      </c>
      <c r="E41" s="96" t="s">
        <v>1296</v>
      </c>
      <c r="G41" s="96" t="s">
        <v>1276</v>
      </c>
      <c r="H41" s="96">
        <v>10.0</v>
      </c>
    </row>
    <row r="42">
      <c r="A42" s="93"/>
      <c r="B42" s="302">
        <v>44868.67084761574</v>
      </c>
      <c r="C42" s="96" t="s">
        <v>1396</v>
      </c>
      <c r="D42" s="96" t="s">
        <v>1397</v>
      </c>
      <c r="E42" s="96" t="s">
        <v>1293</v>
      </c>
      <c r="F42" s="96" t="s">
        <v>1398</v>
      </c>
      <c r="G42" s="96" t="s">
        <v>1278</v>
      </c>
      <c r="H42" s="96">
        <v>10.0</v>
      </c>
      <c r="I42" s="96" t="s">
        <v>1399</v>
      </c>
    </row>
    <row r="43">
      <c r="A43" s="93"/>
      <c r="B43" s="302">
        <v>44879.48994696759</v>
      </c>
      <c r="C43" s="96" t="s">
        <v>1400</v>
      </c>
      <c r="D43" s="96" t="s">
        <v>1401</v>
      </c>
      <c r="E43" s="96" t="s">
        <v>1274</v>
      </c>
      <c r="G43" s="96" t="s">
        <v>1276</v>
      </c>
      <c r="H43" s="96">
        <v>7.0</v>
      </c>
    </row>
    <row r="44">
      <c r="A44" s="93"/>
      <c r="B44" s="302">
        <v>44881.72823228009</v>
      </c>
      <c r="C44" s="96" t="s">
        <v>1402</v>
      </c>
      <c r="D44" s="96" t="s">
        <v>1403</v>
      </c>
      <c r="E44" s="96" t="s">
        <v>1274</v>
      </c>
      <c r="G44" s="96" t="s">
        <v>1276</v>
      </c>
      <c r="H44" s="96">
        <v>9.0</v>
      </c>
    </row>
    <row r="45">
      <c r="A45" s="93"/>
      <c r="B45" s="302">
        <v>44918.51475819445</v>
      </c>
      <c r="C45" s="96" t="s">
        <v>1404</v>
      </c>
      <c r="D45" s="96" t="s">
        <v>1215</v>
      </c>
      <c r="E45" s="96" t="s">
        <v>1296</v>
      </c>
      <c r="G45" s="96" t="s">
        <v>1278</v>
      </c>
      <c r="H45" s="96">
        <v>9.0</v>
      </c>
      <c r="I45" s="96" t="s">
        <v>1405</v>
      </c>
    </row>
    <row r="46">
      <c r="A46" s="93"/>
      <c r="B46" s="302">
        <v>44921.548747824076</v>
      </c>
      <c r="C46" s="96" t="s">
        <v>1406</v>
      </c>
      <c r="D46" s="96" t="s">
        <v>1407</v>
      </c>
      <c r="E46" s="96" t="s">
        <v>1274</v>
      </c>
      <c r="G46" s="96" t="s">
        <v>1276</v>
      </c>
      <c r="H46" s="96">
        <v>10.0</v>
      </c>
    </row>
    <row r="47">
      <c r="A47" s="93"/>
      <c r="B47" s="302">
        <v>44925.89036554398</v>
      </c>
      <c r="C47" s="96" t="s">
        <v>1408</v>
      </c>
      <c r="D47" s="96" t="s">
        <v>1193</v>
      </c>
      <c r="E47" s="96" t="s">
        <v>1274</v>
      </c>
      <c r="G47" s="96" t="s">
        <v>1322</v>
      </c>
      <c r="H47" s="96">
        <v>9.0</v>
      </c>
    </row>
    <row r="48">
      <c r="A48" s="93"/>
      <c r="B48" s="302">
        <v>44932.6566869213</v>
      </c>
      <c r="C48" s="96" t="s">
        <v>1409</v>
      </c>
      <c r="D48" s="96" t="s">
        <v>1410</v>
      </c>
      <c r="E48" s="96" t="s">
        <v>1296</v>
      </c>
      <c r="G48" s="96" t="s">
        <v>1276</v>
      </c>
      <c r="H48" s="96">
        <v>10.0</v>
      </c>
    </row>
    <row r="49">
      <c r="A49" s="93"/>
      <c r="B49" s="302">
        <v>44949.556715520834</v>
      </c>
      <c r="C49" s="96" t="s">
        <v>1411</v>
      </c>
      <c r="D49" s="96" t="s">
        <v>1412</v>
      </c>
      <c r="E49" s="96" t="s">
        <v>1274</v>
      </c>
      <c r="G49" s="96" t="s">
        <v>1322</v>
      </c>
      <c r="H49" s="96">
        <v>9.0</v>
      </c>
    </row>
    <row r="50">
      <c r="A50" s="93"/>
      <c r="B50" s="302">
        <v>44957.73326018518</v>
      </c>
      <c r="C50" s="96" t="s">
        <v>1413</v>
      </c>
      <c r="D50" s="96" t="s">
        <v>1414</v>
      </c>
      <c r="E50" s="96" t="s">
        <v>1296</v>
      </c>
      <c r="G50" s="96" t="s">
        <v>1276</v>
      </c>
      <c r="H50" s="96">
        <v>10.0</v>
      </c>
    </row>
    <row r="51">
      <c r="A51" s="93"/>
      <c r="B51" s="302">
        <v>44973.63773275463</v>
      </c>
      <c r="C51" s="96" t="s">
        <v>1415</v>
      </c>
      <c r="D51" s="96" t="s">
        <v>1416</v>
      </c>
      <c r="E51" s="96" t="s">
        <v>1274</v>
      </c>
      <c r="G51" s="96" t="s">
        <v>1276</v>
      </c>
      <c r="H51" s="96">
        <v>9.0</v>
      </c>
    </row>
    <row r="52">
      <c r="A52" s="93"/>
      <c r="B52" s="302">
        <v>44973.64292769676</v>
      </c>
      <c r="C52" s="96" t="s">
        <v>1417</v>
      </c>
      <c r="D52" s="96" t="s">
        <v>1418</v>
      </c>
      <c r="E52" s="96" t="s">
        <v>1274</v>
      </c>
      <c r="G52" s="96" t="s">
        <v>1276</v>
      </c>
      <c r="H52" s="96">
        <v>10.0</v>
      </c>
    </row>
    <row r="53">
      <c r="A53" s="93"/>
    </row>
    <row r="54">
      <c r="A54" s="93"/>
    </row>
    <row r="55">
      <c r="A55" s="93"/>
    </row>
    <row r="56">
      <c r="A56" s="93"/>
    </row>
    <row r="57">
      <c r="A57" s="93"/>
    </row>
    <row r="58">
      <c r="A58" s="93"/>
    </row>
    <row r="59">
      <c r="A59" s="93"/>
    </row>
    <row r="60">
      <c r="A60" s="93"/>
    </row>
    <row r="61">
      <c r="A61" s="93"/>
    </row>
    <row r="62">
      <c r="A62" s="93"/>
    </row>
    <row r="63">
      <c r="A63" s="93"/>
    </row>
    <row r="64">
      <c r="A64" s="93"/>
    </row>
    <row r="65">
      <c r="A65" s="93"/>
    </row>
    <row r="66">
      <c r="A66" s="93"/>
    </row>
    <row r="67">
      <c r="A67" s="93"/>
    </row>
    <row r="68">
      <c r="A68" s="93"/>
    </row>
    <row r="69">
      <c r="A69" s="93"/>
    </row>
    <row r="70">
      <c r="A70" s="93"/>
    </row>
    <row r="71">
      <c r="A71" s="93"/>
    </row>
    <row r="72">
      <c r="A72" s="93"/>
    </row>
    <row r="73">
      <c r="A73" s="93"/>
    </row>
    <row r="74">
      <c r="A74" s="93"/>
    </row>
    <row r="75">
      <c r="A75" s="93"/>
    </row>
    <row r="76">
      <c r="A76" s="93"/>
    </row>
    <row r="77">
      <c r="A77" s="93"/>
    </row>
    <row r="78">
      <c r="A78" s="93"/>
    </row>
    <row r="79">
      <c r="A79" s="93"/>
    </row>
    <row r="80">
      <c r="A80" s="93"/>
    </row>
    <row r="81">
      <c r="A81" s="93"/>
    </row>
    <row r="82">
      <c r="A82" s="93"/>
    </row>
    <row r="83">
      <c r="A83" s="93"/>
    </row>
    <row r="84">
      <c r="A84" s="93"/>
    </row>
    <row r="85">
      <c r="A85" s="93"/>
    </row>
    <row r="86">
      <c r="A86" s="93"/>
    </row>
    <row r="87">
      <c r="A87" s="93"/>
    </row>
    <row r="88">
      <c r="A88" s="93"/>
    </row>
    <row r="89">
      <c r="A89" s="93"/>
    </row>
    <row r="90">
      <c r="A90" s="93"/>
    </row>
    <row r="91">
      <c r="A91" s="93"/>
    </row>
    <row r="92">
      <c r="A92" s="93"/>
    </row>
    <row r="93">
      <c r="A93" s="93"/>
    </row>
    <row r="94">
      <c r="A94" s="93"/>
    </row>
    <row r="95">
      <c r="A95" s="93"/>
    </row>
    <row r="96">
      <c r="A96" s="93"/>
    </row>
    <row r="97">
      <c r="A97" s="93"/>
    </row>
    <row r="98">
      <c r="A98" s="93"/>
    </row>
    <row r="99">
      <c r="A99" s="93"/>
    </row>
    <row r="100">
      <c r="A100" s="93"/>
    </row>
    <row r="101">
      <c r="A101" s="93"/>
    </row>
    <row r="102">
      <c r="A102" s="93"/>
    </row>
    <row r="103">
      <c r="A103" s="93"/>
    </row>
    <row r="104">
      <c r="A104" s="93"/>
    </row>
    <row r="105">
      <c r="A105" s="93"/>
    </row>
    <row r="106">
      <c r="A106" s="93"/>
    </row>
    <row r="107">
      <c r="A107" s="93"/>
    </row>
    <row r="108">
      <c r="A108" s="93"/>
    </row>
    <row r="109">
      <c r="A109" s="93"/>
    </row>
    <row r="110">
      <c r="A110" s="93"/>
    </row>
    <row r="111">
      <c r="A111" s="93"/>
    </row>
    <row r="112">
      <c r="A112" s="93"/>
    </row>
    <row r="113">
      <c r="A113" s="93"/>
    </row>
    <row r="114">
      <c r="A114" s="93"/>
    </row>
    <row r="115">
      <c r="A115" s="93"/>
    </row>
    <row r="116">
      <c r="A116" s="93"/>
    </row>
    <row r="117">
      <c r="A117" s="93"/>
    </row>
    <row r="118">
      <c r="A118" s="93"/>
    </row>
    <row r="119">
      <c r="A119" s="93"/>
    </row>
    <row r="120">
      <c r="A120" s="93"/>
    </row>
    <row r="121">
      <c r="A121" s="93"/>
    </row>
    <row r="122">
      <c r="A122" s="93"/>
    </row>
    <row r="123">
      <c r="A123" s="93"/>
    </row>
    <row r="124">
      <c r="A124" s="93"/>
    </row>
    <row r="125">
      <c r="A125" s="93"/>
    </row>
    <row r="126">
      <c r="A126" s="93"/>
    </row>
    <row r="127">
      <c r="A127" s="93"/>
    </row>
    <row r="128">
      <c r="A128" s="93"/>
    </row>
    <row r="129">
      <c r="A129" s="93"/>
    </row>
    <row r="130">
      <c r="A130" s="93"/>
    </row>
    <row r="131">
      <c r="A131" s="93"/>
    </row>
    <row r="132">
      <c r="A132" s="93"/>
    </row>
    <row r="133">
      <c r="A133" s="93"/>
    </row>
    <row r="134">
      <c r="A134" s="93"/>
    </row>
    <row r="135">
      <c r="A135" s="93"/>
    </row>
    <row r="136">
      <c r="A136" s="93"/>
    </row>
    <row r="137">
      <c r="A137" s="93"/>
    </row>
    <row r="138">
      <c r="A138" s="93"/>
    </row>
    <row r="139">
      <c r="A139" s="93"/>
    </row>
    <row r="140">
      <c r="A140" s="93"/>
    </row>
    <row r="141">
      <c r="A141" s="93"/>
    </row>
    <row r="142">
      <c r="A142" s="93"/>
    </row>
    <row r="143">
      <c r="A143" s="93"/>
    </row>
    <row r="144">
      <c r="A144" s="93"/>
    </row>
    <row r="145">
      <c r="A145" s="93"/>
    </row>
    <row r="146">
      <c r="A146" s="93"/>
    </row>
    <row r="147">
      <c r="A147" s="93"/>
    </row>
    <row r="148">
      <c r="A148" s="93"/>
    </row>
    <row r="149">
      <c r="A149" s="93"/>
    </row>
    <row r="150">
      <c r="A150" s="93"/>
    </row>
    <row r="151">
      <c r="A151" s="93"/>
    </row>
    <row r="152">
      <c r="A152" s="93"/>
    </row>
  </sheetData>
  <dataValidations>
    <dataValidation type="list" allowBlank="1" sqref="A2:A152">
      <formula1>Base!$A$4:$A$1529</formula1>
    </dataValidation>
  </dataValidations>
  <drawing r:id="rId1"/>
</worksheet>
</file>