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ctures\LOVELY TOYS\DOCS\"/>
    </mc:Choice>
  </mc:AlternateContent>
  <xr:revisionPtr revIDLastSave="0" documentId="13_ncr:1_{AAF2DD39-59A5-4E75-A530-3C32F8B319A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mpras" sheetId="1" r:id="rId1"/>
    <sheet name="Precios" sheetId="2" r:id="rId2"/>
  </sheets>
  <definedNames>
    <definedName name="_xlnm._FilterDatabase" localSheetId="1" hidden="1">Precios!$A$1:$M$184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7" i="2" l="1"/>
  <c r="F107" i="2"/>
  <c r="G107" i="2"/>
  <c r="H107" i="2"/>
  <c r="I107" i="2"/>
  <c r="U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2" i="1"/>
  <c r="B144" i="2"/>
  <c r="E144" i="2"/>
  <c r="G144" i="2"/>
  <c r="I144" i="2"/>
  <c r="B145" i="2"/>
  <c r="E145" i="2"/>
  <c r="G145" i="2"/>
  <c r="I145" i="2"/>
  <c r="B146" i="2"/>
  <c r="E146" i="2"/>
  <c r="G146" i="2"/>
  <c r="I146" i="2"/>
  <c r="B147" i="2"/>
  <c r="E147" i="2"/>
  <c r="G147" i="2"/>
  <c r="I147" i="2"/>
  <c r="F145" i="1"/>
  <c r="D145" i="1" s="1"/>
  <c r="F145" i="2" s="1"/>
  <c r="F146" i="1"/>
  <c r="Q146" i="1" s="1"/>
  <c r="H146" i="2" s="1"/>
  <c r="F147" i="1"/>
  <c r="Q147" i="1" s="1"/>
  <c r="H147" i="2" s="1"/>
  <c r="F144" i="1"/>
  <c r="Q144" i="1" s="1"/>
  <c r="H144" i="2" s="1"/>
  <c r="G147" i="1"/>
  <c r="D147" i="1"/>
  <c r="F147" i="2" s="1"/>
  <c r="G146" i="1"/>
  <c r="M107" i="2" l="1"/>
  <c r="K107" i="2" s="1"/>
  <c r="L107" i="2" s="1"/>
  <c r="M144" i="2"/>
  <c r="K144" i="2" s="1"/>
  <c r="L144" i="2" s="1"/>
  <c r="M146" i="2"/>
  <c r="K146" i="2" s="1"/>
  <c r="L146" i="2" s="1"/>
  <c r="M147" i="2"/>
  <c r="K147" i="2" s="1"/>
  <c r="L147" i="2" s="1"/>
  <c r="G145" i="1"/>
  <c r="Q145" i="1"/>
  <c r="H145" i="2" s="1"/>
  <c r="M145" i="2" s="1"/>
  <c r="K145" i="2" s="1"/>
  <c r="L145" i="2" s="1"/>
  <c r="D144" i="1"/>
  <c r="F144" i="2" s="1"/>
  <c r="D146" i="1"/>
  <c r="F146" i="2" s="1"/>
  <c r="G144" i="1"/>
  <c r="B120" i="2" l="1"/>
  <c r="E120" i="2"/>
  <c r="G120" i="2"/>
  <c r="I120" i="2"/>
  <c r="Q120" i="1"/>
  <c r="H120" i="2" s="1"/>
  <c r="G120" i="1"/>
  <c r="D120" i="1"/>
  <c r="F120" i="2" s="1"/>
  <c r="M120" i="2" l="1"/>
  <c r="K120" i="2" s="1"/>
  <c r="L120" i="2" s="1"/>
  <c r="B161" i="2"/>
  <c r="E161" i="2"/>
  <c r="G161" i="2"/>
  <c r="I161" i="2"/>
  <c r="B162" i="2"/>
  <c r="E162" i="2"/>
  <c r="G162" i="2"/>
  <c r="I162" i="2"/>
  <c r="I161" i="1"/>
  <c r="Q161" i="1" s="1"/>
  <c r="H161" i="2" s="1"/>
  <c r="I162" i="1"/>
  <c r="Q162" i="1" s="1"/>
  <c r="H162" i="2" s="1"/>
  <c r="G162" i="1"/>
  <c r="D162" i="1"/>
  <c r="F162" i="2" s="1"/>
  <c r="G161" i="1"/>
  <c r="D161" i="1"/>
  <c r="F161" i="2" s="1"/>
  <c r="M161" i="2" l="1"/>
  <c r="K161" i="2" s="1"/>
  <c r="L161" i="2" s="1"/>
  <c r="M162" i="2"/>
  <c r="K162" i="2" s="1"/>
  <c r="L162" i="2" s="1"/>
  <c r="B142" i="2"/>
  <c r="E142" i="2"/>
  <c r="G142" i="2"/>
  <c r="I142" i="2"/>
  <c r="B143" i="2"/>
  <c r="E143" i="2"/>
  <c r="G143" i="2"/>
  <c r="I143" i="2"/>
  <c r="Q143" i="1"/>
  <c r="H143" i="2" s="1"/>
  <c r="G143" i="1"/>
  <c r="D143" i="1"/>
  <c r="F143" i="2" s="1"/>
  <c r="Q142" i="1"/>
  <c r="H142" i="2" s="1"/>
  <c r="G142" i="1"/>
  <c r="D142" i="1"/>
  <c r="F142" i="2" s="1"/>
  <c r="B122" i="2"/>
  <c r="E122" i="2"/>
  <c r="G122" i="2"/>
  <c r="I122" i="2"/>
  <c r="Q122" i="1"/>
  <c r="H122" i="2" s="1"/>
  <c r="G122" i="1"/>
  <c r="D122" i="1"/>
  <c r="F122" i="2" s="1"/>
  <c r="I113" i="1"/>
  <c r="I112" i="1"/>
  <c r="B140" i="2"/>
  <c r="E140" i="2"/>
  <c r="G140" i="2"/>
  <c r="I140" i="2"/>
  <c r="Q140" i="1"/>
  <c r="H140" i="2" s="1"/>
  <c r="G140" i="1"/>
  <c r="D140" i="1"/>
  <c r="F140" i="2" s="1"/>
  <c r="B139" i="2"/>
  <c r="E139" i="2"/>
  <c r="G139" i="2"/>
  <c r="I139" i="2"/>
  <c r="Q139" i="1"/>
  <c r="H139" i="2" s="1"/>
  <c r="G139" i="1"/>
  <c r="D139" i="1"/>
  <c r="F139" i="2" s="1"/>
  <c r="B108" i="2"/>
  <c r="E108" i="2"/>
  <c r="G108" i="2"/>
  <c r="I108" i="2"/>
  <c r="B109" i="2"/>
  <c r="E109" i="2"/>
  <c r="G109" i="2"/>
  <c r="I109" i="2"/>
  <c r="B110" i="2"/>
  <c r="E110" i="2"/>
  <c r="G110" i="2"/>
  <c r="I110" i="2"/>
  <c r="B111" i="2"/>
  <c r="E111" i="2"/>
  <c r="G111" i="2"/>
  <c r="I111" i="2"/>
  <c r="Q111" i="1"/>
  <c r="H111" i="2" s="1"/>
  <c r="G111" i="1"/>
  <c r="D111" i="1"/>
  <c r="F111" i="2" s="1"/>
  <c r="Q110" i="1"/>
  <c r="H110" i="2" s="1"/>
  <c r="G110" i="1"/>
  <c r="D110" i="1"/>
  <c r="F110" i="2" s="1"/>
  <c r="Q109" i="1"/>
  <c r="H109" i="2" s="1"/>
  <c r="G109" i="1"/>
  <c r="D109" i="1"/>
  <c r="F109" i="2" s="1"/>
  <c r="Q108" i="1"/>
  <c r="H108" i="2" s="1"/>
  <c r="G108" i="1"/>
  <c r="D108" i="1"/>
  <c r="F108" i="2" s="1"/>
  <c r="I96" i="1"/>
  <c r="I95" i="1"/>
  <c r="I94" i="1"/>
  <c r="I93" i="1"/>
  <c r="I92" i="1"/>
  <c r="M142" i="2" l="1"/>
  <c r="K142" i="2" s="1"/>
  <c r="L142" i="2" s="1"/>
  <c r="M143" i="2"/>
  <c r="K143" i="2" s="1"/>
  <c r="L143" i="2" s="1"/>
  <c r="M122" i="2"/>
  <c r="K122" i="2" s="1"/>
  <c r="L122" i="2" s="1"/>
  <c r="M140" i="2"/>
  <c r="K140" i="2" s="1"/>
  <c r="L140" i="2" s="1"/>
  <c r="M111" i="2"/>
  <c r="K111" i="2" s="1"/>
  <c r="L111" i="2" s="1"/>
  <c r="M139" i="2"/>
  <c r="K139" i="2" s="1"/>
  <c r="L139" i="2" s="1"/>
  <c r="M109" i="2"/>
  <c r="K109" i="2" s="1"/>
  <c r="L109" i="2" s="1"/>
  <c r="M110" i="2"/>
  <c r="K110" i="2" s="1"/>
  <c r="L110" i="2" s="1"/>
  <c r="M108" i="2"/>
  <c r="K108" i="2" s="1"/>
  <c r="L108" i="2" s="1"/>
  <c r="B65" i="2"/>
  <c r="E65" i="2"/>
  <c r="G65" i="2"/>
  <c r="I65" i="2"/>
  <c r="B66" i="2"/>
  <c r="E66" i="2"/>
  <c r="G66" i="2"/>
  <c r="I66" i="2"/>
  <c r="I66" i="1"/>
  <c r="Q66" i="1" s="1"/>
  <c r="H66" i="2" s="1"/>
  <c r="I65" i="1"/>
  <c r="Q65" i="1" s="1"/>
  <c r="H65" i="2" s="1"/>
  <c r="I64" i="1"/>
  <c r="G66" i="1"/>
  <c r="D66" i="1"/>
  <c r="F66" i="2" s="1"/>
  <c r="G65" i="1"/>
  <c r="D65" i="1"/>
  <c r="F65" i="2" s="1"/>
  <c r="M66" i="2" l="1"/>
  <c r="K66" i="2" s="1"/>
  <c r="L66" i="2" s="1"/>
  <c r="M65" i="2"/>
  <c r="K65" i="2" s="1"/>
  <c r="L65" i="2" s="1"/>
  <c r="B32" i="2"/>
  <c r="E32" i="2"/>
  <c r="G32" i="2"/>
  <c r="I32" i="2"/>
  <c r="Q32" i="1"/>
  <c r="H32" i="2" s="1"/>
  <c r="G32" i="1"/>
  <c r="D32" i="1"/>
  <c r="F32" i="2" s="1"/>
  <c r="I31" i="1"/>
  <c r="I30" i="1"/>
  <c r="M32" i="2" l="1"/>
  <c r="K32" i="2" s="1"/>
  <c r="L32" i="2" s="1"/>
  <c r="D2" i="1"/>
  <c r="G2" i="1"/>
  <c r="I2" i="1"/>
  <c r="O2" i="1"/>
  <c r="D3" i="1"/>
  <c r="G3" i="1"/>
  <c r="I3" i="1"/>
  <c r="O3" i="1"/>
  <c r="D4" i="1"/>
  <c r="G4" i="1"/>
  <c r="I4" i="1"/>
  <c r="O4" i="1"/>
  <c r="D5" i="1"/>
  <c r="G5" i="1"/>
  <c r="I5" i="1"/>
  <c r="O5" i="1"/>
  <c r="D6" i="1"/>
  <c r="G6" i="1"/>
  <c r="I6" i="1"/>
  <c r="O6" i="1"/>
  <c r="D7" i="1"/>
  <c r="G7" i="1"/>
  <c r="I7" i="1"/>
  <c r="O7" i="1"/>
  <c r="D8" i="1"/>
  <c r="G8" i="1"/>
  <c r="I8" i="1"/>
  <c r="O8" i="1"/>
  <c r="D9" i="1"/>
  <c r="G9" i="1"/>
  <c r="I9" i="1"/>
  <c r="O9" i="1"/>
  <c r="D10" i="1"/>
  <c r="G10" i="1"/>
  <c r="Q10" i="1"/>
  <c r="D11" i="1"/>
  <c r="G11" i="1"/>
  <c r="Q11" i="1"/>
  <c r="D12" i="1"/>
  <c r="G12" i="1"/>
  <c r="Q12" i="1"/>
  <c r="D13" i="1"/>
  <c r="G13" i="1"/>
  <c r="Q13" i="1"/>
  <c r="D14" i="1"/>
  <c r="G14" i="1"/>
  <c r="Q14" i="1"/>
  <c r="D15" i="1"/>
  <c r="G15" i="1"/>
  <c r="Q15" i="1"/>
  <c r="D16" i="1"/>
  <c r="G16" i="1"/>
  <c r="O16" i="1" s="1"/>
  <c r="Q16" i="1" s="1"/>
  <c r="D17" i="1"/>
  <c r="G17" i="1"/>
  <c r="O17" i="1" s="1"/>
  <c r="Q17" i="1" s="1"/>
  <c r="D18" i="1"/>
  <c r="G18" i="1"/>
  <c r="O18" i="1" s="1"/>
  <c r="Q18" i="1" s="1"/>
  <c r="D19" i="1"/>
  <c r="G19" i="1"/>
  <c r="O19" i="1" s="1"/>
  <c r="Q19" i="1" s="1"/>
  <c r="D20" i="1"/>
  <c r="G20" i="1"/>
  <c r="O20" i="1" s="1"/>
  <c r="Q20" i="1" s="1"/>
  <c r="D21" i="1"/>
  <c r="G21" i="1"/>
  <c r="O21" i="1" s="1"/>
  <c r="Q21" i="1" s="1"/>
  <c r="D22" i="1"/>
  <c r="G22" i="1"/>
  <c r="O22" i="1" s="1"/>
  <c r="Q22" i="1" s="1"/>
  <c r="D23" i="1"/>
  <c r="G23" i="1"/>
  <c r="Q23" i="1"/>
  <c r="D24" i="1"/>
  <c r="G24" i="1"/>
  <c r="I24" i="1"/>
  <c r="O24" i="1"/>
  <c r="D25" i="1"/>
  <c r="G25" i="1"/>
  <c r="I25" i="1"/>
  <c r="O25" i="1"/>
  <c r="D26" i="1"/>
  <c r="G26" i="1"/>
  <c r="Q26" i="1"/>
  <c r="D27" i="1"/>
  <c r="G27" i="1"/>
  <c r="O27" i="1" s="1"/>
  <c r="Q27" i="1" s="1"/>
  <c r="D28" i="1"/>
  <c r="G28" i="1"/>
  <c r="Q28" i="1"/>
  <c r="D29" i="1"/>
  <c r="G29" i="1"/>
  <c r="Q29" i="1"/>
  <c r="D30" i="1"/>
  <c r="G30" i="1"/>
  <c r="O30" i="1"/>
  <c r="Q30" i="1" s="1"/>
  <c r="D31" i="1"/>
  <c r="G31" i="1"/>
  <c r="O31" i="1"/>
  <c r="Q31" i="1" s="1"/>
  <c r="D33" i="1"/>
  <c r="G33" i="1"/>
  <c r="I33" i="1"/>
  <c r="O33" i="1"/>
  <c r="D34" i="1"/>
  <c r="G34" i="1"/>
  <c r="I34" i="1"/>
  <c r="O34" i="1"/>
  <c r="D35" i="1"/>
  <c r="G35" i="1"/>
  <c r="Q35" i="1"/>
  <c r="D36" i="1"/>
  <c r="G36" i="1"/>
  <c r="I36" i="1"/>
  <c r="Q36" i="1" s="1"/>
  <c r="D37" i="1"/>
  <c r="G37" i="1"/>
  <c r="I37" i="1"/>
  <c r="Q37" i="1" s="1"/>
  <c r="D38" i="1"/>
  <c r="G38" i="1"/>
  <c r="I38" i="1"/>
  <c r="Q38" i="1" s="1"/>
  <c r="D39" i="1"/>
  <c r="G39" i="1"/>
  <c r="I39" i="1"/>
  <c r="Q39" i="1" s="1"/>
  <c r="D40" i="1"/>
  <c r="G40" i="1"/>
  <c r="I40" i="1"/>
  <c r="O40" i="1"/>
  <c r="D41" i="1"/>
  <c r="G41" i="1"/>
  <c r="I41" i="1"/>
  <c r="O41" i="1"/>
  <c r="D42" i="1"/>
  <c r="G42" i="1"/>
  <c r="Q42" i="1"/>
  <c r="D43" i="1"/>
  <c r="G43" i="1"/>
  <c r="Q43" i="1"/>
  <c r="D44" i="1"/>
  <c r="G44" i="1"/>
  <c r="Q44" i="1"/>
  <c r="D45" i="1"/>
  <c r="G45" i="1"/>
  <c r="Q45" i="1"/>
  <c r="D46" i="1"/>
  <c r="G46" i="1"/>
  <c r="Q46" i="1"/>
  <c r="D47" i="1"/>
  <c r="G47" i="1"/>
  <c r="I47" i="1"/>
  <c r="O47" i="1"/>
  <c r="D48" i="1"/>
  <c r="G48" i="1"/>
  <c r="I48" i="1"/>
  <c r="O48" i="1"/>
  <c r="D49" i="1"/>
  <c r="G49" i="1"/>
  <c r="Q49" i="1"/>
  <c r="D50" i="1"/>
  <c r="G50" i="1"/>
  <c r="Q50" i="1"/>
  <c r="D51" i="1"/>
  <c r="G51" i="1"/>
  <c r="Q51" i="1"/>
  <c r="D52" i="1"/>
  <c r="G52" i="1"/>
  <c r="O52" i="1"/>
  <c r="Q52" i="1" s="1"/>
  <c r="D53" i="1"/>
  <c r="G53" i="1"/>
  <c r="Q53" i="1"/>
  <c r="D54" i="1"/>
  <c r="G54" i="1"/>
  <c r="Q54" i="1"/>
  <c r="D55" i="1"/>
  <c r="G55" i="1"/>
  <c r="Q55" i="1"/>
  <c r="D56" i="1"/>
  <c r="G56" i="1"/>
  <c r="I56" i="1"/>
  <c r="Q56" i="1" s="1"/>
  <c r="D57" i="1"/>
  <c r="G57" i="1"/>
  <c r="I57" i="1"/>
  <c r="Q57" i="1" s="1"/>
  <c r="D58" i="1"/>
  <c r="G58" i="1"/>
  <c r="I58" i="1"/>
  <c r="Q58" i="1" s="1"/>
  <c r="D59" i="1"/>
  <c r="G59" i="1"/>
  <c r="I59" i="1"/>
  <c r="Q59" i="1" s="1"/>
  <c r="D60" i="1"/>
  <c r="G60" i="1"/>
  <c r="I60" i="1"/>
  <c r="Q60" i="1" s="1"/>
  <c r="D61" i="1"/>
  <c r="G61" i="1"/>
  <c r="I61" i="1"/>
  <c r="Q61" i="1" s="1"/>
  <c r="D62" i="1"/>
  <c r="G62" i="1"/>
  <c r="I62" i="1"/>
  <c r="Q62" i="1" s="1"/>
  <c r="D63" i="1"/>
  <c r="G63" i="1"/>
  <c r="I63" i="1"/>
  <c r="Q63" i="1" s="1"/>
  <c r="D64" i="1"/>
  <c r="G64" i="1"/>
  <c r="Q64" i="1"/>
  <c r="D67" i="1"/>
  <c r="G67" i="1"/>
  <c r="Q67" i="1"/>
  <c r="D68" i="1"/>
  <c r="G68" i="1"/>
  <c r="Q68" i="1"/>
  <c r="D69" i="1"/>
  <c r="G69" i="1"/>
  <c r="Q69" i="1"/>
  <c r="D70" i="1"/>
  <c r="G70" i="1"/>
  <c r="Q70" i="1"/>
  <c r="D71" i="1"/>
  <c r="G71" i="1"/>
  <c r="Q71" i="1"/>
  <c r="D72" i="1"/>
  <c r="G72" i="1"/>
  <c r="Q72" i="1"/>
  <c r="D73" i="1"/>
  <c r="G73" i="1"/>
  <c r="Q73" i="1"/>
  <c r="D74" i="1"/>
  <c r="G74" i="1"/>
  <c r="I74" i="1"/>
  <c r="O74" i="1"/>
  <c r="D75" i="1"/>
  <c r="G75" i="1"/>
  <c r="I75" i="1"/>
  <c r="O75" i="1"/>
  <c r="D76" i="1"/>
  <c r="G76" i="1"/>
  <c r="I76" i="1"/>
  <c r="O76" i="1"/>
  <c r="D77" i="1"/>
  <c r="G77" i="1"/>
  <c r="I77" i="1"/>
  <c r="O77" i="1"/>
  <c r="D78" i="1"/>
  <c r="G78" i="1"/>
  <c r="I78" i="1"/>
  <c r="O78" i="1"/>
  <c r="D79" i="1"/>
  <c r="G79" i="1"/>
  <c r="I79" i="1"/>
  <c r="O79" i="1"/>
  <c r="D80" i="1"/>
  <c r="G80" i="1"/>
  <c r="I80" i="1"/>
  <c r="O80" i="1"/>
  <c r="D81" i="1"/>
  <c r="G81" i="1"/>
  <c r="I81" i="1"/>
  <c r="O81" i="1"/>
  <c r="D82" i="1"/>
  <c r="G82" i="1"/>
  <c r="I82" i="1"/>
  <c r="O82" i="1"/>
  <c r="D83" i="1"/>
  <c r="G83" i="1"/>
  <c r="I83" i="1"/>
  <c r="O83" i="1"/>
  <c r="D84" i="1"/>
  <c r="G84" i="1"/>
  <c r="I84" i="1"/>
  <c r="O84" i="1"/>
  <c r="D85" i="1"/>
  <c r="G85" i="1"/>
  <c r="I85" i="1"/>
  <c r="O85" i="1"/>
  <c r="D86" i="1"/>
  <c r="G86" i="1"/>
  <c r="Q86" i="1"/>
  <c r="D87" i="1"/>
  <c r="G87" i="1"/>
  <c r="Q87" i="1"/>
  <c r="D88" i="1"/>
  <c r="G88" i="1"/>
  <c r="I88" i="1"/>
  <c r="O88" i="1"/>
  <c r="D89" i="1"/>
  <c r="G89" i="1"/>
  <c r="I89" i="1"/>
  <c r="O89" i="1"/>
  <c r="D90" i="1"/>
  <c r="G90" i="1"/>
  <c r="I90" i="1"/>
  <c r="O90" i="1"/>
  <c r="D91" i="1"/>
  <c r="G91" i="1"/>
  <c r="Q91" i="1"/>
  <c r="D92" i="1"/>
  <c r="G92" i="1"/>
  <c r="O92" i="1"/>
  <c r="Q92" i="1" s="1"/>
  <c r="D93" i="1"/>
  <c r="G93" i="1"/>
  <c r="O93" i="1"/>
  <c r="Q93" i="1" s="1"/>
  <c r="D94" i="1"/>
  <c r="G94" i="1"/>
  <c r="O94" i="1"/>
  <c r="Q94" i="1" s="1"/>
  <c r="D95" i="1"/>
  <c r="G95" i="1"/>
  <c r="O95" i="1"/>
  <c r="Q95" i="1" s="1"/>
  <c r="D96" i="1"/>
  <c r="G96" i="1"/>
  <c r="O96" i="1"/>
  <c r="Q96" i="1" s="1"/>
  <c r="D97" i="1"/>
  <c r="G97" i="1"/>
  <c r="Q97" i="1"/>
  <c r="D98" i="1"/>
  <c r="G98" i="1"/>
  <c r="Q98" i="1"/>
  <c r="D99" i="1"/>
  <c r="G99" i="1"/>
  <c r="Q99" i="1"/>
  <c r="D100" i="1"/>
  <c r="G100" i="1"/>
  <c r="Q100" i="1"/>
  <c r="D101" i="1"/>
  <c r="G101" i="1"/>
  <c r="Q101" i="1"/>
  <c r="D102" i="1"/>
  <c r="G102" i="1"/>
  <c r="I102" i="1"/>
  <c r="Q102" i="1" s="1"/>
  <c r="D103" i="1"/>
  <c r="G103" i="1"/>
  <c r="I103" i="1"/>
  <c r="Q103" i="1" s="1"/>
  <c r="D104" i="1"/>
  <c r="G104" i="1"/>
  <c r="I104" i="1"/>
  <c r="Q104" i="1" s="1"/>
  <c r="D105" i="1"/>
  <c r="G105" i="1"/>
  <c r="I105" i="1"/>
  <c r="O105" i="1"/>
  <c r="D106" i="1"/>
  <c r="G106" i="1"/>
  <c r="I106" i="1"/>
  <c r="O106" i="1"/>
  <c r="D107" i="1"/>
  <c r="G107" i="1"/>
  <c r="Q107" i="1"/>
  <c r="D112" i="1"/>
  <c r="G112" i="1"/>
  <c r="Q112" i="1"/>
  <c r="D113" i="1"/>
  <c r="G113" i="1"/>
  <c r="Q113" i="1"/>
  <c r="D114" i="1"/>
  <c r="G114" i="1"/>
  <c r="Q114" i="1"/>
  <c r="D115" i="1"/>
  <c r="G115" i="1"/>
  <c r="Q115" i="1"/>
  <c r="D116" i="1"/>
  <c r="G116" i="1"/>
  <c r="Q116" i="1"/>
  <c r="D117" i="1"/>
  <c r="G117" i="1"/>
  <c r="Q117" i="1"/>
  <c r="D118" i="1"/>
  <c r="G118" i="1"/>
  <c r="Q118" i="1"/>
  <c r="D119" i="1"/>
  <c r="G119" i="1"/>
  <c r="Q119" i="1"/>
  <c r="D121" i="1"/>
  <c r="G121" i="1"/>
  <c r="Q121" i="1"/>
  <c r="D123" i="1"/>
  <c r="G123" i="1"/>
  <c r="I123" i="1"/>
  <c r="Q123" i="1" s="1"/>
  <c r="D124" i="1"/>
  <c r="G124" i="1"/>
  <c r="I124" i="1"/>
  <c r="Q124" i="1" s="1"/>
  <c r="D125" i="1"/>
  <c r="G125" i="1"/>
  <c r="I125" i="1"/>
  <c r="Q125" i="1" s="1"/>
  <c r="D126" i="1"/>
  <c r="G126" i="1"/>
  <c r="Q126" i="1"/>
  <c r="D127" i="1"/>
  <c r="G127" i="1"/>
  <c r="I127" i="1"/>
  <c r="Q127" i="1" s="1"/>
  <c r="D128" i="1"/>
  <c r="G128" i="1"/>
  <c r="I128" i="1"/>
  <c r="Q128" i="1" s="1"/>
  <c r="D129" i="1"/>
  <c r="G129" i="1"/>
  <c r="Q129" i="1"/>
  <c r="D130" i="1"/>
  <c r="G130" i="1"/>
  <c r="Q130" i="1"/>
  <c r="D131" i="1"/>
  <c r="G131" i="1"/>
  <c r="I131" i="1"/>
  <c r="O131" i="1"/>
  <c r="D132" i="1"/>
  <c r="G132" i="1"/>
  <c r="I132" i="1"/>
  <c r="O132" i="1"/>
  <c r="D133" i="1"/>
  <c r="G133" i="1"/>
  <c r="I133" i="1"/>
  <c r="O133" i="1"/>
  <c r="D134" i="1"/>
  <c r="G134" i="1"/>
  <c r="I134" i="1"/>
  <c r="Q134" i="1" s="1"/>
  <c r="D135" i="1"/>
  <c r="G135" i="1"/>
  <c r="I135" i="1"/>
  <c r="Q135" i="1" s="1"/>
  <c r="D136" i="1"/>
  <c r="G136" i="1"/>
  <c r="I136" i="1"/>
  <c r="Q136" i="1" s="1"/>
  <c r="D137" i="1"/>
  <c r="G137" i="1"/>
  <c r="I137" i="1"/>
  <c r="Q137" i="1" s="1"/>
  <c r="D138" i="1"/>
  <c r="G138" i="1"/>
  <c r="I138" i="1"/>
  <c r="Q138" i="1" s="1"/>
  <c r="D141" i="1"/>
  <c r="G141" i="1"/>
  <c r="Q141" i="1"/>
  <c r="D148" i="1"/>
  <c r="G148" i="1"/>
  <c r="Q148" i="1"/>
  <c r="D149" i="1"/>
  <c r="G149" i="1"/>
  <c r="I149" i="1"/>
  <c r="Q149" i="1" s="1"/>
  <c r="D150" i="1"/>
  <c r="G150" i="1"/>
  <c r="I150" i="1"/>
  <c r="Q150" i="1" s="1"/>
  <c r="D151" i="1"/>
  <c r="G151" i="1"/>
  <c r="I151" i="1"/>
  <c r="Q151" i="1" s="1"/>
  <c r="D152" i="1"/>
  <c r="G152" i="1"/>
  <c r="I152" i="1"/>
  <c r="Q152" i="1" s="1"/>
  <c r="D153" i="1"/>
  <c r="G153" i="1"/>
  <c r="I153" i="1"/>
  <c r="Q153" i="1" s="1"/>
  <c r="D154" i="1"/>
  <c r="G154" i="1"/>
  <c r="I154" i="1"/>
  <c r="Q154" i="1" s="1"/>
  <c r="D155" i="1"/>
  <c r="G155" i="1"/>
  <c r="I155" i="1"/>
  <c r="Q155" i="1" s="1"/>
  <c r="D156" i="1"/>
  <c r="G156" i="1"/>
  <c r="Q156" i="1"/>
  <c r="D157" i="1"/>
  <c r="G157" i="1"/>
  <c r="I157" i="1"/>
  <c r="Q157" i="1" s="1"/>
  <c r="D158" i="1"/>
  <c r="G158" i="1"/>
  <c r="I158" i="1"/>
  <c r="Q158" i="1" s="1"/>
  <c r="D159" i="1"/>
  <c r="G159" i="1"/>
  <c r="I159" i="1"/>
  <c r="Q159" i="1" s="1"/>
  <c r="D160" i="1"/>
  <c r="G160" i="1"/>
  <c r="I160" i="1"/>
  <c r="Q160" i="1" s="1"/>
  <c r="D163" i="1"/>
  <c r="G163" i="1"/>
  <c r="Q163" i="1"/>
  <c r="F164" i="1"/>
  <c r="D164" i="1" s="1"/>
  <c r="Q25" i="1" l="1"/>
  <c r="Q47" i="1"/>
  <c r="Q164" i="1"/>
  <c r="Q8" i="1"/>
  <c r="Q4" i="1"/>
  <c r="Q82" i="1"/>
  <c r="Q7" i="1"/>
  <c r="Q34" i="1"/>
  <c r="Q84" i="1"/>
  <c r="Q5" i="1"/>
  <c r="Q80" i="1"/>
  <c r="Q133" i="1"/>
  <c r="Q90" i="1"/>
  <c r="Q40" i="1"/>
  <c r="Q83" i="1"/>
  <c r="Q79" i="1"/>
  <c r="Q41" i="1"/>
  <c r="Q132" i="1"/>
  <c r="Q88" i="1"/>
  <c r="Q76" i="1"/>
  <c r="Q24" i="1"/>
  <c r="Q3" i="1"/>
  <c r="Q75" i="1"/>
  <c r="Q6" i="1"/>
  <c r="Q81" i="1"/>
  <c r="Q89" i="1"/>
  <c r="G164" i="1"/>
  <c r="Q48" i="1"/>
  <c r="Q9" i="1"/>
  <c r="Q2" i="1"/>
  <c r="Q106" i="1"/>
  <c r="Q105" i="1"/>
  <c r="Q85" i="1"/>
  <c r="Q78" i="1"/>
  <c r="Q77" i="1"/>
  <c r="Q131" i="1"/>
  <c r="Q74" i="1"/>
  <c r="Q33" i="1"/>
  <c r="D165" i="1" l="1"/>
  <c r="G165" i="1"/>
  <c r="Q165" i="1"/>
  <c r="D166" i="1"/>
  <c r="G166" i="1"/>
  <c r="Q166" i="1"/>
  <c r="D167" i="1"/>
  <c r="G167" i="1"/>
  <c r="Q167" i="1"/>
  <c r="D168" i="1"/>
  <c r="G168" i="1"/>
  <c r="Q168" i="1"/>
  <c r="D169" i="1"/>
  <c r="G169" i="1"/>
  <c r="Q169" i="1"/>
  <c r="D170" i="1"/>
  <c r="G170" i="1"/>
  <c r="Q170" i="1"/>
  <c r="D171" i="1"/>
  <c r="G171" i="1"/>
  <c r="Q171" i="1"/>
  <c r="D172" i="1"/>
  <c r="G172" i="1"/>
  <c r="Q172" i="1"/>
  <c r="D173" i="1"/>
  <c r="G173" i="1"/>
  <c r="Q173" i="1"/>
  <c r="D174" i="1"/>
  <c r="G174" i="1"/>
  <c r="Q174" i="1"/>
  <c r="D175" i="1"/>
  <c r="G175" i="1"/>
  <c r="Q175" i="1"/>
  <c r="D176" i="1"/>
  <c r="G176" i="1"/>
  <c r="Q176" i="1"/>
  <c r="D177" i="1"/>
  <c r="G177" i="1"/>
  <c r="Q177" i="1"/>
  <c r="D178" i="1"/>
  <c r="G178" i="1"/>
  <c r="I178" i="1"/>
  <c r="Q178" i="1" s="1"/>
  <c r="D179" i="1"/>
  <c r="G179" i="1"/>
  <c r="I179" i="1"/>
  <c r="Q179" i="1" s="1"/>
  <c r="D180" i="1"/>
  <c r="G180" i="1"/>
  <c r="I180" i="1"/>
  <c r="Q180" i="1" s="1"/>
  <c r="D181" i="1"/>
  <c r="G181" i="1"/>
  <c r="I181" i="1"/>
  <c r="Q181" i="1" s="1"/>
  <c r="D182" i="1"/>
  <c r="G182" i="1"/>
  <c r="I182" i="1"/>
  <c r="Q182" i="1" s="1"/>
  <c r="D183" i="1"/>
  <c r="G183" i="1"/>
  <c r="Q183" i="1"/>
  <c r="D184" i="1"/>
  <c r="G184" i="1"/>
  <c r="Q184" i="1"/>
  <c r="D185" i="1"/>
  <c r="G185" i="1"/>
  <c r="Q185" i="1"/>
  <c r="D186" i="1"/>
  <c r="G186" i="1"/>
  <c r="Q186" i="1"/>
  <c r="D187" i="1"/>
  <c r="G187" i="1"/>
  <c r="Q187" i="1"/>
  <c r="D188" i="1"/>
  <c r="G188" i="1"/>
  <c r="Q188" i="1"/>
  <c r="D189" i="1"/>
  <c r="G189" i="1"/>
  <c r="Q189" i="1"/>
  <c r="D190" i="1"/>
  <c r="G190" i="1"/>
  <c r="Q190" i="1"/>
  <c r="B59" i="2"/>
  <c r="B185" i="2" l="1"/>
  <c r="E185" i="2"/>
  <c r="G185" i="2"/>
  <c r="I185" i="2"/>
  <c r="B186" i="2"/>
  <c r="E186" i="2"/>
  <c r="G186" i="2"/>
  <c r="I186" i="2"/>
  <c r="B187" i="2"/>
  <c r="E187" i="2"/>
  <c r="G187" i="2"/>
  <c r="I187" i="2"/>
  <c r="B188" i="2"/>
  <c r="E188" i="2"/>
  <c r="G188" i="2"/>
  <c r="I188" i="2"/>
  <c r="B189" i="2"/>
  <c r="E189" i="2"/>
  <c r="G189" i="2"/>
  <c r="I189" i="2"/>
  <c r="B190" i="2"/>
  <c r="E190" i="2"/>
  <c r="G190" i="2"/>
  <c r="I190" i="2"/>
  <c r="H187" i="2" l="1"/>
  <c r="M187" i="2" s="1"/>
  <c r="K187" i="2" s="1"/>
  <c r="L187" i="2" s="1"/>
  <c r="H186" i="2"/>
  <c r="M186" i="2" s="1"/>
  <c r="K186" i="2" s="1"/>
  <c r="L186" i="2" s="1"/>
  <c r="F189" i="2"/>
  <c r="F190" i="2"/>
  <c r="F188" i="2"/>
  <c r="F187" i="2"/>
  <c r="F186" i="2"/>
  <c r="H185" i="2"/>
  <c r="M185" i="2" s="1"/>
  <c r="K185" i="2" s="1"/>
  <c r="L185" i="2" s="1"/>
  <c r="F185" i="2"/>
  <c r="H188" i="2" l="1"/>
  <c r="M188" i="2" s="1"/>
  <c r="K188" i="2" s="1"/>
  <c r="L188" i="2" s="1"/>
  <c r="H189" i="2"/>
  <c r="M189" i="2" s="1"/>
  <c r="K189" i="2" s="1"/>
  <c r="L189" i="2" s="1"/>
  <c r="H190" i="2"/>
  <c r="M190" i="2" s="1"/>
  <c r="K190" i="2" s="1"/>
  <c r="L190" i="2" s="1"/>
  <c r="B107" i="2"/>
  <c r="I69" i="2" l="1"/>
  <c r="G69" i="2"/>
  <c r="E69" i="2"/>
  <c r="B69" i="2"/>
  <c r="I61" i="2"/>
  <c r="G61" i="2"/>
  <c r="E61" i="2"/>
  <c r="B61" i="2"/>
  <c r="I184" i="2"/>
  <c r="G184" i="2"/>
  <c r="E184" i="2"/>
  <c r="B184" i="2"/>
  <c r="I113" i="2"/>
  <c r="G113" i="2"/>
  <c r="E113" i="2"/>
  <c r="B113" i="2"/>
  <c r="I112" i="2"/>
  <c r="G112" i="2"/>
  <c r="E112" i="2"/>
  <c r="B112" i="2"/>
  <c r="I94" i="2"/>
  <c r="G94" i="2"/>
  <c r="E94" i="2"/>
  <c r="B94" i="2"/>
  <c r="I92" i="2"/>
  <c r="G92" i="2"/>
  <c r="E92" i="2"/>
  <c r="B92" i="2"/>
  <c r="I91" i="2"/>
  <c r="G91" i="2"/>
  <c r="E91" i="2"/>
  <c r="B91" i="2"/>
  <c r="I84" i="2"/>
  <c r="G84" i="2"/>
  <c r="E84" i="2"/>
  <c r="B84" i="2"/>
  <c r="I82" i="2"/>
  <c r="G82" i="2"/>
  <c r="E82" i="2"/>
  <c r="B82" i="2"/>
  <c r="I75" i="2"/>
  <c r="G75" i="2"/>
  <c r="E75" i="2"/>
  <c r="B75" i="2"/>
  <c r="I58" i="2"/>
  <c r="G58" i="2"/>
  <c r="E58" i="2"/>
  <c r="B58" i="2"/>
  <c r="I57" i="2"/>
  <c r="G57" i="2"/>
  <c r="E57" i="2"/>
  <c r="B57" i="2"/>
  <c r="I56" i="2"/>
  <c r="G56" i="2"/>
  <c r="E56" i="2"/>
  <c r="B56" i="2"/>
  <c r="I43" i="2"/>
  <c r="G43" i="2"/>
  <c r="E43" i="2"/>
  <c r="B43" i="2"/>
  <c r="I27" i="2"/>
  <c r="G27" i="2"/>
  <c r="E27" i="2"/>
  <c r="B27" i="2"/>
  <c r="I21" i="2"/>
  <c r="G21" i="2"/>
  <c r="E21" i="2"/>
  <c r="B21" i="2"/>
  <c r="I11" i="2"/>
  <c r="G11" i="2"/>
  <c r="E11" i="2"/>
  <c r="B11" i="2"/>
  <c r="I10" i="2"/>
  <c r="G10" i="2"/>
  <c r="E10" i="2"/>
  <c r="B10" i="2"/>
  <c r="I67" i="2"/>
  <c r="G67" i="2"/>
  <c r="E67" i="2"/>
  <c r="B67" i="2"/>
  <c r="I64" i="2"/>
  <c r="G64" i="2"/>
  <c r="E64" i="2"/>
  <c r="B64" i="2"/>
  <c r="I68" i="2"/>
  <c r="G68" i="2"/>
  <c r="E68" i="2"/>
  <c r="B68" i="2"/>
  <c r="I134" i="2"/>
  <c r="G134" i="2"/>
  <c r="E134" i="2"/>
  <c r="B134" i="2"/>
  <c r="I103" i="2"/>
  <c r="G103" i="2"/>
  <c r="E103" i="2"/>
  <c r="B103" i="2"/>
  <c r="I102" i="2"/>
  <c r="G102" i="2"/>
  <c r="E102" i="2"/>
  <c r="B102" i="2"/>
  <c r="I90" i="2"/>
  <c r="G90" i="2"/>
  <c r="E90" i="2"/>
  <c r="B90" i="2"/>
  <c r="I89" i="2"/>
  <c r="G89" i="2"/>
  <c r="E89" i="2"/>
  <c r="B89" i="2"/>
  <c r="I88" i="2"/>
  <c r="G88" i="2"/>
  <c r="E88" i="2"/>
  <c r="B88" i="2"/>
  <c r="I87" i="2"/>
  <c r="G87" i="2"/>
  <c r="E87" i="2"/>
  <c r="B87" i="2"/>
  <c r="I86" i="2"/>
  <c r="G86" i="2"/>
  <c r="E86" i="2"/>
  <c r="B86" i="2"/>
  <c r="I17" i="2"/>
  <c r="G17" i="2"/>
  <c r="E17" i="2"/>
  <c r="B17" i="2"/>
  <c r="I16" i="2"/>
  <c r="G16" i="2"/>
  <c r="E16" i="2"/>
  <c r="B16" i="2"/>
  <c r="I15" i="2"/>
  <c r="G15" i="2"/>
  <c r="E15" i="2"/>
  <c r="B15" i="2"/>
  <c r="I14" i="2"/>
  <c r="G14" i="2"/>
  <c r="E14" i="2"/>
  <c r="B14" i="2"/>
  <c r="I59" i="2"/>
  <c r="G59" i="2"/>
  <c r="E59" i="2"/>
  <c r="I160" i="2"/>
  <c r="G160" i="2"/>
  <c r="E160" i="2"/>
  <c r="B160" i="2"/>
  <c r="I155" i="2"/>
  <c r="G155" i="2"/>
  <c r="E155" i="2"/>
  <c r="B155" i="2"/>
  <c r="I154" i="2"/>
  <c r="G154" i="2"/>
  <c r="E154" i="2"/>
  <c r="B154" i="2"/>
  <c r="I152" i="2"/>
  <c r="G152" i="2"/>
  <c r="E152" i="2"/>
  <c r="B152" i="2"/>
  <c r="I151" i="2"/>
  <c r="G151" i="2"/>
  <c r="E151" i="2"/>
  <c r="B151" i="2"/>
  <c r="I148" i="2"/>
  <c r="G148" i="2"/>
  <c r="E148" i="2"/>
  <c r="B148" i="2"/>
  <c r="I141" i="2"/>
  <c r="G141" i="2"/>
  <c r="E141" i="2"/>
  <c r="B141" i="2"/>
  <c r="I138" i="2"/>
  <c r="G138" i="2"/>
  <c r="E138" i="2"/>
  <c r="B138" i="2"/>
  <c r="I137" i="2"/>
  <c r="G137" i="2"/>
  <c r="E137" i="2"/>
  <c r="B137" i="2"/>
  <c r="I136" i="2"/>
  <c r="G136" i="2"/>
  <c r="E136" i="2"/>
  <c r="B136" i="2"/>
  <c r="I135" i="2"/>
  <c r="G135" i="2"/>
  <c r="E135" i="2"/>
  <c r="B135" i="2"/>
  <c r="I98" i="2"/>
  <c r="G98" i="2"/>
  <c r="E98" i="2"/>
  <c r="B98" i="2"/>
  <c r="I97" i="2"/>
  <c r="G97" i="2"/>
  <c r="E97" i="2"/>
  <c r="B97" i="2"/>
  <c r="I96" i="2"/>
  <c r="G96" i="2"/>
  <c r="E96" i="2"/>
  <c r="B96" i="2"/>
  <c r="I85" i="2"/>
  <c r="G85" i="2"/>
  <c r="E85" i="2"/>
  <c r="B85" i="2"/>
  <c r="I51" i="2"/>
  <c r="G51" i="2"/>
  <c r="E51" i="2"/>
  <c r="B51" i="2"/>
  <c r="I50" i="2"/>
  <c r="G50" i="2"/>
  <c r="E50" i="2"/>
  <c r="B50" i="2"/>
  <c r="I39" i="2"/>
  <c r="G39" i="2"/>
  <c r="E39" i="2"/>
  <c r="B39" i="2"/>
  <c r="I38" i="2"/>
  <c r="G38" i="2"/>
  <c r="E38" i="2"/>
  <c r="B38" i="2"/>
  <c r="I37" i="2"/>
  <c r="G37" i="2"/>
  <c r="E37" i="2"/>
  <c r="B37" i="2"/>
  <c r="I36" i="2"/>
  <c r="G36" i="2"/>
  <c r="E36" i="2"/>
  <c r="B36" i="2"/>
  <c r="I73" i="2"/>
  <c r="G73" i="2"/>
  <c r="E73" i="2"/>
  <c r="B73" i="2"/>
  <c r="I72" i="2"/>
  <c r="G72" i="2"/>
  <c r="E72" i="2"/>
  <c r="B72" i="2"/>
  <c r="I18" i="2"/>
  <c r="G18" i="2"/>
  <c r="E18" i="2"/>
  <c r="B18" i="2"/>
  <c r="I181" i="2"/>
  <c r="G181" i="2"/>
  <c r="E181" i="2"/>
  <c r="B181" i="2"/>
  <c r="I180" i="2"/>
  <c r="G180" i="2"/>
  <c r="E180" i="2"/>
  <c r="B180" i="2"/>
  <c r="I179" i="2"/>
  <c r="G179" i="2"/>
  <c r="E179" i="2"/>
  <c r="B179" i="2"/>
  <c r="I178" i="2"/>
  <c r="G178" i="2"/>
  <c r="E178" i="2"/>
  <c r="B178" i="2"/>
  <c r="I177" i="2"/>
  <c r="G177" i="2"/>
  <c r="E177" i="2"/>
  <c r="B177" i="2"/>
  <c r="I171" i="2"/>
  <c r="G171" i="2"/>
  <c r="E171" i="2"/>
  <c r="B171" i="2"/>
  <c r="I170" i="2"/>
  <c r="G170" i="2"/>
  <c r="E170" i="2"/>
  <c r="B170" i="2"/>
  <c r="I79" i="2"/>
  <c r="G79" i="2"/>
  <c r="E79" i="2"/>
  <c r="B79" i="2"/>
  <c r="I49" i="2"/>
  <c r="G49" i="2"/>
  <c r="E49" i="2"/>
  <c r="B49" i="2"/>
  <c r="I48" i="2"/>
  <c r="G48" i="2"/>
  <c r="E48" i="2"/>
  <c r="B48" i="2"/>
  <c r="I47" i="2"/>
  <c r="G47" i="2"/>
  <c r="E47" i="2"/>
  <c r="B47" i="2"/>
  <c r="I46" i="2"/>
  <c r="G46" i="2"/>
  <c r="E46" i="2"/>
  <c r="B46" i="2"/>
  <c r="I45" i="2"/>
  <c r="G45" i="2"/>
  <c r="E45" i="2"/>
  <c r="B45" i="2"/>
  <c r="I20" i="2"/>
  <c r="G20" i="2"/>
  <c r="E20" i="2"/>
  <c r="B20" i="2"/>
  <c r="I19" i="2"/>
  <c r="G19" i="2"/>
  <c r="E19" i="2"/>
  <c r="B19" i="2"/>
  <c r="I153" i="2"/>
  <c r="G153" i="2"/>
  <c r="E153" i="2"/>
  <c r="B153" i="2"/>
  <c r="I132" i="2"/>
  <c r="G132" i="2"/>
  <c r="E132" i="2"/>
  <c r="B132" i="2"/>
  <c r="I131" i="2"/>
  <c r="G131" i="2"/>
  <c r="E131" i="2"/>
  <c r="B131" i="2"/>
  <c r="I130" i="2"/>
  <c r="G130" i="2"/>
  <c r="E130" i="2"/>
  <c r="B130" i="2"/>
  <c r="I129" i="2"/>
  <c r="G129" i="2"/>
  <c r="E129" i="2"/>
  <c r="B129" i="2"/>
  <c r="I128" i="2"/>
  <c r="G128" i="2"/>
  <c r="E128" i="2"/>
  <c r="B128" i="2"/>
  <c r="I127" i="2"/>
  <c r="G127" i="2"/>
  <c r="E127" i="2"/>
  <c r="B127" i="2"/>
  <c r="I126" i="2"/>
  <c r="G126" i="2"/>
  <c r="E126" i="2"/>
  <c r="B126" i="2"/>
  <c r="I125" i="2"/>
  <c r="G125" i="2"/>
  <c r="E125" i="2"/>
  <c r="B125" i="2"/>
  <c r="I124" i="2"/>
  <c r="G124" i="2"/>
  <c r="E124" i="2"/>
  <c r="B124" i="2"/>
  <c r="I118" i="2"/>
  <c r="G118" i="2"/>
  <c r="E118" i="2"/>
  <c r="B118" i="2"/>
  <c r="I114" i="2"/>
  <c r="G114" i="2"/>
  <c r="E114" i="2"/>
  <c r="B114" i="2"/>
  <c r="I101" i="2"/>
  <c r="G101" i="2"/>
  <c r="E101" i="2"/>
  <c r="B101" i="2"/>
  <c r="I100" i="2"/>
  <c r="G100" i="2"/>
  <c r="E100" i="2"/>
  <c r="B100" i="2"/>
  <c r="I99" i="2"/>
  <c r="G99" i="2"/>
  <c r="E99" i="2"/>
  <c r="B99" i="2"/>
  <c r="I42" i="2"/>
  <c r="G42" i="2"/>
  <c r="E42" i="2"/>
  <c r="B42" i="2"/>
  <c r="I41" i="2"/>
  <c r="G41" i="2"/>
  <c r="E41" i="2"/>
  <c r="B41" i="2"/>
  <c r="I183" i="2"/>
  <c r="G183" i="2"/>
  <c r="E183" i="2"/>
  <c r="B183" i="2"/>
  <c r="I182" i="2"/>
  <c r="G182" i="2"/>
  <c r="E182" i="2"/>
  <c r="B182" i="2"/>
  <c r="I133" i="2"/>
  <c r="G133" i="2"/>
  <c r="E133" i="2"/>
  <c r="B133" i="2"/>
  <c r="I106" i="2"/>
  <c r="G106" i="2"/>
  <c r="E106" i="2"/>
  <c r="B106" i="2"/>
  <c r="I104" i="2"/>
  <c r="G104" i="2"/>
  <c r="E104" i="2"/>
  <c r="B104" i="2"/>
  <c r="I74" i="2"/>
  <c r="G74" i="2"/>
  <c r="E74" i="2"/>
  <c r="B74" i="2"/>
  <c r="I60" i="2"/>
  <c r="G60" i="2"/>
  <c r="E60" i="2"/>
  <c r="B60" i="2"/>
  <c r="I26" i="2"/>
  <c r="G26" i="2"/>
  <c r="E26" i="2"/>
  <c r="B26" i="2"/>
  <c r="I83" i="2"/>
  <c r="G83" i="2"/>
  <c r="E83" i="2"/>
  <c r="B83" i="2"/>
  <c r="I55" i="2"/>
  <c r="G55" i="2"/>
  <c r="E55" i="2"/>
  <c r="B55" i="2"/>
  <c r="I54" i="2"/>
  <c r="G54" i="2"/>
  <c r="E54" i="2"/>
  <c r="B54" i="2"/>
  <c r="I53" i="2"/>
  <c r="G53" i="2"/>
  <c r="E53" i="2"/>
  <c r="B53" i="2"/>
  <c r="I52" i="2"/>
  <c r="G52" i="2"/>
  <c r="E52" i="2"/>
  <c r="B52" i="2"/>
  <c r="I5" i="2"/>
  <c r="G5" i="2"/>
  <c r="E5" i="2"/>
  <c r="B5" i="2"/>
  <c r="I4" i="2"/>
  <c r="G4" i="2"/>
  <c r="E4" i="2"/>
  <c r="B4" i="2"/>
  <c r="I3" i="2"/>
  <c r="G3" i="2"/>
  <c r="E3" i="2"/>
  <c r="B3" i="2"/>
  <c r="I2" i="2"/>
  <c r="G2" i="2"/>
  <c r="E2" i="2"/>
  <c r="B2" i="2"/>
  <c r="I70" i="2"/>
  <c r="G70" i="2"/>
  <c r="E70" i="2"/>
  <c r="B70" i="2"/>
  <c r="I121" i="2"/>
  <c r="G121" i="2"/>
  <c r="E121" i="2"/>
  <c r="B121" i="2"/>
  <c r="I119" i="2"/>
  <c r="G119" i="2"/>
  <c r="E119" i="2"/>
  <c r="B119" i="2"/>
  <c r="I117" i="2"/>
  <c r="G117" i="2"/>
  <c r="E117" i="2"/>
  <c r="B117" i="2"/>
  <c r="I116" i="2"/>
  <c r="G116" i="2"/>
  <c r="E116" i="2"/>
  <c r="B116" i="2"/>
  <c r="I115" i="2"/>
  <c r="G115" i="2"/>
  <c r="E115" i="2"/>
  <c r="B115" i="2"/>
  <c r="I35" i="2"/>
  <c r="G35" i="2"/>
  <c r="E35" i="2"/>
  <c r="B35" i="2"/>
  <c r="I34" i="2"/>
  <c r="G34" i="2"/>
  <c r="E34" i="2"/>
  <c r="B34" i="2"/>
  <c r="I176" i="2"/>
  <c r="G176" i="2"/>
  <c r="E176" i="2"/>
  <c r="B176" i="2"/>
  <c r="I175" i="2"/>
  <c r="G175" i="2"/>
  <c r="E175" i="2"/>
  <c r="B175" i="2"/>
  <c r="I174" i="2"/>
  <c r="G174" i="2"/>
  <c r="E174" i="2"/>
  <c r="B174" i="2"/>
  <c r="I173" i="2"/>
  <c r="G173" i="2"/>
  <c r="E173" i="2"/>
  <c r="B173" i="2"/>
  <c r="I172" i="2"/>
  <c r="G172" i="2"/>
  <c r="E172" i="2"/>
  <c r="B172" i="2"/>
  <c r="I169" i="2"/>
  <c r="G169" i="2"/>
  <c r="E169" i="2"/>
  <c r="B169" i="2"/>
  <c r="I168" i="2"/>
  <c r="G168" i="2"/>
  <c r="E168" i="2"/>
  <c r="B168" i="2"/>
  <c r="I167" i="2"/>
  <c r="G167" i="2"/>
  <c r="E167" i="2"/>
  <c r="B167" i="2"/>
  <c r="I166" i="2"/>
  <c r="G166" i="2"/>
  <c r="E166" i="2"/>
  <c r="B166" i="2"/>
  <c r="I165" i="2"/>
  <c r="G165" i="2"/>
  <c r="E165" i="2"/>
  <c r="B165" i="2"/>
  <c r="I123" i="2"/>
  <c r="G123" i="2"/>
  <c r="E123" i="2"/>
  <c r="B123" i="2"/>
  <c r="I95" i="2"/>
  <c r="G95" i="2"/>
  <c r="E95" i="2"/>
  <c r="B95" i="2"/>
  <c r="I81" i="2"/>
  <c r="G81" i="2"/>
  <c r="E81" i="2"/>
  <c r="B81" i="2"/>
  <c r="I80" i="2"/>
  <c r="G80" i="2"/>
  <c r="E80" i="2"/>
  <c r="B80" i="2"/>
  <c r="I44" i="2"/>
  <c r="G44" i="2"/>
  <c r="E44" i="2"/>
  <c r="B44" i="2"/>
  <c r="I40" i="2"/>
  <c r="G40" i="2"/>
  <c r="E40" i="2"/>
  <c r="B40" i="2"/>
  <c r="I105" i="2"/>
  <c r="G105" i="2"/>
  <c r="E105" i="2"/>
  <c r="B105" i="2"/>
  <c r="I71" i="2"/>
  <c r="G71" i="2"/>
  <c r="E71" i="2"/>
  <c r="B71" i="2"/>
  <c r="I93" i="2"/>
  <c r="G93" i="2"/>
  <c r="E93" i="2"/>
  <c r="B93" i="2"/>
  <c r="I33" i="2"/>
  <c r="G33" i="2"/>
  <c r="E33" i="2"/>
  <c r="B33" i="2"/>
  <c r="I31" i="2"/>
  <c r="G31" i="2"/>
  <c r="E31" i="2"/>
  <c r="B31" i="2"/>
  <c r="I30" i="2"/>
  <c r="G30" i="2"/>
  <c r="E30" i="2"/>
  <c r="B30" i="2"/>
  <c r="I29" i="2"/>
  <c r="G29" i="2"/>
  <c r="E29" i="2"/>
  <c r="B29" i="2"/>
  <c r="I28" i="2"/>
  <c r="G28" i="2"/>
  <c r="E28" i="2"/>
  <c r="B28" i="2"/>
  <c r="I150" i="2"/>
  <c r="G150" i="2"/>
  <c r="E150" i="2"/>
  <c r="B150" i="2"/>
  <c r="I78" i="2"/>
  <c r="G78" i="2"/>
  <c r="E78" i="2"/>
  <c r="B78" i="2"/>
  <c r="I77" i="2"/>
  <c r="G77" i="2"/>
  <c r="E77" i="2"/>
  <c r="B77" i="2"/>
  <c r="I76" i="2"/>
  <c r="G76" i="2"/>
  <c r="E76" i="2"/>
  <c r="B76" i="2"/>
  <c r="I164" i="2"/>
  <c r="G164" i="2"/>
  <c r="E164" i="2"/>
  <c r="B164" i="2"/>
  <c r="I159" i="2"/>
  <c r="G159" i="2"/>
  <c r="E159" i="2"/>
  <c r="B159" i="2"/>
  <c r="I158" i="2"/>
  <c r="G158" i="2"/>
  <c r="E158" i="2"/>
  <c r="B158" i="2"/>
  <c r="I157" i="2"/>
  <c r="G157" i="2"/>
  <c r="E157" i="2"/>
  <c r="B157" i="2"/>
  <c r="I156" i="2"/>
  <c r="G156" i="2"/>
  <c r="E156" i="2"/>
  <c r="B156" i="2"/>
  <c r="I149" i="2"/>
  <c r="G149" i="2"/>
  <c r="E149" i="2"/>
  <c r="B149" i="2"/>
  <c r="I13" i="2"/>
  <c r="G13" i="2"/>
  <c r="E13" i="2"/>
  <c r="B13" i="2"/>
  <c r="I9" i="2"/>
  <c r="G9" i="2"/>
  <c r="E9" i="2"/>
  <c r="B9" i="2"/>
  <c r="I8" i="2"/>
  <c r="G8" i="2"/>
  <c r="E8" i="2"/>
  <c r="B8" i="2"/>
  <c r="I7" i="2"/>
  <c r="G7" i="2"/>
  <c r="E7" i="2"/>
  <c r="B7" i="2"/>
  <c r="I6" i="2"/>
  <c r="G6" i="2"/>
  <c r="E6" i="2"/>
  <c r="B6" i="2"/>
  <c r="I23" i="2"/>
  <c r="G23" i="2"/>
  <c r="E23" i="2"/>
  <c r="B23" i="2"/>
  <c r="I22" i="2"/>
  <c r="G22" i="2"/>
  <c r="E22" i="2"/>
  <c r="B22" i="2"/>
  <c r="I25" i="2"/>
  <c r="G25" i="2"/>
  <c r="E25" i="2"/>
  <c r="B25" i="2"/>
  <c r="I24" i="2"/>
  <c r="G24" i="2"/>
  <c r="E24" i="2"/>
  <c r="B24" i="2"/>
  <c r="I12" i="2"/>
  <c r="G12" i="2"/>
  <c r="E12" i="2"/>
  <c r="B12" i="2"/>
  <c r="I163" i="2"/>
  <c r="G163" i="2"/>
  <c r="E163" i="2"/>
  <c r="B163" i="2"/>
  <c r="I63" i="2"/>
  <c r="G63" i="2"/>
  <c r="E63" i="2"/>
  <c r="B63" i="2"/>
  <c r="I62" i="2"/>
  <c r="G62" i="2"/>
  <c r="E62" i="2"/>
  <c r="B62" i="2"/>
  <c r="H184" i="2"/>
  <c r="F184" i="2"/>
  <c r="H183" i="2"/>
  <c r="F183" i="2"/>
  <c r="H182" i="2"/>
  <c r="F182" i="2"/>
  <c r="H181" i="2"/>
  <c r="F181" i="2"/>
  <c r="H180" i="2"/>
  <c r="F180" i="2"/>
  <c r="H179" i="2"/>
  <c r="F179" i="2"/>
  <c r="H178" i="2"/>
  <c r="F178" i="2"/>
  <c r="H177" i="2"/>
  <c r="F177" i="2"/>
  <c r="H176" i="2"/>
  <c r="F176" i="2"/>
  <c r="H175" i="2"/>
  <c r="F175" i="2"/>
  <c r="H174" i="2"/>
  <c r="F174" i="2"/>
  <c r="H173" i="2"/>
  <c r="F173" i="2"/>
  <c r="H172" i="2"/>
  <c r="F172" i="2"/>
  <c r="H171" i="2"/>
  <c r="F171" i="2"/>
  <c r="H170" i="2"/>
  <c r="F170" i="2"/>
  <c r="H169" i="2"/>
  <c r="F169" i="2"/>
  <c r="H168" i="2"/>
  <c r="F168" i="2"/>
  <c r="H167" i="2"/>
  <c r="F167" i="2"/>
  <c r="H166" i="2"/>
  <c r="F166" i="2"/>
  <c r="H165" i="2"/>
  <c r="F165" i="2"/>
  <c r="H164" i="2"/>
  <c r="F164" i="2"/>
  <c r="H163" i="2"/>
  <c r="F163" i="2"/>
  <c r="H160" i="2"/>
  <c r="F160" i="2"/>
  <c r="H159" i="2"/>
  <c r="F159" i="2"/>
  <c r="H158" i="2"/>
  <c r="F158" i="2"/>
  <c r="H157" i="2"/>
  <c r="F157" i="2"/>
  <c r="F156" i="2"/>
  <c r="H155" i="2"/>
  <c r="F155" i="2"/>
  <c r="H154" i="2"/>
  <c r="F154" i="2"/>
  <c r="H153" i="2"/>
  <c r="F153" i="2"/>
  <c r="H152" i="2"/>
  <c r="F152" i="2"/>
  <c r="H151" i="2"/>
  <c r="F151" i="2"/>
  <c r="H150" i="2"/>
  <c r="F150" i="2"/>
  <c r="H149" i="2"/>
  <c r="F149" i="2"/>
  <c r="H148" i="2"/>
  <c r="F148" i="2"/>
  <c r="H141" i="2"/>
  <c r="F141" i="2"/>
  <c r="H138" i="2"/>
  <c r="F138" i="2"/>
  <c r="H137" i="2"/>
  <c r="F137" i="2"/>
  <c r="H136" i="2"/>
  <c r="F136" i="2"/>
  <c r="H135" i="2"/>
  <c r="F135" i="2"/>
  <c r="H134" i="2"/>
  <c r="F134" i="2"/>
  <c r="H133" i="2"/>
  <c r="F133" i="2"/>
  <c r="H132" i="2"/>
  <c r="F132" i="2"/>
  <c r="H131" i="2"/>
  <c r="F131" i="2"/>
  <c r="H130" i="2"/>
  <c r="F130" i="2"/>
  <c r="H129" i="2"/>
  <c r="F129" i="2"/>
  <c r="H128" i="2"/>
  <c r="F128" i="2"/>
  <c r="F127" i="2"/>
  <c r="F126" i="2"/>
  <c r="F125" i="2"/>
  <c r="H124" i="2"/>
  <c r="F124" i="2"/>
  <c r="H123" i="2"/>
  <c r="F123" i="2"/>
  <c r="H121" i="2"/>
  <c r="F121" i="2"/>
  <c r="H119" i="2"/>
  <c r="F119" i="2"/>
  <c r="H118" i="2"/>
  <c r="F118" i="2"/>
  <c r="H117" i="2"/>
  <c r="F117" i="2"/>
  <c r="H116" i="2"/>
  <c r="F116" i="2"/>
  <c r="H115" i="2"/>
  <c r="F115" i="2"/>
  <c r="H114" i="2"/>
  <c r="F114" i="2"/>
  <c r="H113" i="2"/>
  <c r="F113" i="2"/>
  <c r="H112" i="2"/>
  <c r="F112" i="2"/>
  <c r="H106" i="2"/>
  <c r="F106" i="2"/>
  <c r="H105" i="2"/>
  <c r="F105" i="2"/>
  <c r="H104" i="2"/>
  <c r="F104" i="2"/>
  <c r="H103" i="2"/>
  <c r="F103" i="2"/>
  <c r="H102" i="2"/>
  <c r="F102" i="2"/>
  <c r="H101" i="2"/>
  <c r="F101" i="2"/>
  <c r="H100" i="2"/>
  <c r="F100" i="2"/>
  <c r="H99" i="2"/>
  <c r="F99" i="2"/>
  <c r="H98" i="2"/>
  <c r="F98" i="2"/>
  <c r="H97" i="2"/>
  <c r="F97" i="2"/>
  <c r="H96" i="2"/>
  <c r="F96" i="2"/>
  <c r="H95" i="2"/>
  <c r="F95" i="2"/>
  <c r="H94" i="2"/>
  <c r="F94" i="2"/>
  <c r="H93" i="2"/>
  <c r="F93" i="2"/>
  <c r="H92" i="2"/>
  <c r="F92" i="2"/>
  <c r="H91" i="2"/>
  <c r="F91" i="2"/>
  <c r="H90" i="2"/>
  <c r="F90" i="2"/>
  <c r="H89" i="2"/>
  <c r="F89" i="2"/>
  <c r="H88" i="2"/>
  <c r="F88" i="2"/>
  <c r="H87" i="2"/>
  <c r="F87" i="2"/>
  <c r="H86" i="2"/>
  <c r="F86" i="2"/>
  <c r="H85" i="2"/>
  <c r="F85" i="2"/>
  <c r="F84" i="2"/>
  <c r="F83" i="2"/>
  <c r="F82" i="2"/>
  <c r="H81" i="2"/>
  <c r="F81" i="2"/>
  <c r="H80" i="2"/>
  <c r="F80" i="2"/>
  <c r="F79" i="2"/>
  <c r="F78" i="2"/>
  <c r="F77" i="2"/>
  <c r="H76" i="2"/>
  <c r="F76" i="2"/>
  <c r="F75" i="2"/>
  <c r="F74" i="2"/>
  <c r="H73" i="2"/>
  <c r="F73" i="2"/>
  <c r="H72" i="2"/>
  <c r="F72" i="2"/>
  <c r="F71" i="2"/>
  <c r="F70" i="2"/>
  <c r="F69" i="2"/>
  <c r="H68" i="2"/>
  <c r="F68" i="2"/>
  <c r="H67" i="2"/>
  <c r="F67" i="2"/>
  <c r="H64" i="2"/>
  <c r="F64" i="2"/>
  <c r="H63" i="2"/>
  <c r="F63" i="2"/>
  <c r="H62" i="2"/>
  <c r="F62" i="2"/>
  <c r="H61" i="2"/>
  <c r="F61" i="2"/>
  <c r="H60" i="2"/>
  <c r="F60" i="2"/>
  <c r="H59" i="2"/>
  <c r="F59" i="2"/>
  <c r="H58" i="2"/>
  <c r="F58" i="2"/>
  <c r="H57" i="2"/>
  <c r="F57" i="2"/>
  <c r="H56" i="2"/>
  <c r="F56" i="2"/>
  <c r="H55" i="2"/>
  <c r="F55" i="2"/>
  <c r="H54" i="2"/>
  <c r="F54" i="2"/>
  <c r="H53" i="2"/>
  <c r="F53" i="2"/>
  <c r="H52" i="2"/>
  <c r="F52" i="2"/>
  <c r="H51" i="2"/>
  <c r="F51" i="2"/>
  <c r="H50" i="2"/>
  <c r="F50" i="2"/>
  <c r="H49" i="2"/>
  <c r="F49" i="2"/>
  <c r="H48" i="2"/>
  <c r="F48" i="2"/>
  <c r="H47" i="2"/>
  <c r="F47" i="2"/>
  <c r="H46" i="2"/>
  <c r="F46" i="2"/>
  <c r="H45" i="2"/>
  <c r="F45" i="2"/>
  <c r="H44" i="2"/>
  <c r="F44" i="2"/>
  <c r="H43" i="2"/>
  <c r="F43" i="2"/>
  <c r="F42" i="2"/>
  <c r="F41" i="2"/>
  <c r="H40" i="2"/>
  <c r="F40" i="2"/>
  <c r="H39" i="2"/>
  <c r="F39" i="2"/>
  <c r="H38" i="2"/>
  <c r="F38" i="2"/>
  <c r="H37" i="2"/>
  <c r="F37" i="2"/>
  <c r="H36" i="2"/>
  <c r="F36" i="2"/>
  <c r="H35" i="2"/>
  <c r="F35" i="2"/>
  <c r="H34" i="2"/>
  <c r="F34" i="2"/>
  <c r="H33" i="2"/>
  <c r="F33" i="2"/>
  <c r="F31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F22" i="2"/>
  <c r="H21" i="2"/>
  <c r="F21" i="2"/>
  <c r="H20" i="2"/>
  <c r="F20" i="2"/>
  <c r="H19" i="2"/>
  <c r="F19" i="2"/>
  <c r="H18" i="2"/>
  <c r="F18" i="2"/>
  <c r="H17" i="2"/>
  <c r="F17" i="2"/>
  <c r="H16" i="2"/>
  <c r="F16" i="2"/>
  <c r="F15" i="2"/>
  <c r="H14" i="2"/>
  <c r="F14" i="2"/>
  <c r="H13" i="2"/>
  <c r="F13" i="2"/>
  <c r="H12" i="2"/>
  <c r="F12" i="2"/>
  <c r="H11" i="2"/>
  <c r="F11" i="2"/>
  <c r="H10" i="2"/>
  <c r="F10" i="2"/>
  <c r="F9" i="2"/>
  <c r="F8" i="2"/>
  <c r="F7" i="2"/>
  <c r="F6" i="2"/>
  <c r="F5" i="2"/>
  <c r="F4" i="2"/>
  <c r="F3" i="2"/>
  <c r="F2" i="2"/>
  <c r="M33" i="2" l="1"/>
  <c r="K33" i="2" s="1"/>
  <c r="L33" i="2" s="1"/>
  <c r="H4" i="2"/>
  <c r="M4" i="2" s="1"/>
  <c r="K4" i="2" s="1"/>
  <c r="L4" i="2" s="1"/>
  <c r="H8" i="2"/>
  <c r="M8" i="2" s="1"/>
  <c r="K8" i="2" s="1"/>
  <c r="L8" i="2" s="1"/>
  <c r="M90" i="2"/>
  <c r="K90" i="2" s="1"/>
  <c r="L90" i="2" s="1"/>
  <c r="H7" i="2"/>
  <c r="M7" i="2" s="1"/>
  <c r="K7" i="2" s="1"/>
  <c r="L7" i="2" s="1"/>
  <c r="H22" i="2"/>
  <c r="M22" i="2" s="1"/>
  <c r="K22" i="2" s="1"/>
  <c r="L22" i="2" s="1"/>
  <c r="H42" i="2"/>
  <c r="M42" i="2" s="1"/>
  <c r="K42" i="2" s="1"/>
  <c r="L42" i="2" s="1"/>
  <c r="H82" i="2"/>
  <c r="M82" i="2" s="1"/>
  <c r="K82" i="2" s="1"/>
  <c r="L82" i="2" s="1"/>
  <c r="H41" i="2"/>
  <c r="M41" i="2" s="1"/>
  <c r="K41" i="2" s="1"/>
  <c r="L41" i="2" s="1"/>
  <c r="H3" i="2"/>
  <c r="M3" i="2" s="1"/>
  <c r="K3" i="2" s="1"/>
  <c r="L3" i="2" s="1"/>
  <c r="H79" i="2"/>
  <c r="M79" i="2" s="1"/>
  <c r="K79" i="2" s="1"/>
  <c r="L79" i="2" s="1"/>
  <c r="H125" i="2"/>
  <c r="M125" i="2" s="1"/>
  <c r="K125" i="2" s="1"/>
  <c r="L125" i="2" s="1"/>
  <c r="M155" i="2"/>
  <c r="K155" i="2" s="1"/>
  <c r="L155" i="2" s="1"/>
  <c r="M118" i="2"/>
  <c r="K118" i="2" s="1"/>
  <c r="L118" i="2" s="1"/>
  <c r="M148" i="2"/>
  <c r="K148" i="2" s="1"/>
  <c r="L148" i="2" s="1"/>
  <c r="H6" i="2"/>
  <c r="M6" i="2" s="1"/>
  <c r="K6" i="2" s="1"/>
  <c r="L6" i="2" s="1"/>
  <c r="M61" i="2"/>
  <c r="K61" i="2" s="1"/>
  <c r="L61" i="2" s="1"/>
  <c r="M89" i="2"/>
  <c r="K89" i="2" s="1"/>
  <c r="L89" i="2" s="1"/>
  <c r="H127" i="2"/>
  <c r="M127" i="2" s="1"/>
  <c r="K127" i="2" s="1"/>
  <c r="L127" i="2" s="1"/>
  <c r="H156" i="2"/>
  <c r="M156" i="2" s="1"/>
  <c r="K156" i="2" s="1"/>
  <c r="L156" i="2" s="1"/>
  <c r="M11" i="2"/>
  <c r="K11" i="2" s="1"/>
  <c r="L11" i="2" s="1"/>
  <c r="M99" i="2"/>
  <c r="K99" i="2" s="1"/>
  <c r="L99" i="2" s="1"/>
  <c r="M39" i="2"/>
  <c r="K39" i="2" s="1"/>
  <c r="L39" i="2" s="1"/>
  <c r="M16" i="2"/>
  <c r="K16" i="2" s="1"/>
  <c r="L16" i="2" s="1"/>
  <c r="M134" i="2"/>
  <c r="K134" i="2" s="1"/>
  <c r="L134" i="2" s="1"/>
  <c r="M131" i="2"/>
  <c r="K131" i="2" s="1"/>
  <c r="L131" i="2" s="1"/>
  <c r="M180" i="2"/>
  <c r="K180" i="2" s="1"/>
  <c r="L180" i="2" s="1"/>
  <c r="M117" i="2"/>
  <c r="K117" i="2" s="1"/>
  <c r="L117" i="2" s="1"/>
  <c r="M182" i="2"/>
  <c r="K182" i="2" s="1"/>
  <c r="L182" i="2" s="1"/>
  <c r="M154" i="2"/>
  <c r="K154" i="2" s="1"/>
  <c r="L154" i="2" s="1"/>
  <c r="M176" i="2"/>
  <c r="K176" i="2" s="1"/>
  <c r="L176" i="2" s="1"/>
  <c r="M92" i="2"/>
  <c r="K92" i="2" s="1"/>
  <c r="L92" i="2" s="1"/>
  <c r="M136" i="2"/>
  <c r="K136" i="2" s="1"/>
  <c r="L136" i="2" s="1"/>
  <c r="M68" i="2"/>
  <c r="K68" i="2" s="1"/>
  <c r="L68" i="2" s="1"/>
  <c r="M34" i="2"/>
  <c r="K34" i="2" s="1"/>
  <c r="L34" i="2" s="1"/>
  <c r="H71" i="2"/>
  <c r="M71" i="2" s="1"/>
  <c r="K71" i="2" s="1"/>
  <c r="L71" i="2" s="1"/>
  <c r="H78" i="2"/>
  <c r="M78" i="2" s="1"/>
  <c r="K78" i="2" s="1"/>
  <c r="L78" i="2" s="1"/>
  <c r="M115" i="2"/>
  <c r="K115" i="2" s="1"/>
  <c r="L115" i="2" s="1"/>
  <c r="M18" i="2"/>
  <c r="K18" i="2" s="1"/>
  <c r="L18" i="2" s="1"/>
  <c r="M138" i="2"/>
  <c r="K138" i="2" s="1"/>
  <c r="L138" i="2" s="1"/>
  <c r="H9" i="2"/>
  <c r="M9" i="2" s="1"/>
  <c r="K9" i="2" s="1"/>
  <c r="L9" i="2" s="1"/>
  <c r="H31" i="2"/>
  <c r="M31" i="2" s="1"/>
  <c r="K31" i="2" s="1"/>
  <c r="L31" i="2" s="1"/>
  <c r="H70" i="2"/>
  <c r="M70" i="2" s="1"/>
  <c r="K70" i="2" s="1"/>
  <c r="L70" i="2" s="1"/>
  <c r="H77" i="2"/>
  <c r="M77" i="2" s="1"/>
  <c r="K77" i="2" s="1"/>
  <c r="L77" i="2" s="1"/>
  <c r="M17" i="2"/>
  <c r="K17" i="2" s="1"/>
  <c r="L17" i="2" s="1"/>
  <c r="M87" i="2"/>
  <c r="K87" i="2" s="1"/>
  <c r="L87" i="2" s="1"/>
  <c r="M80" i="2"/>
  <c r="K80" i="2" s="1"/>
  <c r="L80" i="2" s="1"/>
  <c r="H126" i="2"/>
  <c r="M126" i="2" s="1"/>
  <c r="K126" i="2" s="1"/>
  <c r="L126" i="2" s="1"/>
  <c r="M112" i="2"/>
  <c r="K112" i="2" s="1"/>
  <c r="L112" i="2" s="1"/>
  <c r="H5" i="2"/>
  <c r="M5" i="2" s="1"/>
  <c r="K5" i="2" s="1"/>
  <c r="L5" i="2" s="1"/>
  <c r="H30" i="2"/>
  <c r="M30" i="2" s="1"/>
  <c r="K30" i="2" s="1"/>
  <c r="L30" i="2" s="1"/>
  <c r="H69" i="2"/>
  <c r="M69" i="2" s="1"/>
  <c r="K69" i="2" s="1"/>
  <c r="L69" i="2" s="1"/>
  <c r="H75" i="2"/>
  <c r="M75" i="2" s="1"/>
  <c r="K75" i="2" s="1"/>
  <c r="L75" i="2" s="1"/>
  <c r="H84" i="2"/>
  <c r="M84" i="2" s="1"/>
  <c r="K84" i="2" s="1"/>
  <c r="L84" i="2" s="1"/>
  <c r="H2" i="2"/>
  <c r="M2" i="2" s="1"/>
  <c r="K2" i="2" s="1"/>
  <c r="L2" i="2" s="1"/>
  <c r="H74" i="2"/>
  <c r="M74" i="2" s="1"/>
  <c r="K74" i="2" s="1"/>
  <c r="L74" i="2" s="1"/>
  <c r="H83" i="2"/>
  <c r="M83" i="2" s="1"/>
  <c r="K83" i="2" s="1"/>
  <c r="L83" i="2" s="1"/>
  <c r="M44" i="2"/>
  <c r="K44" i="2" s="1"/>
  <c r="L44" i="2" s="1"/>
  <c r="M26" i="2"/>
  <c r="K26" i="2" s="1"/>
  <c r="L26" i="2" s="1"/>
  <c r="M128" i="2"/>
  <c r="K128" i="2" s="1"/>
  <c r="L128" i="2" s="1"/>
  <c r="M45" i="2"/>
  <c r="K45" i="2" s="1"/>
  <c r="L45" i="2" s="1"/>
  <c r="M177" i="2"/>
  <c r="K177" i="2" s="1"/>
  <c r="L177" i="2" s="1"/>
  <c r="M149" i="2"/>
  <c r="K149" i="2" s="1"/>
  <c r="L149" i="2" s="1"/>
  <c r="M159" i="2"/>
  <c r="K159" i="2" s="1"/>
  <c r="L159" i="2" s="1"/>
  <c r="M116" i="2"/>
  <c r="K116" i="2" s="1"/>
  <c r="L116" i="2" s="1"/>
  <c r="M88" i="2"/>
  <c r="K88" i="2" s="1"/>
  <c r="L88" i="2" s="1"/>
  <c r="M43" i="2"/>
  <c r="K43" i="2" s="1"/>
  <c r="L43" i="2" s="1"/>
  <c r="M48" i="2"/>
  <c r="K48" i="2" s="1"/>
  <c r="L48" i="2" s="1"/>
  <c r="M29" i="2"/>
  <c r="K29" i="2" s="1"/>
  <c r="L29" i="2" s="1"/>
  <c r="M85" i="2"/>
  <c r="K85" i="2" s="1"/>
  <c r="L85" i="2" s="1"/>
  <c r="M62" i="2"/>
  <c r="K62" i="2" s="1"/>
  <c r="L62" i="2" s="1"/>
  <c r="M24" i="2"/>
  <c r="K24" i="2" s="1"/>
  <c r="L24" i="2" s="1"/>
  <c r="M123" i="2"/>
  <c r="K123" i="2" s="1"/>
  <c r="L123" i="2" s="1"/>
  <c r="M106" i="2"/>
  <c r="K106" i="2" s="1"/>
  <c r="L106" i="2" s="1"/>
  <c r="M46" i="2"/>
  <c r="K46" i="2" s="1"/>
  <c r="L46" i="2" s="1"/>
  <c r="M141" i="2"/>
  <c r="K141" i="2" s="1"/>
  <c r="L141" i="2" s="1"/>
  <c r="M163" i="2"/>
  <c r="K163" i="2" s="1"/>
  <c r="L163" i="2" s="1"/>
  <c r="M164" i="2"/>
  <c r="K164" i="2" s="1"/>
  <c r="L164" i="2" s="1"/>
  <c r="M28" i="2"/>
  <c r="K28" i="2" s="1"/>
  <c r="L28" i="2" s="1"/>
  <c r="M40" i="2"/>
  <c r="K40" i="2" s="1"/>
  <c r="L40" i="2" s="1"/>
  <c r="M168" i="2"/>
  <c r="K168" i="2" s="1"/>
  <c r="L168" i="2" s="1"/>
  <c r="M35" i="2"/>
  <c r="K35" i="2" s="1"/>
  <c r="L35" i="2" s="1"/>
  <c r="M21" i="2"/>
  <c r="K21" i="2" s="1"/>
  <c r="L21" i="2" s="1"/>
  <c r="M167" i="2"/>
  <c r="K167" i="2" s="1"/>
  <c r="L167" i="2" s="1"/>
  <c r="M53" i="2"/>
  <c r="K53" i="2" s="1"/>
  <c r="L53" i="2" s="1"/>
  <c r="M183" i="2"/>
  <c r="K183" i="2" s="1"/>
  <c r="L183" i="2" s="1"/>
  <c r="M132" i="2"/>
  <c r="K132" i="2" s="1"/>
  <c r="L132" i="2" s="1"/>
  <c r="M36" i="2"/>
  <c r="K36" i="2" s="1"/>
  <c r="L36" i="2" s="1"/>
  <c r="M97" i="2"/>
  <c r="K97" i="2" s="1"/>
  <c r="L97" i="2" s="1"/>
  <c r="M172" i="2"/>
  <c r="K172" i="2" s="1"/>
  <c r="L172" i="2" s="1"/>
  <c r="M13" i="2"/>
  <c r="K13" i="2" s="1"/>
  <c r="L13" i="2" s="1"/>
  <c r="M158" i="2"/>
  <c r="K158" i="2" s="1"/>
  <c r="L158" i="2" s="1"/>
  <c r="M175" i="2"/>
  <c r="K175" i="2" s="1"/>
  <c r="L175" i="2" s="1"/>
  <c r="M114" i="2"/>
  <c r="K114" i="2" s="1"/>
  <c r="L114" i="2" s="1"/>
  <c r="M170" i="2"/>
  <c r="K170" i="2" s="1"/>
  <c r="L170" i="2" s="1"/>
  <c r="M73" i="2"/>
  <c r="K73" i="2" s="1"/>
  <c r="L73" i="2" s="1"/>
  <c r="M50" i="2"/>
  <c r="K50" i="2" s="1"/>
  <c r="L50" i="2" s="1"/>
  <c r="M98" i="2"/>
  <c r="K98" i="2" s="1"/>
  <c r="L98" i="2" s="1"/>
  <c r="M58" i="2"/>
  <c r="K58" i="2" s="1"/>
  <c r="L58" i="2" s="1"/>
  <c r="M91" i="2"/>
  <c r="K91" i="2" s="1"/>
  <c r="L91" i="2" s="1"/>
  <c r="M184" i="2"/>
  <c r="K184" i="2" s="1"/>
  <c r="L184" i="2" s="1"/>
  <c r="M104" i="2"/>
  <c r="K104" i="2" s="1"/>
  <c r="L104" i="2" s="1"/>
  <c r="M153" i="2"/>
  <c r="K153" i="2" s="1"/>
  <c r="L153" i="2" s="1"/>
  <c r="M20" i="2"/>
  <c r="K20" i="2" s="1"/>
  <c r="L20" i="2" s="1"/>
  <c r="M49" i="2"/>
  <c r="K49" i="2" s="1"/>
  <c r="L49" i="2" s="1"/>
  <c r="M178" i="2"/>
  <c r="K178" i="2" s="1"/>
  <c r="L178" i="2" s="1"/>
  <c r="M160" i="2"/>
  <c r="K160" i="2" s="1"/>
  <c r="L160" i="2" s="1"/>
  <c r="M64" i="2"/>
  <c r="K64" i="2" s="1"/>
  <c r="L64" i="2" s="1"/>
  <c r="M10" i="2"/>
  <c r="K10" i="2" s="1"/>
  <c r="L10" i="2" s="1"/>
  <c r="M56" i="2"/>
  <c r="K56" i="2" s="1"/>
  <c r="L56" i="2" s="1"/>
  <c r="M174" i="2"/>
  <c r="K174" i="2" s="1"/>
  <c r="L174" i="2" s="1"/>
  <c r="M55" i="2"/>
  <c r="K55" i="2" s="1"/>
  <c r="L55" i="2" s="1"/>
  <c r="M72" i="2"/>
  <c r="K72" i="2" s="1"/>
  <c r="L72" i="2" s="1"/>
  <c r="M38" i="2"/>
  <c r="K38" i="2" s="1"/>
  <c r="L38" i="2" s="1"/>
  <c r="M96" i="2"/>
  <c r="K96" i="2" s="1"/>
  <c r="L96" i="2" s="1"/>
  <c r="M137" i="2"/>
  <c r="K137" i="2" s="1"/>
  <c r="L137" i="2" s="1"/>
  <c r="M151" i="2"/>
  <c r="K151" i="2" s="1"/>
  <c r="L151" i="2" s="1"/>
  <c r="M86" i="2"/>
  <c r="K86" i="2" s="1"/>
  <c r="L86" i="2" s="1"/>
  <c r="M102" i="2"/>
  <c r="K102" i="2" s="1"/>
  <c r="L102" i="2" s="1"/>
  <c r="M95" i="2"/>
  <c r="K95" i="2" s="1"/>
  <c r="L95" i="2" s="1"/>
  <c r="M52" i="2"/>
  <c r="K52" i="2" s="1"/>
  <c r="L52" i="2" s="1"/>
  <c r="M152" i="2"/>
  <c r="K152" i="2" s="1"/>
  <c r="L152" i="2" s="1"/>
  <c r="M14" i="2"/>
  <c r="K14" i="2" s="1"/>
  <c r="L14" i="2" s="1"/>
  <c r="M12" i="2"/>
  <c r="K12" i="2" s="1"/>
  <c r="L12" i="2" s="1"/>
  <c r="M121" i="2"/>
  <c r="K121" i="2" s="1"/>
  <c r="L121" i="2" s="1"/>
  <c r="M101" i="2"/>
  <c r="K101" i="2" s="1"/>
  <c r="L101" i="2" s="1"/>
  <c r="M150" i="2"/>
  <c r="K150" i="2" s="1"/>
  <c r="L150" i="2" s="1"/>
  <c r="M93" i="2"/>
  <c r="K93" i="2" s="1"/>
  <c r="L93" i="2" s="1"/>
  <c r="M81" i="2"/>
  <c r="K81" i="2" s="1"/>
  <c r="L81" i="2" s="1"/>
  <c r="M169" i="2"/>
  <c r="K169" i="2" s="1"/>
  <c r="L169" i="2" s="1"/>
  <c r="M173" i="2"/>
  <c r="K173" i="2" s="1"/>
  <c r="L173" i="2" s="1"/>
  <c r="M119" i="2"/>
  <c r="K119" i="2" s="1"/>
  <c r="L119" i="2" s="1"/>
  <c r="M60" i="2"/>
  <c r="K60" i="2" s="1"/>
  <c r="L60" i="2" s="1"/>
  <c r="M100" i="2"/>
  <c r="K100" i="2" s="1"/>
  <c r="L100" i="2" s="1"/>
  <c r="M129" i="2"/>
  <c r="K129" i="2" s="1"/>
  <c r="L129" i="2" s="1"/>
  <c r="M51" i="2"/>
  <c r="K51" i="2" s="1"/>
  <c r="L51" i="2" s="1"/>
  <c r="M59" i="2"/>
  <c r="K59" i="2" s="1"/>
  <c r="L59" i="2" s="1"/>
  <c r="M113" i="2"/>
  <c r="K113" i="2" s="1"/>
  <c r="L113" i="2" s="1"/>
  <c r="M103" i="2"/>
  <c r="K103" i="2" s="1"/>
  <c r="L103" i="2" s="1"/>
  <c r="M63" i="2"/>
  <c r="K63" i="2" s="1"/>
  <c r="L63" i="2" s="1"/>
  <c r="M25" i="2"/>
  <c r="K25" i="2" s="1"/>
  <c r="L25" i="2" s="1"/>
  <c r="M76" i="2"/>
  <c r="K76" i="2" s="1"/>
  <c r="L76" i="2" s="1"/>
  <c r="M165" i="2"/>
  <c r="K165" i="2" s="1"/>
  <c r="L165" i="2" s="1"/>
  <c r="M54" i="2"/>
  <c r="K54" i="2" s="1"/>
  <c r="L54" i="2" s="1"/>
  <c r="M124" i="2"/>
  <c r="K124" i="2" s="1"/>
  <c r="L124" i="2" s="1"/>
  <c r="M19" i="2"/>
  <c r="K19" i="2" s="1"/>
  <c r="L19" i="2" s="1"/>
  <c r="M47" i="2"/>
  <c r="K47" i="2" s="1"/>
  <c r="L47" i="2" s="1"/>
  <c r="M171" i="2"/>
  <c r="K171" i="2" s="1"/>
  <c r="L171" i="2" s="1"/>
  <c r="M181" i="2"/>
  <c r="K181" i="2" s="1"/>
  <c r="L181" i="2" s="1"/>
  <c r="M37" i="2"/>
  <c r="K37" i="2" s="1"/>
  <c r="L37" i="2" s="1"/>
  <c r="M67" i="2"/>
  <c r="K67" i="2" s="1"/>
  <c r="L67" i="2" s="1"/>
  <c r="M57" i="2"/>
  <c r="K57" i="2" s="1"/>
  <c r="L57" i="2" s="1"/>
  <c r="M94" i="2"/>
  <c r="K94" i="2" s="1"/>
  <c r="L94" i="2" s="1"/>
  <c r="M157" i="2"/>
  <c r="K157" i="2" s="1"/>
  <c r="L157" i="2" s="1"/>
  <c r="M23" i="2"/>
  <c r="K23" i="2" s="1"/>
  <c r="L23" i="2" s="1"/>
  <c r="M133" i="2"/>
  <c r="K133" i="2" s="1"/>
  <c r="L133" i="2" s="1"/>
  <c r="M130" i="2"/>
  <c r="K130" i="2" s="1"/>
  <c r="L130" i="2" s="1"/>
  <c r="M105" i="2"/>
  <c r="K105" i="2" s="1"/>
  <c r="L105" i="2" s="1"/>
  <c r="M166" i="2"/>
  <c r="K166" i="2" s="1"/>
  <c r="L166" i="2" s="1"/>
  <c r="M179" i="2"/>
  <c r="K179" i="2" s="1"/>
  <c r="L179" i="2" s="1"/>
  <c r="M135" i="2"/>
  <c r="K135" i="2" s="1"/>
  <c r="L135" i="2" s="1"/>
  <c r="M27" i="2"/>
  <c r="K27" i="2" s="1"/>
  <c r="L27" i="2" s="1"/>
  <c r="H15" i="2"/>
  <c r="M15" i="2" s="1"/>
  <c r="K15" i="2" s="1"/>
  <c r="L15" i="2" s="1"/>
  <c r="N15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LKMarck</author>
  </authors>
  <commentList>
    <comment ref="A90" authorId="0" shapeId="0" xr:uid="{34D41FA1-2001-4B55-9196-AD2B1106E373}">
      <text>
        <r>
          <rPr>
            <b/>
            <sz val="9"/>
            <color rgb="FF000000"/>
            <rFont val="Tahoma"/>
            <family val="2"/>
          </rPr>
          <t>LKMarck: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llego el producto</t>
        </r>
      </text>
    </comment>
  </commentList>
</comments>
</file>

<file path=xl/sharedStrings.xml><?xml version="1.0" encoding="utf-8"?>
<sst xmlns="http://schemas.openxmlformats.org/spreadsheetml/2006/main" count="931" uniqueCount="408">
  <si>
    <t>Descripción</t>
  </si>
  <si>
    <t>Cant</t>
  </si>
  <si>
    <t>Precio</t>
  </si>
  <si>
    <t>% Desc</t>
  </si>
  <si>
    <t>C. Unit US</t>
  </si>
  <si>
    <t>C. Unit</t>
  </si>
  <si>
    <t>Total Cmpr</t>
  </si>
  <si>
    <t>Env US</t>
  </si>
  <si>
    <t>Envio</t>
  </si>
  <si>
    <t>Fch Cmpr</t>
  </si>
  <si>
    <t>Fch Entrga</t>
  </si>
  <si>
    <t>Euro</t>
  </si>
  <si>
    <t>Dólar</t>
  </si>
  <si>
    <t>Dsc US</t>
  </si>
  <si>
    <t>Desct</t>
  </si>
  <si>
    <t>Pzs</t>
  </si>
  <si>
    <t>Costo Final</t>
  </si>
  <si>
    <t>Liga</t>
  </si>
  <si>
    <t>TOTAL DESC</t>
  </si>
  <si>
    <t>TOTAL CMPRS</t>
  </si>
  <si>
    <t>HelloKitty - Peluche Tie Dye Kuromi para niños - Kuromy</t>
  </si>
  <si>
    <t>https://es.aliexpress.com/item/1005006065649468.html?spm=a2g0o.order_detail.order_detail_item.2.225e39d3BNcc1s&amp;gatewayAdapt=glo2esp</t>
  </si>
  <si>
    <t>HelloKitty - Peluche Tie Dye Kuromi para niños - Cinnamoroll</t>
  </si>
  <si>
    <t>HelloKitty - Peluche Tie Dye Kuromi para niños - Cinnamoroll azul</t>
  </si>
  <si>
    <t>HelloKitty - Peluche Tie Dye Kuromi para niños - Pochacco amarillo</t>
  </si>
  <si>
    <t>Peluche Kimetsu No Yaiba Tanjirou Nezuko - Amarillo</t>
  </si>
  <si>
    <t>https://es.aliexpress.com/item/1005005677601070.html?spm=a2g0o.order_detail.order_detail_item.2.692f39d3OKjwpl&amp;gatewayAdapt=glo2esp</t>
  </si>
  <si>
    <t>Peluche Kimetsu No Yaiba Tanjirou Nezuko - Tanjiro</t>
  </si>
  <si>
    <t>Peluche Kimetsu No Yaiba Tanjirou Nezuko - Cochino</t>
  </si>
  <si>
    <t>Peluche Kimetsu No Yaiba Tanjirou Nezuko - Niña</t>
  </si>
  <si>
    <t>Kawaii Sanrio Mymelody, estuche para cargador bolsa de almacenamiento - Kirby niña</t>
  </si>
  <si>
    <t>https://es.aliexpress.com/item/1005005425887460.html?spm=a2g0o.order_detail.order_detail_item.2.28f239d3E9Xz5U&amp;gatewayAdapt=glo2esp</t>
  </si>
  <si>
    <t>Sanrio kuromi-Bolso cruzado My Melody kuromi</t>
  </si>
  <si>
    <t>https://es.aliexpress.com/item/1005005671344398.html?spm=a2g0o.order_detail.order_detail_item.2.3d6039d3cbIXeM&amp;gatewayAdapt=glo2esp</t>
  </si>
  <si>
    <t>Blueys - peluche de perro de oveja Kawaii hermanita</t>
  </si>
  <si>
    <t>https://es.aliexpress.com/item/1005006228073982.html?spm=a2g0o.order_detail.order_detail_item.2.7d6f39d3XeySq1&amp;gatewayAdapt=glo2esp</t>
  </si>
  <si>
    <t>Kimetsu No Yaiba Tanjirou Nezuko - Nezuko</t>
  </si>
  <si>
    <t>https://es.aliexpress.com/item/1005005514688161.html?spm=a2g0o.order_detail.order_detail_item.2.dfd339d3Vs2uYE&amp;gatewayAdapt=glo2esp</t>
  </si>
  <si>
    <t>Hasbro Play-Doh Pasteles Divertidos</t>
  </si>
  <si>
    <t>https://super.walmart.com.mx/ip/set-de-juego-hasbro-play-doh-pasteles-divertidos/00063050938078</t>
  </si>
  <si>
    <t>Hasbro Play-Doh Delicias Heladas</t>
  </si>
  <si>
    <t>https://super.walmart.com.mx/ip/set-de-juego-hasbro-play-doh-delicias-heladas/00063050928847</t>
  </si>
  <si>
    <t>Play Doh Color Pack Varios Colores 1 pza</t>
  </si>
  <si>
    <t>https://super.walmart.com.mx/ip/set-de-juego-hasbro-play-doh-color-pack-varios-colores-1-pza/00501099616214</t>
  </si>
  <si>
    <t>Play Doh Primeras Creaciones con la Rana</t>
  </si>
  <si>
    <t>https://super.walmart.com.mx/ip/set-de-juegos-hasbro-play-doh-primeras-creaciones-con-la-rana/00501099420838</t>
  </si>
  <si>
    <t>Hasbro IronMan y IronStomper 10 cm</t>
  </si>
  <si>
    <t>https://super.walmart.com.mx/ip/figura-de-accion-marvel-mech-strike-hasbro-ironman-y-ironstomper-10-cm/00501099418509</t>
  </si>
  <si>
    <t>Muñeca LOL Surprise! Tot y Mascota</t>
  </si>
  <si>
    <t>https://super.walmart.com.mx/ip/muneca-lol-surprise-tot-y-mascota-varios-modelos-1-pieza/00003505198554</t>
  </si>
  <si>
    <t>Muñeca LOL Surprise! Tot Hermanita y Mascota</t>
  </si>
  <si>
    <t>https://super.walmart.com.mx/ip/muneca-lol-surprise-tot-hermanita-y-mascota-varios-modelos-1-pieza/00003505198559</t>
  </si>
  <si>
    <t>Estuche Sanrio Hellokitty Mymelody Doraemon Data Cable Charger Storage</t>
  </si>
  <si>
    <t>https://www.aliexpress.com/item/1005004231841023.html?spm=a2g0o.order_detail.order_detail_item.2.6432f19c3GMFGx</t>
  </si>
  <si>
    <t>30cm/40cm Cartoon Cardcaptor Sakura Kero Plush Doll Toys Anime</t>
  </si>
  <si>
    <t>https://www.aliexpress.com/item/32860223835.html?spm=a2g0o.order_detail.order_detail_item.6.16e3f19cnWwFEe</t>
  </si>
  <si>
    <t>7cm/13cm Mini Cartoon Cardcaptor Sakura Kero Plush Toys Pendant</t>
  </si>
  <si>
    <t>https://www.aliexpress.com/item/1005005772287093.html?spm=a2g0o.order_detail.order_detail_item.4.16e3f19cnWwFEe</t>
  </si>
  <si>
    <t>Peluche Familia Blueyd Dog Bingo</t>
  </si>
  <si>
    <t>https://www.aliexpress.com/item/1005006341892449.html?spm=a2g0o.order_detail.order_detail_item.3.5043f19cVKRxdK</t>
  </si>
  <si>
    <t>Blueys Family Soft Toy Kawaii Sheepdog Stuffed Toys Stuff Doll Anime</t>
  </si>
  <si>
    <t>https://www.aliexpress.com/item/1005006046603560.html?spm=a2g0o.order_detail.order_detail_item.2.2e28f19cgVTNoX</t>
  </si>
  <si>
    <t>25cm Kawaii Pearl Milk Tea PIG Plush Toy Stuffed Animal Rabbit Frog</t>
  </si>
  <si>
    <t>https://www.aliexpress.com/item/1005005963614196.html?spm=a2g0o.order_detail.order_detail_item.3.1c26f19cMLS80m</t>
  </si>
  <si>
    <t>Sanrios My Melody Kuromi Pochacco Birthday Cake Shape Plush - Cumpleaños</t>
  </si>
  <si>
    <t>https://www.aliexpress.com/item/1005004716693874.html?spm=a2g0o.order_detail.order_detail_item.2.76f8f19cHQtsqD</t>
  </si>
  <si>
    <t>The Amazing Digital Circus Plush Cartoon Plushie Toys - Bufon</t>
  </si>
  <si>
    <t>https://www.aliexpress.com/item/1005006306945968.html?spm=a2g0o.order_detail.order_detail_item.2.4000f19cr552pu</t>
  </si>
  <si>
    <t>The Amazing Digital Circus Plush Cartoon Plushie Toys - Muñeca</t>
  </si>
  <si>
    <t>The Amazing Digital Circus Pomni Jax Plush Cartoon Plushie Toys - Bufon</t>
  </si>
  <si>
    <t>https://www.aliexpress.com/item/1005006230209145.html?spm=a2g0o.order_detail.order_detail_item.3.2461f19cZijL1t</t>
  </si>
  <si>
    <t>The Amazing Digital Circus Pomni Jax Plush Cartoon Plushie Toys - Conejo</t>
  </si>
  <si>
    <t>https://www.aliexpress.com/item/1005005562264346.html?spm=a2g0o.order_detail.order_detail_item.3.fd17f19cEhZ7F9</t>
  </si>
  <si>
    <t>Goro, Scarf Harries Student Campus CosPlay Gryffindor Hufflepuff College</t>
  </si>
  <si>
    <t>Bufanda, Scarf Harries Student Campus CosPlay Gryffindor Hufflepuff College</t>
  </si>
  <si>
    <t>Naruto - Anime surrounding Naruto series theme children's cartoon cute plush</t>
  </si>
  <si>
    <t>https://www.aliexpress.com/item/1005006133681267.html?spm=a2g0o.order_detail.order_detail_item.2.1c2ff19c3U9ElZ</t>
  </si>
  <si>
    <t>21CM Anime Naruto Kyuubi Kurama Toy Q Version Nine-Tailed</t>
  </si>
  <si>
    <t>https://www.aliexpress.com/item/1005005938950562.html?spm=a2g0o.order_detail.order_detail_item.2.38bef19c2rFxTu</t>
  </si>
  <si>
    <t>20cm Naruto Anime Figure Plush Uzumaki Naruto Kakashi Uchiha Itachi</t>
  </si>
  <si>
    <t>https://www.aliexpress.com/item/1005004210228997.html?spm=a2g0o.order_detail.order_detail_item.6.44fb39d38KhBwy</t>
  </si>
  <si>
    <t>Itachi Anime de NARUTO, Sasuke, Kakashi, Itachi, Gaara…</t>
  </si>
  <si>
    <t>https://es.aliexpress.com/item/1005006049348894.html?spm=a2g0o.order_detail.order_detail_item.2.5eeb39d3aRlBif&amp;gatewayAdapt=glo2esp</t>
  </si>
  <si>
    <t>Winnie The Pooh Super Cute Gift Doll Plush Toy Birthday Gift for Children 10cm</t>
  </si>
  <si>
    <t>https://www.aliexpress.com/item/1005006023429234.html?spm=a2g0o.order_detail.order_detail_item.2.2f77f19cakNLcN</t>
  </si>
  <si>
    <t>Peluche Start Kirby, Fresa y Corazon 30 cm</t>
  </si>
  <si>
    <t>https://www.aliexpress.com/item/1005004460324605.html?spm=a2g0o.order_detail.order_detail_item.2.6536f19c6GUPRN</t>
  </si>
  <si>
    <t>Peluche Start Kirby, sentadito 30 cm</t>
  </si>
  <si>
    <t>https://www.aliexpress.com/item/1005004460324605.html?spm=a2g0o.order_detail.order_detail_item.6.6536f19c6GUPRN</t>
  </si>
  <si>
    <t>Sanrio Plush Toys Kuromi Stuff Cinnamoroll Room Decor Hello Kitty Babies</t>
  </si>
  <si>
    <t>https://www.aliexpress.com/item/1005005278473946.html?spm=a2g0o.order_detail.order_detail_item.2.6a89f19cYBmSJn</t>
  </si>
  <si>
    <t>Disney Cute Lilo &amp; Stitch Purple Stitch Pendant Plush Toy</t>
  </si>
  <si>
    <t>https://www.aliexpress.com/item/1005005915619764.html?spm=a2g0o.order_detail.order_detail_item.2.4252f19cHK33GV</t>
  </si>
  <si>
    <t>Bowsy - 43 Styles Super Mario Plush Toy Bowser Peach Princess Yoshi Mario</t>
  </si>
  <si>
    <t>https://www.aliexpress.com/item/1005006013756058.html?spm=a2g0o.order_detail.order_detail_item.2.3ebbf19c8C6ywa</t>
  </si>
  <si>
    <t>Mario Odyssey - Super Mario Luigi All Star Collection Plush Dolls Cute Anime</t>
  </si>
  <si>
    <t>https://www.aliexpress.com/item/1005006165064582.html?spm=a2g0o.order_detail.order_detail_item.2.11f4f19cZQC4Fd</t>
  </si>
  <si>
    <t>Luigui - Mario Luigi Cosplay Elephant Toys Princess Peach Rosalina Role Play</t>
  </si>
  <si>
    <t>https://www.aliexpress.com/item/1005006186753120.html?spm=a2g0o.order_detail.order_detail_item.4.7139f19ctE6AYZ</t>
  </si>
  <si>
    <t>Mario Odyssey - Mario Luigi Cosplay Elephant Toys Princess Peach Rosalina Role Play</t>
  </si>
  <si>
    <t>https://es.aliexpress.com/item/1005003638027822.html?spm=a2g0o.order_detail.order_detail_item.6.1b6839d3PExoSm&amp;gatewayAdapt=glo2esp</t>
  </si>
  <si>
    <t>Mario Odyssey - 26 Styles Anime Plush Wendy Bowser Soft Stuffed Toy</t>
  </si>
  <si>
    <t>https://www.aliexpress.com/item/1005004169788446.html?spm=a2g0o.order_list.order_list_main.138.62a21802JbnE4V</t>
  </si>
  <si>
    <t>Luffy -  25cm One Piece Original Plush Toys CartoonFigure Luffy Chopper…</t>
  </si>
  <si>
    <t>https://www.aliexpress.com/item/1005005556804926.html?spm=a2g0o.order_detail.order_detail_item.3.69fbf19cqD2Ous</t>
  </si>
  <si>
    <t>HK 30 cm - Sanrio Plushie Hello Kitty Plush Toy Sponge Bob Plush Stuffed Cute Cartoon</t>
  </si>
  <si>
    <t>https://www.aliexpress.com/item/1005006237299358.html?spm=a2g0o.order_detail.order_detail_item.2.7c47f19ccOyR3i</t>
  </si>
  <si>
    <t>HK Heart 30cm - Sanrio Plushie Hello Kitty Plush Toy Sponge Bob Plush Stuffed Cute Cartoon</t>
  </si>
  <si>
    <t>HK Hicecream 30cm - Sanrio Plushie Hello Kitty Plush Toy Sponge Bob Plush Stuffed Cute Cartoon</t>
  </si>
  <si>
    <t>HK Heart 20cm - Sanrio Plushie Hello Kitty Plush Toy Sponge Bob Plush Stuffed Cute Cartoon</t>
  </si>
  <si>
    <t>https://www.aliexpress.com/item/1005006237299358.html?spm=a2g0o.order_detail.order_detail_item.10.7c47f19ccOyR3i</t>
  </si>
  <si>
    <t>Kuromi Heart 20cm - Sanrio Plushie Hello Kitty Plush Toy Sponge Bob Plush Stuffed Cute Cartoon</t>
  </si>
  <si>
    <t>Pompom 30cm - Sanrio Plushie Hello Kitty Plush Toy Sponge Bob Plush Stuffed Cute Cartoon</t>
  </si>
  <si>
    <t>Cinnamoroll 30cm - Sanrio Plushie Hello Kitty Plush Toy Sponge Bob Plush Stuffed Cute Cartoon</t>
  </si>
  <si>
    <t xml:space="preserve">Paw Patrol: La Superpelícula, camión de Juguete del Pup Squad </t>
  </si>
  <si>
    <t>https://www.amazon.com.mx/gp/product/B0BRT7C2ZK/ref=ppx_od_dt_b_asin_image_s00?ie=UTF8&amp;th=1</t>
  </si>
  <si>
    <t>Lalaloopsy Silly Hair Muñeca April Sunsplash de 33cm con tucán - Pelo Color arcoíris y 11 Accesorios</t>
  </si>
  <si>
    <t>https://www.amazon.com.mx/gp/product/B08WZ7F48H/ref=ppx_od_dt_b_asin_title_s00?ie=UTF8&amp;psc=1</t>
  </si>
  <si>
    <t>Summala Bloques de Construcción de Mármol, Juegos con Canicas 180 PCS</t>
  </si>
  <si>
    <t>https://www.amazon.com.mx/gp/product/B0CDQ2CC55/ref=ppx_od_dt_b_asin_image_s00?ie=UTF8&amp;psc=1</t>
  </si>
  <si>
    <t>RENDIN Carro de Control Remoto Recargable, Flip 360 °con Luz y Música</t>
  </si>
  <si>
    <t>EASYTAO Coche Control Remoto 4WD, Todoterreno Acrobático RC 2.4GHz</t>
  </si>
  <si>
    <t>https://www.amazon.com.mx/gp/product/B0B9G524LR/ref=ppx_od_dt_b_asin_image_s00?ie=UTF8&amp;th=1</t>
  </si>
  <si>
    <t>SlowTon Luz de Noche LED, 16 Colores 2 Tema Lámpara Proyector de Estrellas</t>
  </si>
  <si>
    <t>https://www.amazon.com.mx/gp/product/B07P632XVX/ref=ppx_od_dt_b_asin_title_s00?ie=UTF8&amp;th=1</t>
  </si>
  <si>
    <t>Juguete De Peluche De Bailarin Pato, Pato con Sonido y Musica</t>
  </si>
  <si>
    <t>https://www.amazon.com.mx/gp/product/B0CHJ2BX26/ref=ppx_od_dt_b_asin_image_s00?ie=UTF8&amp;psc=1</t>
  </si>
  <si>
    <t>Hasbro Transformers Best Aliance</t>
  </si>
  <si>
    <t>https://super.walmart.com.mx/ip/figura-de-accion-hasbro-transformers-best-aliance-varios-modelos-1-pieza/00501099412522</t>
  </si>
  <si>
    <t>Hasbro Transformers Rise of the Beasts 6"</t>
  </si>
  <si>
    <t>https://super.walmart.com.mx/ip/figura-flex-changers-hasbro-transformers-rise-of-the-beasts-6-pulgadas-varios-modelos-1-pieza/00501099412528</t>
  </si>
  <si>
    <t>Muñeca Baby Alive Hasbro Bebé Spa Cabello Rubio Multicolor</t>
  </si>
  <si>
    <t>https://super.walmart.com.mx/ip/muneca-baby-alive-hasbro-bebe-spa-cabello-rubio-multicolor/00501099415662</t>
  </si>
  <si>
    <t>Spiderman Hasbro Titan Hero Series Miles Morales</t>
  </si>
  <si>
    <t>https://super.walmart.com.mx/ip/figura-de-accion-spiderman-hasbro-titan-hero-series-miles-morales/00501099410443</t>
  </si>
  <si>
    <t>Hulk &amp; Gamma Smasher Hasbro Marvel Mechstrike</t>
  </si>
  <si>
    <t>https://super.walmart.com.mx/ip/figura-hulk-gamma-smasher-hasbro-marvel-mechstrike/00501099613121</t>
  </si>
  <si>
    <t>Muñeca Cry babies Bebé Rosa</t>
  </si>
  <si>
    <t>https://super.walmart.com.mx/ip/muneca-cry-babies-bebe-rosa-varios-modelos-1-pieza/00073000201343</t>
  </si>
  <si>
    <t>Rubio - Devil's Blade Anime Plush Stuffed Toy Cute Dolsl Demon Slayer</t>
  </si>
  <si>
    <t>https://www.aliexpress.com/item/1005005677601070.html?spm=a2g0o.order_detail.order_detail_item.3.41c8f19cXnWxdV</t>
  </si>
  <si>
    <t>Cochino - Devil's Blade Anime Plush Stuffed Toy Cute Dolsl Demon Slayer</t>
  </si>
  <si>
    <t>Tanjiro - 20cm Demon Slayer Plush Doll Tanjirou Nezuko Zenitsu Anime</t>
  </si>
  <si>
    <t>https://www.aliexpress.com/item/1005005528408573.html?spm=a2g0o.order_detail.order_detail_item.3.7ab3f19ccfbI7E</t>
  </si>
  <si>
    <t>Nezuko - 20cm Demon Slayer Plush Doll Tanjirou Nezuko Zenitsu Anime</t>
  </si>
  <si>
    <t>https://www.aliexpress.com/item/1005004522645946.html?spm=a2g0o.order_detail.order_detail_item.3.4ee0f19caArdcB</t>
  </si>
  <si>
    <t>Sombrero Fantasma - ACG Mario Plush Princess Peach Toadette Luigi Bowser Jr</t>
  </si>
  <si>
    <t>https://www.aliexpress.com/item/1005006266949064.html?spm=a2g0o.order_detail.order_detail_item.3.702ff19ckWdmFY</t>
  </si>
  <si>
    <t>Disney Stitch Plush Doll Toys Anime Lilo &amp; Stitch</t>
  </si>
  <si>
    <t>https://www.aliexpress.com/item/1005005041951502.html?spm=a2g0o.order_detail.order_detail_item.3.19fcf19cD2yoc2</t>
  </si>
  <si>
    <t>Kuromy - Kawaii Sanrio Keychain Kuromi Keyring Doll Plush Cinnamoroll</t>
  </si>
  <si>
    <t>https://www.aliexpress.com/item/1005005726934011.html?spm=a2g0o.order_detail.order_detail_item.3.440ff19cxCUxGk</t>
  </si>
  <si>
    <t>HK - Kawaii Sanrio Keychain Kuromi Keyring Doll Plush Cinnamoroll</t>
  </si>
  <si>
    <t>Melody - Kawaii Sanrio Keychain Kuromi Keyring Doll Plush Cinnamoroll</t>
  </si>
  <si>
    <t>Luffy - 25cm One Piece Original Plush Toys CartoonFigure Luffy Chopper…</t>
  </si>
  <si>
    <t>https://www.aliexpress.com/item/1005005556804926.html?spm=a2g0o.order_detail.order_detail_item.3.6423f19cObDvtJ</t>
  </si>
  <si>
    <t>Bulbasaur 18cm - 47 Styles Anime Pokemon Plush Charmander Squirtle Pikachu Plush...</t>
  </si>
  <si>
    <t>https://www.aliexpress.com/item/1005005844595430.html?spm=a2g0o.order_detail.order_detail_item.3.2969f19c04M8j5</t>
  </si>
  <si>
    <t>Bulbasaur 32cm - 47 Styles Anime Pokemon Plush Charmander Squirtle Pikachu Plush...</t>
  </si>
  <si>
    <t>Pingüino 25cm - 47 Styles Anime Pokemon Plush Charmander Squirtle Pikachu Plush...</t>
  </si>
  <si>
    <t>Estrella 25cm - 47 Styles Anime Pokemon Plush Charmander Squirtle Pikachu Plush...</t>
  </si>
  <si>
    <t>Pikachu 25cm - 47 Styles Anime Pokemon Plush Charmander Squirtle Pikachu Plush...</t>
  </si>
  <si>
    <t>Kuromy pijama esponja - Sanrio 25Cm Anime Sanriod Toys Kawaii Kuromi Mymelody</t>
  </si>
  <si>
    <t>https://www.aliexpress.com/item/1005006065659410.html?spm=a2g0o.order_detail.order_detail_item.3.69b5f19cXMoSVO</t>
  </si>
  <si>
    <t>Kuromy moño rosa - Sanrio 25Cm Anime Sanriod Toys Kawaii Kuromi Mymelody</t>
  </si>
  <si>
    <t>Par de Peluches The Amazing Digital Circus Plush Kawaii</t>
  </si>
  <si>
    <t>https://www.aliexpress.com/item/1005006261104660.html?spm=a2g0o.order_detail.order_detail_item.3.105439d3UuF8IP</t>
  </si>
  <si>
    <t>Kuromy Moño - HelloKitty Tie Dye Kuromi Plush Toy Melody Cinnamon</t>
  </si>
  <si>
    <t>https://www.aliexpress.com/item/1005006065649468.html?spm=a2g0o.order_detail.order_detail_item.3.714b39d3j2S6eu</t>
  </si>
  <si>
    <t>35cm Disney Winnie The Pooh Toys Cute Soft Animals</t>
  </si>
  <si>
    <t>https://www.aliexpress.com/item/1005006115352952.html?spm=a2g0o.order_detail.order_detail_item.3.3fd939d3s4w1fO</t>
  </si>
  <si>
    <t>Chopper - Original 25CM One Piece Anime Figures Cosplay Plush Toys Zoro…</t>
  </si>
  <si>
    <t>https://www.aliexpress.com/item/1005005646323470.html?spm=a2g0o.order_detail.order_detail_item.6.2e9c39d3phqbKe</t>
  </si>
  <si>
    <t>Luffy - Original 25CM One Piece Anime Figures Cosplay Plush Toys Zoro…</t>
  </si>
  <si>
    <t>Chopper - 4 Styles One Piece 20cm Tony Tony Chopper Anime Figure Plush Toys</t>
  </si>
  <si>
    <t>https://www.aliexpress.com/item/1005005057805119.html?spm=a2g0o.order_detail.order_detail_item.3.4cb5f19cTnEys0</t>
  </si>
  <si>
    <t>Kirby - Cute Cartoon Stars Kirby Meta Knight Waddle Dee Plush Toys</t>
  </si>
  <si>
    <t>https://www.aliexpress.com/item/1005004592431316.html?spm=a2g0o.order_detail.order_detail_item.2.7c89f19cABENgv</t>
  </si>
  <si>
    <t>Kirby Hielo - Cute Cartoon Stars Kirby Meta Knight Waddle Dee Plush Toys</t>
  </si>
  <si>
    <t>https://www.aliexpress.com/item/1005005806518085.html?spm=a2g0o.order_detail.order_detail_item.2.5a1af19cYv7IDw</t>
  </si>
  <si>
    <t>Luz de noche de Pokémon Pikachu, Luz suave de Anime - Recostado</t>
  </si>
  <si>
    <t>https://es.aliexpress.com/item/1005005938541393.html?spm=a2g0o.order_detail.order_detail_item.3.3aca39d3EWs4Ry&amp;gatewayAdapt=glo2esp</t>
  </si>
  <si>
    <t>Luz de noche de Pokémon Pikachu, Luz suave de Anime - Currucado</t>
  </si>
  <si>
    <t>Rompecabezas de sistema Solar de madera para niños</t>
  </si>
  <si>
    <t>https://es.aliexpress.com/item/1005005605332044.html?spm=a2g0o.order_detail.order_detail_item.3.2a3e39d3ME5lsV&amp;gatewayAdapt=glo2esp</t>
  </si>
  <si>
    <t>Dinosaurio ZaZaZa para niños, juguete creativo sin batería</t>
  </si>
  <si>
    <t>https://es.aliexpress.com/item/1005006052714086.html?spm=a2g0o.order_detail.order_detail_item.3.26fb39d3VcOPkd&amp;gatewayAdapt=glo2esp</t>
  </si>
  <si>
    <t>Rompecabezas Montessori de 60 piezas para niños</t>
  </si>
  <si>
    <t>https://es.aliexpress.com/item/1005005064395948.html?spm=a2g0o.order_detail.order_detail_item.3.5cbb39d3HLD0tZ&amp;gatewayAdapt=glo2esp</t>
  </si>
  <si>
    <t>Lámpara de mesita de noche con forma de Luna para niños, Kawaii 3D, Sanrio</t>
  </si>
  <si>
    <t>https://es.aliexpress.com/item/1005005931727671.html?spm=a2g0o.order_detail.order_detail_item.3.6e4c39d3j344KE&amp;gatewayAdapt=glo2esp</t>
  </si>
  <si>
    <t>Sanrio - Luz de noche Kawaii Kuromi Melody</t>
  </si>
  <si>
    <t>https://es.aliexpress.com/item/1005005978177685.html?spm=a2g0o.order_list.order_list_main.219.5c75194d4irspT&amp;gatewayAdapt=glo2esp</t>
  </si>
  <si>
    <t>Pegatinas Kirby de piezas, calcomanías impermeables para monopatín</t>
  </si>
  <si>
    <t>https://es.aliexpress.com/item/1005005982326269.html?spm=a2g0o.order_detail.order_detail_item.3.463139d3mRyhiq&amp;gatewayAdapt=glo2esp</t>
  </si>
  <si>
    <t>Harry Potter - Varita mágica de núcleo de Metal para niños - Dumbledore</t>
  </si>
  <si>
    <t>https://es.aliexpress.com/item/1005006027500905.html?spm=a2g0o.order_detail.order_detail_item.3.624739d3XKE4ov&amp;gatewayAdapt=glo2esp</t>
  </si>
  <si>
    <t>Harry Potter - Varita mágica de núcleo de Metal para niños - Snape</t>
  </si>
  <si>
    <t>Harry Potter - Varita mágica de núcleo de Metal para niños - Harry</t>
  </si>
  <si>
    <t>Gorra de camión Kirby Kawaii</t>
  </si>
  <si>
    <t>https://es.aliexpress.com/item/1005005955912319.html?spm=a2g0o.order_detail.order_detail_item.2.6a5939d3EMdqJi&amp;gatewayAdapt=glo2esp</t>
  </si>
  <si>
    <t>Bufanda de Harry para estudiantes, CosPlay de Campus - Gorro</t>
  </si>
  <si>
    <t>https://es.aliexpress.com/item/1005005562264346.html?spm=a2g0o.order_detail.order_detail_item.2.fbc439d3zdcJ2X&amp;gatewayAdapt=glo2esp</t>
  </si>
  <si>
    <t>Bufanda de Harry para estudiantes, CosPlay de Campus - Bufanda</t>
  </si>
  <si>
    <t>Peluche Winnie The Pooh tarro de miel</t>
  </si>
  <si>
    <t>https://es.aliexpress.com/item/1005006115352952.html?spm=a2g0o.order_detail.order_detail_item.2.79c039d3ODI57w&amp;gatewayAdapt=glo2esp</t>
  </si>
  <si>
    <t>Peluche Kawaii de Star Kirby Dormilon</t>
  </si>
  <si>
    <t>https://es.aliexpress.com/item/1005006166044435.html?spm=a2g0o.order_detail.order_detail_item.2.263639d3uGCFlU&amp;gatewayAdapt=glo2esp</t>
  </si>
  <si>
    <t xml:space="preserve">Peluche Kawaii de Star Kirby dormilon, sandía, conejo... </t>
  </si>
  <si>
    <t>https://es.aliexpress.com/item/1005006035750827.html?spm=a2g0o.order_detail.order_detail_item.2.722439d3JBjLV9&amp;gatewayAdapt=glo2esp</t>
  </si>
  <si>
    <t xml:space="preserve">Peluche Kawaii de Star Kirby gorro dormir, sandía, conejo... </t>
  </si>
  <si>
    <t>https://es.aliexpress.com/item/1005006141548557.html?spm=a2g0o.order_detail.order_detail_item.3.197f39d3R9rRJr&amp;gatewayAdapt=glo2esp</t>
  </si>
  <si>
    <t xml:space="preserve">Peluche Kawaii de Star Kirby helado, sandía, conejo... </t>
  </si>
  <si>
    <t>Peluche Kirby Corazon, espada, Kawaii</t>
  </si>
  <si>
    <t>https://es.aliexpress.com/item/1005005806518085.html?spm=a2g0o.order_detail.order_detail_item.2.692e39d3qgMnQb&amp;gatewayAdapt=glo2esp</t>
  </si>
  <si>
    <t>Peluche Kirby Pintor, espada, Kawaii</t>
  </si>
  <si>
    <t>Peluche Kirby Espada, Kawaii</t>
  </si>
  <si>
    <t>Peluche Kawaii de Star Kirby gorro dormir</t>
  </si>
  <si>
    <t>https://es.aliexpress.com/item/1005006035750827.html?spm=a2g0o.order_detail.order_detail_item.3.57a039d3v4Mnpb&amp;gatewayAdapt=glo2esp</t>
  </si>
  <si>
    <t>Peluche Kawaii de Star Kirby helado</t>
  </si>
  <si>
    <t>Pelotas monocromáticas suaves de espuma EVA para practicar Golf</t>
  </si>
  <si>
    <t>https://es.aliexpress.com/item/33061598999.html?spm=a2g0o.order_detail.order_detail_item.2.76bb39d3aSgcZQ&amp;gatewayAdapt=glo2esp</t>
  </si>
  <si>
    <t>Estuche Pokémon, lote de minimuñecas de Anime, Pikachu</t>
  </si>
  <si>
    <t>https://es.aliexpress.com/item/1005006357087550.html?spm=a2g0o.order_detail.order_detail_item.2.6db739d3m9uaQc&amp;gatewayAdapt=glo2esp</t>
  </si>
  <si>
    <t>Figura de Anime de One Piece, Monkey D Luffy - Hancock</t>
  </si>
  <si>
    <t>https://es.aliexpress.com/item/1005006024931283.html?spm=a2g0o.order_detail.order_detail_item.2.7c1d39d33Zg2YH&amp;gatewayAdapt=glo2esp</t>
  </si>
  <si>
    <t>Figura de Anime de One Piece, Monkey D Luffy - Zoro</t>
  </si>
  <si>
    <t>Figura de Anime de One Piece, Monkey D Luffy - Chopper</t>
  </si>
  <si>
    <t>Figura de Anime de One Piece, Monkey D Luffy - Nami</t>
  </si>
  <si>
    <t>Figuras de acción de One Piece Zoro, Luffy - Robin</t>
  </si>
  <si>
    <t>https://es.aliexpress.com/item/1005005591938674.html?spm=a2g0o.order_detail.order_detail_item.2.359c39d3akKjZI&amp;gatewayAdapt=glo2esp</t>
  </si>
  <si>
    <t>Figuras de acción de One Piece Zoro, Luffy - Luffy</t>
  </si>
  <si>
    <t>Figuras de acción de One Piece Zoro, Luffy - Sanji</t>
  </si>
  <si>
    <t>Figuras de acción de Demon Slayer, estatua de PVC de Kamado</t>
  </si>
  <si>
    <t>https://es.aliexpress.com/item/1005005758652325.html?spm=a2g0o.order_detail.order_detail_item.2.349339d3EIXhoS&amp;gatewayAdapt=glo2esp</t>
  </si>
  <si>
    <t>Figura One Piece Luffy de 13CM</t>
  </si>
  <si>
    <t>https://es.aliexpress.com/item/1005006317364907.html?spm=a2g0o.order_detail.order_detail_item.3.679b39d3xfJ0D9&amp;gatewayAdapt=glo2esp</t>
  </si>
  <si>
    <t>Figura de One Piece Roronoa Zoro de 13CM</t>
  </si>
  <si>
    <t>Kirby Dormilon - Peluche Kawaii de Star Kirby para niños</t>
  </si>
  <si>
    <t>https://es.aliexpress.com/item/1005006035750827.html?spm=a2g0o.order_detail.order_detail_item.2.2f9839d3ohSVQf&amp;gatewayAdapt=glo2esp</t>
  </si>
  <si>
    <t>Kirby Helado - Peluche Kawaii de Star Kirby para niños</t>
  </si>
  <si>
    <t>Set 4 Figuras One Piece, Luffy personaje de Anime de una pieza</t>
  </si>
  <si>
    <t>https://es.aliexpress.com/item/1005006020825607.html?spm=a2g0o.order_detail.order_detail_item.2.69e539d3peiTvj&amp;gatewayAdapt=glo2esp</t>
  </si>
  <si>
    <t>One Piece, personaje de anime, muñeco de anime sentado</t>
  </si>
  <si>
    <t>https://www.temu.com/goods.html?_bg_fs=1&amp;goods_id=601099530962287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1705274443963_upqfmf8qx8&amp;refer_page_sn=10045</t>
  </si>
  <si>
    <t>8pcs / set Figurina Figura Figuras de Majin Buu DBZ</t>
  </si>
  <si>
    <t>https://www.temu.com/goods.html?_bg_fs=1&amp;goods_id=601099525626721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1705274529956_f2fgakluwi&amp;refer_page_sn=10045</t>
  </si>
  <si>
    <t>1pc, Figura de acción de la serie DBZ - Goku</t>
  </si>
  <si>
    <t>https://www.temu.com/goods.html?_bg_fs=1&amp;goods_id=601099531368200&amp;_x_chat_msg_id=1703629735259007&amp;_x_vst_scene=adg&amp;_x_ads_sub_channel=search&amp;_x_ads_channel=google&amp;_x_ads_account=8530898794&amp;_x_ads_set=20148831258&amp;_x_ads_id=149277209476&amp;_x_ads_creative_id=658974233225&amp;_x_ns_source=g&amp;_x_ns_gclid=CjwKCAiAs6-sBhBmEiwA1Nl8s5Wz62FIZ1ikQ3GfxrG_CIp_t47qNDKc50sCdWiBpk-eSz5xjzFgTxoCBCgQAvD_BwE&amp;_x_ns_placement=&amp;_x_ns_match_type=e&amp;_x_ns_ad_position=&amp;_x_ns_product_id=&amp;_x_ns_target=&amp;_x_ns_devicemodel=&amp;_x_ns_wbraid=CjgKCAiAkKqsBhAsEigAdX-AUTh5hsiv93DFEMsZgUI3isrig3oCKEUMFRmj5Oqn6DSzg9X5GgJpBw&amp;_x_ns_gbraid=0AAAAAo4mICHvTqR2oKSSYwfX7lyycUfaw&amp;_x_ns_keyword=temu&amp;_x_ns_targetid=kwd-4583699489&amp;_x_sessn_id=t5jrxj2drs&amp;refer_page_name=bgt_order_detail&amp;refer_page_id=10045_1705274583048_c1aa8nyzxm&amp;refer_page_sn=10045</t>
  </si>
  <si>
    <t>Figura de Goku DBZ 15.5CM</t>
  </si>
  <si>
    <t>https://www.temu.com/goods.html?_bg_fs=1&amp;goods_id=601099514236832&amp;_x_sessn_id=2ms565nro4&amp;refer_page_name=bgt_order_detail&amp;refer_page_id=10045_1706166055259_lq815v17bx&amp;refer_page_sn=10045</t>
  </si>
  <si>
    <t>https://www.temu.com/goods.html?_bg_fs=1&amp;goods_id=601099517529082&amp;_x_sessn_id=2ms565nro4&amp;refer_page_name=bgt_order_detail&amp;refer_page_id=10045_1706166190959_xehffqmob6&amp;refer_page_sn=10045</t>
  </si>
  <si>
    <t>Juego De Bloques De Construcción De Tobogán De Bolas Para La Asamblea. 168pcs</t>
  </si>
  <si>
    <t>https://www.temu.com/goods.html?_bg_fs=1&amp;goods_id=601099537267918&amp;_x_sessn_id=2ms565nro4&amp;refer_page_name=bgt_order_detail&amp;refer_page_id=10045_1706166276057_kho072zq0i&amp;refer_page_sn=10045</t>
  </si>
  <si>
    <t>Set Juego De Rodillos De Pista Ensamblados 340pcs</t>
  </si>
  <si>
    <t>https://www.temu.com/goods.html?_bg_fs=1&amp;goods_id=601099534162062&amp;_x_sessn_id=2ms565nro4&amp;refer_page_name=bgt_order_detail&amp;refer_page_id=10045_1706166383625_g2vm7d390s&amp;refer_page_sn=10045</t>
  </si>
  <si>
    <t>Juguetes De Ensamblaje Y Compatibles Con Bloques De Construcción, 514pcs</t>
  </si>
  <si>
    <t>https://www.temu.com/goods.html?_bg_fs=1&amp;goods_id=601099538556130&amp;_x_sessn_id=2ms565nro4&amp;refer_page_name=bgt_order_detail&amp;refer_page_id=10045_1706166423964_nvj3dsm2mk&amp;refer_page_sn=10045</t>
  </si>
  <si>
    <t>Disney Princess Q Ver, juego de 9 unidades Figura de Blancanieves, Aurora, Ariel, Bella, Jasmine</t>
  </si>
  <si>
    <t>https://es.aliexpress.com/item/1005006058981064.html?spm=a2g0o.order_detail.order_detail_item.3.661439d3qWsgYh&amp;gatewayAdapt=glo2esp</t>
  </si>
  <si>
    <t>https://es.aliexpress.com/item/1005006168870571.html?spm=a2g0o.order_detail.order_detail_item.3.7b1739d3iVU9U7&amp;gatewayAdapt=glo2esp</t>
  </si>
  <si>
    <t>Princesa Blancanieves, Cenicienta, campana, Ariel, 6 unidades</t>
  </si>
  <si>
    <t>https://es.aliexpress.com/item/1005005786020942.html?spm=a2g0o.order_detail.order_detail_item.3.2ee339d3Mq54gP&amp;gatewayAdapt=glo2esp</t>
  </si>
  <si>
    <t>Villanas -  Maléfica para niños, 3 unidades por Set</t>
  </si>
  <si>
    <t>https://es.aliexpress.com/item/1005006125310275.html?spm=a2g0o.order_detail.order_detail_item.3.635939d3vUiUx9&amp;gatewayAdapt=glo2esp</t>
  </si>
  <si>
    <t>Princesas Blancanieves, Ariel, Bella, Rapunzel, sirena, 8 unidades</t>
  </si>
  <si>
    <t>https://es.aliexpress.com/item/1005006168776762.html?spm=a2g0o.order_detail.order_detail_item.6.635939d3vUiUx9&amp;gatewayAdapt=glo2esp</t>
  </si>
  <si>
    <t>Peluche de Mario Gato, muñeco de Anime 25cm</t>
  </si>
  <si>
    <t>https://es.aliexpress.com/item/1005005899169686.html?spm=a2g0o.order_detail.order_detail_item.3.20bf39d3ad48l1&amp;gatewayAdapt=glo2esp</t>
  </si>
  <si>
    <t>Disney Alicia en el país de las Maravillas, niña Alicia</t>
  </si>
  <si>
    <t>https://es.aliexpress.com/item/1005006306601583.html?spm=a2g0o.order_detail.order_detail_item.3.4b5d39d3El2Jzw&amp;gatewayAdapt=glo2esp</t>
  </si>
  <si>
    <t>Disney Alicia en el país de las Maravillas, niña Ariel</t>
  </si>
  <si>
    <t>Disney Alicia en el país de las Maravillas, niña Tinkerbell</t>
  </si>
  <si>
    <t>Ariel - Princesa Disney, Jasmine, Mulan, Ariel, Arale, Bella, Blancanieves, Elsa, Anna, Cenicienta, Sofía, Rapunzel</t>
  </si>
  <si>
    <t>https://es.aliexpress.com/item/1005006115646269.html?spm=a2g0o.order_detail.order_detail_item.6.4b5d39d3El2Jzw&amp;gatewayAdapt=glo2esp</t>
  </si>
  <si>
    <t>Elsa - Princesa Disney, Jasmine, Mulan, Ariel, Arale, Bella, Blancanieves, Elsa, Anna, Cenicienta, Sofía, Rapunzel</t>
  </si>
  <si>
    <t>Hot Wheels Mario Kart, Paquete de 4 autos - Yoshi azul</t>
  </si>
  <si>
    <t>https://www.amazon.com.mx/gp/product/B08V56DF3W/ref=ppx_od_dt_b_asin_image_s00?ie=UTF8&amp;th=1</t>
  </si>
  <si>
    <t>Hot Wheels Mario Kart Track Set Assortment 4 Different Tracks - BOO</t>
  </si>
  <si>
    <t>https://www.temu.com/goods.html?_bg_fs=1&amp;goods_id=601099526061825&amp;parent_order_sn=PO-128-19775750431351182&amp;add_order=1&amp;_x_sessn_id=2ms565nro4&amp;refer_page_name=bgt_order_detail&amp;refer_page_id=10045_1706166678259_2kptxqnaa9&amp;refer_page_sn=10045</t>
  </si>
  <si>
    <t>Hot Wheels Mario Kart Chain Chomp Set</t>
  </si>
  <si>
    <t>https://www.amazon.com.mx/gp/product/B07RJ2HMVB/ref=ppx_od_dt_b_asin_image_s00?ie=UTF8&amp;th=1</t>
  </si>
  <si>
    <t>Hot Wheels Mario Kart Pista Picuda</t>
  </si>
  <si>
    <t>https://www.amazon.com.mx/gp/product/B07RJ328PM/ref=ppx_od_dt_b_asin_image_s00?ie=UTF8&amp;th=1</t>
  </si>
  <si>
    <t>Hot Wheels Mario Kart Set Piraña</t>
  </si>
  <si>
    <t>https://www.amazon.com.mx/gp/product/B07RNW3HRF/ref=ppx_od_dt_b_asin_image_s00?ie=UTF8&amp;th=1</t>
  </si>
  <si>
    <t>Peluche de Cerdito 25cm</t>
  </si>
  <si>
    <t>https://www.temu.com/goods.html?_bg_fs=1&amp;goods_id=601099513748010&amp;parent_order_sn=PO-128-19775750431351182&amp;add_order=1&amp;_x_sessn_id=2ms565nro4&amp;refer_page_name=bgt_order_detail&amp;refer_page_id=10045_1706166586397_zoi07124pz&amp;refer_page_sn=10045</t>
  </si>
  <si>
    <t>Juguetes De Empuje Con Luces, Pato</t>
  </si>
  <si>
    <t>Sanrio Kuromi Cinnamonroll Moon LED Light Kawaii 3D, Melody</t>
  </si>
  <si>
    <t>https://www.temu.com/goods.html?_bg_fs=1&amp;goods_id=601099535340436&amp;parent_order_sn=PO-128-19775750431351182&amp;add_order=1&amp;_x_sessn_id=2ms565nro4&amp;refer_page_name=bgt_order_detail&amp;refer_page_id=10045_1706166719330_gz138apq88&amp;refer_page_sn=10045</t>
  </si>
  <si>
    <t>No</t>
  </si>
  <si>
    <t>Marca</t>
  </si>
  <si>
    <t>Categoria</t>
  </si>
  <si>
    <t>P. Tienda</t>
  </si>
  <si>
    <t>% Desc Cmpr</t>
  </si>
  <si>
    <t>P. Venta</t>
  </si>
  <si>
    <t>P. Oferta</t>
  </si>
  <si>
    <t>Calc</t>
  </si>
  <si>
    <t>Blocks</t>
  </si>
  <si>
    <t>Laberinto</t>
  </si>
  <si>
    <t>Construccion</t>
  </si>
  <si>
    <t>Bluey</t>
  </si>
  <si>
    <t>Peluche</t>
  </si>
  <si>
    <t>CLAMP</t>
  </si>
  <si>
    <t>Daemon Slayer</t>
  </si>
  <si>
    <t>Figura</t>
  </si>
  <si>
    <t>DBZ</t>
  </si>
  <si>
    <t>Set Figuras</t>
  </si>
  <si>
    <t>Demon Slayer</t>
  </si>
  <si>
    <t>Digital Circus</t>
  </si>
  <si>
    <t>Dinosaurio</t>
  </si>
  <si>
    <t>T Rex</t>
  </si>
  <si>
    <t>Disney</t>
  </si>
  <si>
    <t>Harry Potter</t>
  </si>
  <si>
    <t>Gorro</t>
  </si>
  <si>
    <t>Bufanda</t>
  </si>
  <si>
    <t>Varita</t>
  </si>
  <si>
    <t>Hasbro</t>
  </si>
  <si>
    <t>Muñeca</t>
  </si>
  <si>
    <t>Hello Kitty</t>
  </si>
  <si>
    <t>Kawaii</t>
  </si>
  <si>
    <t>Rompecabezas</t>
  </si>
  <si>
    <t>Pelotas</t>
  </si>
  <si>
    <t>Pop It</t>
  </si>
  <si>
    <t>Kirby</t>
  </si>
  <si>
    <t>Pegatinas</t>
  </si>
  <si>
    <t>Gorra</t>
  </si>
  <si>
    <t>LOL</t>
  </si>
  <si>
    <t>Mario Bros</t>
  </si>
  <si>
    <t>Mario Kart</t>
  </si>
  <si>
    <t>Pack Karts</t>
  </si>
  <si>
    <t>Pista</t>
  </si>
  <si>
    <t>MARVEL</t>
  </si>
  <si>
    <t>Naruto</t>
  </si>
  <si>
    <t>One Piece</t>
  </si>
  <si>
    <t>Paw Patrol</t>
  </si>
  <si>
    <t>Playset</t>
  </si>
  <si>
    <t>Play-Doh</t>
  </si>
  <si>
    <t>Basico</t>
  </si>
  <si>
    <t>Pokemon</t>
  </si>
  <si>
    <t>Lampara</t>
  </si>
  <si>
    <t>Estuche</t>
  </si>
  <si>
    <t>Proyector</t>
  </si>
  <si>
    <t>RC</t>
  </si>
  <si>
    <t>Coche RC</t>
  </si>
  <si>
    <t>SANRIO</t>
  </si>
  <si>
    <t>Estuche Bolso</t>
  </si>
  <si>
    <t>Transformers</t>
  </si>
  <si>
    <t>Winnie the Pooh Collection Sitting Holding Biscuits Plush Toy - Almohada</t>
  </si>
  <si>
    <t>Gorros de felpa de Pikachu de dibujos animados para niño y adulto</t>
  </si>
  <si>
    <t>Peach Boda - ACG Mario Plush Princess Peach Toadette Luigi Bowser Jr</t>
  </si>
  <si>
    <t>https://es.aliexpress.com/item/1005004546618384.html?spm=a2g0o.order_detail.order_detail_item.2.458939d3lVWlxx&amp;gatewayAdapt=glo2esp</t>
  </si>
  <si>
    <t>https://es.aliexpress.com/item/1005004231841023.html?spm=a2g0o.order_detail.order_detail_item.2.663239d31CSeuz&amp;gatewayAdapt=glo2esp</t>
  </si>
  <si>
    <t>Sanrio-mini bolsa cuadrada de almacenamiento de anime, Kirby</t>
  </si>
  <si>
    <t>Sanrio Hellokitty Mymelody Doraemon bolsa de almacenamiento para cargador de Cable de datos</t>
  </si>
  <si>
    <t>https://es.aliexpress.com/item/1005006224932261.html?spm=a2g0o.order_detail.order_detail_item.2.7e3639d3is9fZe&amp;gatewayAdapt=glo2esp</t>
  </si>
  <si>
    <t>Disney-llavero de peluche, Mike Wazowski</t>
  </si>
  <si>
    <t>Disney-llavero de peluche, James Sullivan</t>
  </si>
  <si>
    <t>https://es.aliexpress.com/item/1005004460324605.html?spm=a2g0o.order_detail.order_detail_item.2.6b8639d3LEYOvY&amp;gatewayAdapt=glo2esp</t>
  </si>
  <si>
    <t>Almohada peluche Star Kirby, muñeco de peluche suave, Kirby sentado, 30cm</t>
  </si>
  <si>
    <t>Almohada peluche Star Kirby, muñeco de peluche suave, corazon rosa, fresa, 30cm</t>
  </si>
  <si>
    <t>Llvro Peluche</t>
  </si>
  <si>
    <t>Preview</t>
  </si>
  <si>
    <t>https://www.amazon.com.mx/gp/product/B0BC16RFZL/ref=ppx_od_dt_b_asin_image_s00?ie=UTF8&amp;psc=1</t>
  </si>
  <si>
    <t>Figura Tony Tony Chopper Samurai</t>
  </si>
  <si>
    <t>https://www.amazon.com.mx/gp/product/B07Y957Q8T/ref=ppx_od_dt_b_asin_image_s00?ie=UTF8&amp;th=1</t>
  </si>
  <si>
    <t>Rompecabezas Montessori de 60 piezas para niños, juguetes educativos</t>
  </si>
  <si>
    <t>Montessori</t>
  </si>
  <si>
    <t>Peluche Conejo Kawaii Pomni Jax - Conejo</t>
  </si>
  <si>
    <t>Rembolzado</t>
  </si>
  <si>
    <t>https://es.aliexpress.com/item/1005006224932261.html?spm=a2g0o.order_detail.order_detail_item.2.1b1939d3SLMDkN&amp;gatewayAdapt=glo2esp</t>
  </si>
  <si>
    <t>Disney - llavero de peluche de la Universidad de Monsters Inc, James Sullivan</t>
  </si>
  <si>
    <t>Disney - llavero de peluche de la Universidad de Monsters Inc, Mike Wazowski</t>
  </si>
  <si>
    <t>Kirby Heart - Kawaii Anime Star Kirby Sword Kirby Stuffed Peluche Plush</t>
  </si>
  <si>
    <t>https://es.aliexpress.com/item/4000918169517.html?spm=a2g0o.order_detail.order_detail_item.2.32db39d3lTE4si&amp;gatewayAdapt=glo2esp</t>
  </si>
  <si>
    <t>https://es.aliexpress.com/item/1005005167441258.html?spm=a2g0o.order_detail.order_detail_item.2.5c4639d3wtk9Qb&amp;gatewayAdapt=glo2esp</t>
  </si>
  <si>
    <t>https://es.aliexpress.com/item/1005004243152180.html?spm=a2g0o.order_detail.order_detail_item.2.19c039d3DqETqL&amp;gatewayAdapt=glo2esp</t>
  </si>
  <si>
    <t>https://es.aliexpress.com/item/4000761611088.html?spm=a2g0o.order_detail.order_detail_item.2.697739d3TJZkWc&amp;gatewayAdapt=glo2esp</t>
  </si>
  <si>
    <t>Adornos de pastel de luna de hierro, decoración creativa de Arte de hierro</t>
  </si>
  <si>
    <t>Adorno de acrílico dorado para pastel de cumpleaños, Perla de imitación dorada, Luna</t>
  </si>
  <si>
    <t>Adorno de pastel para hornear, decoración de hilo, arco de bola de platino</t>
  </si>
  <si>
    <t>fiesta de cumpleaños para hornear, regalos encantadores, adornos de pastel, corazon</t>
  </si>
  <si>
    <t xml:space="preserve">Figura de luz nocturna Pokemon elf, lámpara de mesita de noche, Pikachu, Bulbasaur </t>
  </si>
  <si>
    <t>https://es.aliexpress.com/item/1005005562264346.html?spm=a2g0o.order_detail.order_detail_item.2.310039d3tm9jiE&amp;gatewayAdapt=glo2esp</t>
  </si>
  <si>
    <t xml:space="preserve">Bufanda de Harry para estudiantes, Gryffindor, Hufflepuff - Bufanda </t>
  </si>
  <si>
    <t xml:space="preserve">Bufanda de Harry para estudiantes, Gryffindor, Hufflepuff - Gorro </t>
  </si>
  <si>
    <t>https://es.aliexpress.com/item/1005006191929693.html?spm=a2g0o.order_detail.order_detail_item.2.1f4f39d3tX5j0N&amp;gatewayAdapt=glo2esp</t>
  </si>
  <si>
    <t>Llavero de Anime de Disney Toy Story, colgante de figura de Woody</t>
  </si>
  <si>
    <t>LLavero de Anime de Disney Toy Story, colgante de figura de Alien</t>
  </si>
  <si>
    <t>Toy Story</t>
  </si>
  <si>
    <t>Llavero</t>
  </si>
  <si>
    <t>https://es.aliexpress.com/item/1005006023083177.html?spm=a2g0o.order_detail.order_detail_item.2.710539d33PsjMI&amp;gatewayAdapt=glo2esp</t>
  </si>
  <si>
    <t>Guirnalda de luces LED de Navidad, iluminación interior y exterior con batería USB, 3-100M</t>
  </si>
  <si>
    <t>Navidad</t>
  </si>
  <si>
    <t>Luces</t>
  </si>
  <si>
    <t>https://es.aliexpress.com/item/1005006342209075.html?spm=a2g0o.order_detail.order_detail_item.2.f3b939d3P2YYOU&amp;gatewayAdapt=glo2esp</t>
  </si>
  <si>
    <t>Cartera de Anime de Naruto Uzumaki, figuras de acción de Uchiha - Nube Akatsuki</t>
  </si>
  <si>
    <t>https://es.aliexpress.com/item/1005005952585847.html?spm=a2g0o.order_detail.order_detail_item.2.2ac639d3e4YMbY&amp;gatewayAdapt=glo2esp</t>
  </si>
  <si>
    <t>Cartera de juego de alta calidad para hombre, Zelda</t>
  </si>
  <si>
    <t>Estuche de Pokémon, lote de minimuñecas de Anime, Pikachu</t>
  </si>
  <si>
    <t>https://es.aliexpress.com/item/1005006287310466.html?spm=a2g0o.order_detail.order_detail_item.2.2dcc39d3Hnd8Ur&amp;gatewayAdapt=glo2esp</t>
  </si>
  <si>
    <t>Bolsa de almacenamiento de Star Kirby, bolsa de cosméticos de felpa, kawai</t>
  </si>
  <si>
    <t>Cartera</t>
  </si>
  <si>
    <t>Nintendo</t>
  </si>
  <si>
    <t>Bolsa</t>
  </si>
  <si>
    <t>Cmpr Final</t>
  </si>
  <si>
    <t>Decorativo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</si>
</sst>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dd\-mm\-yy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70C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left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0" fontId="2" fillId="0" borderId="0" xfId="2" applyAlignment="1">
      <alignment horizontal="left" vertical="center"/>
    </xf>
    <xf numFmtId="44" fontId="5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center" vertical="center"/>
    </xf>
    <xf numFmtId="44" fontId="4" fillId="0" borderId="0" xfId="1" applyFont="1" applyAlignment="1">
      <alignment horizontal="left" vertical="center"/>
    </xf>
    <xf numFmtId="44" fontId="0" fillId="0" borderId="0" xfId="0" applyNumberFormat="1" applyAlignment="1">
      <alignment horizontal="left" vertical="center"/>
    </xf>
    <xf numFmtId="6" fontId="8" fillId="0" borderId="0" xfId="0" applyNumberFormat="1" applyFont="1" applyAlignment="1">
      <alignment horizontal="left" vertical="center"/>
    </xf>
    <xf numFmtId="6" fontId="9" fillId="0" borderId="0" xfId="0" applyNumberFormat="1" applyFont="1" applyAlignment="1">
      <alignment horizontal="center" vertical="center"/>
    </xf>
    <xf numFmtId="6" fontId="10" fillId="0" borderId="0" xfId="0" applyNumberFormat="1" applyFont="1" applyAlignment="1">
      <alignment horizontal="right" vertical="center"/>
    </xf>
    <xf numFmtId="6" fontId="11" fillId="0" borderId="0" xfId="0" applyNumberFormat="1" applyFont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0" fontId="12" fillId="0" borderId="0" xfId="2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44" fontId="13" fillId="0" borderId="0" xfId="1" applyFont="1" applyAlignment="1">
      <alignment horizontal="left" vertical="center"/>
    </xf>
    <xf numFmtId="9" fontId="13" fillId="0" borderId="0" xfId="0" applyNumberFormat="1" applyFont="1" applyAlignment="1">
      <alignment horizontal="center" vertical="center"/>
    </xf>
    <xf numFmtId="44" fontId="13" fillId="0" borderId="0" xfId="1" applyFont="1" applyAlignment="1">
      <alignment horizontal="center" vertical="center"/>
    </xf>
    <xf numFmtId="44" fontId="14" fillId="0" borderId="0" xfId="1" applyFont="1" applyAlignment="1">
      <alignment horizontal="center" vertical="center"/>
    </xf>
    <xf numFmtId="0" fontId="15" fillId="0" borderId="0" xfId="0" applyFont="1"/>
    <xf numFmtId="164" fontId="0" fillId="0" borderId="0" xfId="1" applyNumberFormat="1" applyFont="1" applyAlignment="1">
      <alignment horizontal="center" vertical="center"/>
    </xf>
    <xf numFmtId="6" fontId="2" fillId="0" borderId="0" xfId="2" applyNumberFormat="1" applyAlignment="1">
      <alignment horizontal="center" vertical="center"/>
    </xf>
    <xf numFmtId="6" fontId="2" fillId="2" borderId="0" xfId="2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17" fillId="0" borderId="0" xfId="0" applyFont="1" applyAlignment="1">
      <alignment horizontal="left" vertical="center" wrapText="1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44" fontId="18" fillId="0" borderId="0" xfId="1" applyFont="1" applyAlignment="1">
      <alignment horizontal="left" vertical="center"/>
    </xf>
    <xf numFmtId="9" fontId="18" fillId="0" borderId="0" xfId="0" applyNumberFormat="1" applyFont="1" applyAlignment="1">
      <alignment horizontal="center" vertical="center"/>
    </xf>
    <xf numFmtId="44" fontId="18" fillId="0" borderId="0" xfId="1" applyFont="1" applyAlignment="1">
      <alignment horizontal="center" vertical="center"/>
    </xf>
    <xf numFmtId="44" fontId="9" fillId="0" borderId="0" xfId="1" applyFont="1" applyAlignment="1">
      <alignment horizontal="center" vertical="center"/>
    </xf>
    <xf numFmtId="164" fontId="18" fillId="0" borderId="0" xfId="1" applyNumberFormat="1" applyFont="1" applyAlignment="1">
      <alignment horizontal="center" vertical="center"/>
    </xf>
    <xf numFmtId="0" fontId="19" fillId="0" borderId="0" xfId="2" applyFont="1" applyAlignment="1">
      <alignment horizontal="left" vertical="center"/>
    </xf>
    <xf numFmtId="6" fontId="20" fillId="2" borderId="0" xfId="2" applyNumberFormat="1" applyFont="1" applyFill="1" applyAlignment="1">
      <alignment horizontal="center" vertical="center"/>
    </xf>
    <xf numFmtId="44" fontId="16" fillId="0" borderId="0" xfId="1" applyFont="1" applyAlignment="1">
      <alignment horizontal="left" vertical="center"/>
    </xf>
    <xf numFmtId="44" fontId="9" fillId="0" borderId="0" xfId="1" applyFont="1" applyAlignment="1">
      <alignment horizontal="left" vertic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uper.walmart.com.mx/ip/set-de-juego-hasbro-play-doh-pasteles-divertidos/00063050938078" TargetMode="External"/><Relationship Id="rId18" Type="http://schemas.openxmlformats.org/officeDocument/2006/relationships/hyperlink" Target="https://es.aliexpress.com/item/1005004231841023.html?spm=a2g0o.order_detail.order_detail_item.2.663239d31CSeuz&amp;gatewayAdapt=glo2esp" TargetMode="External"/><Relationship Id="rId26" Type="http://schemas.openxmlformats.org/officeDocument/2006/relationships/hyperlink" Target="https://super.walmart.com.mx/ip/figura-de-accion-spiderman-hasbro-titan-hero-series-miles-morales/00501099410443" TargetMode="External"/><Relationship Id="rId39" Type="http://schemas.openxmlformats.org/officeDocument/2006/relationships/hyperlink" Target="https://www.temu.com/goods.html?_bg_fs=1&amp;goods_id=601099513748010&amp;parent_order_sn=PO-128-19775750431351182&amp;add_order=1&amp;_x_sessn_id=2ms565nro4&amp;refer_page_name=bgt_order_detail&amp;refer_page_id=10045_1706166586397_zoi07124pz&amp;refer_page_sn=10045" TargetMode="External"/><Relationship Id="rId21" Type="http://schemas.openxmlformats.org/officeDocument/2006/relationships/hyperlink" Target="https://es.aliexpress.com/item/1005006065649468.html?spm=a2g0o.order_detail.order_detail_item.2.225e39d3BNcc1s&amp;gatewayAdapt=glo2esp" TargetMode="External"/><Relationship Id="rId34" Type="http://schemas.openxmlformats.org/officeDocument/2006/relationships/hyperlink" Target="https://www.amazon.com.mx/gp/product/B08V56DF3W/ref=ppx_od_dt_b_asin_image_s00?ie=UTF8&amp;th=1" TargetMode="External"/><Relationship Id="rId42" Type="http://schemas.openxmlformats.org/officeDocument/2006/relationships/hyperlink" Target="https://es.aliexpress.com/item/1005006224932261.html?spm=a2g0o.order_detail.order_detail_item.2.1b1939d3SLMDkN&amp;gatewayAdapt=glo2esp" TargetMode="External"/><Relationship Id="rId47" Type="http://schemas.openxmlformats.org/officeDocument/2006/relationships/hyperlink" Target="https://es.aliexpress.com/item/1005004243152180.html?spm=a2g0o.order_detail.order_detail_item.2.19c039d3DqETqL&amp;gatewayAdapt=glo2esp" TargetMode="External"/><Relationship Id="rId50" Type="http://schemas.openxmlformats.org/officeDocument/2006/relationships/hyperlink" Target="https://es.aliexpress.com/item/1005005562264346.html?spm=a2g0o.order_detail.order_detail_item.2.310039d3tm9jiE&amp;gatewayAdapt=glo2esp" TargetMode="External"/><Relationship Id="rId55" Type="http://schemas.openxmlformats.org/officeDocument/2006/relationships/hyperlink" Target="https://es.aliexpress.com/item/1005006287310466.html?spm=a2g0o.order_detail.order_detail_item.2.2dcc39d3Hnd8Ur&amp;gatewayAdapt=glo2esp" TargetMode="External"/><Relationship Id="rId7" Type="http://schemas.openxmlformats.org/officeDocument/2006/relationships/hyperlink" Target="https://super.walmart.com.mx/ip/muneca-lol-surprise-tot-hermanita-y-mascota-varios-modelos-1-pieza/00003505198559" TargetMode="External"/><Relationship Id="rId2" Type="http://schemas.openxmlformats.org/officeDocument/2006/relationships/hyperlink" Target="https://www.amazon.com.mx/gp/product/B0BC16RFZL/ref=ppx_od_dt_b_asin_image_s00?ie=UTF8&amp;psc=1" TargetMode="External"/><Relationship Id="rId16" Type="http://schemas.openxmlformats.org/officeDocument/2006/relationships/hyperlink" Target="https://es.aliexpress.com/item/1005005671344398.html?spm=a2g0o.order_detail.order_detail_item.2.3d6039d3cbIXeM&amp;gatewayAdapt=glo2esp" TargetMode="External"/><Relationship Id="rId29" Type="http://schemas.openxmlformats.org/officeDocument/2006/relationships/hyperlink" Target="https://www.temu.com/goods.html?_bg_fs=1&amp;goods_id=601099514236832&amp;_x_sessn_id=2ms565nro4&amp;refer_page_name=bgt_order_detail&amp;refer_page_id=10045_1706166055259_lq815v17bx&amp;refer_page_sn=10045" TargetMode="External"/><Relationship Id="rId11" Type="http://schemas.openxmlformats.org/officeDocument/2006/relationships/hyperlink" Target="https://super.walmart.com.mx/ip/set-de-juego-hasbro-play-doh-color-pack-varios-colores-1-pza/00501099616214" TargetMode="External"/><Relationship Id="rId24" Type="http://schemas.openxmlformats.org/officeDocument/2006/relationships/hyperlink" Target="https://super.walmart.com.mx/ip/figura-flex-changers-hasbro-transformers-rise-of-the-beasts-6-pulgadas-varios-modelos-1-pieza/00501099412528" TargetMode="External"/><Relationship Id="rId32" Type="http://schemas.openxmlformats.org/officeDocument/2006/relationships/hyperlink" Target="https://www.temu.com/goods.html?_bg_fs=1&amp;goods_id=601099534162062&amp;_x_sessn_id=2ms565nro4&amp;refer_page_name=bgt_order_detail&amp;refer_page_id=10045_1706166383625_g2vm7d390s&amp;refer_page_sn=10045" TargetMode="External"/><Relationship Id="rId37" Type="http://schemas.openxmlformats.org/officeDocument/2006/relationships/hyperlink" Target="https://www.amazon.com.mx/gp/product/B07RJ328PM/ref=ppx_od_dt_b_asin_image_s00?ie=UTF8&amp;th=1" TargetMode="External"/><Relationship Id="rId40" Type="http://schemas.openxmlformats.org/officeDocument/2006/relationships/hyperlink" Target="https://www.temu.com/goods.html?_bg_fs=1&amp;goods_id=601099526061825&amp;parent_order_sn=PO-128-19775750431351182&amp;add_order=1&amp;_x_sessn_id=2ms565nro4&amp;refer_page_name=bgt_order_detail&amp;refer_page_id=10045_1706166678259_2kptxqnaa9&amp;refer_page_sn=10045" TargetMode="External"/><Relationship Id="rId45" Type="http://schemas.openxmlformats.org/officeDocument/2006/relationships/hyperlink" Target="https://es.aliexpress.com/item/4000918169517.html?spm=a2g0o.order_detail.order_detail_item.2.32db39d3lTE4si&amp;gatewayAdapt=glo2esp" TargetMode="External"/><Relationship Id="rId53" Type="http://schemas.openxmlformats.org/officeDocument/2006/relationships/hyperlink" Target="https://es.aliexpress.com/item/1005006342209075.html?spm=a2g0o.order_detail.order_detail_item.2.f3b939d3P2YYOU&amp;gatewayAdapt=glo2esp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.mx/gp/product/B08WZ7F48H/ref=ppx_od_dt_b_asin_title_s00?ie=UTF8&amp;psc=1" TargetMode="External"/><Relationship Id="rId61" Type="http://schemas.openxmlformats.org/officeDocument/2006/relationships/comments" Target="../comments1.xml"/><Relationship Id="rId19" Type="http://schemas.openxmlformats.org/officeDocument/2006/relationships/hyperlink" Target="https://es.aliexpress.com/item/1005004546618384.html?spm=a2g0o.order_detail.order_detail_item.2.458939d3lVWlxx&amp;gatewayAdapt=glo2esp" TargetMode="External"/><Relationship Id="rId14" Type="http://schemas.openxmlformats.org/officeDocument/2006/relationships/hyperlink" Target="https://es.aliexpress.com/item/1005004460324605.html?spm=a2g0o.order_detail.order_detail_item.2.6b8639d3LEYOvY&amp;gatewayAdapt=glo2esp" TargetMode="External"/><Relationship Id="rId22" Type="http://schemas.openxmlformats.org/officeDocument/2006/relationships/hyperlink" Target="https://www.amazon.com.mx/gp/product/B0CHJ2BX26/ref=ppx_od_dt_b_asin_image_s00?ie=UTF8&amp;psc=1" TargetMode="External"/><Relationship Id="rId27" Type="http://schemas.openxmlformats.org/officeDocument/2006/relationships/hyperlink" Target="https://super.walmart.com.mx/ip/figura-hulk-gamma-smasher-hasbro-marvel-mechstrike/00501099613121" TargetMode="External"/><Relationship Id="rId30" Type="http://schemas.openxmlformats.org/officeDocument/2006/relationships/hyperlink" Target="https://www.temu.com/goods.html?_bg_fs=1&amp;goods_id=601099517529082&amp;_x_sessn_id=2ms565nro4&amp;refer_page_name=bgt_order_detail&amp;refer_page_id=10045_1706166190959_xehffqmob6&amp;refer_page_sn=10045" TargetMode="External"/><Relationship Id="rId35" Type="http://schemas.openxmlformats.org/officeDocument/2006/relationships/hyperlink" Target="https://www.amazon.com.mx/gp/product/B07Y957Q8T/ref=ppx_od_dt_b_asin_image_s00?ie=UTF8&amp;th=1" TargetMode="External"/><Relationship Id="rId43" Type="http://schemas.openxmlformats.org/officeDocument/2006/relationships/hyperlink" Target="https://www.aliexpress.com/item/1005005677601070.html?spm=a2g0o.order_detail.order_detail_item.3.41c8f19cXnWxdV" TargetMode="External"/><Relationship Id="rId48" Type="http://schemas.openxmlformats.org/officeDocument/2006/relationships/hyperlink" Target="https://es.aliexpress.com/item/4000761611088.html?spm=a2g0o.order_detail.order_detail_item.2.697739d3TJZkWc&amp;gatewayAdapt=glo2esp" TargetMode="External"/><Relationship Id="rId56" Type="http://schemas.openxmlformats.org/officeDocument/2006/relationships/hyperlink" Target="https://www.aliexpress.com/item/1005004460324605.html?spm=a2g0o.order_detail.order_detail_item.2.6536f19c6GUPRN" TargetMode="External"/><Relationship Id="rId8" Type="http://schemas.openxmlformats.org/officeDocument/2006/relationships/hyperlink" Target="https://super.walmart.com.mx/ip/muneca-lol-surprise-tot-y-mascota-varios-modelos-1-pieza/00003505198554" TargetMode="External"/><Relationship Id="rId51" Type="http://schemas.openxmlformats.org/officeDocument/2006/relationships/hyperlink" Target="https://es.aliexpress.com/item/1005006191929693.html?spm=a2g0o.order_detail.order_detail_item.2.1f4f39d3tX5j0N&amp;gatewayAdapt=glo2esp" TargetMode="External"/><Relationship Id="rId3" Type="http://schemas.openxmlformats.org/officeDocument/2006/relationships/hyperlink" Target="https://www.amazon.com.mx/gp/product/B0B9G524LR/ref=ppx_od_dt_b_asin_image_s00?ie=UTF8&amp;th=1" TargetMode="External"/><Relationship Id="rId12" Type="http://schemas.openxmlformats.org/officeDocument/2006/relationships/hyperlink" Target="https://super.walmart.com.mx/ip/set-de-juego-hasbro-play-doh-delicias-heladas/00063050928847" TargetMode="External"/><Relationship Id="rId17" Type="http://schemas.openxmlformats.org/officeDocument/2006/relationships/hyperlink" Target="https://es.aliexpress.com/item/1005005425887460.html?spm=a2g0o.order_detail.order_detail_item.2.28f239d3E9Xz5U&amp;gatewayAdapt=glo2esp" TargetMode="External"/><Relationship Id="rId25" Type="http://schemas.openxmlformats.org/officeDocument/2006/relationships/hyperlink" Target="https://super.walmart.com.mx/ip/muneca-baby-alive-hasbro-bebe-spa-cabello-rubio-multicolor/00501099415662" TargetMode="External"/><Relationship Id="rId33" Type="http://schemas.openxmlformats.org/officeDocument/2006/relationships/hyperlink" Target="https://www.temu.com/goods.html?_bg_fs=1&amp;goods_id=601099538556130&amp;_x_sessn_id=2ms565nro4&amp;refer_page_name=bgt_order_detail&amp;refer_page_id=10045_1706166423964_nvj3dsm2mk&amp;refer_page_sn=10045" TargetMode="External"/><Relationship Id="rId38" Type="http://schemas.openxmlformats.org/officeDocument/2006/relationships/hyperlink" Target="https://www.amazon.com.mx/gp/product/B07RNW3HRF/ref=ppx_od_dt_b_asin_image_s00?ie=UTF8&amp;th=1" TargetMode="External"/><Relationship Id="rId46" Type="http://schemas.openxmlformats.org/officeDocument/2006/relationships/hyperlink" Target="https://es.aliexpress.com/item/1005005167441258.html?spm=a2g0o.order_detail.order_detail_item.2.5c4639d3wtk9Qb&amp;gatewayAdapt=glo2esp" TargetMode="External"/><Relationship Id="rId59" Type="http://schemas.openxmlformats.org/officeDocument/2006/relationships/vmlDrawing" Target="../drawings/vmlDrawing1.vml"/><Relationship Id="rId20" Type="http://schemas.openxmlformats.org/officeDocument/2006/relationships/hyperlink" Target="https://es.aliexpress.com/item/1005005677601070.html?spm=a2g0o.order_detail.order_detail_item.2.692f39d3OKjwpl&amp;gatewayAdapt=glo2esp" TargetMode="External"/><Relationship Id="rId41" Type="http://schemas.openxmlformats.org/officeDocument/2006/relationships/hyperlink" Target="https://www.temu.com/goods.html?_bg_fs=1&amp;goods_id=601099535340436&amp;parent_order_sn=PO-128-19775750431351182&amp;add_order=1&amp;_x_sessn_id=2ms565nro4&amp;refer_page_name=bgt_order_detail&amp;refer_page_id=10045_1706166719330_gz138apq88&amp;refer_page_sn=10045" TargetMode="External"/><Relationship Id="rId54" Type="http://schemas.openxmlformats.org/officeDocument/2006/relationships/hyperlink" Target="https://es.aliexpress.com/item/1005005952585847.html?spm=a2g0o.order_detail.order_detail_item.2.2ac639d3e4YMbY&amp;gatewayAdapt=glo2esp" TargetMode="External"/><Relationship Id="rId1" Type="http://schemas.openxmlformats.org/officeDocument/2006/relationships/hyperlink" Target="https://www.amazon.com.mx/gp/product/B07P632XVX/ref=ppx_od_dt_b_asin_title_s00?ie=UTF8&amp;th=1" TargetMode="External"/><Relationship Id="rId6" Type="http://schemas.openxmlformats.org/officeDocument/2006/relationships/hyperlink" Target="https://www.amazon.com.mx/gp/product/B0BRT7C2ZK/ref=ppx_od_dt_b_asin_image_s00?ie=UTF8&amp;th=1" TargetMode="External"/><Relationship Id="rId15" Type="http://schemas.openxmlformats.org/officeDocument/2006/relationships/hyperlink" Target="https://es.aliexpress.com/item/1005006224932261.html?spm=a2g0o.order_detail.order_detail_item.2.7e3639d3is9fZe&amp;gatewayAdapt=glo2esp" TargetMode="External"/><Relationship Id="rId23" Type="http://schemas.openxmlformats.org/officeDocument/2006/relationships/hyperlink" Target="https://super.walmart.com.mx/ip/figura-de-accion-hasbro-transformers-best-aliance-varios-modelos-1-pieza/00501099412522" TargetMode="External"/><Relationship Id="rId28" Type="http://schemas.openxmlformats.org/officeDocument/2006/relationships/hyperlink" Target="https://super.walmart.com.mx/ip/muneca-cry-babies-bebe-rosa-varios-modelos-1-pieza/00073000201343" TargetMode="External"/><Relationship Id="rId36" Type="http://schemas.openxmlformats.org/officeDocument/2006/relationships/hyperlink" Target="https://www.amazon.com.mx/gp/product/B07RJ2HMVB/ref=ppx_od_dt_b_asin_image_s00?ie=UTF8&amp;th=1" TargetMode="External"/><Relationship Id="rId49" Type="http://schemas.openxmlformats.org/officeDocument/2006/relationships/hyperlink" Target="https://es.aliexpress.com/item/1005005931727671.html?spm=a2g0o.order_detail.order_detail_item.3.6e4c39d3j344KE&amp;gatewayAdapt=glo2esp" TargetMode="External"/><Relationship Id="rId57" Type="http://schemas.openxmlformats.org/officeDocument/2006/relationships/hyperlink" Target="https://www.aliexpress.com/item/1005004460324605.html?spm=a2g0o.order_detail.order_detail_item.6.6536f19c6GUPRN" TargetMode="External"/><Relationship Id="rId10" Type="http://schemas.openxmlformats.org/officeDocument/2006/relationships/hyperlink" Target="https://super.walmart.com.mx/ip/set-de-juegos-hasbro-play-doh-primeras-creaciones-con-la-rana/00501099420838" TargetMode="External"/><Relationship Id="rId31" Type="http://schemas.openxmlformats.org/officeDocument/2006/relationships/hyperlink" Target="https://www.temu.com/goods.html?_bg_fs=1&amp;goods_id=601099537267918&amp;_x_sessn_id=2ms565nro4&amp;refer_page_name=bgt_order_detail&amp;refer_page_id=10045_1706166276057_kho072zq0i&amp;refer_page_sn=10045" TargetMode="External"/><Relationship Id="rId44" Type="http://schemas.openxmlformats.org/officeDocument/2006/relationships/hyperlink" Target="https://www.aliexpress.com/item/1005006065659410.html?spm=a2g0o.order_detail.order_detail_item.3.69b5f19cXMoSVO" TargetMode="External"/><Relationship Id="rId52" Type="http://schemas.openxmlformats.org/officeDocument/2006/relationships/hyperlink" Target="https://es.aliexpress.com/item/1005006023083177.html?spm=a2g0o.order_detail.order_detail_item.2.710539d33PsjMI&amp;gatewayAdapt=glo2esp" TargetMode="External"/><Relationship Id="rId60" Type="http://schemas.openxmlformats.org/officeDocument/2006/relationships/image" Target="../media/image1.png"/><Relationship Id="rId4" Type="http://schemas.openxmlformats.org/officeDocument/2006/relationships/hyperlink" Target="https://www.amazon.com.mx/gp/product/B0CDQ2CC55/ref=ppx_od_dt_b_asin_image_s00?ie=UTF8&amp;psc=1" TargetMode="External"/><Relationship Id="rId9" Type="http://schemas.openxmlformats.org/officeDocument/2006/relationships/hyperlink" Target="https://super.walmart.com.mx/ip/figura-de-accion-marvel-mech-strike-hasbro-ironman-y-ironstomper-10-cm/00501099418509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r8n5nt9GZ0HsgTsFzczMZAmXU_ZvC7PM/view?usp=drive_link" TargetMode="External"/><Relationship Id="rId21" Type="http://schemas.openxmlformats.org/officeDocument/2006/relationships/hyperlink" Target="https://drive.google.com/file/d/17ERzy6077Lb0VeLfJsCMJF0I99xUdeQJ/view?usp=drive_link" TargetMode="External"/><Relationship Id="rId42" Type="http://schemas.openxmlformats.org/officeDocument/2006/relationships/hyperlink" Target="https://drive.google.com/file/d/1XQOGiHLNRCrm-Xe2GSizgJYScOIWfYsn/view?usp=drive_link" TargetMode="External"/><Relationship Id="rId63" Type="http://schemas.openxmlformats.org/officeDocument/2006/relationships/hyperlink" Target="https://drive.google.com/file/d/1i9ytMGgZARylYUac3nfXkbXT3yi1Na2P/view?usp=drive_link" TargetMode="External"/><Relationship Id="rId84" Type="http://schemas.openxmlformats.org/officeDocument/2006/relationships/hyperlink" Target="https://drive.google.com/file/d/1Eunqu5mWPYSLkwGHWQaDGJyDAJqSM0aW/view?usp=drive_link" TargetMode="External"/><Relationship Id="rId138" Type="http://schemas.openxmlformats.org/officeDocument/2006/relationships/hyperlink" Target="https://drive.google.com/file/d/188RajXyH_QxtWC4v27w4gahvtsDk4ANi/view?usp=drive_link" TargetMode="External"/><Relationship Id="rId107" Type="http://schemas.openxmlformats.org/officeDocument/2006/relationships/hyperlink" Target="https://drive.google.com/file/d/11pkuGwKZRCZTsC6fo79LhzlkWBNDUzJP/view?usp=drive_link" TargetMode="External"/><Relationship Id="rId11" Type="http://schemas.openxmlformats.org/officeDocument/2006/relationships/hyperlink" Target="https://drive.google.com/file/d/17mDh7CCuNNfVyJ83OzbIM23Z1-LT13kZ/view?usp=drive_link" TargetMode="External"/><Relationship Id="rId32" Type="http://schemas.openxmlformats.org/officeDocument/2006/relationships/hyperlink" Target="https://drive.google.com/file/d/1Vs2itWh9pYUBQLp3yqo0t4xZvSxVRr1E/view?usp=drive_link" TargetMode="External"/><Relationship Id="rId53" Type="http://schemas.openxmlformats.org/officeDocument/2006/relationships/hyperlink" Target="https://drive.google.com/file/d/1QHr3vStj8bxedCtJaXUlt1N9KoLZMwhE/view?usp=drive_link" TargetMode="External"/><Relationship Id="rId74" Type="http://schemas.openxmlformats.org/officeDocument/2006/relationships/hyperlink" Target="https://drive.google.com/file/d/1IeQHO1rnLo3eZMeiWUkc_cqAAGSrrhzF/view?usp=drive_link" TargetMode="External"/><Relationship Id="rId128" Type="http://schemas.openxmlformats.org/officeDocument/2006/relationships/hyperlink" Target="https://drive.google.com/file/d/1IjoSE2xi398_5OhNTmRHX7NtpsGiGL8q/view?usp=drive_link" TargetMode="External"/><Relationship Id="rId149" Type="http://schemas.openxmlformats.org/officeDocument/2006/relationships/hyperlink" Target="https://drive.google.com/file/d/1TUvHVMoQqnwZxEzb3K8V_qVbMD7_xl-1/view?usp=drive_link" TargetMode="External"/><Relationship Id="rId5" Type="http://schemas.openxmlformats.org/officeDocument/2006/relationships/hyperlink" Target="https://drive.google.com/file/d/1dM__t95kLr_XagWNQouVASETI0AAaxk-/view?usp=drive_link" TargetMode="External"/><Relationship Id="rId95" Type="http://schemas.openxmlformats.org/officeDocument/2006/relationships/hyperlink" Target="https://drive.google.com/file/d/1_Fo7fOC2tutf20g-Xj2TeY8wzxb6jlX5/view?usp=drive_link" TargetMode="External"/><Relationship Id="rId22" Type="http://schemas.openxmlformats.org/officeDocument/2006/relationships/hyperlink" Target="https://drive.google.com/file/d/178A-Sm-he1AWeKOo1ISOFGH95P7sAvOm/view?usp=drive_link" TargetMode="External"/><Relationship Id="rId27" Type="http://schemas.openxmlformats.org/officeDocument/2006/relationships/hyperlink" Target="https://drive.google.com/file/d/1pxcH9M-wDYbIBf2jc4fJ8FWV4qTi9zvS/view?usp=drive_link" TargetMode="External"/><Relationship Id="rId43" Type="http://schemas.openxmlformats.org/officeDocument/2006/relationships/hyperlink" Target="https://drive.google.com/file/d/1MRMk6Qa5p17EBOMYy4ZcmeRhrhoYiGs6/view?usp=drive_link" TargetMode="External"/><Relationship Id="rId48" Type="http://schemas.openxmlformats.org/officeDocument/2006/relationships/hyperlink" Target="https://drive.google.com/file/d/12BCc3b33HDOU7ZgJcylwqIzMzDkAxOnF/view?usp=drive_link" TargetMode="External"/><Relationship Id="rId64" Type="http://schemas.openxmlformats.org/officeDocument/2006/relationships/hyperlink" Target="https://drive.google.com/file/d/1HXWDkf5EyGVGSxeU4w6myGlouqPHNJJt/view?usp=drive_link" TargetMode="External"/><Relationship Id="rId69" Type="http://schemas.openxmlformats.org/officeDocument/2006/relationships/hyperlink" Target="https://drive.google.com/file/d/1TlJK0pCwp3YT_5dlGwvOzzEf_QNGv_QY/view?usp=drive_link" TargetMode="External"/><Relationship Id="rId113" Type="http://schemas.openxmlformats.org/officeDocument/2006/relationships/hyperlink" Target="https://drive.google.com/file/d/1hH-4dFnjaPF-dx6JSxu5KG0AP6UxmGaa/view?usp=drive_link" TargetMode="External"/><Relationship Id="rId118" Type="http://schemas.openxmlformats.org/officeDocument/2006/relationships/hyperlink" Target="https://drive.google.com/file/d/1StnCC3aAaE3DsQwGXdzCJ7oapJBE3zBe/view?usp=drive_link" TargetMode="External"/><Relationship Id="rId134" Type="http://schemas.openxmlformats.org/officeDocument/2006/relationships/hyperlink" Target="https://drive.google.com/file/d/1ErynbWSfRNYOvn2gSJ8JcjOPGsHT3TBd/view?usp=drive_link" TargetMode="External"/><Relationship Id="rId139" Type="http://schemas.openxmlformats.org/officeDocument/2006/relationships/hyperlink" Target="https://drive.google.com/file/d/1U7X8rVdVaNh1HpSrNF8Mu3jmIIwaotnh/view?usp=drive_link" TargetMode="External"/><Relationship Id="rId80" Type="http://schemas.openxmlformats.org/officeDocument/2006/relationships/hyperlink" Target="https://drive.google.com/file/d/10Xg-jBtqtD2ygfNh8ceWSTeVUYB27-uI/view?usp=drive_link" TargetMode="External"/><Relationship Id="rId85" Type="http://schemas.openxmlformats.org/officeDocument/2006/relationships/hyperlink" Target="https://drive.google.com/file/d/1DKoCljc_Y20So64Ar_ovaSdF9Zcl_0j_/view?usp=drive_link" TargetMode="External"/><Relationship Id="rId150" Type="http://schemas.openxmlformats.org/officeDocument/2006/relationships/hyperlink" Target="https://drive.google.com/file/d/16ZHfCzFUTqTLdAg7aOAZD4skquFk2mo-/view?usp=drive_link" TargetMode="External"/><Relationship Id="rId12" Type="http://schemas.openxmlformats.org/officeDocument/2006/relationships/hyperlink" Target="https://drive.google.com/file/d/1MX1VVO6yi9qGXdnb88ovHxFoqa6qbLoT/view?usp=drive_link" TargetMode="External"/><Relationship Id="rId17" Type="http://schemas.openxmlformats.org/officeDocument/2006/relationships/hyperlink" Target="https://drive.google.com/file/d/1iecnYxu6Xy64e6egkyYIlAjeK-jC8y9Y/view?usp=drive_link" TargetMode="External"/><Relationship Id="rId33" Type="http://schemas.openxmlformats.org/officeDocument/2006/relationships/hyperlink" Target="https://drive.google.com/file/d/1Vs2itWh9pYUBQLp3yqo0t4xZvSxVRr1E/view?usp=drive_link" TargetMode="External"/><Relationship Id="rId38" Type="http://schemas.openxmlformats.org/officeDocument/2006/relationships/hyperlink" Target="https://drive.google.com/file/d/1U7X8rVdVaNh1HpSrNF8Mu3jmIIwaotnh/view?usp=drive_link" TargetMode="External"/><Relationship Id="rId59" Type="http://schemas.openxmlformats.org/officeDocument/2006/relationships/hyperlink" Target="https://drive.google.com/file/d/1DsUZDRujltM8JQ9Z0Et9HLNCjUBIUSMi/view?usp=drive_link" TargetMode="External"/><Relationship Id="rId103" Type="http://schemas.openxmlformats.org/officeDocument/2006/relationships/hyperlink" Target="https://drive.google.com/file/d/1TmvnPNrmko1gBhDLklwKiEdDWBJTdkI4/view?usp=drive_link" TargetMode="External"/><Relationship Id="rId108" Type="http://schemas.openxmlformats.org/officeDocument/2006/relationships/hyperlink" Target="https://drive.google.com/file/d/1Cd77PT37nW0arncm7PKkzQAoJTBjNOUB/view?usp=drive_link" TargetMode="External"/><Relationship Id="rId124" Type="http://schemas.openxmlformats.org/officeDocument/2006/relationships/hyperlink" Target="https://drive.google.com/file/d/1_CrAOfTNUujguBbSw8eoqEh2ElYFZYn2/view?usp=drive_link" TargetMode="External"/><Relationship Id="rId129" Type="http://schemas.openxmlformats.org/officeDocument/2006/relationships/hyperlink" Target="https://drive.google.com/file/d/1Uj6ELoqY1f4BnyNDeBqGDUK2fJLf3KYb/view?usp=drive_link" TargetMode="External"/><Relationship Id="rId54" Type="http://schemas.openxmlformats.org/officeDocument/2006/relationships/hyperlink" Target="https://drive.google.com/file/d/14fZuVsa_gBy6e_eBl5AY060wwlbz3cXB/view?usp=drive_link" TargetMode="External"/><Relationship Id="rId70" Type="http://schemas.openxmlformats.org/officeDocument/2006/relationships/hyperlink" Target="https://drive.google.com/file/d/1uebk1ukdKqrq0PQfhYLS8kuzQQ4247ix/view?usp=drive_link" TargetMode="External"/><Relationship Id="rId75" Type="http://schemas.openxmlformats.org/officeDocument/2006/relationships/hyperlink" Target="https://drive.google.com/file/d/1BACw8VpxluqgebhqAn3QLg7GycQyiQdr/view?usp=drive_link" TargetMode="External"/><Relationship Id="rId91" Type="http://schemas.openxmlformats.org/officeDocument/2006/relationships/hyperlink" Target="https://drive.google.com/file/d/11asIaR3lZy-b7IzekSItvWtxx6PqwOw_/view?usp=drive_link" TargetMode="External"/><Relationship Id="rId96" Type="http://schemas.openxmlformats.org/officeDocument/2006/relationships/hyperlink" Target="https://drive.google.com/file/d/1_Fo7fOC2tutf20g-Xj2TeY8wzxb6jlX5/view?usp=drive_link" TargetMode="External"/><Relationship Id="rId140" Type="http://schemas.openxmlformats.org/officeDocument/2006/relationships/hyperlink" Target="https://drive.google.com/file/d/1U7X8rVdVaNh1HpSrNF8Mu3jmIIwaotnh/view?usp=drive_link" TargetMode="External"/><Relationship Id="rId145" Type="http://schemas.openxmlformats.org/officeDocument/2006/relationships/hyperlink" Target="https://drive.google.com/file/d/1zWpdYvZl-1aPbq4nquzJ6s8S_1Nz914u/view?usp=drive_link" TargetMode="External"/><Relationship Id="rId1" Type="http://schemas.openxmlformats.org/officeDocument/2006/relationships/hyperlink" Target="https://drive.google.com/file/d/1WEGm7g5Ayx9n9TVfP8IVpVK14rgTXYr_/view?usp=drive_link" TargetMode="External"/><Relationship Id="rId6" Type="http://schemas.openxmlformats.org/officeDocument/2006/relationships/hyperlink" Target="https://drive.google.com/file/d/1koKoTjA6QZHQuxC8qC351ciXswGiI3tT/view?usp=drive_link" TargetMode="External"/><Relationship Id="rId23" Type="http://schemas.openxmlformats.org/officeDocument/2006/relationships/hyperlink" Target="https://drive.google.com/file/d/16sD19vusLvAmj1FZwAhNPfQuL526yKFS/view?usp=drive_link" TargetMode="External"/><Relationship Id="rId28" Type="http://schemas.openxmlformats.org/officeDocument/2006/relationships/hyperlink" Target="https://drive.google.com/file/d/11Fnnk2kmeSEJ65wcYUd9Cw7ow9Lr_d_a/view?usp=drive_link" TargetMode="External"/><Relationship Id="rId49" Type="http://schemas.openxmlformats.org/officeDocument/2006/relationships/hyperlink" Target="https://drive.google.com/file/d/1NBOmYUHwmf6V9zYNfpQf0khl-51d_nNo/view?usp=drive_link" TargetMode="External"/><Relationship Id="rId114" Type="http://schemas.openxmlformats.org/officeDocument/2006/relationships/hyperlink" Target="https://drive.google.com/file/d/1jTD9R86pRBgEU6qb3B0ssy4lL494P8a4/view?usp=drive_link" TargetMode="External"/><Relationship Id="rId119" Type="http://schemas.openxmlformats.org/officeDocument/2006/relationships/hyperlink" Target="https://drive.google.com/file/d/1TX86syc5Ulo2jk11W-mtROyAAxDxwmeX/view?usp=drive_link" TargetMode="External"/><Relationship Id="rId44" Type="http://schemas.openxmlformats.org/officeDocument/2006/relationships/hyperlink" Target="https://drive.google.com/file/d/1z6CPtH5m5cUoCAyq_3GCzPlberK3TP9A/view?usp=drive_link" TargetMode="External"/><Relationship Id="rId60" Type="http://schemas.openxmlformats.org/officeDocument/2006/relationships/hyperlink" Target="https://drive.google.com/file/d/1X6qLnd4KlIDpuy3UxD4PjZ2uAuauDNRS/view?usp=drive_link" TargetMode="External"/><Relationship Id="rId65" Type="http://schemas.openxmlformats.org/officeDocument/2006/relationships/hyperlink" Target="https://drive.google.com/file/d/1BhI-704rUlFPpQwUwTCxkKnuwo9JTOpY/view?usp=drive_link" TargetMode="External"/><Relationship Id="rId81" Type="http://schemas.openxmlformats.org/officeDocument/2006/relationships/hyperlink" Target="https://drive.google.com/file/d/10Xg-jBtqtD2ygfNh8ceWSTeVUYB27-uI/view?usp=drive_link" TargetMode="External"/><Relationship Id="rId86" Type="http://schemas.openxmlformats.org/officeDocument/2006/relationships/hyperlink" Target="https://drive.google.com/file/d/1hGGzFyHJOU7w_C4b7yi6OdKQchgGLAGZ/view?usp=drive_link" TargetMode="External"/><Relationship Id="rId130" Type="http://schemas.openxmlformats.org/officeDocument/2006/relationships/hyperlink" Target="https://drive.google.com/file/d/1HTA-pBNeIj-mFFpMl83ltnqCxVasrOZ2/view?usp=drive_link" TargetMode="External"/><Relationship Id="rId135" Type="http://schemas.openxmlformats.org/officeDocument/2006/relationships/hyperlink" Target="https://drive.google.com/file/d/1tgVWnuhmEIEcI2nkOQ-fhEJ9EzFrMV5m/view?usp=drive_link" TargetMode="External"/><Relationship Id="rId151" Type="http://schemas.openxmlformats.org/officeDocument/2006/relationships/hyperlink" Target="https://drive.google.com/file/d/1TtjlwFA9YmQNfVQBncDrrUjJ5NCHP8vD/view?usp=drive_link" TargetMode="External"/><Relationship Id="rId13" Type="http://schemas.openxmlformats.org/officeDocument/2006/relationships/hyperlink" Target="https://drive.google.com/file/d/1v_wbgfS8eO0kOXN8si0mTDWh4ThprT0Z/view?usp=drive_link" TargetMode="External"/><Relationship Id="rId18" Type="http://schemas.openxmlformats.org/officeDocument/2006/relationships/hyperlink" Target="https://drive.google.com/file/d/14KyrFK51ow_6kWZAPsBvGjH_gSeOjqIY/view?usp=drive_link" TargetMode="External"/><Relationship Id="rId39" Type="http://schemas.openxmlformats.org/officeDocument/2006/relationships/hyperlink" Target="https://drive.google.com/file/d/155N7yAfNhP1XTTUl391b9NlFyt7T2-jC/view?usp=drive_link" TargetMode="External"/><Relationship Id="rId109" Type="http://schemas.openxmlformats.org/officeDocument/2006/relationships/hyperlink" Target="https://drive.google.com/file/d/1Y2TJez0TDgc6A9_weDPvWEItkp0XFKOQ/view?usp=drive_link" TargetMode="External"/><Relationship Id="rId34" Type="http://schemas.openxmlformats.org/officeDocument/2006/relationships/hyperlink" Target="https://drive.google.com/file/d/17JFEDXwluKhKNKx7vYXHaAKAy97O6JYI/view?usp=drive_link" TargetMode="External"/><Relationship Id="rId50" Type="http://schemas.openxmlformats.org/officeDocument/2006/relationships/hyperlink" Target="https://drive.google.com/file/d/1rp7IgA0FIN-OSbu3UeawM8oaQKfWqDvS/view?usp=drive_link" TargetMode="External"/><Relationship Id="rId55" Type="http://schemas.openxmlformats.org/officeDocument/2006/relationships/hyperlink" Target="https://drive.google.com/file/d/1NBOmYUHwmf6V9zYNfpQf0khl-51d_nNo/view?usp=drive_link" TargetMode="External"/><Relationship Id="rId76" Type="http://schemas.openxmlformats.org/officeDocument/2006/relationships/hyperlink" Target="https://drive.google.com/file/d/1EgWjSc-USRRlOTgWpKnf986QiQqkSjbF/view?usp=drive_link" TargetMode="External"/><Relationship Id="rId97" Type="http://schemas.openxmlformats.org/officeDocument/2006/relationships/hyperlink" Target="https://drive.google.com/file/d/1RGR7V1McfGNxUrSSaZEJ7wPlpGuFD1Zf/view?usp=drive_link" TargetMode="External"/><Relationship Id="rId104" Type="http://schemas.openxmlformats.org/officeDocument/2006/relationships/hyperlink" Target="https://drive.google.com/file/d/1Di6fpzkPto1tObMVPqIGhN44IWq5mBMI/view?usp=drive_link" TargetMode="External"/><Relationship Id="rId120" Type="http://schemas.openxmlformats.org/officeDocument/2006/relationships/hyperlink" Target="https://drive.google.com/file/d/1TX86syc5Ulo2jk11W-mtROyAAxDxwmeX/view?usp=drive_link" TargetMode="External"/><Relationship Id="rId125" Type="http://schemas.openxmlformats.org/officeDocument/2006/relationships/hyperlink" Target="https://drive.google.com/file/d/1_CrAOfTNUujguBbSw8eoqEh2ElYFZYn2/view?usp=drive_link" TargetMode="External"/><Relationship Id="rId141" Type="http://schemas.openxmlformats.org/officeDocument/2006/relationships/hyperlink" Target="https://drive.google.com/file/d/1QLKz4jiUUAkVzuYGLfsshQEg82zrgwZf/view?usp=drive_link" TargetMode="External"/><Relationship Id="rId146" Type="http://schemas.openxmlformats.org/officeDocument/2006/relationships/hyperlink" Target="https://drive.google.com/file/d/1HRsbpNBCiEUAcXsLYMv6lCsgdpR0dVyx/view?usp=drive_link" TargetMode="External"/><Relationship Id="rId7" Type="http://schemas.openxmlformats.org/officeDocument/2006/relationships/hyperlink" Target="https://drive.google.com/file/d/17plPstcH3ZgPFuar2ku3BOu-l9fR523M/view?usp=drive_link" TargetMode="External"/><Relationship Id="rId71" Type="http://schemas.openxmlformats.org/officeDocument/2006/relationships/hyperlink" Target="https://drive.google.com/file/d/1ZYQudu6jznrnUWmk0bbaIBBqnBARMFHW/view?usp=drive_link" TargetMode="External"/><Relationship Id="rId92" Type="http://schemas.openxmlformats.org/officeDocument/2006/relationships/hyperlink" Target="https://drive.google.com/file/d/1eYa6VF2m9yoOwnu_la74_x8buZOkuLv9/view?usp=drive_link" TargetMode="External"/><Relationship Id="rId2" Type="http://schemas.openxmlformats.org/officeDocument/2006/relationships/hyperlink" Target="https://drive.google.com/file/d/1K4uSf-PeezKesRziNox8wThtQfyutx1g/view?usp=drive_link" TargetMode="External"/><Relationship Id="rId29" Type="http://schemas.openxmlformats.org/officeDocument/2006/relationships/hyperlink" Target="https://drive.google.com/file/d/1Cc16dRfUqSh9dpxBGgvmwenLSnl-Uvnz/view?usp=drive_link" TargetMode="External"/><Relationship Id="rId24" Type="http://schemas.openxmlformats.org/officeDocument/2006/relationships/hyperlink" Target="https://drive.google.com/file/d/16sD19vusLvAmj1FZwAhNPfQuL526yKFS/view?usp=drive_link" TargetMode="External"/><Relationship Id="rId40" Type="http://schemas.openxmlformats.org/officeDocument/2006/relationships/hyperlink" Target="https://drive.google.com/file/d/155N7yAfNhP1XTTUl391b9NlFyt7T2-jC/view?usp=drive_link" TargetMode="External"/><Relationship Id="rId45" Type="http://schemas.openxmlformats.org/officeDocument/2006/relationships/hyperlink" Target="https://drive.google.com/file/d/1zWpdYvZl-1aPbq4nquzJ6s8S_1Nz914u/view?usp=drive_link" TargetMode="External"/><Relationship Id="rId66" Type="http://schemas.openxmlformats.org/officeDocument/2006/relationships/hyperlink" Target="https://drive.google.com/file/d/12BCc3b33HDOU7ZgJcylwqIzMzDkAxOnF/view?usp=drive_link" TargetMode="External"/><Relationship Id="rId87" Type="http://schemas.openxmlformats.org/officeDocument/2006/relationships/hyperlink" Target="https://drive.google.com/file/d/1Y2p8pPdrNcIlxedZgaD--NcacQHqYAzV/view?usp=drive_link" TargetMode="External"/><Relationship Id="rId110" Type="http://schemas.openxmlformats.org/officeDocument/2006/relationships/hyperlink" Target="https://drive.google.com/file/d/1RsZ9atdF5TpxEhnuAbSjLUnmeOh4bjKR/view?usp=drive_link" TargetMode="External"/><Relationship Id="rId115" Type="http://schemas.openxmlformats.org/officeDocument/2006/relationships/hyperlink" Target="https://drive.google.com/file/d/1Y7rLDjgnx_QHvKk-OswUbUGuikS0nWAQ/view?usp=drive_link" TargetMode="External"/><Relationship Id="rId131" Type="http://schemas.openxmlformats.org/officeDocument/2006/relationships/hyperlink" Target="https://drive.google.com/file/d/1_u_Ha5pDH-CCSPmpHdBTFjH_d2167Wsy/view?usp=drive_link" TargetMode="External"/><Relationship Id="rId136" Type="http://schemas.openxmlformats.org/officeDocument/2006/relationships/hyperlink" Target="https://drive.google.com/file/d/188RajXyH_QxtWC4v27w4gahvtsDk4ANi/view?usp=drive_link" TargetMode="External"/><Relationship Id="rId61" Type="http://schemas.openxmlformats.org/officeDocument/2006/relationships/hyperlink" Target="https://drive.google.com/file/d/1mLPbLQ-oOwKilB6YX55JDTsqVmRNGaJ0/view?usp=drive_link" TargetMode="External"/><Relationship Id="rId82" Type="http://schemas.openxmlformats.org/officeDocument/2006/relationships/hyperlink" Target="https://drive.google.com/file/d/10Xg-jBtqtD2ygfNh8ceWSTeVUYB27-uI/view?usp=drive_link" TargetMode="External"/><Relationship Id="rId152" Type="http://schemas.openxmlformats.org/officeDocument/2006/relationships/hyperlink" Target="https://drive.google.com/file/d/10HTutVzhirvdu6U6pxWFg6azACOggmUV/view?usp=drive_link" TargetMode="External"/><Relationship Id="rId19" Type="http://schemas.openxmlformats.org/officeDocument/2006/relationships/hyperlink" Target="https://drive.google.com/file/d/10ZbzjMkUN4RUFNYFiWcQbXvKpOadtrVq/view?usp=drive_link" TargetMode="External"/><Relationship Id="rId14" Type="http://schemas.openxmlformats.org/officeDocument/2006/relationships/hyperlink" Target="https://drive.google.com/file/d/16BL47dScc9EwQaMUtg86BaRKXpGwPXiD/view?usp=drive_link" TargetMode="External"/><Relationship Id="rId30" Type="http://schemas.openxmlformats.org/officeDocument/2006/relationships/hyperlink" Target="https://drive.google.com/file/d/1Vs2itWh9pYUBQLp3yqo0t4xZvSxVRr1E/view?usp=drive_link" TargetMode="External"/><Relationship Id="rId35" Type="http://schemas.openxmlformats.org/officeDocument/2006/relationships/hyperlink" Target="https://drive.google.com/file/d/17WYrbX4Ij7XJ2k3dxZ4ZnJgow4NsMZ7f/view?usp=drive_link" TargetMode="External"/><Relationship Id="rId56" Type="http://schemas.openxmlformats.org/officeDocument/2006/relationships/hyperlink" Target="https://drive.google.com/file/d/1nSU_5SXXZ9BFjvolOQ3GtxbrSOPBO8V3/view?usp=drive_link" TargetMode="External"/><Relationship Id="rId77" Type="http://schemas.openxmlformats.org/officeDocument/2006/relationships/hyperlink" Target="https://drive.google.com/file/d/14Auci1fy8lLfRJcI149Dg--HVwe2Wx4w/view?usp=drive_link" TargetMode="External"/><Relationship Id="rId100" Type="http://schemas.openxmlformats.org/officeDocument/2006/relationships/hyperlink" Target="https://drive.google.com/file/d/1aHTRT6qQiekW4Ia9Jr8J86S8_HFlAsan/view?usp=drive_link" TargetMode="External"/><Relationship Id="rId105" Type="http://schemas.openxmlformats.org/officeDocument/2006/relationships/hyperlink" Target="https://drive.google.com/file/d/1mE9aVe9vvzYg6MdJW2f6KyPvvL3FUM6P/view?usp=drive_link" TargetMode="External"/><Relationship Id="rId126" Type="http://schemas.openxmlformats.org/officeDocument/2006/relationships/hyperlink" Target="https://drive.google.com/file/d/1_CrAOfTNUujguBbSw8eoqEh2ElYFZYn2/view?usp=drive_link" TargetMode="External"/><Relationship Id="rId147" Type="http://schemas.openxmlformats.org/officeDocument/2006/relationships/hyperlink" Target="https://drive.google.com/file/d/1ReBbLydxh9WJ26Hp8Cw5BnTmg0dTVNuP/view?usp=drive_link" TargetMode="External"/><Relationship Id="rId8" Type="http://schemas.openxmlformats.org/officeDocument/2006/relationships/hyperlink" Target="https://drive.google.com/file/d/1u1eGtByGZa_dS9GDHX0ldfcakJu5dRvQ/view?usp=drive_link" TargetMode="External"/><Relationship Id="rId51" Type="http://schemas.openxmlformats.org/officeDocument/2006/relationships/hyperlink" Target="https://drive.google.com/file/d/1l2eVhGl2c6nQ0ajZD_sqepQg_APAGmUd/view?usp=drive_link" TargetMode="External"/><Relationship Id="rId72" Type="http://schemas.openxmlformats.org/officeDocument/2006/relationships/hyperlink" Target="https://drive.google.com/file/d/1zq7BxLpLmppCS3ALBCEL_AXlateITN7j/view?usp=drive_link" TargetMode="External"/><Relationship Id="rId93" Type="http://schemas.openxmlformats.org/officeDocument/2006/relationships/hyperlink" Target="https://drive.google.com/file/d/1uggumYftjDIJyK34yDS_EooE-oFTTYlW/view?usp=drive_link" TargetMode="External"/><Relationship Id="rId98" Type="http://schemas.openxmlformats.org/officeDocument/2006/relationships/hyperlink" Target="https://drive.google.com/file/d/1Vw4DWKhuwj2SOkr96k5SFzXOPJARr57o/view?usp=drive_link" TargetMode="External"/><Relationship Id="rId121" Type="http://schemas.openxmlformats.org/officeDocument/2006/relationships/hyperlink" Target="https://drive.google.com/file/d/1BCkghRzPAaSTyKII4JsE6w9wasQCeTLX/view?usp=drive_link" TargetMode="External"/><Relationship Id="rId142" Type="http://schemas.openxmlformats.org/officeDocument/2006/relationships/hyperlink" Target="https://drive.google.com/file/d/1aqgTF6dxhXXf0Su8rsonLcsw9N-llwl_/view?usp=drive_link" TargetMode="External"/><Relationship Id="rId3" Type="http://schemas.openxmlformats.org/officeDocument/2006/relationships/hyperlink" Target="https://drive.google.com/file/d/1f3jpH-p6wE-BCd3jRUIimVeTJkSuZnpN/view?usp=drive_link" TargetMode="External"/><Relationship Id="rId25" Type="http://schemas.openxmlformats.org/officeDocument/2006/relationships/hyperlink" Target="https://drive.google.com/file/d/16rAM0yJvxTD42YGlLr4L78Lqs6ax3xWF/view?usp=drive_link" TargetMode="External"/><Relationship Id="rId46" Type="http://schemas.openxmlformats.org/officeDocument/2006/relationships/hyperlink" Target="https://drive.google.com/file/d/19cz7dqx2nnd6dYQwojdYXVHPnUbQTKXC/view?usp=drive_link" TargetMode="External"/><Relationship Id="rId67" Type="http://schemas.openxmlformats.org/officeDocument/2006/relationships/hyperlink" Target="https://drive.google.com/file/d/1CBprF6e1Wy6LhAV_4RQyW0QwPi7PxJCc/view?usp=drive_link" TargetMode="External"/><Relationship Id="rId116" Type="http://schemas.openxmlformats.org/officeDocument/2006/relationships/hyperlink" Target="https://drive.google.com/file/d/1pXFR_UYH-EvIqEqGpZ-oB0_YrQtmBHC0/view?usp=drive_link" TargetMode="External"/><Relationship Id="rId137" Type="http://schemas.openxmlformats.org/officeDocument/2006/relationships/hyperlink" Target="https://drive.google.com/file/d/188RajXyH_QxtWC4v27w4gahvtsDk4ANi/view?usp=drive_link" TargetMode="External"/><Relationship Id="rId20" Type="http://schemas.openxmlformats.org/officeDocument/2006/relationships/hyperlink" Target="https://drive.google.com/file/d/1kHTjOljky_R98fUYemeWF7k1mY0jFAqp/view?usp=drive_link" TargetMode="External"/><Relationship Id="rId41" Type="http://schemas.openxmlformats.org/officeDocument/2006/relationships/hyperlink" Target="https://drive.google.com/file/d/155N7yAfNhP1XTTUl391b9NlFyt7T2-jC/view?usp=drive_link" TargetMode="External"/><Relationship Id="rId62" Type="http://schemas.openxmlformats.org/officeDocument/2006/relationships/hyperlink" Target="https://drive.google.com/file/d/1Qt77YlMkvM-nd9YMgDmD1h8u1BkQzEUW/view?usp=drive_link" TargetMode="External"/><Relationship Id="rId83" Type="http://schemas.openxmlformats.org/officeDocument/2006/relationships/hyperlink" Target="https://drive.google.com/file/d/10Xg-jBtqtD2ygfNh8ceWSTeVUYB27-uI/view?usp=drive_link" TargetMode="External"/><Relationship Id="rId88" Type="http://schemas.openxmlformats.org/officeDocument/2006/relationships/hyperlink" Target="https://drive.google.com/file/d/1HN8IUNceANOanhTOSUh5wPdCnOLUjnJ4/view?usp=drive_link" TargetMode="External"/><Relationship Id="rId111" Type="http://schemas.openxmlformats.org/officeDocument/2006/relationships/hyperlink" Target="https://drive.google.com/file/d/1CssZcbTzaPo9SZoHx7_hyubSM_jD2DTL/view?usp=drive_link" TargetMode="External"/><Relationship Id="rId132" Type="http://schemas.openxmlformats.org/officeDocument/2006/relationships/hyperlink" Target="https://drive.google.com/file/d/1sFe-7-4KFC8MWGk4yaq2qdbT2D0Qbwsq/view?usp=drive_link" TargetMode="External"/><Relationship Id="rId153" Type="http://schemas.openxmlformats.org/officeDocument/2006/relationships/hyperlink" Target="https://drive.google.com/file/d/1HWDlIsCQMH8iQri_tbmSMp321XMd4YR1/view?usp=drive_link" TargetMode="External"/><Relationship Id="rId15" Type="http://schemas.openxmlformats.org/officeDocument/2006/relationships/hyperlink" Target="https://drive.google.com/file/d/1Mayescox3GVYQar2cyWCkWSzHmdbwY6L/view?usp=drive_link" TargetMode="External"/><Relationship Id="rId36" Type="http://schemas.openxmlformats.org/officeDocument/2006/relationships/hyperlink" Target="https://drive.google.com/file/d/125aOkAy-cX2NLXmzoSLyarvSVIUvTWM8/view?usp=drive_link" TargetMode="External"/><Relationship Id="rId57" Type="http://schemas.openxmlformats.org/officeDocument/2006/relationships/hyperlink" Target="https://drive.google.com/file/d/1ASfRwQY7OL7FYWLmIU15Q6ZmIw222nRT/view?usp=drive_link" TargetMode="External"/><Relationship Id="rId106" Type="http://schemas.openxmlformats.org/officeDocument/2006/relationships/hyperlink" Target="https://drive.google.com/file/d/1nXqgXZBQW0wFBl_6VOeyo0SVf5mJLu-m/view?usp=drive_link" TargetMode="External"/><Relationship Id="rId127" Type="http://schemas.openxmlformats.org/officeDocument/2006/relationships/hyperlink" Target="https://drive.google.com/file/d/1_CrAOfTNUujguBbSw8eoqEh2ElYFZYn2/view?usp=drive_link" TargetMode="External"/><Relationship Id="rId10" Type="http://schemas.openxmlformats.org/officeDocument/2006/relationships/hyperlink" Target="https://drive.google.com/file/d/1t1TVv3EmXt7zj0wpQqxZVufe8weOotpI/view?usp=drive_link" TargetMode="External"/><Relationship Id="rId31" Type="http://schemas.openxmlformats.org/officeDocument/2006/relationships/hyperlink" Target="https://drive.google.com/file/d/1Si7ciET8yGTqiLeBeEZKkK-sqtVipkaV/view?usp=drive_link" TargetMode="External"/><Relationship Id="rId52" Type="http://schemas.openxmlformats.org/officeDocument/2006/relationships/hyperlink" Target="https://drive.google.com/file/d/14fZuVsa_gBy6e_eBl5AY060wwlbz3cXB/view?usp=drive_link" TargetMode="External"/><Relationship Id="rId73" Type="http://schemas.openxmlformats.org/officeDocument/2006/relationships/hyperlink" Target="https://drive.google.com/file/d/1Hg-v0ryvei4aNKnyxsUckEn7jI1XY_9b/view?usp=drive_link" TargetMode="External"/><Relationship Id="rId78" Type="http://schemas.openxmlformats.org/officeDocument/2006/relationships/hyperlink" Target="https://drive.google.com/file/d/1497RfDazPNExNILfcxNEC5t8TTLOczUL/view?usp=drive_link" TargetMode="External"/><Relationship Id="rId94" Type="http://schemas.openxmlformats.org/officeDocument/2006/relationships/hyperlink" Target="https://drive.google.com/file/d/11d8EPyo7zuc0RPP6wBU4BmVmD-NP80l3/view?usp=drive_link" TargetMode="External"/><Relationship Id="rId99" Type="http://schemas.openxmlformats.org/officeDocument/2006/relationships/hyperlink" Target="https://drive.google.com/file/d/1HNSnZ4cfWpbJMxF5UgmbdbknF1-4DtDj/view?usp=drive_link" TargetMode="External"/><Relationship Id="rId101" Type="http://schemas.openxmlformats.org/officeDocument/2006/relationships/hyperlink" Target="https://drive.google.com/file/d/14CQg5VjUKCEe7klvSnU_RKlkYgEeYBfs/view?usp=drive_link" TargetMode="External"/><Relationship Id="rId122" Type="http://schemas.openxmlformats.org/officeDocument/2006/relationships/hyperlink" Target="https://drive.google.com/file/d/1tbSE2wT7mK14hlFi7enJAmbIWJG6xn1K/view?usp=drive_link" TargetMode="External"/><Relationship Id="rId143" Type="http://schemas.openxmlformats.org/officeDocument/2006/relationships/hyperlink" Target="https://drive.google.com/file/d/1kJR2vTY3aCY6NPQTbX8BH3oc84rKIPqs/view?usp=drive_link" TargetMode="External"/><Relationship Id="rId148" Type="http://schemas.openxmlformats.org/officeDocument/2006/relationships/hyperlink" Target="https://drive.google.com/file/d/1gFvJp7e06iK4DZ4mwNCWKFDoZrpiE09R/view?usp=drive_link" TargetMode="External"/><Relationship Id="rId4" Type="http://schemas.openxmlformats.org/officeDocument/2006/relationships/hyperlink" Target="https://drive.google.com/file/d/13hqRfzu6y6NFa39R1wbnQ0CwpQ3NdoGa/view?usp=drive_link" TargetMode="External"/><Relationship Id="rId9" Type="http://schemas.openxmlformats.org/officeDocument/2006/relationships/hyperlink" Target="https://drive.google.com/file/d/1LyYXmIBtlht08vBYQBLTErlEbNPv7e4e/view?usp=drive_link" TargetMode="External"/><Relationship Id="rId26" Type="http://schemas.openxmlformats.org/officeDocument/2006/relationships/hyperlink" Target="https://drive.google.com/file/d/1iP5Fjw2SAmI0Cq1MXaBR694CSN7KiePl/view?usp=drive_link" TargetMode="External"/><Relationship Id="rId47" Type="http://schemas.openxmlformats.org/officeDocument/2006/relationships/hyperlink" Target="https://drive.google.com/file/d/1CBprF6e1Wy6LhAV_4RQyW0QwPi7PxJCc/view?usp=drive_link" TargetMode="External"/><Relationship Id="rId68" Type="http://schemas.openxmlformats.org/officeDocument/2006/relationships/hyperlink" Target="https://drive.google.com/file/d/1njvnne2hLduKfyPJoxPt5_TBX8_fHctc/view?usp=drive_link" TargetMode="External"/><Relationship Id="rId89" Type="http://schemas.openxmlformats.org/officeDocument/2006/relationships/hyperlink" Target="https://drive.google.com/file/d/1vB2b6kL4xD2yEG9_ta_Z5sedTLAxSR0I/view?usp=drive_link" TargetMode="External"/><Relationship Id="rId112" Type="http://schemas.openxmlformats.org/officeDocument/2006/relationships/hyperlink" Target="https://drive.google.com/file/d/1TUvHVMoQqnwZxEzb3K8V_qVbMD7_xl-1/view?usp=drive_link" TargetMode="External"/><Relationship Id="rId133" Type="http://schemas.openxmlformats.org/officeDocument/2006/relationships/hyperlink" Target="https://drive.google.com/file/d/14ncHiedllnSQWhriDIPuM7C9ZW4AJMZI/view?usp=drive_link" TargetMode="External"/><Relationship Id="rId154" Type="http://schemas.openxmlformats.org/officeDocument/2006/relationships/image" Target="../media/image1.png"/><Relationship Id="rId16" Type="http://schemas.openxmlformats.org/officeDocument/2006/relationships/hyperlink" Target="https://drive.google.com/file/d/1vCYyK8Dl_ysUKRT-d00Ob8vhOs4uXarh/view?usp=drive_link" TargetMode="External"/><Relationship Id="rId37" Type="http://schemas.openxmlformats.org/officeDocument/2006/relationships/hyperlink" Target="https://drive.google.com/file/d/1U7X8rVdVaNh1HpSrNF8Mu3jmIIwaotnh/view?usp=drive_link" TargetMode="External"/><Relationship Id="rId58" Type="http://schemas.openxmlformats.org/officeDocument/2006/relationships/hyperlink" Target="https://drive.google.com/file/d/12jeqJaTtohh-z7Dlg2fJ6WoRIbB1G1Zh/view?usp=drive_link" TargetMode="External"/><Relationship Id="rId79" Type="http://schemas.openxmlformats.org/officeDocument/2006/relationships/hyperlink" Target="https://drive.google.com/file/d/1IeQHO1rnLo3eZMeiWUkc_cqAAGSrrhzF/view?usp=drive_link" TargetMode="External"/><Relationship Id="rId102" Type="http://schemas.openxmlformats.org/officeDocument/2006/relationships/hyperlink" Target="https://drive.google.com/file/d/1497RfDazPNExNILfcxNEC5t8TTLOczUL/view?usp=drive_link" TargetMode="External"/><Relationship Id="rId123" Type="http://schemas.openxmlformats.org/officeDocument/2006/relationships/hyperlink" Target="https://drive.google.com/file/d/1_u_Ha5pDH-CCSPmpHdBTFjH_d2167Wsy/view?usp=drive_link" TargetMode="External"/><Relationship Id="rId144" Type="http://schemas.openxmlformats.org/officeDocument/2006/relationships/hyperlink" Target="https://drive.google.com/file/d/14vW3ztFCtAzw7RN1G3AwrvzZYTfWREIx/view?usp=drive_link" TargetMode="External"/><Relationship Id="rId90" Type="http://schemas.openxmlformats.org/officeDocument/2006/relationships/hyperlink" Target="https://drive.google.com/file/d/1Hx3KZvRlUeNsepPdtt-Hlx7UEhhP2cfd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0"/>
  <sheetViews>
    <sheetView tabSelected="1" topLeftCell="B1" zoomScaleNormal="100" workbookViewId="0">
      <pane ySplit="1" topLeftCell="A2" activePane="bottomLeft" state="frozen"/>
      <selection pane="bottomLeft" activeCell="U2" sqref="U2"/>
    </sheetView>
  </sheetViews>
  <sheetFormatPr baseColWidth="10" defaultColWidth="10.69921875" defaultRowHeight="15.6" x14ac:dyDescent="0.3"/>
  <cols>
    <col min="1" max="1" width="33.69921875" style="27" customWidth="1"/>
    <col min="2" max="2" width="4.796875" style="27" bestFit="1" customWidth="1"/>
    <col min="3" max="3" width="8.69921875" style="27" bestFit="1" customWidth="1"/>
    <col min="4" max="4" width="6.796875" style="27" bestFit="1" customWidth="1"/>
    <col min="5" max="5" width="8.296875" style="27" bestFit="1" customWidth="1"/>
    <col min="6" max="6" width="8.5" style="27" bestFit="1" customWidth="1"/>
    <col min="7" max="7" width="9.296875" style="27" bestFit="1" customWidth="1"/>
    <col min="8" max="8" width="6" style="27" bestFit="1" customWidth="1"/>
    <col min="9" max="9" width="8.5" style="27" bestFit="1" customWidth="1"/>
    <col min="10" max="10" width="8.19921875" style="27" bestFit="1" customWidth="1"/>
    <col min="11" max="11" width="8.796875" style="27" bestFit="1" customWidth="1"/>
    <col min="12" max="12" width="4.296875" style="27" bestFit="1" customWidth="1"/>
    <col min="13" max="13" width="10.19921875" style="27" bestFit="1" customWidth="1"/>
    <col min="14" max="14" width="5.796875" style="27" bestFit="1" customWidth="1"/>
    <col min="15" max="15" width="7.19921875" style="27" bestFit="1" customWidth="1"/>
    <col min="16" max="16" width="4.5" style="27" bestFit="1" customWidth="1"/>
    <col min="17" max="17" width="9.296875" style="27" bestFit="1" customWidth="1"/>
    <col min="18" max="18" width="10.69921875" style="27"/>
    <col min="19" max="19" width="10.19921875" style="27" bestFit="1" customWidth="1"/>
    <col min="20" max="20" width="10.19921875" style="27" customWidth="1"/>
    <col min="21" max="21" width="11.796875" style="27" bestFit="1" customWidth="1"/>
    <col min="22" max="16384" width="10.69921875" style="27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406</v>
      </c>
      <c r="U1" s="1" t="s">
        <v>19</v>
      </c>
      <c r="V1" s="3"/>
      <c r="W1" s="4"/>
    </row>
    <row r="2" spans="1:23" ht="31.2" x14ac:dyDescent="0.3">
      <c r="A2" s="5" t="s">
        <v>20</v>
      </c>
      <c r="B2" s="3">
        <v>1</v>
      </c>
      <c r="C2" s="4">
        <v>107.08</v>
      </c>
      <c r="D2" s="6">
        <f t="shared" ref="D2:D11" si="0">(((C2-F2)*100)/C2)/100</f>
        <v>0.47768023907358986</v>
      </c>
      <c r="E2" s="7">
        <v>0</v>
      </c>
      <c r="F2" s="7">
        <v>55.93</v>
      </c>
      <c r="G2" s="8">
        <f t="shared" ref="G2:G11" si="1">B2*F2</f>
        <v>55.93</v>
      </c>
      <c r="H2" s="7">
        <v>0</v>
      </c>
      <c r="I2" s="7">
        <f>0.08/4</f>
        <v>0.02</v>
      </c>
      <c r="J2" s="28">
        <v>45282</v>
      </c>
      <c r="K2" s="28">
        <v>45294</v>
      </c>
      <c r="L2" s="4"/>
      <c r="M2" s="7">
        <v>17.59</v>
      </c>
      <c r="N2" s="4"/>
      <c r="O2" s="9">
        <f>33.91/4</f>
        <v>8.4774999999999991</v>
      </c>
      <c r="P2" s="3">
        <v>1</v>
      </c>
      <c r="Q2" s="8">
        <f t="shared" ref="Q2:Q11" si="2">F2+(I2/B2)-(O2/B2)</f>
        <v>47.472500000000004</v>
      </c>
      <c r="R2" s="10" t="s">
        <v>21</v>
      </c>
      <c r="S2" s="9">
        <f>SUM(O2:O195)-O10</f>
        <v>809.00000000000023</v>
      </c>
      <c r="T2" s="8">
        <f>B2*Q2</f>
        <v>47.472500000000004</v>
      </c>
      <c r="U2" s="11">
        <f>SUM(T2:T195)-Q10</f>
        <v>29250.258250000024</v>
      </c>
      <c r="V2" s="3"/>
      <c r="W2" s="4"/>
    </row>
    <row r="3" spans="1:23" ht="31.2" x14ac:dyDescent="0.3">
      <c r="A3" s="5" t="s">
        <v>22</v>
      </c>
      <c r="B3" s="3">
        <v>1</v>
      </c>
      <c r="C3" s="4">
        <v>117.54</v>
      </c>
      <c r="D3" s="6">
        <f t="shared" si="0"/>
        <v>0.47753956100051048</v>
      </c>
      <c r="E3" s="7">
        <v>0</v>
      </c>
      <c r="F3" s="7">
        <v>61.41</v>
      </c>
      <c r="G3" s="8">
        <f t="shared" si="1"/>
        <v>61.41</v>
      </c>
      <c r="H3" s="7">
        <v>0</v>
      </c>
      <c r="I3" s="7">
        <f>0.08/4</f>
        <v>0.02</v>
      </c>
      <c r="J3" s="28">
        <v>45282</v>
      </c>
      <c r="K3" s="28">
        <v>45294</v>
      </c>
      <c r="L3" s="4"/>
      <c r="M3" s="7">
        <v>17.59</v>
      </c>
      <c r="N3" s="4"/>
      <c r="O3" s="9">
        <f>33.91/4</f>
        <v>8.4774999999999991</v>
      </c>
      <c r="P3" s="3">
        <v>1</v>
      </c>
      <c r="Q3" s="8">
        <f t="shared" si="2"/>
        <v>52.952500000000001</v>
      </c>
      <c r="R3" s="10"/>
      <c r="S3" s="12"/>
      <c r="T3" s="8">
        <f t="shared" ref="T3:T66" si="3">B3*Q3</f>
        <v>52.952500000000001</v>
      </c>
      <c r="U3" s="3"/>
      <c r="V3" s="3"/>
      <c r="W3" s="4"/>
    </row>
    <row r="4" spans="1:23" ht="31.2" x14ac:dyDescent="0.3">
      <c r="A4" s="5" t="s">
        <v>23</v>
      </c>
      <c r="B4" s="3">
        <v>1</v>
      </c>
      <c r="C4" s="4">
        <v>118.63</v>
      </c>
      <c r="D4" s="6">
        <f t="shared" si="0"/>
        <v>0.47770378487734966</v>
      </c>
      <c r="E4" s="7">
        <v>0</v>
      </c>
      <c r="F4" s="7">
        <v>61.96</v>
      </c>
      <c r="G4" s="8">
        <f t="shared" si="1"/>
        <v>61.96</v>
      </c>
      <c r="H4" s="7">
        <v>0</v>
      </c>
      <c r="I4" s="7">
        <f>0.08/4</f>
        <v>0.02</v>
      </c>
      <c r="J4" s="28">
        <v>45282</v>
      </c>
      <c r="K4" s="28">
        <v>45294</v>
      </c>
      <c r="L4" s="4"/>
      <c r="M4" s="7">
        <v>17.59</v>
      </c>
      <c r="N4" s="4"/>
      <c r="O4" s="9">
        <f>33.91/4</f>
        <v>8.4774999999999991</v>
      </c>
      <c r="P4" s="3">
        <v>1</v>
      </c>
      <c r="Q4" s="8">
        <f t="shared" si="2"/>
        <v>53.502500000000005</v>
      </c>
      <c r="R4" s="10"/>
      <c r="S4" s="12"/>
      <c r="T4" s="8">
        <f t="shared" si="3"/>
        <v>53.502500000000005</v>
      </c>
      <c r="U4" s="3"/>
      <c r="V4" s="3"/>
      <c r="W4" s="4"/>
    </row>
    <row r="5" spans="1:23" ht="31.2" x14ac:dyDescent="0.3">
      <c r="A5" s="5" t="s">
        <v>24</v>
      </c>
      <c r="B5" s="3">
        <v>1</v>
      </c>
      <c r="C5" s="4">
        <v>113.35</v>
      </c>
      <c r="D5" s="6">
        <f t="shared" si="0"/>
        <v>0.47754741949713275</v>
      </c>
      <c r="E5" s="7">
        <v>0</v>
      </c>
      <c r="F5" s="7">
        <v>59.22</v>
      </c>
      <c r="G5" s="8">
        <f t="shared" si="1"/>
        <v>59.22</v>
      </c>
      <c r="H5" s="7">
        <v>0</v>
      </c>
      <c r="I5" s="7">
        <f>0.08/4</f>
        <v>0.02</v>
      </c>
      <c r="J5" s="28">
        <v>45282</v>
      </c>
      <c r="K5" s="28">
        <v>45294</v>
      </c>
      <c r="L5" s="4"/>
      <c r="M5" s="7">
        <v>17.59</v>
      </c>
      <c r="N5" s="4"/>
      <c r="O5" s="9">
        <f>33.91/4</f>
        <v>8.4774999999999991</v>
      </c>
      <c r="P5" s="3">
        <v>1</v>
      </c>
      <c r="Q5" s="8">
        <f t="shared" si="2"/>
        <v>50.762500000000003</v>
      </c>
      <c r="R5" s="10"/>
      <c r="S5" s="12"/>
      <c r="T5" s="8">
        <f t="shared" si="3"/>
        <v>50.762500000000003</v>
      </c>
      <c r="U5" s="3"/>
      <c r="V5" s="3"/>
      <c r="W5" s="4"/>
    </row>
    <row r="6" spans="1:23" ht="31.2" x14ac:dyDescent="0.3">
      <c r="A6" s="5" t="s">
        <v>25</v>
      </c>
      <c r="B6" s="3">
        <v>1</v>
      </c>
      <c r="C6" s="4">
        <v>202.79</v>
      </c>
      <c r="D6" s="6">
        <f t="shared" si="0"/>
        <v>0.67858375659549286</v>
      </c>
      <c r="E6" s="7">
        <v>0</v>
      </c>
      <c r="F6" s="7">
        <v>65.180000000000007</v>
      </c>
      <c r="G6" s="8">
        <f t="shared" si="1"/>
        <v>65.180000000000007</v>
      </c>
      <c r="H6" s="7">
        <v>0</v>
      </c>
      <c r="I6" s="7">
        <f>0.05/4</f>
        <v>1.2500000000000001E-2</v>
      </c>
      <c r="J6" s="28">
        <v>45282</v>
      </c>
      <c r="K6" s="28">
        <v>45294</v>
      </c>
      <c r="L6" s="4"/>
      <c r="M6" s="7">
        <v>17.59</v>
      </c>
      <c r="N6" s="4"/>
      <c r="O6" s="9">
        <f>36.77/4</f>
        <v>9.1925000000000008</v>
      </c>
      <c r="P6" s="3">
        <v>1</v>
      </c>
      <c r="Q6" s="8">
        <f t="shared" si="2"/>
        <v>56.000000000000007</v>
      </c>
      <c r="R6" s="10" t="s">
        <v>26</v>
      </c>
      <c r="S6" s="12"/>
      <c r="T6" s="8">
        <f t="shared" si="3"/>
        <v>56.000000000000007</v>
      </c>
      <c r="U6" s="3"/>
      <c r="V6" s="3"/>
      <c r="W6" s="4"/>
    </row>
    <row r="7" spans="1:23" ht="31.2" x14ac:dyDescent="0.3">
      <c r="A7" s="5" t="s">
        <v>27</v>
      </c>
      <c r="B7" s="3">
        <v>1</v>
      </c>
      <c r="C7" s="4">
        <v>202.21</v>
      </c>
      <c r="D7" s="6">
        <f t="shared" si="0"/>
        <v>0.67860145393402915</v>
      </c>
      <c r="E7" s="7">
        <v>0</v>
      </c>
      <c r="F7" s="7">
        <v>64.989999999999995</v>
      </c>
      <c r="G7" s="8">
        <f t="shared" si="1"/>
        <v>64.989999999999995</v>
      </c>
      <c r="H7" s="7">
        <v>0</v>
      </c>
      <c r="I7" s="7">
        <f>0.05/4</f>
        <v>1.2500000000000001E-2</v>
      </c>
      <c r="J7" s="28">
        <v>45282</v>
      </c>
      <c r="K7" s="28">
        <v>45294</v>
      </c>
      <c r="L7" s="4"/>
      <c r="M7" s="7">
        <v>17.59</v>
      </c>
      <c r="N7" s="4"/>
      <c r="O7" s="9">
        <f>36.77/4</f>
        <v>9.1925000000000008</v>
      </c>
      <c r="P7" s="3">
        <v>1</v>
      </c>
      <c r="Q7" s="8">
        <f t="shared" si="2"/>
        <v>55.809999999999995</v>
      </c>
      <c r="R7" s="10"/>
      <c r="S7" s="12"/>
      <c r="T7" s="8">
        <f t="shared" si="3"/>
        <v>55.809999999999995</v>
      </c>
      <c r="U7" s="3"/>
      <c r="V7" s="3"/>
      <c r="W7" s="4"/>
    </row>
    <row r="8" spans="1:23" ht="31.2" x14ac:dyDescent="0.3">
      <c r="A8" s="5" t="s">
        <v>28</v>
      </c>
      <c r="B8" s="3">
        <v>1</v>
      </c>
      <c r="C8" s="4">
        <v>201.14</v>
      </c>
      <c r="D8" s="6">
        <f t="shared" si="0"/>
        <v>0.67858208213184834</v>
      </c>
      <c r="E8" s="7">
        <v>0</v>
      </c>
      <c r="F8" s="7">
        <v>64.650000000000006</v>
      </c>
      <c r="G8" s="8">
        <f t="shared" si="1"/>
        <v>64.650000000000006</v>
      </c>
      <c r="H8" s="7">
        <v>0</v>
      </c>
      <c r="I8" s="7">
        <f>0.05/4</f>
        <v>1.2500000000000001E-2</v>
      </c>
      <c r="J8" s="28">
        <v>45282</v>
      </c>
      <c r="K8" s="28">
        <v>45294</v>
      </c>
      <c r="L8" s="4"/>
      <c r="M8" s="7">
        <v>17.59</v>
      </c>
      <c r="N8" s="4"/>
      <c r="O8" s="9">
        <f>36.77/4</f>
        <v>9.1925000000000008</v>
      </c>
      <c r="P8" s="3">
        <v>1</v>
      </c>
      <c r="Q8" s="8">
        <f t="shared" si="2"/>
        <v>55.470000000000006</v>
      </c>
      <c r="R8" s="10"/>
      <c r="S8" s="12"/>
      <c r="T8" s="8">
        <f t="shared" si="3"/>
        <v>55.470000000000006</v>
      </c>
      <c r="U8" s="3"/>
      <c r="V8" s="3"/>
      <c r="W8" s="4"/>
    </row>
    <row r="9" spans="1:23" ht="31.2" x14ac:dyDescent="0.3">
      <c r="A9" s="5" t="s">
        <v>29</v>
      </c>
      <c r="B9" s="3">
        <v>1</v>
      </c>
      <c r="C9" s="4">
        <v>198.5</v>
      </c>
      <c r="D9" s="6">
        <f t="shared" si="0"/>
        <v>0.67858942065491179</v>
      </c>
      <c r="E9" s="7">
        <v>0</v>
      </c>
      <c r="F9" s="7">
        <v>63.8</v>
      </c>
      <c r="G9" s="8">
        <f t="shared" si="1"/>
        <v>63.8</v>
      </c>
      <c r="H9" s="7">
        <v>0</v>
      </c>
      <c r="I9" s="7">
        <f>0.05/4</f>
        <v>1.2500000000000001E-2</v>
      </c>
      <c r="J9" s="28">
        <v>45282</v>
      </c>
      <c r="K9" s="28">
        <v>45294</v>
      </c>
      <c r="L9" s="4"/>
      <c r="M9" s="7">
        <v>17.59</v>
      </c>
      <c r="N9" s="4"/>
      <c r="O9" s="9">
        <f>36.77/4</f>
        <v>9.1925000000000008</v>
      </c>
      <c r="P9" s="3">
        <v>1</v>
      </c>
      <c r="Q9" s="8">
        <f t="shared" si="2"/>
        <v>54.62</v>
      </c>
      <c r="R9" s="10"/>
      <c r="S9" s="12"/>
      <c r="T9" s="8">
        <f t="shared" si="3"/>
        <v>54.62</v>
      </c>
      <c r="U9" s="3"/>
      <c r="V9" s="3"/>
      <c r="W9" s="4"/>
    </row>
    <row r="10" spans="1:23" ht="31.2" x14ac:dyDescent="0.3">
      <c r="A10" s="36" t="s">
        <v>354</v>
      </c>
      <c r="B10" s="37">
        <v>1</v>
      </c>
      <c r="C10" s="38">
        <v>99</v>
      </c>
      <c r="D10" s="39">
        <f t="shared" si="0"/>
        <v>0.65585858585858592</v>
      </c>
      <c r="E10" s="40">
        <v>0</v>
      </c>
      <c r="F10" s="40">
        <v>34.07</v>
      </c>
      <c r="G10" s="41">
        <f t="shared" si="1"/>
        <v>34.07</v>
      </c>
      <c r="H10" s="40">
        <v>0</v>
      </c>
      <c r="I10" s="40">
        <v>29.72</v>
      </c>
      <c r="J10" s="42">
        <v>45282</v>
      </c>
      <c r="K10" s="42">
        <v>45295</v>
      </c>
      <c r="L10" s="38"/>
      <c r="M10" s="40">
        <v>17.59</v>
      </c>
      <c r="N10" s="38"/>
      <c r="O10" s="41">
        <v>4.16</v>
      </c>
      <c r="P10" s="37">
        <v>1</v>
      </c>
      <c r="Q10" s="41">
        <f t="shared" si="2"/>
        <v>59.629999999999995</v>
      </c>
      <c r="R10" s="43" t="s">
        <v>352</v>
      </c>
      <c r="S10" s="35" t="s">
        <v>370</v>
      </c>
      <c r="T10" s="8">
        <f t="shared" si="3"/>
        <v>59.629999999999995</v>
      </c>
      <c r="U10" s="3"/>
      <c r="V10" s="3"/>
      <c r="W10" s="4"/>
    </row>
    <row r="11" spans="1:23" ht="46.8" x14ac:dyDescent="0.3">
      <c r="A11" s="32" t="s">
        <v>355</v>
      </c>
      <c r="B11" s="3">
        <v>1</v>
      </c>
      <c r="C11" s="4">
        <v>122</v>
      </c>
      <c r="D11" s="6">
        <f t="shared" si="0"/>
        <v>0.79918032786885251</v>
      </c>
      <c r="E11" s="7">
        <v>0</v>
      </c>
      <c r="F11" s="7">
        <v>24.5</v>
      </c>
      <c r="G11" s="8">
        <f t="shared" si="1"/>
        <v>24.5</v>
      </c>
      <c r="H11" s="7">
        <v>0</v>
      </c>
      <c r="I11" s="7">
        <v>30.42</v>
      </c>
      <c r="J11" s="28">
        <v>45282</v>
      </c>
      <c r="K11" s="28">
        <v>45295</v>
      </c>
      <c r="L11" s="4"/>
      <c r="M11" s="7">
        <v>17.59</v>
      </c>
      <c r="N11" s="4"/>
      <c r="O11" s="9">
        <v>2.99</v>
      </c>
      <c r="P11" s="3">
        <v>1</v>
      </c>
      <c r="Q11" s="8">
        <f t="shared" si="2"/>
        <v>51.93</v>
      </c>
      <c r="R11" s="10" t="s">
        <v>353</v>
      </c>
      <c r="S11" s="12"/>
      <c r="T11" s="8">
        <f t="shared" si="3"/>
        <v>51.93</v>
      </c>
      <c r="U11" s="3"/>
      <c r="V11" s="3"/>
      <c r="W11" s="4"/>
    </row>
    <row r="12" spans="1:23" ht="46.8" x14ac:dyDescent="0.3">
      <c r="A12" s="5" t="s">
        <v>30</v>
      </c>
      <c r="B12" s="3">
        <v>1</v>
      </c>
      <c r="C12" s="4">
        <v>119.29</v>
      </c>
      <c r="D12" s="6">
        <f t="shared" ref="D12:D22" si="4">(((C12-F12)*100)/C12)/100</f>
        <v>0.51789756056668634</v>
      </c>
      <c r="E12" s="7">
        <v>0</v>
      </c>
      <c r="F12" s="7">
        <v>57.51</v>
      </c>
      <c r="G12" s="8">
        <f t="shared" ref="G12:G22" si="5">B12*F12</f>
        <v>57.51</v>
      </c>
      <c r="H12" s="7">
        <v>0</v>
      </c>
      <c r="I12" s="7"/>
      <c r="J12" s="28">
        <v>45282</v>
      </c>
      <c r="K12" s="28">
        <v>45295</v>
      </c>
      <c r="L12" s="4"/>
      <c r="M12" s="7">
        <v>17.59</v>
      </c>
      <c r="N12" s="4"/>
      <c r="O12" s="9">
        <v>7.03</v>
      </c>
      <c r="P12" s="3">
        <v>1</v>
      </c>
      <c r="Q12" s="8">
        <f t="shared" ref="Q12:Q20" si="6">F12+(I12/B12)-(O12/B12)</f>
        <v>50.48</v>
      </c>
      <c r="R12" s="10" t="s">
        <v>31</v>
      </c>
      <c r="S12" s="12"/>
      <c r="T12" s="8">
        <f t="shared" si="3"/>
        <v>50.48</v>
      </c>
      <c r="U12" s="4"/>
      <c r="V12" s="2"/>
      <c r="W12" s="4"/>
    </row>
    <row r="13" spans="1:23" ht="31.2" x14ac:dyDescent="0.3">
      <c r="A13" s="5" t="s">
        <v>32</v>
      </c>
      <c r="B13" s="3">
        <v>2</v>
      </c>
      <c r="C13" s="4">
        <v>126.5</v>
      </c>
      <c r="D13" s="6">
        <f t="shared" si="4"/>
        <v>0.30893280632411069</v>
      </c>
      <c r="E13" s="7">
        <v>0</v>
      </c>
      <c r="F13" s="7">
        <v>87.42</v>
      </c>
      <c r="G13" s="8">
        <f t="shared" si="5"/>
        <v>174.84</v>
      </c>
      <c r="H13" s="7">
        <v>0</v>
      </c>
      <c r="I13" s="7"/>
      <c r="J13" s="28">
        <v>45282</v>
      </c>
      <c r="K13" s="28">
        <v>45295</v>
      </c>
      <c r="L13" s="4"/>
      <c r="M13" s="7">
        <v>17.59</v>
      </c>
      <c r="N13" s="4"/>
      <c r="O13" s="9">
        <v>21.35</v>
      </c>
      <c r="P13" s="3">
        <v>1</v>
      </c>
      <c r="Q13" s="8">
        <f t="shared" si="6"/>
        <v>76.745000000000005</v>
      </c>
      <c r="R13" s="10" t="s">
        <v>33</v>
      </c>
      <c r="S13" s="12"/>
      <c r="T13" s="8">
        <f t="shared" si="3"/>
        <v>153.49</v>
      </c>
      <c r="U13" s="3"/>
      <c r="V13" s="3"/>
      <c r="W13" s="4"/>
    </row>
    <row r="14" spans="1:23" ht="31.2" x14ac:dyDescent="0.3">
      <c r="A14" s="32" t="s">
        <v>34</v>
      </c>
      <c r="B14" s="3">
        <v>1</v>
      </c>
      <c r="C14" s="4">
        <v>297.44</v>
      </c>
      <c r="D14" s="6">
        <f t="shared" si="4"/>
        <v>0.81596288327057565</v>
      </c>
      <c r="E14" s="7">
        <v>0</v>
      </c>
      <c r="F14" s="7">
        <v>54.74</v>
      </c>
      <c r="G14" s="8">
        <f t="shared" si="5"/>
        <v>54.74</v>
      </c>
      <c r="H14" s="7">
        <v>0</v>
      </c>
      <c r="I14" s="7"/>
      <c r="J14" s="28">
        <v>45282</v>
      </c>
      <c r="K14" s="28">
        <v>45294</v>
      </c>
      <c r="L14" s="4"/>
      <c r="M14" s="7">
        <v>17.59</v>
      </c>
      <c r="N14" s="4"/>
      <c r="O14" s="9">
        <v>7.78</v>
      </c>
      <c r="P14" s="3">
        <v>1</v>
      </c>
      <c r="Q14" s="8">
        <f t="shared" si="6"/>
        <v>46.96</v>
      </c>
      <c r="R14" s="10" t="s">
        <v>35</v>
      </c>
      <c r="S14" s="12"/>
      <c r="T14" s="8">
        <f t="shared" si="3"/>
        <v>46.96</v>
      </c>
      <c r="U14" s="3"/>
      <c r="V14" s="3"/>
      <c r="W14" s="4"/>
    </row>
    <row r="15" spans="1:23" ht="31.2" x14ac:dyDescent="0.3">
      <c r="A15" s="32" t="s">
        <v>36</v>
      </c>
      <c r="B15" s="3">
        <v>1</v>
      </c>
      <c r="C15" s="4">
        <v>69</v>
      </c>
      <c r="D15" s="6">
        <f t="shared" si="4"/>
        <v>4.2898550724637587E-2</v>
      </c>
      <c r="E15" s="7">
        <v>0</v>
      </c>
      <c r="F15" s="7">
        <v>66.040000000000006</v>
      </c>
      <c r="G15" s="8">
        <f t="shared" si="5"/>
        <v>66.040000000000006</v>
      </c>
      <c r="H15" s="7">
        <v>0</v>
      </c>
      <c r="I15" s="7">
        <v>0.01</v>
      </c>
      <c r="J15" s="28">
        <v>45282</v>
      </c>
      <c r="K15" s="28">
        <v>45294</v>
      </c>
      <c r="L15" s="4"/>
      <c r="M15" s="7">
        <v>17.59</v>
      </c>
      <c r="N15" s="4"/>
      <c r="O15" s="9"/>
      <c r="P15" s="3">
        <v>1</v>
      </c>
      <c r="Q15" s="8">
        <f t="shared" si="6"/>
        <v>66.050000000000011</v>
      </c>
      <c r="R15" s="10" t="s">
        <v>37</v>
      </c>
      <c r="S15" s="12"/>
      <c r="T15" s="8">
        <f t="shared" si="3"/>
        <v>66.050000000000011</v>
      </c>
      <c r="U15" s="3"/>
      <c r="V15" s="3"/>
      <c r="W15" s="4"/>
    </row>
    <row r="16" spans="1:23" x14ac:dyDescent="0.3">
      <c r="A16" s="32" t="s">
        <v>38</v>
      </c>
      <c r="B16" s="3">
        <v>2</v>
      </c>
      <c r="C16" s="4">
        <v>209</v>
      </c>
      <c r="D16" s="6">
        <f t="shared" si="4"/>
        <v>0.28708133971291866</v>
      </c>
      <c r="E16" s="7">
        <v>0</v>
      </c>
      <c r="F16" s="7">
        <v>149</v>
      </c>
      <c r="G16" s="8">
        <f t="shared" si="5"/>
        <v>298</v>
      </c>
      <c r="H16" s="7">
        <v>0</v>
      </c>
      <c r="I16" s="7">
        <v>0</v>
      </c>
      <c r="J16" s="28">
        <v>45282</v>
      </c>
      <c r="K16" s="28">
        <v>45294</v>
      </c>
      <c r="L16" s="4"/>
      <c r="M16" s="7">
        <v>17.59</v>
      </c>
      <c r="N16" s="4"/>
      <c r="O16" s="9">
        <f t="shared" ref="O16:O22" si="7">G16*0.1</f>
        <v>29.8</v>
      </c>
      <c r="P16" s="3">
        <v>1</v>
      </c>
      <c r="Q16" s="8">
        <f t="shared" si="6"/>
        <v>134.1</v>
      </c>
      <c r="R16" s="10" t="s">
        <v>39</v>
      </c>
      <c r="S16" s="12"/>
      <c r="T16" s="8">
        <f t="shared" si="3"/>
        <v>268.2</v>
      </c>
      <c r="U16" s="3"/>
      <c r="V16" s="3"/>
      <c r="W16" s="4"/>
    </row>
    <row r="17" spans="1:23" x14ac:dyDescent="0.3">
      <c r="A17" s="32" t="s">
        <v>40</v>
      </c>
      <c r="B17" s="3">
        <v>2</v>
      </c>
      <c r="C17" s="4">
        <v>209</v>
      </c>
      <c r="D17" s="6">
        <f t="shared" si="4"/>
        <v>0.28708133971291866</v>
      </c>
      <c r="E17" s="7">
        <v>0</v>
      </c>
      <c r="F17" s="7">
        <v>149</v>
      </c>
      <c r="G17" s="8">
        <f t="shared" si="5"/>
        <v>298</v>
      </c>
      <c r="H17" s="7">
        <v>0</v>
      </c>
      <c r="I17" s="7">
        <v>0</v>
      </c>
      <c r="J17" s="28">
        <v>45282</v>
      </c>
      <c r="K17" s="28">
        <v>45294</v>
      </c>
      <c r="L17" s="4"/>
      <c r="M17" s="7">
        <v>17.59</v>
      </c>
      <c r="N17" s="4"/>
      <c r="O17" s="9">
        <f t="shared" si="7"/>
        <v>29.8</v>
      </c>
      <c r="P17" s="3">
        <v>1</v>
      </c>
      <c r="Q17" s="8">
        <f t="shared" si="6"/>
        <v>134.1</v>
      </c>
      <c r="R17" s="10" t="s">
        <v>41</v>
      </c>
      <c r="S17" s="12"/>
      <c r="T17" s="8">
        <f t="shared" si="3"/>
        <v>268.2</v>
      </c>
      <c r="U17" s="13"/>
      <c r="V17" s="3"/>
      <c r="W17" s="4"/>
    </row>
    <row r="18" spans="1:23" ht="31.2" x14ac:dyDescent="0.3">
      <c r="A18" s="32" t="s">
        <v>42</v>
      </c>
      <c r="B18" s="3">
        <v>2</v>
      </c>
      <c r="C18" s="4">
        <v>69</v>
      </c>
      <c r="D18" s="6">
        <f t="shared" si="4"/>
        <v>0.28985507246376813</v>
      </c>
      <c r="E18" s="7">
        <v>0</v>
      </c>
      <c r="F18" s="7">
        <v>49</v>
      </c>
      <c r="G18" s="8">
        <f t="shared" si="5"/>
        <v>98</v>
      </c>
      <c r="H18" s="7">
        <v>0</v>
      </c>
      <c r="I18" s="7">
        <v>0</v>
      </c>
      <c r="J18" s="28">
        <v>45282</v>
      </c>
      <c r="K18" s="28">
        <v>45294</v>
      </c>
      <c r="L18" s="4"/>
      <c r="M18" s="7">
        <v>17.59</v>
      </c>
      <c r="N18" s="4"/>
      <c r="O18" s="9">
        <f t="shared" si="7"/>
        <v>9.8000000000000007</v>
      </c>
      <c r="P18" s="3">
        <v>1</v>
      </c>
      <c r="Q18" s="8">
        <f t="shared" si="6"/>
        <v>44.1</v>
      </c>
      <c r="R18" s="10" t="s">
        <v>43</v>
      </c>
      <c r="S18" s="12"/>
      <c r="T18" s="8">
        <f t="shared" si="3"/>
        <v>88.2</v>
      </c>
      <c r="U18" s="3"/>
      <c r="V18" s="3"/>
      <c r="W18" s="4"/>
    </row>
    <row r="19" spans="1:23" ht="31.2" x14ac:dyDescent="0.3">
      <c r="A19" s="32" t="s">
        <v>44</v>
      </c>
      <c r="B19" s="3">
        <v>1</v>
      </c>
      <c r="C19" s="4">
        <v>239</v>
      </c>
      <c r="D19" s="6">
        <f t="shared" si="4"/>
        <v>0.20920502092050211</v>
      </c>
      <c r="E19" s="7">
        <v>0</v>
      </c>
      <c r="F19" s="7">
        <v>189</v>
      </c>
      <c r="G19" s="8">
        <f t="shared" si="5"/>
        <v>189</v>
      </c>
      <c r="H19" s="7">
        <v>0</v>
      </c>
      <c r="I19" s="7">
        <v>0</v>
      </c>
      <c r="J19" s="28">
        <v>45282</v>
      </c>
      <c r="K19" s="28">
        <v>45294</v>
      </c>
      <c r="L19" s="4"/>
      <c r="M19" s="7">
        <v>17.59</v>
      </c>
      <c r="N19" s="4"/>
      <c r="O19" s="9">
        <f t="shared" si="7"/>
        <v>18.900000000000002</v>
      </c>
      <c r="P19" s="3">
        <v>1</v>
      </c>
      <c r="Q19" s="8">
        <f t="shared" si="6"/>
        <v>170.1</v>
      </c>
      <c r="R19" s="10" t="s">
        <v>45</v>
      </c>
      <c r="S19" s="12"/>
      <c r="T19" s="8">
        <f t="shared" si="3"/>
        <v>170.1</v>
      </c>
      <c r="U19" s="3"/>
      <c r="V19" s="3"/>
      <c r="W19" s="4"/>
    </row>
    <row r="20" spans="1:23" x14ac:dyDescent="0.3">
      <c r="A20" s="32" t="s">
        <v>46</v>
      </c>
      <c r="B20" s="3">
        <v>1</v>
      </c>
      <c r="C20" s="4">
        <v>599</v>
      </c>
      <c r="D20" s="6">
        <f t="shared" si="4"/>
        <v>0.5008347245409015</v>
      </c>
      <c r="E20" s="7">
        <v>0</v>
      </c>
      <c r="F20" s="7">
        <v>299</v>
      </c>
      <c r="G20" s="8">
        <f t="shared" si="5"/>
        <v>299</v>
      </c>
      <c r="H20" s="7">
        <v>0</v>
      </c>
      <c r="I20" s="7">
        <v>0</v>
      </c>
      <c r="J20" s="28">
        <v>45282</v>
      </c>
      <c r="K20" s="28">
        <v>45294</v>
      </c>
      <c r="L20" s="4"/>
      <c r="M20" s="7">
        <v>17.59</v>
      </c>
      <c r="N20" s="4"/>
      <c r="O20" s="9">
        <f t="shared" si="7"/>
        <v>29.900000000000002</v>
      </c>
      <c r="P20" s="3">
        <v>1</v>
      </c>
      <c r="Q20" s="8">
        <f t="shared" si="6"/>
        <v>269.10000000000002</v>
      </c>
      <c r="R20" s="10" t="s">
        <v>47</v>
      </c>
      <c r="S20" s="12"/>
      <c r="T20" s="8">
        <f t="shared" si="3"/>
        <v>269.10000000000002</v>
      </c>
      <c r="U20" s="3"/>
      <c r="V20" s="3"/>
      <c r="W20" s="4"/>
    </row>
    <row r="21" spans="1:23" x14ac:dyDescent="0.3">
      <c r="A21" s="32" t="s">
        <v>48</v>
      </c>
      <c r="B21" s="3">
        <v>1</v>
      </c>
      <c r="C21" s="4">
        <v>249</v>
      </c>
      <c r="D21" s="6">
        <f t="shared" si="4"/>
        <v>0.20080321285140562</v>
      </c>
      <c r="E21" s="7">
        <v>0</v>
      </c>
      <c r="F21" s="7">
        <v>199</v>
      </c>
      <c r="G21" s="8">
        <f t="shared" si="5"/>
        <v>199</v>
      </c>
      <c r="H21" s="7">
        <v>0</v>
      </c>
      <c r="I21" s="7">
        <v>0</v>
      </c>
      <c r="J21" s="28">
        <v>45282</v>
      </c>
      <c r="K21" s="28">
        <v>45294</v>
      </c>
      <c r="L21" s="4"/>
      <c r="M21" s="7">
        <v>17.59</v>
      </c>
      <c r="N21" s="4"/>
      <c r="O21" s="9">
        <f t="shared" si="7"/>
        <v>19.900000000000002</v>
      </c>
      <c r="P21" s="3">
        <v>1</v>
      </c>
      <c r="Q21" s="8">
        <f t="shared" ref="Q21:Q41" si="8">F21+(I21/B21)-(O21/B21)</f>
        <v>179.1</v>
      </c>
      <c r="R21" s="10" t="s">
        <v>49</v>
      </c>
      <c r="S21" s="12"/>
      <c r="T21" s="8">
        <f t="shared" si="3"/>
        <v>179.1</v>
      </c>
      <c r="U21" s="3"/>
      <c r="V21" s="3"/>
      <c r="W21" s="4"/>
    </row>
    <row r="22" spans="1:23" ht="31.2" x14ac:dyDescent="0.3">
      <c r="A22" s="32" t="s">
        <v>50</v>
      </c>
      <c r="B22" s="3">
        <v>1</v>
      </c>
      <c r="C22" s="4">
        <v>299</v>
      </c>
      <c r="D22" s="6">
        <f t="shared" si="4"/>
        <v>0.16722408026755853</v>
      </c>
      <c r="E22" s="7">
        <v>0</v>
      </c>
      <c r="F22" s="7">
        <v>249</v>
      </c>
      <c r="G22" s="8">
        <f t="shared" si="5"/>
        <v>249</v>
      </c>
      <c r="H22" s="7">
        <v>0</v>
      </c>
      <c r="I22" s="7">
        <v>0</v>
      </c>
      <c r="J22" s="28">
        <v>45282</v>
      </c>
      <c r="K22" s="28">
        <v>45294</v>
      </c>
      <c r="L22" s="4"/>
      <c r="M22" s="7">
        <v>17.59</v>
      </c>
      <c r="N22" s="4"/>
      <c r="O22" s="9">
        <f t="shared" si="7"/>
        <v>24.900000000000002</v>
      </c>
      <c r="P22" s="3">
        <v>1</v>
      </c>
      <c r="Q22" s="8">
        <f t="shared" si="8"/>
        <v>224.1</v>
      </c>
      <c r="R22" s="10" t="s">
        <v>51</v>
      </c>
      <c r="S22" s="12"/>
      <c r="T22" s="8">
        <f t="shared" si="3"/>
        <v>224.1</v>
      </c>
      <c r="U22" s="3"/>
      <c r="V22" s="3"/>
      <c r="W22" s="4"/>
    </row>
    <row r="23" spans="1:23" ht="31.2" x14ac:dyDescent="0.3">
      <c r="A23" s="5" t="s">
        <v>52</v>
      </c>
      <c r="B23" s="3">
        <v>1</v>
      </c>
      <c r="C23" s="7">
        <v>32.729999999999997</v>
      </c>
      <c r="D23" s="6">
        <f t="shared" ref="D23:D54" si="9">(((C23-F23)*100)/C23)/100</f>
        <v>0.25145126794989298</v>
      </c>
      <c r="E23" s="7">
        <v>0</v>
      </c>
      <c r="F23" s="7">
        <v>24.5</v>
      </c>
      <c r="G23" s="8">
        <f t="shared" ref="G23:G28" si="10">B23*F23</f>
        <v>24.5</v>
      </c>
      <c r="H23" s="7">
        <v>0</v>
      </c>
      <c r="I23" s="7">
        <v>30.42</v>
      </c>
      <c r="J23" s="28">
        <v>45282</v>
      </c>
      <c r="K23" s="28">
        <v>45300</v>
      </c>
      <c r="L23" s="8"/>
      <c r="M23" s="7">
        <v>17.079999999999998</v>
      </c>
      <c r="N23" s="7"/>
      <c r="O23" s="9">
        <v>2.99</v>
      </c>
      <c r="P23" s="3">
        <v>1</v>
      </c>
      <c r="Q23" s="8">
        <f t="shared" si="8"/>
        <v>51.93</v>
      </c>
      <c r="R23" s="10" t="s">
        <v>53</v>
      </c>
      <c r="S23" s="12"/>
      <c r="T23" s="8">
        <f t="shared" si="3"/>
        <v>51.93</v>
      </c>
      <c r="U23" s="3"/>
      <c r="V23" s="3"/>
      <c r="W23" s="4"/>
    </row>
    <row r="24" spans="1:23" ht="31.2" x14ac:dyDescent="0.3">
      <c r="A24" s="5" t="s">
        <v>54</v>
      </c>
      <c r="B24" s="3">
        <v>1</v>
      </c>
      <c r="C24" s="7">
        <v>247.7</v>
      </c>
      <c r="D24" s="6">
        <f t="shared" si="9"/>
        <v>9.2046830843762542E-2</v>
      </c>
      <c r="E24" s="7">
        <v>0</v>
      </c>
      <c r="F24" s="7">
        <v>224.9</v>
      </c>
      <c r="G24" s="8">
        <f t="shared" si="10"/>
        <v>224.9</v>
      </c>
      <c r="H24" s="7">
        <v>0</v>
      </c>
      <c r="I24" s="7">
        <f>4.87/3</f>
        <v>1.6233333333333333</v>
      </c>
      <c r="J24" s="28">
        <v>45282</v>
      </c>
      <c r="K24" s="28">
        <v>45300</v>
      </c>
      <c r="L24" s="8"/>
      <c r="M24" s="7">
        <v>17.079999999999998</v>
      </c>
      <c r="N24" s="7"/>
      <c r="O24" s="9">
        <f>44.52/3</f>
        <v>14.840000000000002</v>
      </c>
      <c r="P24" s="3">
        <v>1</v>
      </c>
      <c r="Q24" s="8">
        <f t="shared" si="8"/>
        <v>211.68333333333334</v>
      </c>
      <c r="R24" s="10" t="s">
        <v>55</v>
      </c>
      <c r="S24" s="12"/>
      <c r="T24" s="8">
        <f t="shared" si="3"/>
        <v>211.68333333333334</v>
      </c>
      <c r="U24" s="3"/>
      <c r="V24" s="3"/>
      <c r="W24" s="4"/>
    </row>
    <row r="25" spans="1:23" ht="31.2" x14ac:dyDescent="0.3">
      <c r="A25" s="5" t="s">
        <v>56</v>
      </c>
      <c r="B25" s="3">
        <v>2</v>
      </c>
      <c r="C25" s="7">
        <v>76.13</v>
      </c>
      <c r="D25" s="6">
        <f t="shared" si="9"/>
        <v>8.2227768291080944E-2</v>
      </c>
      <c r="E25" s="7">
        <v>0</v>
      </c>
      <c r="F25" s="7">
        <v>69.87</v>
      </c>
      <c r="G25" s="8">
        <f t="shared" si="10"/>
        <v>139.74</v>
      </c>
      <c r="H25" s="7">
        <v>0</v>
      </c>
      <c r="I25" s="7">
        <f>(4.87/3)*2</f>
        <v>3.2466666666666666</v>
      </c>
      <c r="J25" s="28">
        <v>45282</v>
      </c>
      <c r="K25" s="28">
        <v>45300</v>
      </c>
      <c r="L25" s="8"/>
      <c r="M25" s="7">
        <v>17.149999999999999</v>
      </c>
      <c r="N25" s="7"/>
      <c r="O25" s="9">
        <f>(44.52/3)*2</f>
        <v>29.680000000000003</v>
      </c>
      <c r="P25" s="3">
        <v>1</v>
      </c>
      <c r="Q25" s="8">
        <f t="shared" si="8"/>
        <v>56.653333333333336</v>
      </c>
      <c r="R25" s="10" t="s">
        <v>57</v>
      </c>
      <c r="S25" s="12"/>
      <c r="T25" s="8">
        <f t="shared" si="3"/>
        <v>113.30666666666667</v>
      </c>
      <c r="U25" s="3"/>
      <c r="V25" s="3"/>
      <c r="W25" s="4"/>
    </row>
    <row r="26" spans="1:23" x14ac:dyDescent="0.3">
      <c r="A26" s="5" t="s">
        <v>58</v>
      </c>
      <c r="B26" s="3">
        <v>2</v>
      </c>
      <c r="C26" s="7">
        <v>295.35000000000002</v>
      </c>
      <c r="D26" s="6">
        <f t="shared" si="9"/>
        <v>0.76593871677670566</v>
      </c>
      <c r="E26" s="7">
        <v>0</v>
      </c>
      <c r="F26" s="7">
        <v>69.13</v>
      </c>
      <c r="G26" s="8">
        <f t="shared" si="10"/>
        <v>138.26</v>
      </c>
      <c r="H26" s="7">
        <v>0</v>
      </c>
      <c r="I26" s="7">
        <v>0</v>
      </c>
      <c r="J26" s="28">
        <v>45282</v>
      </c>
      <c r="K26" s="28">
        <v>45309</v>
      </c>
      <c r="L26" s="8"/>
      <c r="M26" s="7">
        <v>17.149999999999999</v>
      </c>
      <c r="N26" s="7"/>
      <c r="O26" s="9"/>
      <c r="P26" s="3">
        <v>1</v>
      </c>
      <c r="Q26" s="8">
        <f t="shared" si="8"/>
        <v>69.13</v>
      </c>
      <c r="R26" s="10" t="s">
        <v>59</v>
      </c>
      <c r="S26" s="12"/>
      <c r="T26" s="8">
        <f t="shared" si="3"/>
        <v>138.26</v>
      </c>
      <c r="U26" s="3"/>
      <c r="V26" s="3"/>
      <c r="W26" s="4"/>
    </row>
    <row r="27" spans="1:23" ht="46.8" x14ac:dyDescent="0.3">
      <c r="A27" s="32" t="s">
        <v>60</v>
      </c>
      <c r="B27" s="3">
        <v>2</v>
      </c>
      <c r="C27" s="7">
        <v>295.35000000000002</v>
      </c>
      <c r="D27" s="6">
        <f t="shared" si="9"/>
        <v>0.50431691213814123</v>
      </c>
      <c r="E27" s="7">
        <v>0</v>
      </c>
      <c r="F27" s="7">
        <v>146.4</v>
      </c>
      <c r="G27" s="8">
        <f t="shared" si="10"/>
        <v>292.8</v>
      </c>
      <c r="H27" s="7">
        <v>0</v>
      </c>
      <c r="I27" s="7">
        <v>0</v>
      </c>
      <c r="J27" s="28">
        <v>45282</v>
      </c>
      <c r="K27" s="28">
        <v>45300</v>
      </c>
      <c r="L27" s="8"/>
      <c r="M27" s="7">
        <v>17.149999999999999</v>
      </c>
      <c r="N27" s="7"/>
      <c r="O27" s="9">
        <f>G27*0.1</f>
        <v>29.28</v>
      </c>
      <c r="P27" s="3">
        <v>1</v>
      </c>
      <c r="Q27" s="8">
        <f t="shared" si="8"/>
        <v>131.76</v>
      </c>
      <c r="R27" s="10" t="s">
        <v>61</v>
      </c>
      <c r="S27" s="12"/>
      <c r="T27" s="8">
        <f t="shared" si="3"/>
        <v>263.52</v>
      </c>
      <c r="U27" s="3"/>
      <c r="V27" s="3"/>
      <c r="W27" s="4"/>
    </row>
    <row r="28" spans="1:23" ht="31.2" x14ac:dyDescent="0.3">
      <c r="A28" s="5" t="s">
        <v>62</v>
      </c>
      <c r="B28" s="3">
        <v>1</v>
      </c>
      <c r="C28" s="7">
        <v>61.48</v>
      </c>
      <c r="D28" s="6">
        <f t="shared" si="9"/>
        <v>0.20104098893949252</v>
      </c>
      <c r="E28" s="7">
        <v>0</v>
      </c>
      <c r="F28" s="7">
        <v>49.12</v>
      </c>
      <c r="G28" s="8">
        <f t="shared" si="10"/>
        <v>49.12</v>
      </c>
      <c r="H28" s="7">
        <v>0</v>
      </c>
      <c r="I28" s="7">
        <v>86.84</v>
      </c>
      <c r="J28" s="28">
        <v>45282</v>
      </c>
      <c r="K28" s="28">
        <v>45300</v>
      </c>
      <c r="L28" s="8"/>
      <c r="M28" s="7">
        <v>17.149999999999999</v>
      </c>
      <c r="N28" s="7"/>
      <c r="O28" s="9">
        <v>6.99</v>
      </c>
      <c r="P28" s="3">
        <v>1</v>
      </c>
      <c r="Q28" s="8">
        <f t="shared" si="8"/>
        <v>128.97</v>
      </c>
      <c r="R28" s="10" t="s">
        <v>63</v>
      </c>
      <c r="S28" s="12"/>
      <c r="T28" s="8">
        <f t="shared" si="3"/>
        <v>128.97</v>
      </c>
      <c r="U28" s="3"/>
      <c r="V28" s="3"/>
      <c r="W28" s="4"/>
    </row>
    <row r="29" spans="1:23" ht="46.8" x14ac:dyDescent="0.3">
      <c r="A29" s="5" t="s">
        <v>64</v>
      </c>
      <c r="B29" s="3">
        <v>2</v>
      </c>
      <c r="C29" s="7">
        <v>79.900000000000006</v>
      </c>
      <c r="D29" s="6">
        <f t="shared" si="9"/>
        <v>3.8423028785982569E-2</v>
      </c>
      <c r="E29" s="7">
        <v>0</v>
      </c>
      <c r="F29" s="7">
        <v>76.83</v>
      </c>
      <c r="G29" s="8">
        <f t="shared" ref="G29:G41" si="11">B29*F29</f>
        <v>153.66</v>
      </c>
      <c r="H29" s="7">
        <v>0</v>
      </c>
      <c r="I29" s="7">
        <v>115.23</v>
      </c>
      <c r="J29" s="28">
        <v>45282</v>
      </c>
      <c r="K29" s="28">
        <v>45300</v>
      </c>
      <c r="L29" s="8"/>
      <c r="M29" s="7">
        <v>17.149999999999999</v>
      </c>
      <c r="N29" s="7"/>
      <c r="O29" s="9">
        <v>21.84</v>
      </c>
      <c r="P29" s="3">
        <v>1</v>
      </c>
      <c r="Q29" s="8">
        <f t="shared" si="8"/>
        <v>123.52499999999999</v>
      </c>
      <c r="R29" s="10" t="s">
        <v>65</v>
      </c>
      <c r="S29" s="3"/>
      <c r="T29" s="8">
        <f t="shared" si="3"/>
        <v>247.04999999999998</v>
      </c>
      <c r="U29" s="4"/>
      <c r="V29" s="3"/>
      <c r="W29" s="4"/>
    </row>
    <row r="30" spans="1:23" ht="31.2" x14ac:dyDescent="0.3">
      <c r="A30" s="5" t="s">
        <v>66</v>
      </c>
      <c r="B30" s="3">
        <v>1</v>
      </c>
      <c r="C30" s="7">
        <v>205.17</v>
      </c>
      <c r="D30" s="6">
        <f t="shared" si="9"/>
        <v>0.68562655358970603</v>
      </c>
      <c r="E30" s="7">
        <v>0</v>
      </c>
      <c r="F30" s="7">
        <v>64.5</v>
      </c>
      <c r="G30" s="8">
        <f t="shared" si="11"/>
        <v>64.5</v>
      </c>
      <c r="H30" s="7">
        <v>0</v>
      </c>
      <c r="I30" s="7">
        <f>0.04/2</f>
        <v>0.02</v>
      </c>
      <c r="J30" s="28">
        <v>45282</v>
      </c>
      <c r="K30" s="28">
        <v>45300</v>
      </c>
      <c r="L30" s="8"/>
      <c r="M30" s="7">
        <v>17.149999999999999</v>
      </c>
      <c r="N30" s="7"/>
      <c r="O30" s="9">
        <f>18.09/2</f>
        <v>9.0449999999999999</v>
      </c>
      <c r="P30" s="3">
        <v>1</v>
      </c>
      <c r="Q30" s="8">
        <f t="shared" si="8"/>
        <v>55.474999999999994</v>
      </c>
      <c r="R30" s="10" t="s">
        <v>67</v>
      </c>
      <c r="S30" s="3"/>
      <c r="T30" s="8">
        <f t="shared" si="3"/>
        <v>55.474999999999994</v>
      </c>
      <c r="U30" s="4"/>
      <c r="V30" s="3"/>
      <c r="W30" s="4"/>
    </row>
    <row r="31" spans="1:23" ht="31.2" x14ac:dyDescent="0.3">
      <c r="A31" s="5" t="s">
        <v>68</v>
      </c>
      <c r="B31" s="3">
        <v>1</v>
      </c>
      <c r="C31" s="7">
        <v>168.35</v>
      </c>
      <c r="D31" s="6">
        <f t="shared" si="9"/>
        <v>0.62744282744282753</v>
      </c>
      <c r="E31" s="7">
        <v>0</v>
      </c>
      <c r="F31" s="7">
        <v>62.72</v>
      </c>
      <c r="G31" s="8">
        <f t="shared" si="11"/>
        <v>62.72</v>
      </c>
      <c r="H31" s="7">
        <v>0</v>
      </c>
      <c r="I31" s="7">
        <f>0.04/2</f>
        <v>0.02</v>
      </c>
      <c r="J31" s="28">
        <v>45282</v>
      </c>
      <c r="K31" s="28">
        <v>45300</v>
      </c>
      <c r="L31" s="8"/>
      <c r="M31" s="7">
        <v>17.149999999999999</v>
      </c>
      <c r="N31" s="7"/>
      <c r="O31" s="9">
        <f>18.09/2</f>
        <v>9.0449999999999999</v>
      </c>
      <c r="P31" s="3">
        <v>1</v>
      </c>
      <c r="Q31" s="8">
        <f t="shared" si="8"/>
        <v>53.695</v>
      </c>
      <c r="R31" s="10" t="s">
        <v>67</v>
      </c>
      <c r="S31" s="3"/>
      <c r="T31" s="8">
        <f t="shared" si="3"/>
        <v>53.695</v>
      </c>
      <c r="U31" s="4"/>
      <c r="V31" s="3"/>
      <c r="W31" s="4"/>
    </row>
    <row r="32" spans="1:23" ht="31.2" x14ac:dyDescent="0.3">
      <c r="A32" s="5" t="s">
        <v>367</v>
      </c>
      <c r="B32" s="3">
        <v>1</v>
      </c>
      <c r="C32" s="7">
        <v>122.02</v>
      </c>
      <c r="D32" s="6">
        <f t="shared" si="9"/>
        <v>0.61842320930994921</v>
      </c>
      <c r="E32" s="7">
        <v>0</v>
      </c>
      <c r="F32" s="7">
        <v>46.56</v>
      </c>
      <c r="G32" s="8">
        <f>B32*F32</f>
        <v>46.56</v>
      </c>
      <c r="H32" s="7">
        <v>0</v>
      </c>
      <c r="I32" s="7">
        <v>0.01</v>
      </c>
      <c r="J32" s="28">
        <v>45282</v>
      </c>
      <c r="K32" s="28">
        <v>45300</v>
      </c>
      <c r="L32" s="8"/>
      <c r="M32" s="7">
        <v>17.149999999999999</v>
      </c>
      <c r="N32" s="7"/>
      <c r="O32" s="9">
        <v>6.62</v>
      </c>
      <c r="P32" s="3">
        <v>1</v>
      </c>
      <c r="Q32" s="8">
        <f>F32+(I32/B32)-(O32/B32)</f>
        <v>39.950000000000003</v>
      </c>
      <c r="R32" s="10" t="s">
        <v>67</v>
      </c>
      <c r="S32" s="3"/>
      <c r="T32" s="8">
        <f t="shared" si="3"/>
        <v>39.950000000000003</v>
      </c>
      <c r="U32" s="4"/>
      <c r="V32" s="3"/>
      <c r="W32" s="4"/>
    </row>
    <row r="33" spans="1:23" ht="31.2" x14ac:dyDescent="0.3">
      <c r="A33" s="5" t="s">
        <v>69</v>
      </c>
      <c r="B33" s="3">
        <v>1</v>
      </c>
      <c r="C33" s="7">
        <v>57.36</v>
      </c>
      <c r="D33" s="6">
        <f t="shared" si="9"/>
        <v>0.40603207810320785</v>
      </c>
      <c r="E33" s="7">
        <v>0</v>
      </c>
      <c r="F33" s="7">
        <v>34.07</v>
      </c>
      <c r="G33" s="8">
        <f t="shared" si="11"/>
        <v>34.07</v>
      </c>
      <c r="H33" s="7">
        <v>0</v>
      </c>
      <c r="I33" s="7">
        <f>65.52/2</f>
        <v>32.76</v>
      </c>
      <c r="J33" s="28">
        <v>45282</v>
      </c>
      <c r="K33" s="28">
        <v>45300</v>
      </c>
      <c r="L33" s="8"/>
      <c r="M33" s="7">
        <v>17.03</v>
      </c>
      <c r="N33" s="7"/>
      <c r="O33" s="9">
        <f>8.28/2</f>
        <v>4.1399999999999997</v>
      </c>
      <c r="P33" s="3">
        <v>1</v>
      </c>
      <c r="Q33" s="8">
        <f t="shared" si="8"/>
        <v>62.69</v>
      </c>
      <c r="R33" s="10" t="s">
        <v>70</v>
      </c>
      <c r="S33" s="3"/>
      <c r="T33" s="8">
        <f t="shared" si="3"/>
        <v>62.69</v>
      </c>
      <c r="U33" s="4"/>
      <c r="V33" s="3"/>
      <c r="W33" s="4"/>
    </row>
    <row r="34" spans="1:23" ht="31.2" x14ac:dyDescent="0.3">
      <c r="A34" s="5" t="s">
        <v>71</v>
      </c>
      <c r="B34" s="3">
        <v>1</v>
      </c>
      <c r="C34" s="7">
        <v>40.479999999999997</v>
      </c>
      <c r="D34" s="6">
        <f t="shared" si="9"/>
        <v>0.40316205533596838</v>
      </c>
      <c r="E34" s="7">
        <v>0</v>
      </c>
      <c r="F34" s="7">
        <v>24.16</v>
      </c>
      <c r="G34" s="8">
        <f t="shared" si="11"/>
        <v>24.16</v>
      </c>
      <c r="H34" s="7">
        <v>0</v>
      </c>
      <c r="I34" s="7">
        <f>65.52/2</f>
        <v>32.76</v>
      </c>
      <c r="J34" s="28">
        <v>45282</v>
      </c>
      <c r="K34" s="28">
        <v>45300</v>
      </c>
      <c r="L34" s="8"/>
      <c r="M34" s="7">
        <v>17.03</v>
      </c>
      <c r="N34" s="7"/>
      <c r="O34" s="9">
        <f>8.28/2</f>
        <v>4.1399999999999997</v>
      </c>
      <c r="P34" s="3">
        <v>1</v>
      </c>
      <c r="Q34" s="8">
        <f t="shared" si="8"/>
        <v>52.78</v>
      </c>
      <c r="R34" s="10" t="s">
        <v>70</v>
      </c>
      <c r="S34" s="3"/>
      <c r="T34" s="8">
        <f t="shared" si="3"/>
        <v>52.78</v>
      </c>
      <c r="U34" s="4"/>
      <c r="V34" s="3"/>
      <c r="W34" s="4"/>
    </row>
    <row r="35" spans="1:23" ht="31.2" x14ac:dyDescent="0.3">
      <c r="A35" s="5" t="s">
        <v>369</v>
      </c>
      <c r="B35" s="3">
        <v>1</v>
      </c>
      <c r="C35" s="7">
        <v>190.95</v>
      </c>
      <c r="D35" s="6">
        <f t="shared" si="9"/>
        <v>0.64210526315789462</v>
      </c>
      <c r="E35" s="7">
        <v>0</v>
      </c>
      <c r="F35" s="7">
        <v>68.34</v>
      </c>
      <c r="G35" s="8">
        <f t="shared" si="11"/>
        <v>68.34</v>
      </c>
      <c r="H35" s="7">
        <v>0</v>
      </c>
      <c r="I35" s="7">
        <v>0.03</v>
      </c>
      <c r="J35" s="28">
        <v>45282</v>
      </c>
      <c r="K35" s="28">
        <v>45300</v>
      </c>
      <c r="L35" s="8"/>
      <c r="M35" s="7">
        <v>17.03</v>
      </c>
      <c r="N35" s="7"/>
      <c r="O35" s="9">
        <v>9.7200000000000006</v>
      </c>
      <c r="P35" s="3">
        <v>1</v>
      </c>
      <c r="Q35" s="8">
        <f t="shared" si="8"/>
        <v>58.650000000000006</v>
      </c>
      <c r="R35" s="10" t="s">
        <v>72</v>
      </c>
      <c r="S35" s="3"/>
      <c r="T35" s="8">
        <f t="shared" si="3"/>
        <v>58.650000000000006</v>
      </c>
      <c r="U35" s="4"/>
      <c r="V35" s="3"/>
      <c r="W35" s="4"/>
    </row>
    <row r="36" spans="1:23" ht="31.2" x14ac:dyDescent="0.3">
      <c r="A36" s="5" t="s">
        <v>73</v>
      </c>
      <c r="B36" s="3">
        <v>1</v>
      </c>
      <c r="C36" s="7">
        <v>99.04</v>
      </c>
      <c r="D36" s="6">
        <f t="shared" si="9"/>
        <v>0.52090064620355403</v>
      </c>
      <c r="E36" s="7">
        <v>0</v>
      </c>
      <c r="F36" s="7">
        <v>47.45</v>
      </c>
      <c r="G36" s="8">
        <f t="shared" si="11"/>
        <v>47.45</v>
      </c>
      <c r="H36" s="7">
        <v>0</v>
      </c>
      <c r="I36" s="7">
        <f>63.61/2</f>
        <v>31.805</v>
      </c>
      <c r="J36" s="28">
        <v>45282</v>
      </c>
      <c r="K36" s="28">
        <v>45309</v>
      </c>
      <c r="L36" s="8"/>
      <c r="M36" s="7">
        <v>17.03</v>
      </c>
      <c r="N36" s="7"/>
      <c r="O36" s="9"/>
      <c r="P36" s="3">
        <v>1</v>
      </c>
      <c r="Q36" s="8">
        <f t="shared" si="8"/>
        <v>79.254999999999995</v>
      </c>
      <c r="R36" s="10" t="s">
        <v>72</v>
      </c>
      <c r="S36" s="3"/>
      <c r="T36" s="8">
        <f t="shared" si="3"/>
        <v>79.254999999999995</v>
      </c>
      <c r="U36" s="4"/>
      <c r="V36" s="3"/>
      <c r="W36" s="4"/>
    </row>
    <row r="37" spans="1:23" ht="46.8" x14ac:dyDescent="0.3">
      <c r="A37" s="5" t="s">
        <v>74</v>
      </c>
      <c r="B37" s="3">
        <v>1</v>
      </c>
      <c r="C37" s="7">
        <v>88.19</v>
      </c>
      <c r="D37" s="6">
        <f t="shared" si="9"/>
        <v>0.52114752239482942</v>
      </c>
      <c r="E37" s="7">
        <v>0</v>
      </c>
      <c r="F37" s="7">
        <v>42.23</v>
      </c>
      <c r="G37" s="8">
        <f t="shared" si="11"/>
        <v>42.23</v>
      </c>
      <c r="H37" s="7">
        <v>0</v>
      </c>
      <c r="I37" s="7">
        <f>63.61/2</f>
        <v>31.805</v>
      </c>
      <c r="J37" s="28">
        <v>45282</v>
      </c>
      <c r="K37" s="28">
        <v>45309</v>
      </c>
      <c r="L37" s="8"/>
      <c r="M37" s="7">
        <v>17.03</v>
      </c>
      <c r="N37" s="7"/>
      <c r="O37" s="9"/>
      <c r="P37" s="3">
        <v>1</v>
      </c>
      <c r="Q37" s="8">
        <f t="shared" si="8"/>
        <v>74.034999999999997</v>
      </c>
      <c r="R37" s="10" t="s">
        <v>72</v>
      </c>
      <c r="S37" s="3"/>
      <c r="T37" s="8">
        <f t="shared" si="3"/>
        <v>74.034999999999997</v>
      </c>
      <c r="U37" s="4"/>
      <c r="V37" s="3"/>
      <c r="W37" s="4"/>
    </row>
    <row r="38" spans="1:23" ht="31.2" x14ac:dyDescent="0.3">
      <c r="A38" s="5" t="s">
        <v>358</v>
      </c>
      <c r="B38" s="3">
        <v>1</v>
      </c>
      <c r="C38" s="7">
        <v>91.56</v>
      </c>
      <c r="D38" s="6">
        <f t="shared" si="9"/>
        <v>0.51703800786369591</v>
      </c>
      <c r="E38" s="7">
        <v>0</v>
      </c>
      <c r="F38" s="7">
        <v>44.22</v>
      </c>
      <c r="G38" s="8">
        <f t="shared" si="11"/>
        <v>44.22</v>
      </c>
      <c r="H38" s="7">
        <v>0</v>
      </c>
      <c r="I38" s="7">
        <f>0.01/2</f>
        <v>5.0000000000000001E-3</v>
      </c>
      <c r="J38" s="28">
        <v>45283</v>
      </c>
      <c r="K38" s="28">
        <v>45300</v>
      </c>
      <c r="L38" s="8"/>
      <c r="M38" s="7">
        <v>17.03</v>
      </c>
      <c r="N38" s="7"/>
      <c r="O38" s="9"/>
      <c r="P38" s="3">
        <v>1</v>
      </c>
      <c r="Q38" s="8">
        <f t="shared" si="8"/>
        <v>44.225000000000001</v>
      </c>
      <c r="R38" s="10" t="s">
        <v>356</v>
      </c>
      <c r="S38" s="3"/>
      <c r="T38" s="8">
        <f t="shared" si="3"/>
        <v>44.225000000000001</v>
      </c>
      <c r="U38" s="4"/>
      <c r="V38" s="3"/>
      <c r="W38" s="4"/>
    </row>
    <row r="39" spans="1:23" ht="31.2" x14ac:dyDescent="0.3">
      <c r="A39" s="5" t="s">
        <v>357</v>
      </c>
      <c r="B39" s="3">
        <v>1</v>
      </c>
      <c r="C39" s="7">
        <v>85.79</v>
      </c>
      <c r="D39" s="6">
        <f t="shared" si="9"/>
        <v>0.51940785639351916</v>
      </c>
      <c r="E39" s="7">
        <v>0</v>
      </c>
      <c r="F39" s="7">
        <v>41.23</v>
      </c>
      <c r="G39" s="8">
        <f t="shared" si="11"/>
        <v>41.23</v>
      </c>
      <c r="H39" s="7">
        <v>0</v>
      </c>
      <c r="I39" s="7">
        <f>0.01/2</f>
        <v>5.0000000000000001E-3</v>
      </c>
      <c r="J39" s="28">
        <v>45282</v>
      </c>
      <c r="K39" s="28">
        <v>45300</v>
      </c>
      <c r="L39" s="8"/>
      <c r="M39" s="7">
        <v>17.03</v>
      </c>
      <c r="N39" s="7"/>
      <c r="O39" s="9"/>
      <c r="P39" s="3">
        <v>1</v>
      </c>
      <c r="Q39" s="8">
        <f t="shared" si="8"/>
        <v>41.234999999999999</v>
      </c>
      <c r="R39" s="10"/>
      <c r="S39" s="3"/>
      <c r="T39" s="8">
        <f t="shared" si="3"/>
        <v>41.234999999999999</v>
      </c>
      <c r="U39" s="4"/>
      <c r="V39" s="3"/>
      <c r="W39" s="4"/>
    </row>
    <row r="40" spans="1:23" ht="46.8" x14ac:dyDescent="0.3">
      <c r="A40" s="32" t="s">
        <v>361</v>
      </c>
      <c r="B40" s="3">
        <v>2</v>
      </c>
      <c r="C40" s="7">
        <v>299</v>
      </c>
      <c r="D40" s="6">
        <f t="shared" si="9"/>
        <v>0.33210702341137127</v>
      </c>
      <c r="E40" s="7">
        <v>0</v>
      </c>
      <c r="F40" s="7">
        <v>199.7</v>
      </c>
      <c r="G40" s="8">
        <f t="shared" si="11"/>
        <v>399.4</v>
      </c>
      <c r="H40" s="7">
        <v>0</v>
      </c>
      <c r="I40" s="7">
        <f>(173.1/3)*B40</f>
        <v>115.39999999999999</v>
      </c>
      <c r="J40" s="28">
        <v>45283</v>
      </c>
      <c r="K40" s="28">
        <v>45300</v>
      </c>
      <c r="L40" s="8"/>
      <c r="M40" s="7">
        <v>17.03</v>
      </c>
      <c r="N40" s="7"/>
      <c r="O40" s="9">
        <f>(12.17/3)*B40</f>
        <v>8.1133333333333333</v>
      </c>
      <c r="P40" s="3">
        <v>1</v>
      </c>
      <c r="Q40" s="8">
        <f t="shared" si="8"/>
        <v>253.34333333333331</v>
      </c>
      <c r="R40" s="10" t="s">
        <v>359</v>
      </c>
      <c r="S40" s="3"/>
      <c r="T40" s="8">
        <f t="shared" si="3"/>
        <v>506.68666666666661</v>
      </c>
      <c r="U40" s="4"/>
      <c r="V40" s="3"/>
      <c r="W40" s="4"/>
    </row>
    <row r="41" spans="1:23" ht="46.8" x14ac:dyDescent="0.3">
      <c r="A41" s="32" t="s">
        <v>360</v>
      </c>
      <c r="B41" s="3">
        <v>1</v>
      </c>
      <c r="C41" s="7">
        <v>299</v>
      </c>
      <c r="D41" s="6">
        <f t="shared" si="9"/>
        <v>0.29608695652173916</v>
      </c>
      <c r="E41" s="7">
        <v>0</v>
      </c>
      <c r="F41" s="7">
        <v>210.47</v>
      </c>
      <c r="G41" s="8">
        <f t="shared" si="11"/>
        <v>210.47</v>
      </c>
      <c r="H41" s="7">
        <v>0</v>
      </c>
      <c r="I41" s="7">
        <f>173.1/3</f>
        <v>57.699999999999996</v>
      </c>
      <c r="J41" s="28">
        <v>45283</v>
      </c>
      <c r="K41" s="28">
        <v>45300</v>
      </c>
      <c r="L41" s="8"/>
      <c r="M41" s="7">
        <v>17.03</v>
      </c>
      <c r="N41" s="7"/>
      <c r="O41" s="9">
        <f>12.17/3</f>
        <v>4.0566666666666666</v>
      </c>
      <c r="P41" s="3">
        <v>1</v>
      </c>
      <c r="Q41" s="8">
        <f t="shared" si="8"/>
        <v>264.11333333333334</v>
      </c>
      <c r="R41" s="10"/>
      <c r="S41" s="3"/>
      <c r="T41" s="8">
        <f t="shared" si="3"/>
        <v>264.11333333333334</v>
      </c>
      <c r="U41" s="4"/>
      <c r="V41" s="3"/>
      <c r="W41" s="4"/>
    </row>
    <row r="42" spans="1:23" ht="46.8" x14ac:dyDescent="0.3">
      <c r="A42" s="5" t="s">
        <v>75</v>
      </c>
      <c r="B42" s="3">
        <v>1</v>
      </c>
      <c r="C42" s="7">
        <v>261</v>
      </c>
      <c r="D42" s="6">
        <f t="shared" si="9"/>
        <v>0.39302681992337168</v>
      </c>
      <c r="E42" s="7">
        <v>0</v>
      </c>
      <c r="F42" s="7">
        <v>158.41999999999999</v>
      </c>
      <c r="G42" s="8">
        <f t="shared" ref="G42:G57" si="12">B42*F42</f>
        <v>158.41999999999999</v>
      </c>
      <c r="H42" s="7">
        <v>0</v>
      </c>
      <c r="I42" s="7">
        <v>0</v>
      </c>
      <c r="J42" s="28">
        <v>45283</v>
      </c>
      <c r="K42" s="28">
        <v>45300</v>
      </c>
      <c r="L42" s="8"/>
      <c r="M42" s="7">
        <v>17.03</v>
      </c>
      <c r="N42" s="7"/>
      <c r="O42" s="9"/>
      <c r="P42" s="3">
        <v>1</v>
      </c>
      <c r="Q42" s="8">
        <f t="shared" ref="Q42:Q73" si="13">F42+(I42/B42)-(O42/B42)</f>
        <v>158.41999999999999</v>
      </c>
      <c r="R42" s="10" t="s">
        <v>76</v>
      </c>
      <c r="S42" s="3"/>
      <c r="T42" s="8">
        <f t="shared" si="3"/>
        <v>158.41999999999999</v>
      </c>
      <c r="U42" s="4"/>
      <c r="V42" s="3"/>
      <c r="W42" s="4"/>
    </row>
    <row r="43" spans="1:23" ht="31.2" x14ac:dyDescent="0.3">
      <c r="A43" s="5" t="s">
        <v>77</v>
      </c>
      <c r="B43" s="3">
        <v>1</v>
      </c>
      <c r="C43" s="7">
        <v>92.32</v>
      </c>
      <c r="D43" s="6">
        <f t="shared" si="9"/>
        <v>0.24122616984402076</v>
      </c>
      <c r="E43" s="7">
        <v>0</v>
      </c>
      <c r="F43" s="7">
        <v>70.05</v>
      </c>
      <c r="G43" s="8">
        <f t="shared" si="12"/>
        <v>70.05</v>
      </c>
      <c r="H43" s="7">
        <v>0</v>
      </c>
      <c r="I43" s="7">
        <v>92.22</v>
      </c>
      <c r="J43" s="28">
        <v>45282</v>
      </c>
      <c r="K43" s="28">
        <v>45300</v>
      </c>
      <c r="L43" s="8"/>
      <c r="M43" s="7">
        <v>17.03</v>
      </c>
      <c r="N43" s="7"/>
      <c r="O43" s="9"/>
      <c r="P43" s="3">
        <v>1</v>
      </c>
      <c r="Q43" s="8">
        <f t="shared" si="13"/>
        <v>162.26999999999998</v>
      </c>
      <c r="R43" s="10" t="s">
        <v>78</v>
      </c>
      <c r="S43" s="3"/>
      <c r="T43" s="8">
        <f t="shared" si="3"/>
        <v>162.26999999999998</v>
      </c>
      <c r="U43" s="4"/>
      <c r="V43" s="3"/>
      <c r="W43" s="4"/>
    </row>
    <row r="44" spans="1:23" ht="31.2" x14ac:dyDescent="0.3">
      <c r="A44" s="5" t="s">
        <v>79</v>
      </c>
      <c r="B44" s="3">
        <v>3</v>
      </c>
      <c r="C44" s="7">
        <v>89</v>
      </c>
      <c r="D44" s="6">
        <f t="shared" si="9"/>
        <v>1.1235955056185523E-4</v>
      </c>
      <c r="E44" s="7">
        <v>0</v>
      </c>
      <c r="F44" s="7">
        <v>88.99</v>
      </c>
      <c r="G44" s="8">
        <f t="shared" si="12"/>
        <v>266.96999999999997</v>
      </c>
      <c r="H44" s="7">
        <v>0</v>
      </c>
      <c r="I44" s="7">
        <v>0</v>
      </c>
      <c r="J44" s="28">
        <v>45283</v>
      </c>
      <c r="K44" s="28">
        <v>45300</v>
      </c>
      <c r="L44" s="8"/>
      <c r="M44" s="7">
        <v>17.03</v>
      </c>
      <c r="N44" s="7"/>
      <c r="O44" s="9">
        <v>5.39</v>
      </c>
      <c r="P44" s="3">
        <v>1</v>
      </c>
      <c r="Q44" s="8">
        <f t="shared" si="13"/>
        <v>87.193333333333328</v>
      </c>
      <c r="R44" s="10" t="s">
        <v>80</v>
      </c>
      <c r="S44" s="3"/>
      <c r="T44" s="8">
        <f t="shared" si="3"/>
        <v>261.58</v>
      </c>
      <c r="U44" s="4"/>
      <c r="V44" s="3"/>
      <c r="W44" s="4"/>
    </row>
    <row r="45" spans="1:23" ht="31.2" x14ac:dyDescent="0.3">
      <c r="A45" s="5" t="s">
        <v>81</v>
      </c>
      <c r="B45" s="3">
        <v>1</v>
      </c>
      <c r="C45" s="7">
        <v>89</v>
      </c>
      <c r="D45" s="6">
        <f t="shared" si="9"/>
        <v>0.42393258426966285</v>
      </c>
      <c r="E45" s="7">
        <v>0</v>
      </c>
      <c r="F45" s="7">
        <v>51.27</v>
      </c>
      <c r="G45" s="8">
        <f t="shared" si="12"/>
        <v>51.27</v>
      </c>
      <c r="H45" s="7">
        <v>0</v>
      </c>
      <c r="I45" s="7">
        <v>22.42</v>
      </c>
      <c r="J45" s="28">
        <v>45283</v>
      </c>
      <c r="K45" s="28">
        <v>45300</v>
      </c>
      <c r="L45" s="8"/>
      <c r="M45" s="7">
        <v>17.03</v>
      </c>
      <c r="N45" s="7"/>
      <c r="O45" s="9"/>
      <c r="P45" s="3">
        <v>1</v>
      </c>
      <c r="Q45" s="8">
        <f t="shared" si="13"/>
        <v>73.69</v>
      </c>
      <c r="R45" s="10" t="s">
        <v>82</v>
      </c>
      <c r="S45" s="3"/>
      <c r="T45" s="8">
        <f t="shared" si="3"/>
        <v>73.69</v>
      </c>
      <c r="U45" s="4"/>
      <c r="V45" s="3"/>
      <c r="W45" s="4"/>
    </row>
    <row r="46" spans="1:23" ht="46.8" x14ac:dyDescent="0.3">
      <c r="A46" s="5" t="s">
        <v>83</v>
      </c>
      <c r="B46" s="3">
        <v>3</v>
      </c>
      <c r="C46" s="7">
        <v>37.85</v>
      </c>
      <c r="D46" s="6">
        <f t="shared" si="9"/>
        <v>0.34266842800528408</v>
      </c>
      <c r="E46" s="7">
        <v>0</v>
      </c>
      <c r="F46" s="7">
        <v>24.88</v>
      </c>
      <c r="G46" s="8">
        <f t="shared" si="12"/>
        <v>74.64</v>
      </c>
      <c r="H46" s="7">
        <v>0</v>
      </c>
      <c r="I46" s="7">
        <v>25.47</v>
      </c>
      <c r="J46" s="28">
        <v>45283</v>
      </c>
      <c r="K46" s="28">
        <v>45300</v>
      </c>
      <c r="L46" s="8"/>
      <c r="M46" s="7">
        <v>17.03</v>
      </c>
      <c r="N46" s="7"/>
      <c r="O46" s="9"/>
      <c r="P46" s="3">
        <v>1</v>
      </c>
      <c r="Q46" s="8">
        <f t="shared" si="13"/>
        <v>33.369999999999997</v>
      </c>
      <c r="R46" s="10" t="s">
        <v>84</v>
      </c>
      <c r="S46" s="3"/>
      <c r="T46" s="8">
        <f t="shared" si="3"/>
        <v>100.10999999999999</v>
      </c>
      <c r="U46" s="4"/>
      <c r="V46" s="3"/>
      <c r="W46" s="4"/>
    </row>
    <row r="47" spans="1:23" ht="31.2" x14ac:dyDescent="0.3">
      <c r="A47" s="32" t="s">
        <v>85</v>
      </c>
      <c r="B47" s="3">
        <v>2</v>
      </c>
      <c r="C47" s="7">
        <v>250</v>
      </c>
      <c r="D47" s="6">
        <f t="shared" si="9"/>
        <v>0.20120000000000005</v>
      </c>
      <c r="E47" s="7">
        <v>0</v>
      </c>
      <c r="F47" s="7">
        <v>199.7</v>
      </c>
      <c r="G47" s="8">
        <f t="shared" si="12"/>
        <v>399.4</v>
      </c>
      <c r="H47" s="7">
        <v>0</v>
      </c>
      <c r="I47" s="7">
        <f>(173.1/3)*2</f>
        <v>115.39999999999999</v>
      </c>
      <c r="J47" s="28">
        <v>45283</v>
      </c>
      <c r="K47" s="28">
        <v>45300</v>
      </c>
      <c r="L47" s="8"/>
      <c r="M47" s="7">
        <v>17.03</v>
      </c>
      <c r="N47" s="7"/>
      <c r="O47" s="9">
        <f>(12.17/3)*2</f>
        <v>8.1133333333333333</v>
      </c>
      <c r="P47" s="3">
        <v>1</v>
      </c>
      <c r="Q47" s="8">
        <f t="shared" si="13"/>
        <v>253.34333333333331</v>
      </c>
      <c r="R47" s="10" t="s">
        <v>86</v>
      </c>
      <c r="S47" s="3"/>
      <c r="T47" s="8">
        <f t="shared" si="3"/>
        <v>506.68666666666661</v>
      </c>
      <c r="U47" s="4"/>
      <c r="V47" s="3"/>
      <c r="W47" s="4"/>
    </row>
    <row r="48" spans="1:23" x14ac:dyDescent="0.3">
      <c r="A48" s="32" t="s">
        <v>87</v>
      </c>
      <c r="B48" s="3">
        <v>1</v>
      </c>
      <c r="C48" s="7">
        <v>270</v>
      </c>
      <c r="D48" s="6">
        <f t="shared" si="9"/>
        <v>0.22048148148148147</v>
      </c>
      <c r="E48" s="7">
        <v>0</v>
      </c>
      <c r="F48" s="7">
        <v>210.47</v>
      </c>
      <c r="G48" s="8">
        <f t="shared" si="12"/>
        <v>210.47</v>
      </c>
      <c r="H48" s="7">
        <v>0</v>
      </c>
      <c r="I48" s="7">
        <f>173.1/3</f>
        <v>57.699999999999996</v>
      </c>
      <c r="J48" s="28">
        <v>45283</v>
      </c>
      <c r="K48" s="28">
        <v>45300</v>
      </c>
      <c r="L48" s="8"/>
      <c r="M48" s="7">
        <v>17.03</v>
      </c>
      <c r="N48" s="7"/>
      <c r="O48" s="9">
        <f>12.17/3</f>
        <v>4.0566666666666666</v>
      </c>
      <c r="P48" s="3">
        <v>1</v>
      </c>
      <c r="Q48" s="8">
        <f t="shared" si="13"/>
        <v>264.11333333333334</v>
      </c>
      <c r="R48" s="10" t="s">
        <v>88</v>
      </c>
      <c r="S48" s="3"/>
      <c r="T48" s="8">
        <f t="shared" si="3"/>
        <v>264.11333333333334</v>
      </c>
      <c r="U48" s="4"/>
      <c r="V48" s="3"/>
      <c r="W48" s="4"/>
    </row>
    <row r="49" spans="1:23" ht="46.8" x14ac:dyDescent="0.3">
      <c r="A49" s="5" t="s">
        <v>89</v>
      </c>
      <c r="B49" s="3">
        <v>4</v>
      </c>
      <c r="C49" s="7">
        <v>160.97</v>
      </c>
      <c r="D49" s="6">
        <f t="shared" si="9"/>
        <v>0.49419146424799648</v>
      </c>
      <c r="E49" s="7">
        <v>0</v>
      </c>
      <c r="F49" s="7">
        <v>81.42</v>
      </c>
      <c r="G49" s="8">
        <f t="shared" si="12"/>
        <v>325.68</v>
      </c>
      <c r="H49" s="7">
        <v>0</v>
      </c>
      <c r="I49" s="7">
        <v>0</v>
      </c>
      <c r="J49" s="28">
        <v>45283</v>
      </c>
      <c r="K49" s="28">
        <v>45303</v>
      </c>
      <c r="L49" s="8"/>
      <c r="M49" s="7">
        <v>17.03</v>
      </c>
      <c r="N49" s="7"/>
      <c r="O49" s="9">
        <v>16.28</v>
      </c>
      <c r="P49" s="3">
        <v>1</v>
      </c>
      <c r="Q49" s="8">
        <f t="shared" si="13"/>
        <v>77.349999999999994</v>
      </c>
      <c r="R49" s="10" t="s">
        <v>90</v>
      </c>
      <c r="S49" s="3"/>
      <c r="T49" s="8">
        <f t="shared" si="3"/>
        <v>309.39999999999998</v>
      </c>
      <c r="U49" s="4"/>
      <c r="V49" s="3"/>
      <c r="W49" s="4"/>
    </row>
    <row r="50" spans="1:23" ht="31.2" x14ac:dyDescent="0.3">
      <c r="A50" s="5" t="s">
        <v>91</v>
      </c>
      <c r="B50" s="3">
        <v>3</v>
      </c>
      <c r="C50" s="7">
        <v>82.22</v>
      </c>
      <c r="D50" s="6">
        <f t="shared" si="9"/>
        <v>0.44368766723424957</v>
      </c>
      <c r="E50" s="7">
        <v>0</v>
      </c>
      <c r="F50" s="7">
        <v>45.74</v>
      </c>
      <c r="G50" s="8">
        <f t="shared" si="12"/>
        <v>137.22</v>
      </c>
      <c r="H50" s="7">
        <v>0</v>
      </c>
      <c r="I50" s="7">
        <v>0</v>
      </c>
      <c r="J50" s="28">
        <v>45283</v>
      </c>
      <c r="K50" s="28">
        <v>45300</v>
      </c>
      <c r="L50" s="8"/>
      <c r="M50" s="7">
        <v>17.03</v>
      </c>
      <c r="N50" s="7"/>
      <c r="O50" s="9"/>
      <c r="P50" s="3">
        <v>1</v>
      </c>
      <c r="Q50" s="8">
        <f t="shared" si="13"/>
        <v>45.74</v>
      </c>
      <c r="R50" s="10" t="s">
        <v>92</v>
      </c>
      <c r="S50" s="3"/>
      <c r="T50" s="8">
        <f t="shared" si="3"/>
        <v>137.22</v>
      </c>
      <c r="U50" s="4"/>
      <c r="V50" s="3"/>
      <c r="W50" s="4"/>
    </row>
    <row r="51" spans="1:23" ht="46.8" x14ac:dyDescent="0.3">
      <c r="A51" s="5" t="s">
        <v>93</v>
      </c>
      <c r="B51" s="3">
        <v>1</v>
      </c>
      <c r="C51" s="7">
        <v>149.34</v>
      </c>
      <c r="D51" s="6">
        <f t="shared" si="9"/>
        <v>0.35409133520824965</v>
      </c>
      <c r="E51" s="7">
        <v>0</v>
      </c>
      <c r="F51" s="7">
        <v>96.46</v>
      </c>
      <c r="G51" s="8">
        <f t="shared" si="12"/>
        <v>96.46</v>
      </c>
      <c r="H51" s="7">
        <v>0</v>
      </c>
      <c r="I51" s="7">
        <v>62.22</v>
      </c>
      <c r="J51" s="28">
        <v>45283</v>
      </c>
      <c r="K51" s="28">
        <v>45300</v>
      </c>
      <c r="L51" s="8"/>
      <c r="M51" s="7">
        <v>17.03</v>
      </c>
      <c r="N51" s="7"/>
      <c r="O51" s="9"/>
      <c r="P51" s="3">
        <v>1</v>
      </c>
      <c r="Q51" s="8">
        <f t="shared" si="13"/>
        <v>158.68</v>
      </c>
      <c r="R51" s="10" t="s">
        <v>94</v>
      </c>
      <c r="S51" s="3"/>
      <c r="T51" s="8">
        <f t="shared" si="3"/>
        <v>158.68</v>
      </c>
      <c r="U51" s="4"/>
      <c r="V51" s="3"/>
      <c r="W51" s="4"/>
    </row>
    <row r="52" spans="1:23" ht="31.2" x14ac:dyDescent="0.3">
      <c r="A52" s="32" t="s">
        <v>95</v>
      </c>
      <c r="B52" s="3">
        <v>1</v>
      </c>
      <c r="C52" s="7">
        <v>247.52</v>
      </c>
      <c r="D52" s="6">
        <f t="shared" si="9"/>
        <v>0.39475597931480277</v>
      </c>
      <c r="E52" s="7">
        <v>0</v>
      </c>
      <c r="F52" s="7">
        <v>149.81</v>
      </c>
      <c r="G52" s="8">
        <f t="shared" si="12"/>
        <v>149.81</v>
      </c>
      <c r="H52" s="7">
        <v>0</v>
      </c>
      <c r="I52" s="7">
        <v>13.38</v>
      </c>
      <c r="J52" s="28">
        <v>45283</v>
      </c>
      <c r="K52" s="28">
        <v>45300</v>
      </c>
      <c r="L52" s="8"/>
      <c r="M52" s="7">
        <v>17.03</v>
      </c>
      <c r="N52" s="7"/>
      <c r="O52" s="9">
        <f>28.92/3</f>
        <v>9.64</v>
      </c>
      <c r="P52" s="3">
        <v>1</v>
      </c>
      <c r="Q52" s="8">
        <f t="shared" si="13"/>
        <v>153.55000000000001</v>
      </c>
      <c r="R52" s="10" t="s">
        <v>96</v>
      </c>
      <c r="S52" s="3"/>
      <c r="T52" s="8">
        <f t="shared" si="3"/>
        <v>153.55000000000001</v>
      </c>
      <c r="U52" s="4"/>
      <c r="V52" s="3"/>
      <c r="W52" s="4"/>
    </row>
    <row r="53" spans="1:23" ht="31.2" x14ac:dyDescent="0.3">
      <c r="A53" s="5" t="s">
        <v>97</v>
      </c>
      <c r="B53" s="3">
        <v>1</v>
      </c>
      <c r="C53" s="7">
        <v>215.08</v>
      </c>
      <c r="D53" s="6">
        <f t="shared" si="9"/>
        <v>0.13371768644225412</v>
      </c>
      <c r="E53" s="7">
        <v>0</v>
      </c>
      <c r="F53" s="7">
        <v>186.32</v>
      </c>
      <c r="G53" s="8">
        <f t="shared" si="12"/>
        <v>186.32</v>
      </c>
      <c r="H53" s="7">
        <v>0</v>
      </c>
      <c r="I53" s="7"/>
      <c r="J53" s="28">
        <v>45283</v>
      </c>
      <c r="K53" s="28">
        <v>45300</v>
      </c>
      <c r="L53" s="8"/>
      <c r="M53" s="7">
        <v>17.03</v>
      </c>
      <c r="N53" s="7"/>
      <c r="O53" s="9"/>
      <c r="P53" s="3">
        <v>1</v>
      </c>
      <c r="Q53" s="8">
        <f t="shared" si="13"/>
        <v>186.32</v>
      </c>
      <c r="R53" s="10" t="s">
        <v>98</v>
      </c>
      <c r="S53" s="3"/>
      <c r="T53" s="8">
        <f t="shared" si="3"/>
        <v>186.32</v>
      </c>
      <c r="U53" s="4"/>
      <c r="V53" s="3"/>
      <c r="W53" s="4"/>
    </row>
    <row r="54" spans="1:23" ht="46.8" x14ac:dyDescent="0.3">
      <c r="A54" s="5" t="s">
        <v>99</v>
      </c>
      <c r="B54" s="3">
        <v>1</v>
      </c>
      <c r="C54" s="7">
        <v>149.47</v>
      </c>
      <c r="D54" s="6">
        <f t="shared" si="9"/>
        <v>-0.22031176824780899</v>
      </c>
      <c r="E54" s="7">
        <v>0</v>
      </c>
      <c r="F54" s="7">
        <v>182.4</v>
      </c>
      <c r="G54" s="8">
        <f t="shared" si="12"/>
        <v>182.4</v>
      </c>
      <c r="H54" s="7">
        <v>0</v>
      </c>
      <c r="I54" s="7"/>
      <c r="J54" s="28">
        <v>45283</v>
      </c>
      <c r="K54" s="28">
        <v>45300</v>
      </c>
      <c r="L54" s="8"/>
      <c r="M54" s="7">
        <v>17.03</v>
      </c>
      <c r="N54" s="7"/>
      <c r="O54" s="9"/>
      <c r="P54" s="3">
        <v>1</v>
      </c>
      <c r="Q54" s="8">
        <f t="shared" si="13"/>
        <v>182.4</v>
      </c>
      <c r="R54" s="10" t="s">
        <v>100</v>
      </c>
      <c r="S54" s="3"/>
      <c r="T54" s="8">
        <f t="shared" si="3"/>
        <v>182.4</v>
      </c>
      <c r="U54" s="4"/>
      <c r="V54" s="3"/>
      <c r="W54" s="4"/>
    </row>
    <row r="55" spans="1:23" ht="31.2" x14ac:dyDescent="0.3">
      <c r="A55" s="5" t="s">
        <v>101</v>
      </c>
      <c r="B55" s="3">
        <v>1</v>
      </c>
      <c r="C55" s="7">
        <v>228.4</v>
      </c>
      <c r="D55" s="6">
        <f t="shared" ref="D55:D86" si="14">(((C55-F55)*100)/C55)/100</f>
        <v>0.34404553415061301</v>
      </c>
      <c r="E55" s="7">
        <v>0</v>
      </c>
      <c r="F55" s="7">
        <v>149.82</v>
      </c>
      <c r="G55" s="8">
        <f t="shared" si="12"/>
        <v>149.82</v>
      </c>
      <c r="H55" s="7">
        <v>0</v>
      </c>
      <c r="I55" s="7">
        <v>13.38</v>
      </c>
      <c r="J55" s="28">
        <v>45283</v>
      </c>
      <c r="K55" s="28">
        <v>45300</v>
      </c>
      <c r="L55" s="8"/>
      <c r="M55" s="7">
        <v>17.03</v>
      </c>
      <c r="N55" s="7"/>
      <c r="O55" s="9"/>
      <c r="P55" s="3">
        <v>1</v>
      </c>
      <c r="Q55" s="8">
        <f t="shared" si="13"/>
        <v>163.19999999999999</v>
      </c>
      <c r="R55" s="10" t="s">
        <v>102</v>
      </c>
      <c r="S55" s="3"/>
      <c r="T55" s="8">
        <f t="shared" si="3"/>
        <v>163.19999999999999</v>
      </c>
      <c r="U55" s="4"/>
      <c r="V55" s="3"/>
      <c r="W55" s="4"/>
    </row>
    <row r="56" spans="1:23" ht="31.2" x14ac:dyDescent="0.3">
      <c r="A56" s="5" t="s">
        <v>103</v>
      </c>
      <c r="B56" s="3">
        <v>1</v>
      </c>
      <c r="C56" s="7">
        <v>278.82</v>
      </c>
      <c r="D56" s="6">
        <f t="shared" si="14"/>
        <v>0.66419195179685819</v>
      </c>
      <c r="E56" s="7">
        <v>0</v>
      </c>
      <c r="F56" s="7">
        <v>93.63</v>
      </c>
      <c r="G56" s="8">
        <f t="shared" si="12"/>
        <v>93.63</v>
      </c>
      <c r="H56" s="7">
        <v>0</v>
      </c>
      <c r="I56" s="7">
        <f>0.02/2</f>
        <v>0.01</v>
      </c>
      <c r="J56" s="28">
        <v>45283</v>
      </c>
      <c r="K56" s="28">
        <v>45300</v>
      </c>
      <c r="L56" s="8"/>
      <c r="M56" s="7">
        <v>16.91</v>
      </c>
      <c r="N56" s="7"/>
      <c r="O56" s="9"/>
      <c r="P56" s="3">
        <v>1</v>
      </c>
      <c r="Q56" s="8">
        <f t="shared" si="13"/>
        <v>93.64</v>
      </c>
      <c r="R56" s="10" t="s">
        <v>104</v>
      </c>
      <c r="S56" s="3"/>
      <c r="T56" s="8">
        <f t="shared" si="3"/>
        <v>93.64</v>
      </c>
      <c r="U56" s="4"/>
      <c r="V56" s="3"/>
      <c r="W56" s="4"/>
    </row>
    <row r="57" spans="1:23" ht="31.2" x14ac:dyDescent="0.3">
      <c r="A57" s="5" t="s">
        <v>103</v>
      </c>
      <c r="B57" s="3">
        <v>1</v>
      </c>
      <c r="C57" s="7">
        <v>273.81</v>
      </c>
      <c r="D57" s="6">
        <f t="shared" si="14"/>
        <v>0.66418319272488224</v>
      </c>
      <c r="E57" s="7">
        <v>0</v>
      </c>
      <c r="F57" s="7">
        <v>91.95</v>
      </c>
      <c r="G57" s="8">
        <f t="shared" si="12"/>
        <v>91.95</v>
      </c>
      <c r="H57" s="7">
        <v>0</v>
      </c>
      <c r="I57" s="7">
        <f>0.02/2</f>
        <v>0.01</v>
      </c>
      <c r="J57" s="28">
        <v>45283</v>
      </c>
      <c r="K57" s="28">
        <v>45300</v>
      </c>
      <c r="L57" s="8"/>
      <c r="M57" s="7">
        <v>16.91</v>
      </c>
      <c r="N57" s="7"/>
      <c r="O57" s="9"/>
      <c r="P57" s="3">
        <v>1</v>
      </c>
      <c r="Q57" s="8">
        <f t="shared" si="13"/>
        <v>91.960000000000008</v>
      </c>
      <c r="R57" s="10"/>
      <c r="S57" s="3"/>
      <c r="T57" s="8">
        <f t="shared" si="3"/>
        <v>91.960000000000008</v>
      </c>
      <c r="U57" s="4"/>
      <c r="V57" s="3"/>
      <c r="W57" s="4"/>
    </row>
    <row r="58" spans="1:23" ht="46.8" x14ac:dyDescent="0.3">
      <c r="A58" s="5" t="s">
        <v>105</v>
      </c>
      <c r="B58" s="3">
        <v>2</v>
      </c>
      <c r="C58" s="7">
        <v>460.64</v>
      </c>
      <c r="D58" s="6">
        <f t="shared" si="14"/>
        <v>0.64165074678707879</v>
      </c>
      <c r="E58" s="7">
        <v>0</v>
      </c>
      <c r="F58" s="7">
        <v>165.07</v>
      </c>
      <c r="G58" s="8">
        <f t="shared" ref="G58:G68" si="15">B58*F58</f>
        <v>330.14</v>
      </c>
      <c r="H58" s="7">
        <v>0</v>
      </c>
      <c r="I58" s="7">
        <f>(0.12/8)*2</f>
        <v>0.03</v>
      </c>
      <c r="J58" s="28">
        <v>45283</v>
      </c>
      <c r="K58" s="28">
        <v>45297</v>
      </c>
      <c r="L58" s="8"/>
      <c r="M58" s="7">
        <v>17.03</v>
      </c>
      <c r="N58" s="7"/>
      <c r="O58" s="9"/>
      <c r="P58" s="3">
        <v>1</v>
      </c>
      <c r="Q58" s="8">
        <f t="shared" si="13"/>
        <v>165.08499999999998</v>
      </c>
      <c r="R58" s="10" t="s">
        <v>106</v>
      </c>
      <c r="S58" s="3"/>
      <c r="T58" s="8">
        <f t="shared" si="3"/>
        <v>330.16999999999996</v>
      </c>
      <c r="U58" s="4"/>
      <c r="V58" s="3"/>
      <c r="W58" s="4"/>
    </row>
    <row r="59" spans="1:23" ht="46.8" x14ac:dyDescent="0.3">
      <c r="A59" s="5" t="s">
        <v>107</v>
      </c>
      <c r="B59" s="3">
        <v>1</v>
      </c>
      <c r="C59" s="7">
        <v>453.96</v>
      </c>
      <c r="D59" s="6">
        <f t="shared" si="14"/>
        <v>0.64170852057449979</v>
      </c>
      <c r="E59" s="7">
        <v>0</v>
      </c>
      <c r="F59" s="7">
        <v>162.65</v>
      </c>
      <c r="G59" s="8">
        <f t="shared" si="15"/>
        <v>162.65</v>
      </c>
      <c r="H59" s="7">
        <v>0</v>
      </c>
      <c r="I59" s="7">
        <f t="shared" ref="I59:I64" si="16">0.12/8</f>
        <v>1.4999999999999999E-2</v>
      </c>
      <c r="J59" s="28">
        <v>45283</v>
      </c>
      <c r="K59" s="28">
        <v>45297</v>
      </c>
      <c r="L59" s="8"/>
      <c r="M59" s="7">
        <v>17.03</v>
      </c>
      <c r="N59" s="7"/>
      <c r="O59" s="9"/>
      <c r="P59" s="3">
        <v>1</v>
      </c>
      <c r="Q59" s="8">
        <f t="shared" si="13"/>
        <v>162.66499999999999</v>
      </c>
      <c r="R59" s="10"/>
      <c r="S59" s="3"/>
      <c r="T59" s="8">
        <f t="shared" si="3"/>
        <v>162.66499999999999</v>
      </c>
      <c r="U59" s="4"/>
      <c r="V59" s="3"/>
      <c r="W59" s="4"/>
    </row>
    <row r="60" spans="1:23" ht="46.8" x14ac:dyDescent="0.3">
      <c r="A60" s="5" t="s">
        <v>108</v>
      </c>
      <c r="B60" s="3">
        <v>1</v>
      </c>
      <c r="C60" s="7">
        <v>402.76</v>
      </c>
      <c r="D60" s="6">
        <f t="shared" si="14"/>
        <v>0.64169728870791543</v>
      </c>
      <c r="E60" s="7">
        <v>0</v>
      </c>
      <c r="F60" s="7">
        <v>144.31</v>
      </c>
      <c r="G60" s="8">
        <f t="shared" si="15"/>
        <v>144.31</v>
      </c>
      <c r="H60" s="7">
        <v>0</v>
      </c>
      <c r="I60" s="7">
        <f t="shared" si="16"/>
        <v>1.4999999999999999E-2</v>
      </c>
      <c r="J60" s="28">
        <v>45283</v>
      </c>
      <c r="K60" s="28">
        <v>45297</v>
      </c>
      <c r="L60" s="8"/>
      <c r="M60" s="7">
        <v>17.03</v>
      </c>
      <c r="N60" s="7"/>
      <c r="O60" s="9"/>
      <c r="P60" s="3">
        <v>1</v>
      </c>
      <c r="Q60" s="8">
        <f t="shared" si="13"/>
        <v>144.32499999999999</v>
      </c>
      <c r="R60" s="10"/>
      <c r="S60" s="3"/>
      <c r="T60" s="8">
        <f t="shared" si="3"/>
        <v>144.32499999999999</v>
      </c>
      <c r="U60" s="4"/>
      <c r="V60" s="3"/>
      <c r="W60" s="4"/>
    </row>
    <row r="61" spans="1:23" ht="46.8" x14ac:dyDescent="0.3">
      <c r="A61" s="5" t="s">
        <v>109</v>
      </c>
      <c r="B61" s="3">
        <v>1</v>
      </c>
      <c r="C61" s="7">
        <v>307.88</v>
      </c>
      <c r="D61" s="6">
        <f t="shared" si="14"/>
        <v>0.64164609588151222</v>
      </c>
      <c r="E61" s="7">
        <v>0</v>
      </c>
      <c r="F61" s="7">
        <v>110.33</v>
      </c>
      <c r="G61" s="8">
        <f t="shared" si="15"/>
        <v>110.33</v>
      </c>
      <c r="H61" s="7">
        <v>0</v>
      </c>
      <c r="I61" s="7">
        <f t="shared" si="16"/>
        <v>1.4999999999999999E-2</v>
      </c>
      <c r="J61" s="28">
        <v>45283</v>
      </c>
      <c r="K61" s="28">
        <v>45297</v>
      </c>
      <c r="L61" s="8"/>
      <c r="M61" s="7">
        <v>17.03</v>
      </c>
      <c r="N61" s="7"/>
      <c r="O61" s="9"/>
      <c r="P61" s="3">
        <v>1</v>
      </c>
      <c r="Q61" s="8">
        <f t="shared" si="13"/>
        <v>110.345</v>
      </c>
      <c r="R61" s="10" t="s">
        <v>110</v>
      </c>
      <c r="S61" s="3"/>
      <c r="T61" s="8">
        <f t="shared" si="3"/>
        <v>110.345</v>
      </c>
      <c r="U61" s="4"/>
      <c r="V61" s="3"/>
      <c r="W61" s="4"/>
    </row>
    <row r="62" spans="1:23" ht="46.8" x14ac:dyDescent="0.3">
      <c r="A62" s="5" t="s">
        <v>111</v>
      </c>
      <c r="B62" s="3">
        <v>1</v>
      </c>
      <c r="C62" s="7">
        <v>304.88</v>
      </c>
      <c r="D62" s="6">
        <f t="shared" si="14"/>
        <v>0.64162949357124122</v>
      </c>
      <c r="E62" s="7">
        <v>0</v>
      </c>
      <c r="F62" s="7">
        <v>109.26</v>
      </c>
      <c r="G62" s="8">
        <f t="shared" si="15"/>
        <v>109.26</v>
      </c>
      <c r="H62" s="7">
        <v>0</v>
      </c>
      <c r="I62" s="7">
        <f t="shared" si="16"/>
        <v>1.4999999999999999E-2</v>
      </c>
      <c r="J62" s="28">
        <v>45283</v>
      </c>
      <c r="K62" s="28">
        <v>45297</v>
      </c>
      <c r="L62" s="8"/>
      <c r="M62" s="7">
        <v>17.03</v>
      </c>
      <c r="N62" s="7"/>
      <c r="O62" s="9"/>
      <c r="P62" s="3">
        <v>1</v>
      </c>
      <c r="Q62" s="8">
        <f t="shared" si="13"/>
        <v>109.27500000000001</v>
      </c>
      <c r="R62" s="10"/>
      <c r="S62" s="12"/>
      <c r="T62" s="8">
        <f t="shared" si="3"/>
        <v>109.27500000000001</v>
      </c>
      <c r="U62" s="4"/>
      <c r="V62" s="3"/>
      <c r="W62" s="4"/>
    </row>
    <row r="63" spans="1:23" ht="46.8" x14ac:dyDescent="0.3">
      <c r="A63" s="5" t="s">
        <v>112</v>
      </c>
      <c r="B63" s="3">
        <v>1</v>
      </c>
      <c r="C63" s="7">
        <v>208.18</v>
      </c>
      <c r="D63" s="6">
        <f t="shared" si="14"/>
        <v>0.64165625900662893</v>
      </c>
      <c r="E63" s="7">
        <v>0</v>
      </c>
      <c r="F63" s="7">
        <v>74.599999999999994</v>
      </c>
      <c r="G63" s="8">
        <f t="shared" si="15"/>
        <v>74.599999999999994</v>
      </c>
      <c r="H63" s="7">
        <v>0</v>
      </c>
      <c r="I63" s="7">
        <f t="shared" si="16"/>
        <v>1.4999999999999999E-2</v>
      </c>
      <c r="J63" s="28">
        <v>45283</v>
      </c>
      <c r="K63" s="28">
        <v>45297</v>
      </c>
      <c r="L63" s="8"/>
      <c r="M63" s="7">
        <v>16.91</v>
      </c>
      <c r="N63" s="7"/>
      <c r="O63" s="9"/>
      <c r="P63" s="3">
        <v>1</v>
      </c>
      <c r="Q63" s="8">
        <f t="shared" si="13"/>
        <v>74.614999999999995</v>
      </c>
      <c r="R63" s="10"/>
      <c r="S63" s="12"/>
      <c r="T63" s="8">
        <f t="shared" si="3"/>
        <v>74.614999999999995</v>
      </c>
      <c r="U63" s="4"/>
      <c r="V63" s="3"/>
      <c r="W63" s="4"/>
    </row>
    <row r="64" spans="1:23" ht="46.8" x14ac:dyDescent="0.3">
      <c r="A64" s="5" t="s">
        <v>113</v>
      </c>
      <c r="B64" s="3">
        <v>1</v>
      </c>
      <c r="C64" s="7">
        <v>217.42</v>
      </c>
      <c r="D64" s="6">
        <f t="shared" si="14"/>
        <v>0.64322509428755414</v>
      </c>
      <c r="E64" s="7">
        <v>0</v>
      </c>
      <c r="F64" s="7">
        <v>77.569999999999993</v>
      </c>
      <c r="G64" s="8">
        <f t="shared" si="15"/>
        <v>77.569999999999993</v>
      </c>
      <c r="H64" s="7">
        <v>0</v>
      </c>
      <c r="I64" s="7">
        <f t="shared" si="16"/>
        <v>1.4999999999999999E-2</v>
      </c>
      <c r="J64" s="28">
        <v>45283</v>
      </c>
      <c r="K64" s="28">
        <v>45297</v>
      </c>
      <c r="L64" s="8"/>
      <c r="M64" s="7">
        <v>17.03</v>
      </c>
      <c r="N64" s="7"/>
      <c r="O64" s="9"/>
      <c r="P64" s="3">
        <v>1</v>
      </c>
      <c r="Q64" s="8">
        <f t="shared" si="13"/>
        <v>77.584999999999994</v>
      </c>
      <c r="R64" s="10"/>
      <c r="S64" s="12"/>
      <c r="T64" s="8">
        <f t="shared" si="3"/>
        <v>77.584999999999994</v>
      </c>
      <c r="U64" s="4"/>
      <c r="V64" s="3"/>
      <c r="W64" s="4"/>
    </row>
    <row r="65" spans="1:23" ht="46.8" x14ac:dyDescent="0.3">
      <c r="A65" s="5" t="s">
        <v>372</v>
      </c>
      <c r="B65" s="3">
        <v>1</v>
      </c>
      <c r="C65" s="7">
        <v>97.92</v>
      </c>
      <c r="D65" s="6">
        <f t="shared" si="14"/>
        <v>0.54840686274509798</v>
      </c>
      <c r="E65" s="7">
        <v>0</v>
      </c>
      <c r="F65" s="7">
        <v>44.22</v>
      </c>
      <c r="G65" s="8">
        <f t="shared" si="15"/>
        <v>44.22</v>
      </c>
      <c r="H65" s="7">
        <v>0</v>
      </c>
      <c r="I65" s="7">
        <f>0.12/8</f>
        <v>1.4999999999999999E-2</v>
      </c>
      <c r="J65" s="28">
        <v>45283</v>
      </c>
      <c r="K65" s="28">
        <v>45297</v>
      </c>
      <c r="L65" s="8"/>
      <c r="M65" s="7">
        <v>17.03</v>
      </c>
      <c r="N65" s="7"/>
      <c r="O65" s="9"/>
      <c r="P65" s="3">
        <v>1</v>
      </c>
      <c r="Q65" s="8">
        <f t="shared" si="13"/>
        <v>44.234999999999999</v>
      </c>
      <c r="R65" s="10" t="s">
        <v>371</v>
      </c>
      <c r="S65" s="12"/>
      <c r="T65" s="8">
        <f t="shared" si="3"/>
        <v>44.234999999999999</v>
      </c>
      <c r="U65" s="4"/>
      <c r="V65" s="3"/>
      <c r="W65" s="4"/>
    </row>
    <row r="66" spans="1:23" ht="46.8" x14ac:dyDescent="0.3">
      <c r="A66" s="5" t="s">
        <v>373</v>
      </c>
      <c r="B66" s="3">
        <v>1</v>
      </c>
      <c r="C66" s="7">
        <v>91.75</v>
      </c>
      <c r="D66" s="6">
        <f t="shared" si="14"/>
        <v>0.55062670299727523</v>
      </c>
      <c r="E66" s="7">
        <v>0</v>
      </c>
      <c r="F66" s="7">
        <v>41.23</v>
      </c>
      <c r="G66" s="8">
        <f t="shared" si="15"/>
        <v>41.23</v>
      </c>
      <c r="H66" s="7">
        <v>0</v>
      </c>
      <c r="I66" s="7">
        <f>0.12/8</f>
        <v>1.4999999999999999E-2</v>
      </c>
      <c r="J66" s="28">
        <v>45283</v>
      </c>
      <c r="K66" s="28">
        <v>45297</v>
      </c>
      <c r="L66" s="8"/>
      <c r="M66" s="7">
        <v>17.03</v>
      </c>
      <c r="N66" s="7"/>
      <c r="O66" s="9"/>
      <c r="P66" s="3">
        <v>1</v>
      </c>
      <c r="Q66" s="8">
        <f t="shared" si="13"/>
        <v>41.244999999999997</v>
      </c>
      <c r="R66" s="10"/>
      <c r="S66" s="12"/>
      <c r="T66" s="8">
        <f t="shared" si="3"/>
        <v>41.244999999999997</v>
      </c>
      <c r="U66" s="4"/>
      <c r="V66" s="3"/>
      <c r="W66" s="4"/>
    </row>
    <row r="67" spans="1:23" ht="31.2" x14ac:dyDescent="0.3">
      <c r="A67" s="5" t="s">
        <v>114</v>
      </c>
      <c r="B67" s="3">
        <v>1</v>
      </c>
      <c r="C67" s="4">
        <v>699</v>
      </c>
      <c r="D67" s="6">
        <f t="shared" si="14"/>
        <v>0.42167381974248924</v>
      </c>
      <c r="E67" s="7">
        <v>0</v>
      </c>
      <c r="F67" s="7">
        <v>404.25</v>
      </c>
      <c r="G67" s="8">
        <f t="shared" si="15"/>
        <v>404.25</v>
      </c>
      <c r="H67" s="7">
        <v>0</v>
      </c>
      <c r="I67" s="7">
        <v>0</v>
      </c>
      <c r="J67" s="28">
        <v>45289</v>
      </c>
      <c r="K67" s="28">
        <v>45295</v>
      </c>
      <c r="L67" s="4"/>
      <c r="M67" s="7">
        <v>17.59</v>
      </c>
      <c r="N67" s="4"/>
      <c r="O67" s="9"/>
      <c r="P67" s="3">
        <v>1</v>
      </c>
      <c r="Q67" s="8">
        <f t="shared" si="13"/>
        <v>404.25</v>
      </c>
      <c r="R67" s="10" t="s">
        <v>115</v>
      </c>
      <c r="S67" s="12"/>
      <c r="T67" s="8">
        <f t="shared" ref="T67:T130" si="17">B67*Q67</f>
        <v>404.25</v>
      </c>
      <c r="U67" s="4"/>
      <c r="V67" s="3"/>
      <c r="W67" s="4"/>
    </row>
    <row r="68" spans="1:23" ht="46.8" x14ac:dyDescent="0.3">
      <c r="A68" s="5" t="s">
        <v>116</v>
      </c>
      <c r="B68" s="3">
        <v>1</v>
      </c>
      <c r="C68" s="4">
        <v>999</v>
      </c>
      <c r="D68" s="6">
        <f t="shared" si="14"/>
        <v>0.6576676676676676</v>
      </c>
      <c r="E68" s="7">
        <v>0</v>
      </c>
      <c r="F68" s="7">
        <v>341.99</v>
      </c>
      <c r="G68" s="8">
        <f t="shared" si="15"/>
        <v>341.99</v>
      </c>
      <c r="H68" s="7">
        <v>0</v>
      </c>
      <c r="I68" s="7">
        <v>0</v>
      </c>
      <c r="J68" s="28">
        <v>45289</v>
      </c>
      <c r="K68" s="28">
        <v>45295</v>
      </c>
      <c r="L68" s="4"/>
      <c r="M68" s="7">
        <v>17.59</v>
      </c>
      <c r="N68" s="4"/>
      <c r="O68" s="9"/>
      <c r="P68" s="3">
        <v>1</v>
      </c>
      <c r="Q68" s="8">
        <f t="shared" si="13"/>
        <v>341.99</v>
      </c>
      <c r="R68" s="10" t="s">
        <v>117</v>
      </c>
      <c r="S68" s="12"/>
      <c r="T68" s="8">
        <f t="shared" si="17"/>
        <v>341.99</v>
      </c>
      <c r="U68" s="4"/>
      <c r="V68" s="3"/>
      <c r="W68" s="4"/>
    </row>
    <row r="69" spans="1:23" ht="31.2" x14ac:dyDescent="0.3">
      <c r="A69" s="5" t="s">
        <v>118</v>
      </c>
      <c r="B69" s="3">
        <v>1</v>
      </c>
      <c r="C69" s="4">
        <v>499</v>
      </c>
      <c r="D69" s="6">
        <f t="shared" si="14"/>
        <v>2.004008016032064E-2</v>
      </c>
      <c r="E69" s="7">
        <v>0</v>
      </c>
      <c r="F69" s="7">
        <v>489</v>
      </c>
      <c r="G69" s="8">
        <f t="shared" ref="G69:G77" si="18">B69*F69</f>
        <v>489</v>
      </c>
      <c r="H69" s="7">
        <v>0</v>
      </c>
      <c r="I69" s="7">
        <v>0</v>
      </c>
      <c r="J69" s="28">
        <v>45289</v>
      </c>
      <c r="K69" s="28">
        <v>45295</v>
      </c>
      <c r="L69" s="4"/>
      <c r="M69" s="7">
        <v>17.59</v>
      </c>
      <c r="N69" s="4"/>
      <c r="O69" s="9"/>
      <c r="P69" s="3">
        <v>1</v>
      </c>
      <c r="Q69" s="8">
        <f t="shared" si="13"/>
        <v>489</v>
      </c>
      <c r="R69" s="10" t="s">
        <v>119</v>
      </c>
      <c r="S69" s="12"/>
      <c r="T69" s="8">
        <f t="shared" si="17"/>
        <v>489</v>
      </c>
      <c r="U69" s="4"/>
      <c r="V69" s="3"/>
      <c r="W69" s="4"/>
    </row>
    <row r="70" spans="1:23" ht="31.2" x14ac:dyDescent="0.3">
      <c r="A70" s="5" t="s">
        <v>120</v>
      </c>
      <c r="B70" s="3">
        <v>1</v>
      </c>
      <c r="C70" s="4">
        <v>279</v>
      </c>
      <c r="D70" s="6">
        <f t="shared" si="14"/>
        <v>0</v>
      </c>
      <c r="E70" s="7">
        <v>0</v>
      </c>
      <c r="F70" s="7">
        <v>279</v>
      </c>
      <c r="G70" s="8">
        <f t="shared" si="18"/>
        <v>279</v>
      </c>
      <c r="H70" s="7">
        <v>0</v>
      </c>
      <c r="I70" s="7">
        <v>0</v>
      </c>
      <c r="J70" s="28">
        <v>45289</v>
      </c>
      <c r="K70" s="28">
        <v>45295</v>
      </c>
      <c r="L70" s="4"/>
      <c r="M70" s="7">
        <v>17.59</v>
      </c>
      <c r="N70" s="4"/>
      <c r="O70" s="9">
        <v>30</v>
      </c>
      <c r="P70" s="3">
        <v>1</v>
      </c>
      <c r="Q70" s="8">
        <f t="shared" si="13"/>
        <v>249</v>
      </c>
      <c r="R70" s="10" t="s">
        <v>364</v>
      </c>
      <c r="S70" s="12"/>
      <c r="T70" s="8">
        <f t="shared" si="17"/>
        <v>249</v>
      </c>
      <c r="U70" s="4"/>
      <c r="V70" s="3"/>
      <c r="W70" s="4"/>
    </row>
    <row r="71" spans="1:23" ht="31.2" x14ac:dyDescent="0.3">
      <c r="A71" s="5" t="s">
        <v>121</v>
      </c>
      <c r="B71" s="3">
        <v>1</v>
      </c>
      <c r="C71" s="4">
        <v>368</v>
      </c>
      <c r="D71" s="6">
        <f t="shared" si="14"/>
        <v>0.1875</v>
      </c>
      <c r="E71" s="7">
        <v>0</v>
      </c>
      <c r="F71" s="7">
        <v>299</v>
      </c>
      <c r="G71" s="8">
        <f t="shared" si="18"/>
        <v>299</v>
      </c>
      <c r="H71" s="7">
        <v>0</v>
      </c>
      <c r="I71" s="7">
        <v>0</v>
      </c>
      <c r="J71" s="28">
        <v>45289</v>
      </c>
      <c r="K71" s="28">
        <v>45295</v>
      </c>
      <c r="L71" s="4"/>
      <c r="M71" s="7">
        <v>17.59</v>
      </c>
      <c r="N71" s="4"/>
      <c r="O71" s="9"/>
      <c r="P71" s="3">
        <v>1</v>
      </c>
      <c r="Q71" s="8">
        <f t="shared" si="13"/>
        <v>299</v>
      </c>
      <c r="R71" s="10" t="s">
        <v>122</v>
      </c>
      <c r="S71" s="12"/>
      <c r="T71" s="8">
        <f t="shared" si="17"/>
        <v>299</v>
      </c>
      <c r="U71" s="4"/>
      <c r="V71" s="3"/>
      <c r="W71" s="4"/>
    </row>
    <row r="72" spans="1:23" ht="31.2" x14ac:dyDescent="0.3">
      <c r="A72" s="5" t="s">
        <v>123</v>
      </c>
      <c r="B72" s="3">
        <v>1</v>
      </c>
      <c r="C72" s="4">
        <v>379.99</v>
      </c>
      <c r="D72" s="6">
        <f t="shared" si="14"/>
        <v>0.20008421274244065</v>
      </c>
      <c r="E72" s="7">
        <v>0</v>
      </c>
      <c r="F72" s="7">
        <v>303.95999999999998</v>
      </c>
      <c r="G72" s="8">
        <f t="shared" si="18"/>
        <v>303.95999999999998</v>
      </c>
      <c r="H72" s="7">
        <v>0</v>
      </c>
      <c r="I72" s="7"/>
      <c r="J72" s="28">
        <v>45289</v>
      </c>
      <c r="K72" s="28">
        <v>45295</v>
      </c>
      <c r="L72" s="4"/>
      <c r="M72" s="7">
        <v>17.59</v>
      </c>
      <c r="N72" s="4"/>
      <c r="O72" s="9"/>
      <c r="P72" s="3">
        <v>1</v>
      </c>
      <c r="Q72" s="8">
        <f t="shared" si="13"/>
        <v>303.95999999999998</v>
      </c>
      <c r="R72" s="10" t="s">
        <v>124</v>
      </c>
      <c r="S72" s="12"/>
      <c r="T72" s="8">
        <f t="shared" si="17"/>
        <v>303.95999999999998</v>
      </c>
      <c r="U72" s="4"/>
      <c r="V72" s="3"/>
      <c r="W72" s="4"/>
    </row>
    <row r="73" spans="1:23" ht="31.2" x14ac:dyDescent="0.3">
      <c r="A73" s="5" t="s">
        <v>125</v>
      </c>
      <c r="B73" s="3">
        <v>1</v>
      </c>
      <c r="C73" s="4">
        <v>179.99</v>
      </c>
      <c r="D73" s="6">
        <f t="shared" si="14"/>
        <v>5.0002777932107341E-2</v>
      </c>
      <c r="E73" s="7">
        <v>0</v>
      </c>
      <c r="F73" s="7">
        <v>170.99</v>
      </c>
      <c r="G73" s="8">
        <f t="shared" si="18"/>
        <v>170.99</v>
      </c>
      <c r="H73" s="7">
        <v>0</v>
      </c>
      <c r="I73" s="7">
        <v>0</v>
      </c>
      <c r="J73" s="28">
        <v>45289</v>
      </c>
      <c r="K73" s="28">
        <v>45295</v>
      </c>
      <c r="L73" s="4"/>
      <c r="M73" s="7">
        <v>17.59</v>
      </c>
      <c r="N73" s="4"/>
      <c r="O73" s="9"/>
      <c r="P73" s="3">
        <v>1</v>
      </c>
      <c r="Q73" s="8">
        <f t="shared" si="13"/>
        <v>170.99</v>
      </c>
      <c r="R73" s="10" t="s">
        <v>126</v>
      </c>
      <c r="S73" s="12"/>
      <c r="T73" s="8">
        <f t="shared" si="17"/>
        <v>170.99</v>
      </c>
      <c r="U73" s="4"/>
      <c r="V73" s="3"/>
      <c r="W73" s="4"/>
    </row>
    <row r="74" spans="1:23" x14ac:dyDescent="0.3">
      <c r="A74" s="5" t="s">
        <v>127</v>
      </c>
      <c r="B74" s="3">
        <v>2</v>
      </c>
      <c r="C74" s="4">
        <v>389</v>
      </c>
      <c r="D74" s="6">
        <f t="shared" si="14"/>
        <v>0.35989717223650386</v>
      </c>
      <c r="E74" s="7">
        <v>0</v>
      </c>
      <c r="F74" s="7">
        <v>249</v>
      </c>
      <c r="G74" s="8">
        <f t="shared" si="18"/>
        <v>498</v>
      </c>
      <c r="H74" s="7">
        <v>0</v>
      </c>
      <c r="I74" s="7">
        <f t="shared" ref="I74:I79" si="19">39/10</f>
        <v>3.9</v>
      </c>
      <c r="J74" s="28">
        <v>45296</v>
      </c>
      <c r="K74" s="28">
        <v>45296</v>
      </c>
      <c r="L74" s="4"/>
      <c r="M74" s="7">
        <v>17.59</v>
      </c>
      <c r="N74" s="4"/>
      <c r="O74" s="9">
        <f t="shared" ref="O74:O79" si="20">(F74*0.1)*B74</f>
        <v>49.800000000000004</v>
      </c>
      <c r="P74" s="3">
        <v>1</v>
      </c>
      <c r="Q74" s="8">
        <f t="shared" ref="Q74:Q105" si="21">F74+(I74/B74)-(O74/B74)</f>
        <v>226.04999999999998</v>
      </c>
      <c r="R74" s="10" t="s">
        <v>128</v>
      </c>
      <c r="S74" s="12"/>
      <c r="T74" s="8">
        <f t="shared" si="17"/>
        <v>452.09999999999997</v>
      </c>
      <c r="U74" s="4"/>
      <c r="V74" s="3"/>
      <c r="W74" s="4"/>
    </row>
    <row r="75" spans="1:23" ht="31.2" x14ac:dyDescent="0.3">
      <c r="A75" s="5" t="s">
        <v>129</v>
      </c>
      <c r="B75" s="3">
        <v>1</v>
      </c>
      <c r="C75" s="4">
        <v>399</v>
      </c>
      <c r="D75" s="6">
        <f t="shared" si="14"/>
        <v>0.37593984962406013</v>
      </c>
      <c r="E75" s="7">
        <v>0</v>
      </c>
      <c r="F75" s="7">
        <v>249</v>
      </c>
      <c r="G75" s="8">
        <f t="shared" si="18"/>
        <v>249</v>
      </c>
      <c r="H75" s="7">
        <v>0</v>
      </c>
      <c r="I75" s="7">
        <f t="shared" si="19"/>
        <v>3.9</v>
      </c>
      <c r="J75" s="28">
        <v>45296</v>
      </c>
      <c r="K75" s="28">
        <v>45296</v>
      </c>
      <c r="L75" s="4"/>
      <c r="M75" s="7">
        <v>17.59</v>
      </c>
      <c r="N75" s="4"/>
      <c r="O75" s="9">
        <f t="shared" si="20"/>
        <v>24.900000000000002</v>
      </c>
      <c r="P75" s="3">
        <v>1</v>
      </c>
      <c r="Q75" s="8">
        <f t="shared" si="21"/>
        <v>228</v>
      </c>
      <c r="R75" s="10" t="s">
        <v>130</v>
      </c>
      <c r="S75" s="12"/>
      <c r="T75" s="8">
        <f t="shared" si="17"/>
        <v>228</v>
      </c>
      <c r="U75" s="4"/>
      <c r="V75" s="3"/>
      <c r="W75" s="4"/>
    </row>
    <row r="76" spans="1:23" ht="31.2" x14ac:dyDescent="0.3">
      <c r="A76" s="5" t="s">
        <v>131</v>
      </c>
      <c r="B76" s="3">
        <v>1</v>
      </c>
      <c r="C76" s="4">
        <v>419</v>
      </c>
      <c r="D76" s="6">
        <f t="shared" si="14"/>
        <v>0.28639618138424822</v>
      </c>
      <c r="E76" s="7">
        <v>0</v>
      </c>
      <c r="F76" s="7">
        <v>299</v>
      </c>
      <c r="G76" s="8">
        <f t="shared" si="18"/>
        <v>299</v>
      </c>
      <c r="H76" s="7">
        <v>0</v>
      </c>
      <c r="I76" s="7">
        <f t="shared" si="19"/>
        <v>3.9</v>
      </c>
      <c r="J76" s="28">
        <v>45296</v>
      </c>
      <c r="K76" s="28">
        <v>45296</v>
      </c>
      <c r="L76" s="4"/>
      <c r="M76" s="7">
        <v>17.59</v>
      </c>
      <c r="N76" s="4"/>
      <c r="O76" s="9">
        <f t="shared" si="20"/>
        <v>29.900000000000002</v>
      </c>
      <c r="P76" s="3">
        <v>1</v>
      </c>
      <c r="Q76" s="8">
        <f t="shared" si="21"/>
        <v>273</v>
      </c>
      <c r="R76" s="10" t="s">
        <v>132</v>
      </c>
      <c r="S76" s="12"/>
      <c r="T76" s="8">
        <f t="shared" si="17"/>
        <v>273</v>
      </c>
      <c r="U76" s="4"/>
      <c r="V76" s="3"/>
      <c r="W76" s="4"/>
    </row>
    <row r="77" spans="1:23" ht="31.2" x14ac:dyDescent="0.3">
      <c r="A77" s="5" t="s">
        <v>133</v>
      </c>
      <c r="B77" s="3">
        <v>1</v>
      </c>
      <c r="C77" s="4">
        <v>259</v>
      </c>
      <c r="D77" s="6">
        <f t="shared" si="14"/>
        <v>0.23166023166023167</v>
      </c>
      <c r="E77" s="7">
        <v>0</v>
      </c>
      <c r="F77" s="7">
        <v>199</v>
      </c>
      <c r="G77" s="8">
        <f t="shared" si="18"/>
        <v>199</v>
      </c>
      <c r="H77" s="7">
        <v>0</v>
      </c>
      <c r="I77" s="7">
        <f t="shared" si="19"/>
        <v>3.9</v>
      </c>
      <c r="J77" s="28">
        <v>45296</v>
      </c>
      <c r="K77" s="28">
        <v>45296</v>
      </c>
      <c r="L77" s="4"/>
      <c r="M77" s="7">
        <v>17.59</v>
      </c>
      <c r="N77" s="4"/>
      <c r="O77" s="9">
        <f t="shared" si="20"/>
        <v>19.900000000000002</v>
      </c>
      <c r="P77" s="3">
        <v>1</v>
      </c>
      <c r="Q77" s="8">
        <f t="shared" si="21"/>
        <v>183</v>
      </c>
      <c r="R77" s="10" t="s">
        <v>134</v>
      </c>
      <c r="S77" s="3"/>
      <c r="T77" s="8">
        <f t="shared" si="17"/>
        <v>183</v>
      </c>
      <c r="U77" s="4"/>
      <c r="V77" s="3"/>
      <c r="W77" s="4"/>
    </row>
    <row r="78" spans="1:23" ht="31.2" x14ac:dyDescent="0.3">
      <c r="A78" s="5" t="s">
        <v>135</v>
      </c>
      <c r="B78" s="3">
        <v>1</v>
      </c>
      <c r="C78" s="4">
        <v>939</v>
      </c>
      <c r="D78" s="6">
        <f t="shared" si="14"/>
        <v>0.5005324813631522</v>
      </c>
      <c r="E78" s="7">
        <v>0</v>
      </c>
      <c r="F78" s="7">
        <v>469</v>
      </c>
      <c r="G78" s="8">
        <f t="shared" ref="G78:G95" si="22">B78*F78</f>
        <v>469</v>
      </c>
      <c r="H78" s="7">
        <v>0</v>
      </c>
      <c r="I78" s="7">
        <f t="shared" si="19"/>
        <v>3.9</v>
      </c>
      <c r="J78" s="28">
        <v>45296</v>
      </c>
      <c r="K78" s="28">
        <v>45296</v>
      </c>
      <c r="L78" s="4"/>
      <c r="M78" s="7">
        <v>17.59</v>
      </c>
      <c r="N78" s="4"/>
      <c r="O78" s="9">
        <f t="shared" si="20"/>
        <v>46.900000000000006</v>
      </c>
      <c r="P78" s="3">
        <v>1</v>
      </c>
      <c r="Q78" s="8">
        <f t="shared" si="21"/>
        <v>426</v>
      </c>
      <c r="R78" s="10" t="s">
        <v>136</v>
      </c>
      <c r="S78" s="3"/>
      <c r="T78" s="8">
        <f t="shared" si="17"/>
        <v>426</v>
      </c>
      <c r="U78" s="4"/>
      <c r="V78" s="3"/>
      <c r="W78" s="4"/>
    </row>
    <row r="79" spans="1:23" x14ac:dyDescent="0.3">
      <c r="A79" s="5" t="s">
        <v>137</v>
      </c>
      <c r="B79" s="3">
        <v>1</v>
      </c>
      <c r="C79" s="4">
        <v>529</v>
      </c>
      <c r="D79" s="6">
        <f t="shared" si="14"/>
        <v>0.49149338374291113</v>
      </c>
      <c r="E79" s="7">
        <v>0</v>
      </c>
      <c r="F79" s="7">
        <v>269</v>
      </c>
      <c r="G79" s="8">
        <f t="shared" si="22"/>
        <v>269</v>
      </c>
      <c r="H79" s="7">
        <v>0</v>
      </c>
      <c r="I79" s="7">
        <f t="shared" si="19"/>
        <v>3.9</v>
      </c>
      <c r="J79" s="28">
        <v>45296</v>
      </c>
      <c r="K79" s="28">
        <v>45296</v>
      </c>
      <c r="L79" s="4"/>
      <c r="M79" s="7">
        <v>17.59</v>
      </c>
      <c r="N79" s="4"/>
      <c r="O79" s="9">
        <f t="shared" si="20"/>
        <v>26.900000000000002</v>
      </c>
      <c r="P79" s="3">
        <v>1</v>
      </c>
      <c r="Q79" s="8">
        <f t="shared" si="21"/>
        <v>245.99999999999997</v>
      </c>
      <c r="R79" s="10" t="s">
        <v>138</v>
      </c>
      <c r="S79" s="3"/>
      <c r="T79" s="8">
        <f t="shared" si="17"/>
        <v>245.99999999999997</v>
      </c>
      <c r="U79" s="4"/>
      <c r="V79" s="3"/>
      <c r="W79" s="4"/>
    </row>
    <row r="80" spans="1:23" ht="31.2" x14ac:dyDescent="0.3">
      <c r="A80" s="5" t="s">
        <v>139</v>
      </c>
      <c r="B80" s="3">
        <v>1</v>
      </c>
      <c r="C80" s="7">
        <v>201.37</v>
      </c>
      <c r="D80" s="6">
        <f t="shared" si="14"/>
        <v>0.70998659184585589</v>
      </c>
      <c r="E80" s="7">
        <v>0</v>
      </c>
      <c r="F80" s="7">
        <v>58.4</v>
      </c>
      <c r="G80" s="8">
        <f t="shared" si="22"/>
        <v>58.4</v>
      </c>
      <c r="H80" s="7">
        <v>0</v>
      </c>
      <c r="I80" s="7">
        <f>0.02/2</f>
        <v>0.01</v>
      </c>
      <c r="J80" s="28">
        <v>45302</v>
      </c>
      <c r="K80" s="28">
        <v>45318</v>
      </c>
      <c r="L80" s="8"/>
      <c r="M80" s="7">
        <v>17.03</v>
      </c>
      <c r="N80" s="7"/>
      <c r="O80" s="9">
        <f>2.33/2</f>
        <v>1.165</v>
      </c>
      <c r="P80" s="3">
        <v>1</v>
      </c>
      <c r="Q80" s="8">
        <f t="shared" si="21"/>
        <v>57.244999999999997</v>
      </c>
      <c r="R80" s="10" t="s">
        <v>140</v>
      </c>
      <c r="S80" s="3"/>
      <c r="T80" s="8">
        <f t="shared" si="17"/>
        <v>57.244999999999997</v>
      </c>
      <c r="U80" s="4"/>
      <c r="V80" s="3"/>
      <c r="W80" s="4"/>
    </row>
    <row r="81" spans="1:23" ht="31.2" x14ac:dyDescent="0.3">
      <c r="A81" s="5" t="s">
        <v>141</v>
      </c>
      <c r="B81" s="3">
        <v>1</v>
      </c>
      <c r="C81" s="7">
        <v>199.73</v>
      </c>
      <c r="D81" s="6">
        <f t="shared" si="14"/>
        <v>0.7100585790817604</v>
      </c>
      <c r="E81" s="7">
        <v>0</v>
      </c>
      <c r="F81" s="7">
        <v>57.91</v>
      </c>
      <c r="G81" s="8">
        <f t="shared" si="22"/>
        <v>57.91</v>
      </c>
      <c r="H81" s="7">
        <v>0</v>
      </c>
      <c r="I81" s="7">
        <f>0.02/2</f>
        <v>0.01</v>
      </c>
      <c r="J81" s="28">
        <v>45302</v>
      </c>
      <c r="K81" s="28">
        <v>45318</v>
      </c>
      <c r="L81" s="8"/>
      <c r="M81" s="7">
        <v>17.03</v>
      </c>
      <c r="N81" s="7"/>
      <c r="O81" s="9">
        <f>2.33/2</f>
        <v>1.165</v>
      </c>
      <c r="P81" s="3">
        <v>1</v>
      </c>
      <c r="Q81" s="8">
        <f t="shared" si="21"/>
        <v>56.754999999999995</v>
      </c>
      <c r="R81" s="10"/>
      <c r="S81" s="3"/>
      <c r="T81" s="8">
        <f t="shared" si="17"/>
        <v>56.754999999999995</v>
      </c>
      <c r="U81" s="4"/>
      <c r="V81" s="3"/>
      <c r="W81" s="4"/>
    </row>
    <row r="82" spans="1:23" ht="31.2" x14ac:dyDescent="0.3">
      <c r="A82" s="5" t="s">
        <v>142</v>
      </c>
      <c r="B82" s="3">
        <v>1</v>
      </c>
      <c r="C82" s="7">
        <v>194.73</v>
      </c>
      <c r="D82" s="6">
        <f t="shared" si="14"/>
        <v>0.7099573768808094</v>
      </c>
      <c r="E82" s="7">
        <v>0</v>
      </c>
      <c r="F82" s="7">
        <v>56.48</v>
      </c>
      <c r="G82" s="8">
        <f t="shared" si="22"/>
        <v>56.48</v>
      </c>
      <c r="H82" s="7">
        <v>0</v>
      </c>
      <c r="I82" s="7">
        <f>0.02/2</f>
        <v>0.01</v>
      </c>
      <c r="J82" s="28">
        <v>45302</v>
      </c>
      <c r="K82" s="28">
        <v>45315</v>
      </c>
      <c r="L82" s="8"/>
      <c r="M82" s="7">
        <v>17.03</v>
      </c>
      <c r="N82" s="7"/>
      <c r="O82" s="9">
        <f>2.26/2</f>
        <v>1.1299999999999999</v>
      </c>
      <c r="P82" s="3">
        <v>1</v>
      </c>
      <c r="Q82" s="8">
        <f t="shared" si="21"/>
        <v>55.359999999999992</v>
      </c>
      <c r="R82" s="10" t="s">
        <v>143</v>
      </c>
      <c r="S82" s="3"/>
      <c r="T82" s="8">
        <f t="shared" si="17"/>
        <v>55.359999999999992</v>
      </c>
      <c r="U82" s="4"/>
      <c r="V82" s="3"/>
      <c r="W82" s="4"/>
    </row>
    <row r="83" spans="1:23" ht="31.2" x14ac:dyDescent="0.3">
      <c r="A83" s="5" t="s">
        <v>144</v>
      </c>
      <c r="B83" s="3">
        <v>1</v>
      </c>
      <c r="C83" s="7">
        <v>196.79</v>
      </c>
      <c r="D83" s="6">
        <f t="shared" si="14"/>
        <v>0.70999542659687986</v>
      </c>
      <c r="E83" s="7">
        <v>0</v>
      </c>
      <c r="F83" s="7">
        <v>57.07</v>
      </c>
      <c r="G83" s="8">
        <f t="shared" si="22"/>
        <v>57.07</v>
      </c>
      <c r="H83" s="7">
        <v>0</v>
      </c>
      <c r="I83" s="7">
        <f>0.02/2</f>
        <v>0.01</v>
      </c>
      <c r="J83" s="28">
        <v>45302</v>
      </c>
      <c r="K83" s="28">
        <v>45315</v>
      </c>
      <c r="L83" s="8"/>
      <c r="M83" s="7">
        <v>17.03</v>
      </c>
      <c r="N83" s="7"/>
      <c r="O83" s="9">
        <f>2.26/2</f>
        <v>1.1299999999999999</v>
      </c>
      <c r="P83" s="3">
        <v>1</v>
      </c>
      <c r="Q83" s="8">
        <f t="shared" si="21"/>
        <v>55.949999999999996</v>
      </c>
      <c r="R83" s="10"/>
      <c r="S83" s="3"/>
      <c r="T83" s="8">
        <f t="shared" si="17"/>
        <v>55.949999999999996</v>
      </c>
      <c r="U83" s="4"/>
      <c r="V83" s="3"/>
      <c r="W83" s="4"/>
    </row>
    <row r="84" spans="1:23" ht="46.8" x14ac:dyDescent="0.3">
      <c r="A84" s="5" t="s">
        <v>351</v>
      </c>
      <c r="B84" s="3">
        <v>1</v>
      </c>
      <c r="C84" s="7">
        <v>203.26</v>
      </c>
      <c r="D84" s="6">
        <f t="shared" si="14"/>
        <v>7.9651677654235947E-2</v>
      </c>
      <c r="E84" s="7">
        <v>0</v>
      </c>
      <c r="F84" s="7">
        <v>187.07</v>
      </c>
      <c r="G84" s="8">
        <f t="shared" si="22"/>
        <v>187.07</v>
      </c>
      <c r="H84" s="7">
        <v>0</v>
      </c>
      <c r="I84" s="7">
        <f>0.06/2</f>
        <v>0.03</v>
      </c>
      <c r="J84" s="28">
        <v>45302</v>
      </c>
      <c r="K84" s="28">
        <v>45315</v>
      </c>
      <c r="L84" s="8"/>
      <c r="M84" s="7">
        <v>17.03</v>
      </c>
      <c r="N84" s="7"/>
      <c r="O84" s="9">
        <f>17.05/2</f>
        <v>8.5250000000000004</v>
      </c>
      <c r="P84" s="3">
        <v>1</v>
      </c>
      <c r="Q84" s="8">
        <f t="shared" si="21"/>
        <v>178.57499999999999</v>
      </c>
      <c r="R84" s="10" t="s">
        <v>145</v>
      </c>
      <c r="S84" s="3"/>
      <c r="T84" s="8">
        <f t="shared" si="17"/>
        <v>178.57499999999999</v>
      </c>
      <c r="U84" s="4"/>
      <c r="V84" s="3"/>
      <c r="W84" s="4"/>
    </row>
    <row r="85" spans="1:23" ht="46.8" x14ac:dyDescent="0.3">
      <c r="A85" s="5" t="s">
        <v>146</v>
      </c>
      <c r="B85" s="3">
        <v>1</v>
      </c>
      <c r="C85" s="7">
        <v>122.81</v>
      </c>
      <c r="D85" s="6">
        <f t="shared" si="14"/>
        <v>7.9960915234915775E-2</v>
      </c>
      <c r="E85" s="7">
        <v>0</v>
      </c>
      <c r="F85" s="7">
        <v>112.99</v>
      </c>
      <c r="G85" s="8">
        <f t="shared" si="22"/>
        <v>112.99</v>
      </c>
      <c r="H85" s="7">
        <v>0</v>
      </c>
      <c r="I85" s="7">
        <f>0.06/2</f>
        <v>0.03</v>
      </c>
      <c r="J85" s="28">
        <v>45302</v>
      </c>
      <c r="K85" s="28">
        <v>45315</v>
      </c>
      <c r="L85" s="8"/>
      <c r="M85" s="7">
        <v>17.03</v>
      </c>
      <c r="N85" s="7"/>
      <c r="O85" s="9">
        <f>17.05/2</f>
        <v>8.5250000000000004</v>
      </c>
      <c r="P85" s="3">
        <v>1</v>
      </c>
      <c r="Q85" s="8">
        <f t="shared" si="21"/>
        <v>104.49499999999999</v>
      </c>
      <c r="R85" s="10"/>
      <c r="S85" s="3"/>
      <c r="T85" s="8">
        <f t="shared" si="17"/>
        <v>104.49499999999999</v>
      </c>
      <c r="U85" s="4"/>
      <c r="V85" s="3"/>
      <c r="W85" s="4"/>
    </row>
    <row r="86" spans="1:23" ht="31.2" x14ac:dyDescent="0.3">
      <c r="A86" s="5" t="s">
        <v>349</v>
      </c>
      <c r="B86" s="3">
        <v>1</v>
      </c>
      <c r="C86" s="7">
        <v>439.33</v>
      </c>
      <c r="D86" s="6">
        <f t="shared" si="14"/>
        <v>0.50003414289941495</v>
      </c>
      <c r="E86" s="7">
        <v>0</v>
      </c>
      <c r="F86" s="7">
        <v>219.65</v>
      </c>
      <c r="G86" s="8">
        <f t="shared" si="22"/>
        <v>219.65</v>
      </c>
      <c r="H86" s="7">
        <v>0</v>
      </c>
      <c r="I86" s="7">
        <v>0.01</v>
      </c>
      <c r="J86" s="28">
        <v>45302</v>
      </c>
      <c r="K86" s="28">
        <v>45315</v>
      </c>
      <c r="L86" s="8"/>
      <c r="M86" s="7">
        <v>16.91</v>
      </c>
      <c r="N86" s="7"/>
      <c r="O86" s="9">
        <v>4.4000000000000004</v>
      </c>
      <c r="P86" s="3">
        <v>1</v>
      </c>
      <c r="Q86" s="8">
        <f t="shared" si="21"/>
        <v>215.26</v>
      </c>
      <c r="R86" s="10" t="s">
        <v>147</v>
      </c>
      <c r="S86" s="3"/>
      <c r="T86" s="8">
        <f t="shared" si="17"/>
        <v>215.26</v>
      </c>
      <c r="U86" s="4"/>
      <c r="V86" s="3"/>
      <c r="W86" s="4"/>
    </row>
    <row r="87" spans="1:23" ht="31.2" x14ac:dyDescent="0.3">
      <c r="A87" s="5" t="s">
        <v>148</v>
      </c>
      <c r="B87" s="3">
        <v>1</v>
      </c>
      <c r="C87" s="7">
        <v>281.22000000000003</v>
      </c>
      <c r="D87" s="6">
        <f t="shared" ref="D87:D89" si="23">(((C87-F87)*100)/C87)/100</f>
        <v>0.70005689495768453</v>
      </c>
      <c r="E87" s="7">
        <v>0</v>
      </c>
      <c r="F87" s="7">
        <v>84.35</v>
      </c>
      <c r="G87" s="8">
        <f t="shared" si="22"/>
        <v>84.35</v>
      </c>
      <c r="H87" s="7">
        <v>0</v>
      </c>
      <c r="I87" s="7">
        <v>0.02</v>
      </c>
      <c r="J87" s="28">
        <v>45302</v>
      </c>
      <c r="K87" s="28">
        <v>45315</v>
      </c>
      <c r="L87" s="8"/>
      <c r="M87" s="7">
        <v>16.91</v>
      </c>
      <c r="N87" s="7"/>
      <c r="O87" s="9">
        <v>1.68</v>
      </c>
      <c r="P87" s="3">
        <v>1</v>
      </c>
      <c r="Q87" s="8">
        <f t="shared" si="21"/>
        <v>82.689999999999984</v>
      </c>
      <c r="R87" s="10" t="s">
        <v>149</v>
      </c>
      <c r="S87" s="3"/>
      <c r="T87" s="8">
        <f t="shared" si="17"/>
        <v>82.689999999999984</v>
      </c>
      <c r="U87" s="4"/>
      <c r="V87" s="3"/>
      <c r="W87" s="4"/>
    </row>
    <row r="88" spans="1:23" ht="31.2" x14ac:dyDescent="0.3">
      <c r="A88" s="5" t="s">
        <v>150</v>
      </c>
      <c r="B88" s="3">
        <v>2</v>
      </c>
      <c r="C88" s="7">
        <v>116.98</v>
      </c>
      <c r="D88" s="6">
        <f t="shared" si="23"/>
        <v>0.69037442297828688</v>
      </c>
      <c r="E88" s="7">
        <v>0</v>
      </c>
      <c r="F88" s="7">
        <v>36.22</v>
      </c>
      <c r="G88" s="8">
        <f t="shared" si="22"/>
        <v>72.44</v>
      </c>
      <c r="H88" s="7">
        <v>0</v>
      </c>
      <c r="I88" s="7">
        <f>0.01/3</f>
        <v>3.3333333333333335E-3</v>
      </c>
      <c r="J88" s="28">
        <v>45302</v>
      </c>
      <c r="K88" s="28">
        <v>45318</v>
      </c>
      <c r="L88" s="8"/>
      <c r="M88" s="7">
        <v>16.91</v>
      </c>
      <c r="N88" s="7"/>
      <c r="O88" s="9">
        <f>2.89/3</f>
        <v>0.96333333333333337</v>
      </c>
      <c r="P88" s="3">
        <v>1</v>
      </c>
      <c r="Q88" s="8">
        <f t="shared" si="21"/>
        <v>35.739999999999995</v>
      </c>
      <c r="R88" s="10" t="s">
        <v>151</v>
      </c>
      <c r="S88" s="3"/>
      <c r="T88" s="8">
        <f t="shared" si="17"/>
        <v>71.47999999999999</v>
      </c>
      <c r="U88" s="4"/>
      <c r="V88" s="3"/>
      <c r="W88" s="4"/>
    </row>
    <row r="89" spans="1:23" ht="31.2" x14ac:dyDescent="0.3">
      <c r="A89" s="5" t="s">
        <v>152</v>
      </c>
      <c r="B89" s="3">
        <v>1</v>
      </c>
      <c r="C89" s="7">
        <v>115.37</v>
      </c>
      <c r="D89" s="6">
        <f t="shared" si="23"/>
        <v>0.69012741613937767</v>
      </c>
      <c r="E89" s="7">
        <v>0</v>
      </c>
      <c r="F89" s="7">
        <v>35.75</v>
      </c>
      <c r="G89" s="8">
        <f t="shared" si="22"/>
        <v>35.75</v>
      </c>
      <c r="H89" s="7">
        <v>0</v>
      </c>
      <c r="I89" s="7">
        <f>0.01/3</f>
        <v>3.3333333333333335E-3</v>
      </c>
      <c r="J89" s="28">
        <v>45302</v>
      </c>
      <c r="K89" s="28">
        <v>45318</v>
      </c>
      <c r="L89" s="8"/>
      <c r="M89" s="7">
        <v>16.91</v>
      </c>
      <c r="N89" s="7"/>
      <c r="O89" s="9">
        <f>2.89/3</f>
        <v>0.96333333333333337</v>
      </c>
      <c r="P89" s="3">
        <v>1</v>
      </c>
      <c r="Q89" s="8">
        <f t="shared" si="21"/>
        <v>34.79</v>
      </c>
      <c r="R89" s="10"/>
      <c r="S89" s="3"/>
      <c r="T89" s="8">
        <f t="shared" si="17"/>
        <v>34.79</v>
      </c>
      <c r="U89" s="4"/>
      <c r="V89" s="3"/>
      <c r="W89" s="4"/>
    </row>
    <row r="90" spans="1:23" ht="31.2" x14ac:dyDescent="0.3">
      <c r="A90" s="5" t="s">
        <v>153</v>
      </c>
      <c r="B90" s="3">
        <v>1</v>
      </c>
      <c r="C90" s="4">
        <v>116.19</v>
      </c>
      <c r="D90" s="6">
        <f t="shared" ref="D90:D117" si="24">(((C90-F90)*100)/C90)/100</f>
        <v>0.68999053274808508</v>
      </c>
      <c r="E90" s="7">
        <v>0</v>
      </c>
      <c r="F90" s="7">
        <v>36.020000000000003</v>
      </c>
      <c r="G90" s="8">
        <f t="shared" si="22"/>
        <v>36.020000000000003</v>
      </c>
      <c r="H90" s="7">
        <v>0</v>
      </c>
      <c r="I90" s="7">
        <f>0.01/3</f>
        <v>3.3333333333333335E-3</v>
      </c>
      <c r="J90" s="28">
        <v>45302</v>
      </c>
      <c r="K90" s="28">
        <v>45318</v>
      </c>
      <c r="L90" s="8"/>
      <c r="M90" s="7">
        <v>20.8</v>
      </c>
      <c r="N90" s="9"/>
      <c r="O90" s="9">
        <f>2.89/3</f>
        <v>0.96333333333333337</v>
      </c>
      <c r="P90" s="3">
        <v>1</v>
      </c>
      <c r="Q90" s="8">
        <f t="shared" si="21"/>
        <v>35.06</v>
      </c>
      <c r="R90" s="10"/>
      <c r="S90" s="3"/>
      <c r="T90" s="8">
        <f t="shared" si="17"/>
        <v>35.06</v>
      </c>
      <c r="U90" s="4"/>
      <c r="V90" s="3"/>
      <c r="W90" s="4"/>
    </row>
    <row r="91" spans="1:23" ht="31.2" x14ac:dyDescent="0.3">
      <c r="A91" s="32" t="s">
        <v>154</v>
      </c>
      <c r="B91" s="3">
        <v>1</v>
      </c>
      <c r="C91" s="4">
        <v>278.82</v>
      </c>
      <c r="D91" s="6">
        <f t="shared" si="24"/>
        <v>0.7099562441718672</v>
      </c>
      <c r="E91" s="4">
        <v>0</v>
      </c>
      <c r="F91" s="4">
        <v>80.87</v>
      </c>
      <c r="G91" s="2">
        <f t="shared" si="22"/>
        <v>80.87</v>
      </c>
      <c r="H91" s="4">
        <v>0</v>
      </c>
      <c r="I91" s="4">
        <v>0.02</v>
      </c>
      <c r="J91" s="28">
        <v>45302</v>
      </c>
      <c r="K91" s="28">
        <v>45321</v>
      </c>
      <c r="L91" s="2"/>
      <c r="M91" s="4">
        <v>18.440000000000001</v>
      </c>
      <c r="N91" s="14"/>
      <c r="O91" s="14">
        <v>1.61</v>
      </c>
      <c r="P91" s="3">
        <v>1</v>
      </c>
      <c r="Q91" s="2">
        <f t="shared" si="21"/>
        <v>79.28</v>
      </c>
      <c r="R91" s="10" t="s">
        <v>155</v>
      </c>
      <c r="S91" s="3"/>
      <c r="T91" s="8">
        <f t="shared" si="17"/>
        <v>79.28</v>
      </c>
      <c r="U91" s="4"/>
      <c r="V91" s="3"/>
      <c r="W91" s="4"/>
    </row>
    <row r="92" spans="1:23" ht="46.8" x14ac:dyDescent="0.3">
      <c r="A92" s="5" t="s">
        <v>156</v>
      </c>
      <c r="B92" s="3">
        <v>2</v>
      </c>
      <c r="C92" s="4">
        <v>310.68</v>
      </c>
      <c r="D92" s="6">
        <f t="shared" si="24"/>
        <v>0.71002317497103118</v>
      </c>
      <c r="E92" s="4">
        <v>0</v>
      </c>
      <c r="F92" s="4">
        <v>90.09</v>
      </c>
      <c r="G92" s="2">
        <f t="shared" si="22"/>
        <v>180.18</v>
      </c>
      <c r="H92" s="4">
        <v>0</v>
      </c>
      <c r="I92" s="4">
        <f>0.05/8</f>
        <v>6.2500000000000003E-3</v>
      </c>
      <c r="J92" s="28">
        <v>45302</v>
      </c>
      <c r="K92" s="28">
        <v>45317</v>
      </c>
      <c r="L92" s="2"/>
      <c r="M92" s="4">
        <v>18.440000000000001</v>
      </c>
      <c r="N92" s="14"/>
      <c r="O92" s="14">
        <f>17.37/5</f>
        <v>3.4740000000000002</v>
      </c>
      <c r="P92" s="3">
        <v>1</v>
      </c>
      <c r="Q92" s="2">
        <f t="shared" si="21"/>
        <v>88.356125000000006</v>
      </c>
      <c r="R92" s="10" t="s">
        <v>157</v>
      </c>
      <c r="S92" s="3"/>
      <c r="T92" s="8">
        <f t="shared" si="17"/>
        <v>176.71225000000001</v>
      </c>
      <c r="U92" s="4"/>
      <c r="V92" s="3"/>
      <c r="W92" s="4"/>
    </row>
    <row r="93" spans="1:23" ht="46.8" x14ac:dyDescent="0.3">
      <c r="A93" s="5" t="s">
        <v>158</v>
      </c>
      <c r="B93" s="3">
        <v>1</v>
      </c>
      <c r="C93" s="4">
        <v>794.42</v>
      </c>
      <c r="D93" s="6">
        <f t="shared" si="24"/>
        <v>0.71000226580398274</v>
      </c>
      <c r="E93" s="4">
        <v>0</v>
      </c>
      <c r="F93" s="4">
        <v>230.38</v>
      </c>
      <c r="G93" s="2">
        <f t="shared" si="22"/>
        <v>230.38</v>
      </c>
      <c r="H93" s="4">
        <v>0</v>
      </c>
      <c r="I93" s="4">
        <f>0.05/8</f>
        <v>6.2500000000000003E-3</v>
      </c>
      <c r="J93" s="28">
        <v>45302</v>
      </c>
      <c r="K93" s="28">
        <v>45320</v>
      </c>
      <c r="L93" s="2"/>
      <c r="M93" s="4">
        <v>18.440000000000001</v>
      </c>
      <c r="N93" s="14"/>
      <c r="O93" s="14">
        <f>17.37/5</f>
        <v>3.4740000000000002</v>
      </c>
      <c r="P93" s="3">
        <v>1</v>
      </c>
      <c r="Q93" s="2">
        <f t="shared" si="21"/>
        <v>226.91225</v>
      </c>
      <c r="R93" s="10"/>
      <c r="S93" s="3"/>
      <c r="T93" s="8">
        <f t="shared" si="17"/>
        <v>226.91225</v>
      </c>
      <c r="U93" s="4"/>
      <c r="V93" s="3"/>
      <c r="W93" s="4"/>
    </row>
    <row r="94" spans="1:23" ht="46.8" x14ac:dyDescent="0.3">
      <c r="A94" s="5" t="s">
        <v>159</v>
      </c>
      <c r="B94" s="3">
        <v>1</v>
      </c>
      <c r="C94" s="4">
        <v>365.01</v>
      </c>
      <c r="D94" s="6">
        <f t="shared" si="24"/>
        <v>0.7100079449878085</v>
      </c>
      <c r="E94" s="4">
        <v>0</v>
      </c>
      <c r="F94" s="4">
        <v>105.85</v>
      </c>
      <c r="G94" s="2">
        <f t="shared" si="22"/>
        <v>105.85</v>
      </c>
      <c r="H94" s="4">
        <v>0</v>
      </c>
      <c r="I94" s="4">
        <f>0.05/8</f>
        <v>6.2500000000000003E-3</v>
      </c>
      <c r="J94" s="28">
        <v>45302</v>
      </c>
      <c r="K94" s="28">
        <v>45313</v>
      </c>
      <c r="L94" s="2"/>
      <c r="M94" s="4">
        <v>18.440000000000001</v>
      </c>
      <c r="N94" s="14"/>
      <c r="O94" s="14">
        <f>17.37/5</f>
        <v>3.4740000000000002</v>
      </c>
      <c r="P94" s="3">
        <v>1</v>
      </c>
      <c r="Q94" s="2">
        <f t="shared" si="21"/>
        <v>102.38224999999998</v>
      </c>
      <c r="R94" s="10"/>
      <c r="S94" s="3"/>
      <c r="T94" s="8">
        <f t="shared" si="17"/>
        <v>102.38224999999998</v>
      </c>
      <c r="U94" s="4"/>
      <c r="V94" s="3"/>
      <c r="W94" s="4"/>
    </row>
    <row r="95" spans="1:23" ht="46.8" x14ac:dyDescent="0.3">
      <c r="A95" s="5" t="s">
        <v>160</v>
      </c>
      <c r="B95" s="3">
        <v>1</v>
      </c>
      <c r="C95" s="4">
        <v>360.22</v>
      </c>
      <c r="D95" s="6">
        <f t="shared" si="24"/>
        <v>0.7099550274832046</v>
      </c>
      <c r="E95" s="4">
        <v>0</v>
      </c>
      <c r="F95" s="4">
        <v>104.48</v>
      </c>
      <c r="G95" s="2">
        <f t="shared" si="22"/>
        <v>104.48</v>
      </c>
      <c r="H95" s="4">
        <v>0</v>
      </c>
      <c r="I95" s="4">
        <f>0.05/8</f>
        <v>6.2500000000000003E-3</v>
      </c>
      <c r="J95" s="28">
        <v>45302</v>
      </c>
      <c r="K95" s="28">
        <v>45313</v>
      </c>
      <c r="L95" s="2"/>
      <c r="M95" s="4">
        <v>18.440000000000001</v>
      </c>
      <c r="N95" s="14"/>
      <c r="O95" s="14">
        <f>17.37/5</f>
        <v>3.4740000000000002</v>
      </c>
      <c r="P95" s="3">
        <v>1</v>
      </c>
      <c r="Q95" s="2">
        <f t="shared" si="21"/>
        <v>101.01224999999999</v>
      </c>
      <c r="R95" s="10"/>
      <c r="S95" s="3"/>
      <c r="T95" s="8">
        <f t="shared" si="17"/>
        <v>101.01224999999999</v>
      </c>
      <c r="U95" s="4"/>
      <c r="V95" s="3"/>
      <c r="W95" s="4"/>
    </row>
    <row r="96" spans="1:23" ht="46.8" x14ac:dyDescent="0.3">
      <c r="A96" s="5" t="s">
        <v>161</v>
      </c>
      <c r="B96" s="3">
        <v>1</v>
      </c>
      <c r="C96" s="4">
        <v>243.86</v>
      </c>
      <c r="D96" s="6">
        <f t="shared" si="24"/>
        <v>0.70999753957188549</v>
      </c>
      <c r="E96" s="4">
        <v>0</v>
      </c>
      <c r="F96" s="4">
        <v>70.72</v>
      </c>
      <c r="G96" s="2">
        <f t="shared" ref="G96:G117" si="25">B96*F96</f>
        <v>70.72</v>
      </c>
      <c r="H96" s="4">
        <v>0</v>
      </c>
      <c r="I96" s="4">
        <f>0.05/8</f>
        <v>6.2500000000000003E-3</v>
      </c>
      <c r="J96" s="28">
        <v>45302</v>
      </c>
      <c r="K96" s="28">
        <v>45320</v>
      </c>
      <c r="L96" s="2"/>
      <c r="M96" s="4">
        <v>18.440000000000001</v>
      </c>
      <c r="N96" s="14"/>
      <c r="O96" s="14">
        <f>17.37/5</f>
        <v>3.4740000000000002</v>
      </c>
      <c r="P96" s="3">
        <v>1</v>
      </c>
      <c r="Q96" s="2">
        <f t="shared" si="21"/>
        <v>67.252249999999989</v>
      </c>
      <c r="R96" s="10"/>
      <c r="S96" s="3"/>
      <c r="T96" s="8">
        <f t="shared" si="17"/>
        <v>67.252249999999989</v>
      </c>
      <c r="U96" s="4"/>
      <c r="V96" s="3"/>
      <c r="W96" s="4"/>
    </row>
    <row r="97" spans="1:23" ht="46.8" x14ac:dyDescent="0.3">
      <c r="A97" s="32" t="s">
        <v>162</v>
      </c>
      <c r="B97" s="3">
        <v>1</v>
      </c>
      <c r="C97" s="4">
        <v>118.21</v>
      </c>
      <c r="D97" s="6">
        <f t="shared" si="24"/>
        <v>0.52998900262245152</v>
      </c>
      <c r="E97" s="4">
        <v>0</v>
      </c>
      <c r="F97" s="4">
        <v>55.56</v>
      </c>
      <c r="G97" s="2">
        <f t="shared" si="25"/>
        <v>55.56</v>
      </c>
      <c r="H97" s="4">
        <v>0</v>
      </c>
      <c r="I97" s="4">
        <v>0</v>
      </c>
      <c r="J97" s="28">
        <v>45302</v>
      </c>
      <c r="K97" s="28">
        <v>45315</v>
      </c>
      <c r="L97" s="2"/>
      <c r="M97" s="4">
        <v>18.440000000000001</v>
      </c>
      <c r="N97" s="14"/>
      <c r="O97" s="14"/>
      <c r="P97" s="3">
        <v>1</v>
      </c>
      <c r="Q97" s="2">
        <f t="shared" si="21"/>
        <v>55.56</v>
      </c>
      <c r="R97" s="10" t="s">
        <v>163</v>
      </c>
      <c r="S97" s="3"/>
      <c r="T97" s="8">
        <f t="shared" si="17"/>
        <v>55.56</v>
      </c>
      <c r="U97" s="4"/>
      <c r="V97" s="3"/>
      <c r="W97" s="4"/>
    </row>
    <row r="98" spans="1:23" ht="46.8" x14ac:dyDescent="0.3">
      <c r="A98" s="32" t="s">
        <v>164</v>
      </c>
      <c r="B98" s="3">
        <v>2</v>
      </c>
      <c r="C98" s="4">
        <v>103.27</v>
      </c>
      <c r="D98" s="6">
        <f t="shared" si="24"/>
        <v>0.53006681514476606</v>
      </c>
      <c r="E98" s="4">
        <v>0</v>
      </c>
      <c r="F98" s="4">
        <v>48.53</v>
      </c>
      <c r="G98" s="2">
        <f t="shared" si="25"/>
        <v>97.06</v>
      </c>
      <c r="H98" s="4">
        <v>0</v>
      </c>
      <c r="I98" s="4">
        <v>0</v>
      </c>
      <c r="J98" s="28">
        <v>45302</v>
      </c>
      <c r="K98" s="28">
        <v>45315</v>
      </c>
      <c r="L98" s="2"/>
      <c r="M98" s="4">
        <v>18.440000000000001</v>
      </c>
      <c r="N98" s="14"/>
      <c r="O98" s="14"/>
      <c r="P98" s="3">
        <v>1</v>
      </c>
      <c r="Q98" s="2">
        <f t="shared" si="21"/>
        <v>48.53</v>
      </c>
      <c r="R98" s="10"/>
      <c r="S98" s="3"/>
      <c r="T98" s="8">
        <f t="shared" si="17"/>
        <v>97.06</v>
      </c>
      <c r="U98" s="4"/>
      <c r="V98" s="3"/>
      <c r="W98" s="4"/>
    </row>
    <row r="99" spans="1:23" ht="31.2" x14ac:dyDescent="0.3">
      <c r="A99" s="32" t="s">
        <v>165</v>
      </c>
      <c r="B99" s="3">
        <v>1</v>
      </c>
      <c r="C99" s="4">
        <v>404.9</v>
      </c>
      <c r="D99" s="6">
        <f t="shared" si="24"/>
        <v>0.68997283279822186</v>
      </c>
      <c r="E99" s="4">
        <v>0</v>
      </c>
      <c r="F99" s="4">
        <v>125.53</v>
      </c>
      <c r="G99" s="2">
        <f t="shared" si="25"/>
        <v>125.53</v>
      </c>
      <c r="H99" s="4">
        <v>0</v>
      </c>
      <c r="I99" s="4">
        <v>0.01</v>
      </c>
      <c r="J99" s="28">
        <v>45302</v>
      </c>
      <c r="K99" s="28">
        <v>45318</v>
      </c>
      <c r="L99" s="2"/>
      <c r="M99" s="4">
        <v>18.440000000000001</v>
      </c>
      <c r="N99" s="14"/>
      <c r="O99" s="14">
        <v>5.03</v>
      </c>
      <c r="P99" s="3">
        <v>2</v>
      </c>
      <c r="Q99" s="2">
        <f t="shared" si="21"/>
        <v>120.51</v>
      </c>
      <c r="R99" s="10" t="s">
        <v>166</v>
      </c>
      <c r="S99" s="3"/>
      <c r="T99" s="8">
        <f t="shared" si="17"/>
        <v>120.51</v>
      </c>
      <c r="U99" s="4"/>
      <c r="V99" s="3"/>
      <c r="W99" s="4"/>
    </row>
    <row r="100" spans="1:23" ht="31.2" x14ac:dyDescent="0.3">
      <c r="A100" s="5" t="s">
        <v>167</v>
      </c>
      <c r="B100" s="3">
        <v>1</v>
      </c>
      <c r="C100" s="4">
        <v>106.33</v>
      </c>
      <c r="D100" s="6">
        <f t="shared" si="24"/>
        <v>0.52995391705069128</v>
      </c>
      <c r="E100" s="4">
        <v>0</v>
      </c>
      <c r="F100" s="4">
        <v>49.98</v>
      </c>
      <c r="G100" s="2">
        <f t="shared" si="25"/>
        <v>49.98</v>
      </c>
      <c r="H100" s="4">
        <v>0</v>
      </c>
      <c r="I100" s="4">
        <v>0.02</v>
      </c>
      <c r="J100" s="28">
        <v>45302</v>
      </c>
      <c r="K100" s="28">
        <v>45315</v>
      </c>
      <c r="L100" s="2"/>
      <c r="M100" s="4">
        <v>18.440000000000001</v>
      </c>
      <c r="N100" s="14"/>
      <c r="O100" s="14"/>
      <c r="P100" s="3">
        <v>1</v>
      </c>
      <c r="Q100" s="2">
        <f t="shared" si="21"/>
        <v>50</v>
      </c>
      <c r="R100" s="10" t="s">
        <v>168</v>
      </c>
      <c r="S100" s="3"/>
      <c r="T100" s="8">
        <f t="shared" si="17"/>
        <v>50</v>
      </c>
      <c r="U100" s="4"/>
      <c r="V100" s="3"/>
      <c r="W100" s="4"/>
    </row>
    <row r="101" spans="1:23" ht="28.8" x14ac:dyDescent="0.3">
      <c r="A101" s="33" t="s">
        <v>169</v>
      </c>
      <c r="B101" s="37">
        <v>2</v>
      </c>
      <c r="C101" s="38">
        <v>102.21</v>
      </c>
      <c r="D101" s="39">
        <f t="shared" si="24"/>
        <v>0.24997554055376184</v>
      </c>
      <c r="E101" s="38">
        <v>0</v>
      </c>
      <c r="F101" s="38">
        <v>76.66</v>
      </c>
      <c r="G101" s="46">
        <f t="shared" si="25"/>
        <v>153.32</v>
      </c>
      <c r="H101" s="38">
        <v>0</v>
      </c>
      <c r="I101" s="38">
        <v>167.15</v>
      </c>
      <c r="J101" s="42">
        <v>45302</v>
      </c>
      <c r="K101" s="42"/>
      <c r="L101" s="46"/>
      <c r="M101" s="38">
        <v>18.440000000000001</v>
      </c>
      <c r="N101" s="14"/>
      <c r="O101" s="14"/>
      <c r="P101" s="3">
        <v>1</v>
      </c>
      <c r="Q101" s="2">
        <f t="shared" si="21"/>
        <v>160.23500000000001</v>
      </c>
      <c r="R101" s="10" t="s">
        <v>170</v>
      </c>
      <c r="S101" s="3"/>
      <c r="T101" s="8">
        <f t="shared" si="17"/>
        <v>320.47000000000003</v>
      </c>
      <c r="U101" s="4"/>
      <c r="V101" s="3"/>
      <c r="W101" s="4"/>
    </row>
    <row r="102" spans="1:23" ht="46.8" x14ac:dyDescent="0.3">
      <c r="A102" s="5" t="s">
        <v>171</v>
      </c>
      <c r="B102" s="3">
        <v>2</v>
      </c>
      <c r="C102" s="4">
        <v>285.27</v>
      </c>
      <c r="D102" s="6">
        <f t="shared" si="24"/>
        <v>0.69001297016861218</v>
      </c>
      <c r="E102" s="4">
        <v>0</v>
      </c>
      <c r="F102" s="4">
        <v>88.43</v>
      </c>
      <c r="G102" s="2">
        <f t="shared" si="25"/>
        <v>176.86</v>
      </c>
      <c r="H102" s="4">
        <v>0</v>
      </c>
      <c r="I102" s="4">
        <f>0.19/2</f>
        <v>9.5000000000000001E-2</v>
      </c>
      <c r="J102" s="28">
        <v>45302</v>
      </c>
      <c r="K102" s="28">
        <v>45315</v>
      </c>
      <c r="L102" s="2"/>
      <c r="M102" s="4">
        <v>18.440000000000001</v>
      </c>
      <c r="N102" s="14"/>
      <c r="O102" s="14"/>
      <c r="P102" s="3">
        <v>1</v>
      </c>
      <c r="Q102" s="2">
        <f t="shared" si="21"/>
        <v>88.477500000000006</v>
      </c>
      <c r="R102" s="10" t="s">
        <v>172</v>
      </c>
      <c r="S102" s="3"/>
      <c r="T102" s="8">
        <f t="shared" si="17"/>
        <v>176.95500000000001</v>
      </c>
      <c r="U102" s="4"/>
      <c r="V102" s="3"/>
      <c r="W102" s="4"/>
    </row>
    <row r="103" spans="1:23" ht="31.2" x14ac:dyDescent="0.3">
      <c r="A103" s="5" t="s">
        <v>173</v>
      </c>
      <c r="B103" s="3">
        <v>1</v>
      </c>
      <c r="C103" s="4">
        <v>307.33</v>
      </c>
      <c r="D103" s="6">
        <f t="shared" si="24"/>
        <v>0.68997494549832428</v>
      </c>
      <c r="E103" s="4">
        <v>0</v>
      </c>
      <c r="F103" s="4">
        <v>95.28</v>
      </c>
      <c r="G103" s="2">
        <f t="shared" si="25"/>
        <v>95.28</v>
      </c>
      <c r="H103" s="4">
        <v>0</v>
      </c>
      <c r="I103" s="4">
        <f>0.19/2</f>
        <v>9.5000000000000001E-2</v>
      </c>
      <c r="J103" s="28">
        <v>45302</v>
      </c>
      <c r="K103" s="28">
        <v>45315</v>
      </c>
      <c r="L103" s="2"/>
      <c r="M103" s="4">
        <v>18.440000000000001</v>
      </c>
      <c r="N103" s="14"/>
      <c r="O103" s="14"/>
      <c r="P103" s="3">
        <v>1</v>
      </c>
      <c r="Q103" s="2">
        <f t="shared" si="21"/>
        <v>95.375</v>
      </c>
      <c r="R103" s="10"/>
      <c r="S103" s="3"/>
      <c r="T103" s="8">
        <f t="shared" si="17"/>
        <v>95.375</v>
      </c>
      <c r="U103" s="4"/>
      <c r="V103" s="3"/>
      <c r="W103" s="4"/>
    </row>
    <row r="104" spans="1:23" ht="46.8" x14ac:dyDescent="0.3">
      <c r="A104" s="5" t="s">
        <v>174</v>
      </c>
      <c r="B104" s="3">
        <v>1</v>
      </c>
      <c r="C104" s="4">
        <v>125.23</v>
      </c>
      <c r="D104" s="6">
        <f t="shared" si="24"/>
        <v>0.29984827916633389</v>
      </c>
      <c r="E104" s="4">
        <v>0</v>
      </c>
      <c r="F104" s="4">
        <v>87.68</v>
      </c>
      <c r="G104" s="2">
        <f t="shared" si="25"/>
        <v>87.68</v>
      </c>
      <c r="H104" s="4">
        <v>0</v>
      </c>
      <c r="I104" s="4">
        <f>0.19/2</f>
        <v>9.5000000000000001E-2</v>
      </c>
      <c r="J104" s="28">
        <v>45303</v>
      </c>
      <c r="K104" s="28">
        <v>45321</v>
      </c>
      <c r="L104" s="2"/>
      <c r="M104" s="4">
        <v>18.440000000000001</v>
      </c>
      <c r="N104" s="14"/>
      <c r="O104" s="14"/>
      <c r="P104" s="3">
        <v>1</v>
      </c>
      <c r="Q104" s="2">
        <f t="shared" si="21"/>
        <v>87.775000000000006</v>
      </c>
      <c r="R104" s="10" t="s">
        <v>175</v>
      </c>
      <c r="S104" s="3"/>
      <c r="T104" s="8">
        <f t="shared" si="17"/>
        <v>87.775000000000006</v>
      </c>
      <c r="U104" s="4"/>
      <c r="V104" s="3"/>
      <c r="W104" s="4"/>
    </row>
    <row r="105" spans="1:23" ht="31.2" x14ac:dyDescent="0.3">
      <c r="A105" s="5" t="s">
        <v>176</v>
      </c>
      <c r="B105" s="3">
        <v>4</v>
      </c>
      <c r="C105" s="4">
        <v>136.25</v>
      </c>
      <c r="D105" s="6">
        <f t="shared" si="24"/>
        <v>0.24022018348623855</v>
      </c>
      <c r="E105" s="4">
        <v>0</v>
      </c>
      <c r="F105" s="4">
        <v>103.52</v>
      </c>
      <c r="G105" s="2">
        <f t="shared" si="25"/>
        <v>414.08</v>
      </c>
      <c r="H105" s="4">
        <v>0</v>
      </c>
      <c r="I105" s="4">
        <f>(261.14/2)*4</f>
        <v>522.28</v>
      </c>
      <c r="J105" s="28">
        <v>45303</v>
      </c>
      <c r="K105" s="28"/>
      <c r="L105" s="2"/>
      <c r="M105" s="4">
        <v>18.440000000000001</v>
      </c>
      <c r="N105" s="14"/>
      <c r="O105" s="14">
        <f>(19.81/6)*4</f>
        <v>13.206666666666665</v>
      </c>
      <c r="P105" s="3">
        <v>1</v>
      </c>
      <c r="Q105" s="2">
        <f t="shared" si="21"/>
        <v>230.7883333333333</v>
      </c>
      <c r="R105" s="21" t="s">
        <v>177</v>
      </c>
      <c r="S105" s="3"/>
      <c r="T105" s="8">
        <f t="shared" si="17"/>
        <v>923.15333333333319</v>
      </c>
      <c r="U105" s="4"/>
      <c r="V105" s="3"/>
      <c r="W105" s="4"/>
    </row>
    <row r="106" spans="1:23" ht="31.2" x14ac:dyDescent="0.3">
      <c r="A106" s="5" t="s">
        <v>178</v>
      </c>
      <c r="B106" s="3">
        <v>2</v>
      </c>
      <c r="C106" s="4">
        <v>32.159999999999997</v>
      </c>
      <c r="D106" s="6">
        <f t="shared" si="24"/>
        <v>-2.8081467661691546</v>
      </c>
      <c r="E106" s="4">
        <v>0</v>
      </c>
      <c r="F106" s="4">
        <v>122.47</v>
      </c>
      <c r="G106" s="2">
        <f t="shared" si="25"/>
        <v>244.94</v>
      </c>
      <c r="H106" s="4">
        <v>0</v>
      </c>
      <c r="I106" s="4">
        <f>(261.14/2)*2</f>
        <v>261.14</v>
      </c>
      <c r="J106" s="28">
        <v>45303</v>
      </c>
      <c r="K106" s="28"/>
      <c r="L106" s="2"/>
      <c r="M106" s="4">
        <v>18.440000000000001</v>
      </c>
      <c r="N106" s="14"/>
      <c r="O106" s="14">
        <f>(19.81/6)*2</f>
        <v>6.6033333333333326</v>
      </c>
      <c r="P106" s="3">
        <v>1</v>
      </c>
      <c r="Q106" s="2">
        <f t="shared" ref="Q106:Q129" si="26">F106+(I106/B106)-(O106/B106)</f>
        <v>249.73833333333332</v>
      </c>
      <c r="R106" s="10"/>
      <c r="S106" s="3"/>
      <c r="T106" s="8">
        <f t="shared" si="17"/>
        <v>499.47666666666663</v>
      </c>
      <c r="U106" s="4"/>
      <c r="V106" s="3"/>
      <c r="W106" s="4"/>
    </row>
    <row r="107" spans="1:23" ht="31.2" x14ac:dyDescent="0.3">
      <c r="A107" s="5" t="s">
        <v>374</v>
      </c>
      <c r="B107" s="3">
        <v>4</v>
      </c>
      <c r="C107" s="4">
        <v>141.25</v>
      </c>
      <c r="D107" s="6">
        <f t="shared" si="24"/>
        <v>0.49996460176991148</v>
      </c>
      <c r="E107" s="4">
        <v>0</v>
      </c>
      <c r="F107" s="4">
        <v>70.63</v>
      </c>
      <c r="G107" s="2">
        <f t="shared" si="25"/>
        <v>282.52</v>
      </c>
      <c r="H107" s="4">
        <v>0</v>
      </c>
      <c r="I107" s="4">
        <v>76.48</v>
      </c>
      <c r="J107" s="28">
        <v>45303</v>
      </c>
      <c r="K107" s="28">
        <v>45317</v>
      </c>
      <c r="L107" s="2"/>
      <c r="M107" s="4">
        <v>18.440000000000001</v>
      </c>
      <c r="N107" s="14"/>
      <c r="O107" s="14"/>
      <c r="P107" s="3">
        <v>1</v>
      </c>
      <c r="Q107" s="2">
        <f t="shared" si="26"/>
        <v>89.75</v>
      </c>
      <c r="R107" s="10" t="s">
        <v>179</v>
      </c>
      <c r="S107" s="3"/>
      <c r="T107" s="8">
        <f t="shared" si="17"/>
        <v>359</v>
      </c>
      <c r="U107" s="4"/>
      <c r="V107" s="3"/>
      <c r="W107" s="4"/>
    </row>
    <row r="108" spans="1:23" ht="31.2" x14ac:dyDescent="0.3">
      <c r="A108" s="5" t="s">
        <v>379</v>
      </c>
      <c r="B108" s="3">
        <v>1</v>
      </c>
      <c r="C108" s="4">
        <v>52.17</v>
      </c>
      <c r="D108" s="6">
        <f t="shared" ref="D108" si="27">(((C108-F108)*100)/C108)/100</f>
        <v>0.48821161587119044</v>
      </c>
      <c r="E108" s="4">
        <v>0</v>
      </c>
      <c r="F108" s="4">
        <v>26.7</v>
      </c>
      <c r="G108" s="2">
        <f t="shared" ref="G108" si="28">B108*F108</f>
        <v>26.7</v>
      </c>
      <c r="H108" s="4">
        <v>0</v>
      </c>
      <c r="I108" s="4">
        <v>19.98</v>
      </c>
      <c r="J108" s="28">
        <v>45303</v>
      </c>
      <c r="K108" s="28">
        <v>45321</v>
      </c>
      <c r="L108" s="2"/>
      <c r="M108" s="4">
        <v>18.440000000000001</v>
      </c>
      <c r="N108" s="14"/>
      <c r="O108" s="14"/>
      <c r="P108" s="3">
        <v>1</v>
      </c>
      <c r="Q108" s="2">
        <f t="shared" ref="Q108" si="29">F108+(I108/B108)-(O108/B108)</f>
        <v>46.68</v>
      </c>
      <c r="R108" s="10" t="s">
        <v>375</v>
      </c>
      <c r="S108" s="3"/>
      <c r="T108" s="8">
        <f t="shared" si="17"/>
        <v>46.68</v>
      </c>
      <c r="U108" s="4"/>
      <c r="V108" s="3"/>
      <c r="W108" s="4"/>
    </row>
    <row r="109" spans="1:23" ht="46.8" x14ac:dyDescent="0.3">
      <c r="A109" s="5" t="s">
        <v>380</v>
      </c>
      <c r="B109" s="3">
        <v>1</v>
      </c>
      <c r="C109" s="4">
        <v>32.56</v>
      </c>
      <c r="D109" s="6">
        <f t="shared" ref="D109:D111" si="30">(((C109-F109)*100)/C109)/100</f>
        <v>0.1483415233415234</v>
      </c>
      <c r="E109" s="4">
        <v>0</v>
      </c>
      <c r="F109" s="4">
        <v>27.73</v>
      </c>
      <c r="G109" s="2">
        <f t="shared" ref="G109:G111" si="31">B109*F109</f>
        <v>27.73</v>
      </c>
      <c r="H109" s="4">
        <v>0</v>
      </c>
      <c r="I109" s="4">
        <v>7.58</v>
      </c>
      <c r="J109" s="28">
        <v>45303</v>
      </c>
      <c r="K109" s="28">
        <v>45322</v>
      </c>
      <c r="L109" s="2"/>
      <c r="M109" s="4">
        <v>18.440000000000001</v>
      </c>
      <c r="N109" s="14"/>
      <c r="O109" s="14"/>
      <c r="P109" s="3">
        <v>1</v>
      </c>
      <c r="Q109" s="2">
        <f t="shared" ref="Q109:Q111" si="32">F109+(I109/B109)-(O109/B109)</f>
        <v>35.31</v>
      </c>
      <c r="R109" s="10" t="s">
        <v>376</v>
      </c>
      <c r="S109" s="3"/>
      <c r="T109" s="8">
        <f t="shared" si="17"/>
        <v>35.31</v>
      </c>
      <c r="U109" s="4"/>
      <c r="V109" s="3"/>
      <c r="W109" s="4"/>
    </row>
    <row r="110" spans="1:23" ht="46.8" x14ac:dyDescent="0.3">
      <c r="A110" s="5" t="s">
        <v>381</v>
      </c>
      <c r="B110" s="3">
        <v>1</v>
      </c>
      <c r="C110" s="4">
        <v>90.79</v>
      </c>
      <c r="D110" s="6">
        <f t="shared" si="30"/>
        <v>0.52373609428351142</v>
      </c>
      <c r="E110" s="4">
        <v>0</v>
      </c>
      <c r="F110" s="4">
        <v>43.24</v>
      </c>
      <c r="G110" s="2">
        <f t="shared" si="31"/>
        <v>43.24</v>
      </c>
      <c r="H110" s="4">
        <v>0</v>
      </c>
      <c r="I110" s="4">
        <v>0</v>
      </c>
      <c r="J110" s="28">
        <v>45303</v>
      </c>
      <c r="K110" s="28">
        <v>45321</v>
      </c>
      <c r="L110" s="2"/>
      <c r="M110" s="4">
        <v>18.440000000000001</v>
      </c>
      <c r="N110" s="14"/>
      <c r="O110" s="14"/>
      <c r="P110" s="3">
        <v>1</v>
      </c>
      <c r="Q110" s="2">
        <f t="shared" si="32"/>
        <v>43.24</v>
      </c>
      <c r="R110" s="10" t="s">
        <v>377</v>
      </c>
      <c r="S110" s="3"/>
      <c r="T110" s="8">
        <f t="shared" si="17"/>
        <v>43.24</v>
      </c>
      <c r="U110" s="4"/>
      <c r="V110" s="3"/>
      <c r="W110" s="4"/>
    </row>
    <row r="111" spans="1:23" ht="46.8" x14ac:dyDescent="0.3">
      <c r="A111" s="5" t="s">
        <v>382</v>
      </c>
      <c r="B111" s="3">
        <v>1</v>
      </c>
      <c r="C111" s="4">
        <v>39.43</v>
      </c>
      <c r="D111" s="6">
        <f t="shared" si="30"/>
        <v>0.14811057570377875</v>
      </c>
      <c r="E111" s="4">
        <v>0</v>
      </c>
      <c r="F111" s="4">
        <v>33.590000000000003</v>
      </c>
      <c r="G111" s="2">
        <f t="shared" si="31"/>
        <v>33.590000000000003</v>
      </c>
      <c r="H111" s="4">
        <v>0</v>
      </c>
      <c r="I111" s="4">
        <v>18.09</v>
      </c>
      <c r="J111" s="28">
        <v>45303</v>
      </c>
      <c r="K111" s="28">
        <v>45321</v>
      </c>
      <c r="L111" s="2"/>
      <c r="M111" s="4">
        <v>18.440000000000001</v>
      </c>
      <c r="N111" s="14"/>
      <c r="O111" s="14"/>
      <c r="P111" s="3">
        <v>1</v>
      </c>
      <c r="Q111" s="2">
        <f t="shared" si="32"/>
        <v>51.680000000000007</v>
      </c>
      <c r="R111" s="10" t="s">
        <v>378</v>
      </c>
      <c r="S111" s="3"/>
      <c r="T111" s="8">
        <f t="shared" si="17"/>
        <v>51.680000000000007</v>
      </c>
      <c r="U111" s="4"/>
      <c r="V111" s="3"/>
      <c r="W111" s="4"/>
    </row>
    <row r="112" spans="1:23" ht="31.2" x14ac:dyDescent="0.3">
      <c r="A112" s="5" t="s">
        <v>180</v>
      </c>
      <c r="B112" s="3">
        <v>1</v>
      </c>
      <c r="C112" s="4">
        <v>83.97</v>
      </c>
      <c r="D112" s="6">
        <f t="shared" si="24"/>
        <v>0.50922948672144808</v>
      </c>
      <c r="E112" s="4">
        <v>0</v>
      </c>
      <c r="F112" s="4">
        <v>41.21</v>
      </c>
      <c r="G112" s="2">
        <f t="shared" si="25"/>
        <v>41.21</v>
      </c>
      <c r="H112" s="4">
        <v>0</v>
      </c>
      <c r="I112" s="4">
        <f>0.02/2</f>
        <v>0.01</v>
      </c>
      <c r="J112" s="28">
        <v>45303</v>
      </c>
      <c r="K112" s="28">
        <v>45321</v>
      </c>
      <c r="L112" s="2"/>
      <c r="M112" s="4">
        <v>18.440000000000001</v>
      </c>
      <c r="N112" s="14"/>
      <c r="O112" s="14"/>
      <c r="P112" s="3">
        <v>1</v>
      </c>
      <c r="Q112" s="2">
        <f t="shared" si="26"/>
        <v>41.22</v>
      </c>
      <c r="R112" s="10" t="s">
        <v>181</v>
      </c>
      <c r="S112" s="3"/>
      <c r="T112" s="8">
        <f t="shared" si="17"/>
        <v>41.22</v>
      </c>
      <c r="U112" s="4"/>
      <c r="V112" s="3"/>
      <c r="W112" s="4"/>
    </row>
    <row r="113" spans="1:23" ht="31.2" x14ac:dyDescent="0.3">
      <c r="A113" s="5" t="s">
        <v>182</v>
      </c>
      <c r="B113" s="3">
        <v>1</v>
      </c>
      <c r="C113" s="4">
        <v>32.159999999999997</v>
      </c>
      <c r="D113" s="6">
        <f t="shared" si="24"/>
        <v>-0.23818407960199017</v>
      </c>
      <c r="E113" s="4">
        <v>0</v>
      </c>
      <c r="F113" s="4">
        <v>39.82</v>
      </c>
      <c r="G113" s="2">
        <f t="shared" si="25"/>
        <v>39.82</v>
      </c>
      <c r="H113" s="4">
        <v>0</v>
      </c>
      <c r="I113" s="4">
        <f>0.02/2</f>
        <v>0.01</v>
      </c>
      <c r="J113" s="28">
        <v>45303</v>
      </c>
      <c r="K113" s="28">
        <v>45321</v>
      </c>
      <c r="L113" s="2"/>
      <c r="M113" s="4">
        <v>18.440000000000001</v>
      </c>
      <c r="N113" s="14"/>
      <c r="O113" s="14"/>
      <c r="P113" s="3">
        <v>1</v>
      </c>
      <c r="Q113" s="2">
        <f t="shared" si="26"/>
        <v>39.83</v>
      </c>
      <c r="R113" s="10"/>
      <c r="S113" s="3"/>
      <c r="T113" s="8">
        <f t="shared" si="17"/>
        <v>39.83</v>
      </c>
      <c r="U113" s="4"/>
      <c r="V113" s="3"/>
      <c r="W113" s="4"/>
    </row>
    <row r="114" spans="1:23" ht="31.2" x14ac:dyDescent="0.3">
      <c r="A114" s="5" t="s">
        <v>183</v>
      </c>
      <c r="B114" s="3">
        <v>1</v>
      </c>
      <c r="C114" s="4">
        <v>361.61</v>
      </c>
      <c r="D114" s="6">
        <f t="shared" si="24"/>
        <v>0.58001714554354133</v>
      </c>
      <c r="E114" s="4">
        <v>0</v>
      </c>
      <c r="F114" s="4">
        <v>151.87</v>
      </c>
      <c r="G114" s="2">
        <f t="shared" si="25"/>
        <v>151.87</v>
      </c>
      <c r="H114" s="4">
        <v>0</v>
      </c>
      <c r="I114" s="4">
        <v>0.02</v>
      </c>
      <c r="J114" s="28">
        <v>45303</v>
      </c>
      <c r="K114" s="28">
        <v>45318</v>
      </c>
      <c r="L114" s="2"/>
      <c r="M114" s="4">
        <v>18.440000000000001</v>
      </c>
      <c r="N114" s="14"/>
      <c r="O114" s="14"/>
      <c r="P114" s="3">
        <v>1</v>
      </c>
      <c r="Q114" s="2">
        <f t="shared" si="26"/>
        <v>151.89000000000001</v>
      </c>
      <c r="R114" s="10" t="s">
        <v>184</v>
      </c>
      <c r="S114" s="3"/>
      <c r="T114" s="8">
        <f t="shared" si="17"/>
        <v>151.89000000000001</v>
      </c>
      <c r="U114" s="4"/>
      <c r="V114" s="3"/>
      <c r="W114" s="4"/>
    </row>
    <row r="115" spans="1:23" ht="31.2" x14ac:dyDescent="0.3">
      <c r="A115" s="5" t="s">
        <v>185</v>
      </c>
      <c r="B115" s="3">
        <v>2</v>
      </c>
      <c r="C115" s="4">
        <v>219.89</v>
      </c>
      <c r="D115" s="6">
        <f t="shared" si="24"/>
        <v>0.66005730137796159</v>
      </c>
      <c r="E115" s="4">
        <v>0</v>
      </c>
      <c r="F115" s="4">
        <v>74.75</v>
      </c>
      <c r="G115" s="2">
        <f t="shared" si="25"/>
        <v>149.5</v>
      </c>
      <c r="H115" s="4">
        <v>0</v>
      </c>
      <c r="I115" s="4">
        <v>0.03</v>
      </c>
      <c r="J115" s="28">
        <v>45303</v>
      </c>
      <c r="K115" s="28">
        <v>45315</v>
      </c>
      <c r="L115" s="2"/>
      <c r="M115" s="4">
        <v>18.440000000000001</v>
      </c>
      <c r="N115" s="14"/>
      <c r="O115" s="14"/>
      <c r="P115" s="3">
        <v>1</v>
      </c>
      <c r="Q115" s="2">
        <f t="shared" si="26"/>
        <v>74.765000000000001</v>
      </c>
      <c r="R115" s="10" t="s">
        <v>186</v>
      </c>
      <c r="S115" s="3"/>
      <c r="T115" s="8">
        <f t="shared" si="17"/>
        <v>149.53</v>
      </c>
      <c r="U115" s="4"/>
      <c r="V115" s="3"/>
      <c r="W115" s="4"/>
    </row>
    <row r="116" spans="1:23" ht="31.2" x14ac:dyDescent="0.3">
      <c r="A116" s="32" t="s">
        <v>187</v>
      </c>
      <c r="B116" s="3">
        <v>2</v>
      </c>
      <c r="C116" s="4">
        <v>99.08</v>
      </c>
      <c r="D116" s="6">
        <f t="shared" si="24"/>
        <v>0.57993540573274127</v>
      </c>
      <c r="E116" s="4">
        <v>0</v>
      </c>
      <c r="F116" s="4">
        <v>41.62</v>
      </c>
      <c r="G116" s="2">
        <f t="shared" si="25"/>
        <v>83.24</v>
      </c>
      <c r="H116" s="4">
        <v>0</v>
      </c>
      <c r="I116" s="4">
        <v>0.03</v>
      </c>
      <c r="J116" s="28">
        <v>45303</v>
      </c>
      <c r="K116" s="28">
        <v>45321</v>
      </c>
      <c r="L116" s="2"/>
      <c r="M116" s="4">
        <v>18.440000000000001</v>
      </c>
      <c r="N116" s="14"/>
      <c r="O116" s="14"/>
      <c r="P116" s="3">
        <v>1</v>
      </c>
      <c r="Q116" s="2">
        <f t="shared" si="26"/>
        <v>41.634999999999998</v>
      </c>
      <c r="R116" s="10" t="s">
        <v>188</v>
      </c>
      <c r="S116" s="3"/>
      <c r="T116" s="8">
        <f t="shared" si="17"/>
        <v>83.27</v>
      </c>
      <c r="U116" s="4"/>
      <c r="V116" s="3"/>
      <c r="W116" s="4"/>
    </row>
    <row r="117" spans="1:23" ht="31.2" x14ac:dyDescent="0.3">
      <c r="A117" s="5" t="s">
        <v>350</v>
      </c>
      <c r="B117" s="3">
        <v>1</v>
      </c>
      <c r="C117" s="4">
        <v>72.599999999999994</v>
      </c>
      <c r="D117" s="6">
        <f t="shared" si="24"/>
        <v>5.8126721763085386E-2</v>
      </c>
      <c r="E117" s="4">
        <v>0</v>
      </c>
      <c r="F117" s="4">
        <v>68.38</v>
      </c>
      <c r="G117" s="2">
        <f t="shared" si="25"/>
        <v>68.38</v>
      </c>
      <c r="H117" s="4">
        <v>0</v>
      </c>
      <c r="I117" s="4">
        <v>0.05</v>
      </c>
      <c r="J117" s="28">
        <v>45303</v>
      </c>
      <c r="K117" s="28">
        <v>45321</v>
      </c>
      <c r="L117" s="2"/>
      <c r="M117" s="4">
        <v>18.440000000000001</v>
      </c>
      <c r="N117" s="14"/>
      <c r="O117" s="14"/>
      <c r="P117" s="3">
        <v>1</v>
      </c>
      <c r="Q117" s="2">
        <f t="shared" si="26"/>
        <v>68.429999999999993</v>
      </c>
      <c r="R117" s="10" t="s">
        <v>188</v>
      </c>
      <c r="S117" s="3"/>
      <c r="T117" s="8">
        <f t="shared" si="17"/>
        <v>68.429999999999993</v>
      </c>
      <c r="U117" s="4"/>
      <c r="V117" s="3"/>
      <c r="W117" s="4"/>
    </row>
    <row r="118" spans="1:23" ht="46.8" x14ac:dyDescent="0.3">
      <c r="A118" s="32" t="s">
        <v>189</v>
      </c>
      <c r="B118" s="3">
        <v>4</v>
      </c>
      <c r="C118" s="4">
        <v>98.65</v>
      </c>
      <c r="D118" s="6">
        <f t="shared" ref="D118:D129" si="33">(((C118-F118)*100)/C118)/100</f>
        <v>0.35124176381145467</v>
      </c>
      <c r="E118" s="4">
        <v>0</v>
      </c>
      <c r="F118" s="4">
        <v>64</v>
      </c>
      <c r="G118" s="2">
        <f t="shared" ref="G118:G129" si="34">B118*F118</f>
        <v>256</v>
      </c>
      <c r="H118" s="4">
        <v>0</v>
      </c>
      <c r="I118" s="4">
        <v>182.36</v>
      </c>
      <c r="J118" s="28">
        <v>45303</v>
      </c>
      <c r="K118" s="28"/>
      <c r="L118" s="2"/>
      <c r="M118" s="4">
        <v>18.440000000000001</v>
      </c>
      <c r="N118" s="14"/>
      <c r="O118" s="14"/>
      <c r="P118" s="3">
        <v>1</v>
      </c>
      <c r="Q118" s="2">
        <f t="shared" si="26"/>
        <v>109.59</v>
      </c>
      <c r="R118" s="10" t="s">
        <v>190</v>
      </c>
      <c r="S118" s="3"/>
      <c r="T118" s="8">
        <f t="shared" si="17"/>
        <v>438.36</v>
      </c>
      <c r="U118" s="4"/>
      <c r="V118" s="3"/>
      <c r="W118" s="4"/>
    </row>
    <row r="119" spans="1:23" ht="31.2" x14ac:dyDescent="0.3">
      <c r="A119" s="5" t="s">
        <v>191</v>
      </c>
      <c r="B119" s="3">
        <v>2</v>
      </c>
      <c r="C119" s="4">
        <v>150</v>
      </c>
      <c r="D119" s="6">
        <f t="shared" si="33"/>
        <v>0.63439999999999996</v>
      </c>
      <c r="E119" s="4">
        <v>0</v>
      </c>
      <c r="F119" s="4">
        <v>54.84</v>
      </c>
      <c r="G119" s="2">
        <f t="shared" si="34"/>
        <v>109.68</v>
      </c>
      <c r="H119" s="4">
        <v>0</v>
      </c>
      <c r="I119" s="4">
        <v>0.03</v>
      </c>
      <c r="J119" s="28">
        <v>45303</v>
      </c>
      <c r="K119" s="28">
        <v>45315</v>
      </c>
      <c r="L119" s="2"/>
      <c r="M119" s="4">
        <v>18.440000000000001</v>
      </c>
      <c r="N119" s="14"/>
      <c r="O119" s="14"/>
      <c r="P119" s="3">
        <v>1</v>
      </c>
      <c r="Q119" s="2">
        <f t="shared" si="26"/>
        <v>54.855000000000004</v>
      </c>
      <c r="R119" s="10" t="s">
        <v>192</v>
      </c>
      <c r="S119" s="3"/>
      <c r="T119" s="8">
        <f t="shared" si="17"/>
        <v>109.71000000000001</v>
      </c>
      <c r="U119" s="4"/>
      <c r="V119" s="3"/>
      <c r="W119" s="4"/>
    </row>
    <row r="120" spans="1:23" ht="46.8" x14ac:dyDescent="0.3">
      <c r="A120" s="5" t="s">
        <v>393</v>
      </c>
      <c r="B120" s="3">
        <v>1</v>
      </c>
      <c r="C120" s="4">
        <v>122.11</v>
      </c>
      <c r="D120" s="6">
        <f t="shared" ref="D120" si="35">(((C120-F120)*100)/C120)/100</f>
        <v>0.74285480304643359</v>
      </c>
      <c r="E120" s="4">
        <v>0</v>
      </c>
      <c r="F120" s="4">
        <v>31.4</v>
      </c>
      <c r="G120" s="2">
        <f t="shared" ref="G120" si="36">B120*F120</f>
        <v>31.4</v>
      </c>
      <c r="H120" s="4">
        <v>0</v>
      </c>
      <c r="I120" s="4">
        <v>0.03</v>
      </c>
      <c r="J120" s="28">
        <v>45303</v>
      </c>
      <c r="K120" s="28">
        <v>45322</v>
      </c>
      <c r="L120" s="2"/>
      <c r="M120" s="4">
        <v>18.440000000000001</v>
      </c>
      <c r="N120" s="14"/>
      <c r="O120" s="14"/>
      <c r="P120" s="3">
        <v>1</v>
      </c>
      <c r="Q120" s="2">
        <f t="shared" ref="Q120" si="37">F120+(I120/B120)-(O120/B120)</f>
        <v>31.43</v>
      </c>
      <c r="R120" s="10" t="s">
        <v>392</v>
      </c>
      <c r="S120" s="3"/>
      <c r="T120" s="8">
        <f t="shared" si="17"/>
        <v>31.43</v>
      </c>
      <c r="U120" s="4"/>
      <c r="V120" s="3"/>
      <c r="W120" s="4"/>
    </row>
    <row r="121" spans="1:23" ht="31.2" x14ac:dyDescent="0.3">
      <c r="A121" s="5" t="s">
        <v>193</v>
      </c>
      <c r="B121" s="3">
        <v>2</v>
      </c>
      <c r="C121" s="4">
        <v>115.42</v>
      </c>
      <c r="D121" s="6">
        <f t="shared" si="33"/>
        <v>0.7100155952174666</v>
      </c>
      <c r="E121" s="4">
        <v>0</v>
      </c>
      <c r="F121" s="4">
        <v>33.47</v>
      </c>
      <c r="G121" s="2">
        <f t="shared" si="34"/>
        <v>66.94</v>
      </c>
      <c r="H121" s="4">
        <v>0</v>
      </c>
      <c r="I121" s="4">
        <v>0.01</v>
      </c>
      <c r="J121" s="28">
        <v>45303</v>
      </c>
      <c r="K121" s="28">
        <v>45315</v>
      </c>
      <c r="L121" s="2"/>
      <c r="M121" s="4">
        <v>18.440000000000001</v>
      </c>
      <c r="N121" s="14"/>
      <c r="O121" s="14"/>
      <c r="P121" s="3">
        <v>1</v>
      </c>
      <c r="Q121" s="2">
        <f t="shared" si="26"/>
        <v>33.475000000000001</v>
      </c>
      <c r="R121" s="10" t="s">
        <v>194</v>
      </c>
      <c r="S121" s="3"/>
      <c r="T121" s="8">
        <f t="shared" si="17"/>
        <v>66.95</v>
      </c>
      <c r="U121" s="4"/>
      <c r="V121" s="3"/>
      <c r="W121" s="4"/>
    </row>
    <row r="122" spans="1:23" ht="31.2" x14ac:dyDescent="0.3">
      <c r="A122" s="5" t="s">
        <v>193</v>
      </c>
      <c r="B122" s="3">
        <v>2</v>
      </c>
      <c r="C122" s="4">
        <v>115.42</v>
      </c>
      <c r="D122" s="6">
        <f t="shared" ref="D122" si="38">(((C122-F122)*100)/C122)/100</f>
        <v>0.7100155952174666</v>
      </c>
      <c r="E122" s="4">
        <v>0</v>
      </c>
      <c r="F122" s="4">
        <v>33.47</v>
      </c>
      <c r="G122" s="2">
        <f t="shared" ref="G122" si="39">B122*F122</f>
        <v>66.94</v>
      </c>
      <c r="H122" s="4">
        <v>0</v>
      </c>
      <c r="I122" s="4">
        <v>0.01</v>
      </c>
      <c r="J122" s="28">
        <v>45303</v>
      </c>
      <c r="K122" s="28">
        <v>45315</v>
      </c>
      <c r="L122" s="2"/>
      <c r="M122" s="4">
        <v>18.440000000000001</v>
      </c>
      <c r="N122" s="14"/>
      <c r="O122" s="14"/>
      <c r="P122" s="3">
        <v>1</v>
      </c>
      <c r="Q122" s="2">
        <f t="shared" ref="Q122" si="40">F122+(I122/B122)-(O122/B122)</f>
        <v>33.475000000000001</v>
      </c>
      <c r="R122" s="10"/>
      <c r="S122" s="3"/>
      <c r="T122" s="8">
        <f t="shared" si="17"/>
        <v>66.95</v>
      </c>
      <c r="U122" s="4"/>
      <c r="V122" s="3"/>
      <c r="W122" s="4"/>
    </row>
    <row r="123" spans="1:23" ht="31.2" x14ac:dyDescent="0.3">
      <c r="A123" s="5" t="s">
        <v>195</v>
      </c>
      <c r="B123" s="3">
        <v>1</v>
      </c>
      <c r="C123" s="4">
        <v>137.77000000000001</v>
      </c>
      <c r="D123" s="6">
        <f t="shared" si="33"/>
        <v>0.70995136822239957</v>
      </c>
      <c r="E123" s="4">
        <v>0</v>
      </c>
      <c r="F123" s="4">
        <v>39.96</v>
      </c>
      <c r="G123" s="2">
        <f t="shared" si="34"/>
        <v>39.96</v>
      </c>
      <c r="H123" s="4">
        <v>0</v>
      </c>
      <c r="I123" s="4">
        <f>0.02/3</f>
        <v>6.6666666666666671E-3</v>
      </c>
      <c r="J123" s="28">
        <v>45303</v>
      </c>
      <c r="K123" s="28">
        <v>45317</v>
      </c>
      <c r="L123" s="2"/>
      <c r="M123" s="4">
        <v>18.440000000000001</v>
      </c>
      <c r="N123" s="14"/>
      <c r="O123" s="14"/>
      <c r="P123" s="3">
        <v>1</v>
      </c>
      <c r="Q123" s="2">
        <f t="shared" si="26"/>
        <v>39.966666666666669</v>
      </c>
      <c r="R123" s="10" t="s">
        <v>196</v>
      </c>
      <c r="S123" s="3"/>
      <c r="T123" s="8">
        <f t="shared" si="17"/>
        <v>39.966666666666669</v>
      </c>
      <c r="U123" s="4"/>
      <c r="V123" s="3"/>
      <c r="W123" s="4"/>
    </row>
    <row r="124" spans="1:23" ht="31.2" x14ac:dyDescent="0.3">
      <c r="A124" s="5" t="s">
        <v>197</v>
      </c>
      <c r="B124" s="3">
        <v>1</v>
      </c>
      <c r="C124" s="4">
        <v>133.08000000000001</v>
      </c>
      <c r="D124" s="6">
        <f t="shared" si="33"/>
        <v>0.71002404568680488</v>
      </c>
      <c r="E124" s="4">
        <v>0</v>
      </c>
      <c r="F124" s="4">
        <v>38.590000000000003</v>
      </c>
      <c r="G124" s="2">
        <f t="shared" si="34"/>
        <v>38.590000000000003</v>
      </c>
      <c r="H124" s="4">
        <v>0</v>
      </c>
      <c r="I124" s="4">
        <f>0.02/3</f>
        <v>6.6666666666666671E-3</v>
      </c>
      <c r="J124" s="28">
        <v>45303</v>
      </c>
      <c r="K124" s="28">
        <v>45317</v>
      </c>
      <c r="L124" s="2"/>
      <c r="M124" s="4">
        <v>18.440000000000001</v>
      </c>
      <c r="N124" s="14"/>
      <c r="O124" s="14"/>
      <c r="P124" s="3">
        <v>1</v>
      </c>
      <c r="Q124" s="2">
        <f t="shared" si="26"/>
        <v>38.596666666666671</v>
      </c>
      <c r="R124" s="10"/>
      <c r="S124" s="3"/>
      <c r="T124" s="8">
        <f t="shared" si="17"/>
        <v>38.596666666666671</v>
      </c>
      <c r="U124" s="4"/>
      <c r="V124" s="3"/>
      <c r="W124" s="4"/>
    </row>
    <row r="125" spans="1:23" ht="31.2" x14ac:dyDescent="0.3">
      <c r="A125" s="5" t="s">
        <v>198</v>
      </c>
      <c r="B125" s="3">
        <v>1</v>
      </c>
      <c r="C125" s="4">
        <v>143.97999999999999</v>
      </c>
      <c r="D125" s="6">
        <f t="shared" si="33"/>
        <v>0.7100986248090011</v>
      </c>
      <c r="E125" s="4">
        <v>0</v>
      </c>
      <c r="F125" s="4">
        <v>41.74</v>
      </c>
      <c r="G125" s="2">
        <f t="shared" si="34"/>
        <v>41.74</v>
      </c>
      <c r="H125" s="4">
        <v>0</v>
      </c>
      <c r="I125" s="4">
        <f>0.02/3</f>
        <v>6.6666666666666671E-3</v>
      </c>
      <c r="J125" s="28">
        <v>45303</v>
      </c>
      <c r="K125" s="28">
        <v>45317</v>
      </c>
      <c r="L125" s="2"/>
      <c r="M125" s="4">
        <v>18.440000000000001</v>
      </c>
      <c r="N125" s="14"/>
      <c r="O125" s="14"/>
      <c r="P125" s="3">
        <v>1</v>
      </c>
      <c r="Q125" s="2">
        <f t="shared" si="26"/>
        <v>41.74666666666667</v>
      </c>
      <c r="R125" s="10"/>
      <c r="S125" s="3"/>
      <c r="T125" s="8">
        <f t="shared" si="17"/>
        <v>41.74666666666667</v>
      </c>
      <c r="U125" s="4"/>
      <c r="V125" s="3"/>
      <c r="W125" s="4"/>
    </row>
    <row r="126" spans="1:23" x14ac:dyDescent="0.3">
      <c r="A126" s="5" t="s">
        <v>199</v>
      </c>
      <c r="B126" s="3">
        <v>2</v>
      </c>
      <c r="C126" s="4">
        <v>201.08</v>
      </c>
      <c r="D126" s="6">
        <f t="shared" si="33"/>
        <v>0.31136860950865336</v>
      </c>
      <c r="E126" s="4">
        <v>0</v>
      </c>
      <c r="F126" s="4">
        <v>138.47</v>
      </c>
      <c r="G126" s="2">
        <f t="shared" si="34"/>
        <v>276.94</v>
      </c>
      <c r="H126" s="4">
        <v>0</v>
      </c>
      <c r="I126" s="4">
        <v>106.37</v>
      </c>
      <c r="J126" s="28">
        <v>45303</v>
      </c>
      <c r="K126" s="28">
        <v>45323</v>
      </c>
      <c r="L126" s="2"/>
      <c r="M126" s="4">
        <v>18.440000000000001</v>
      </c>
      <c r="N126" s="14"/>
      <c r="O126" s="14"/>
      <c r="P126" s="3">
        <v>1</v>
      </c>
      <c r="Q126" s="2">
        <f t="shared" si="26"/>
        <v>191.655</v>
      </c>
      <c r="R126" s="10" t="s">
        <v>200</v>
      </c>
      <c r="S126" s="3"/>
      <c r="T126" s="8">
        <f t="shared" si="17"/>
        <v>383.31</v>
      </c>
      <c r="U126" s="4"/>
      <c r="V126" s="3"/>
      <c r="W126" s="4"/>
    </row>
    <row r="127" spans="1:23" ht="31.2" x14ac:dyDescent="0.3">
      <c r="A127" s="5" t="s">
        <v>201</v>
      </c>
      <c r="B127" s="3">
        <v>2</v>
      </c>
      <c r="C127" s="4">
        <v>99.04</v>
      </c>
      <c r="D127" s="6">
        <f t="shared" si="33"/>
        <v>0.52514135702746367</v>
      </c>
      <c r="E127" s="4">
        <v>0</v>
      </c>
      <c r="F127" s="4">
        <v>47.03</v>
      </c>
      <c r="G127" s="2">
        <f t="shared" si="34"/>
        <v>94.06</v>
      </c>
      <c r="H127" s="4">
        <v>0</v>
      </c>
      <c r="I127" s="4">
        <f>63.04/2</f>
        <v>31.52</v>
      </c>
      <c r="J127" s="28">
        <v>45303</v>
      </c>
      <c r="K127" s="28">
        <v>45323</v>
      </c>
      <c r="L127" s="2"/>
      <c r="M127" s="4">
        <v>18.440000000000001</v>
      </c>
      <c r="N127" s="14"/>
      <c r="O127" s="14"/>
      <c r="P127" s="3">
        <v>1</v>
      </c>
      <c r="Q127" s="2">
        <f t="shared" si="26"/>
        <v>62.79</v>
      </c>
      <c r="R127" s="10" t="s">
        <v>202</v>
      </c>
      <c r="S127" s="3"/>
      <c r="T127" s="8">
        <f t="shared" si="17"/>
        <v>125.58</v>
      </c>
      <c r="U127" s="4"/>
      <c r="V127" s="3"/>
      <c r="W127" s="4"/>
    </row>
    <row r="128" spans="1:23" ht="31.2" x14ac:dyDescent="0.3">
      <c r="A128" s="5" t="s">
        <v>203</v>
      </c>
      <c r="B128" s="3">
        <v>2</v>
      </c>
      <c r="C128" s="4">
        <v>88.19</v>
      </c>
      <c r="D128" s="6">
        <f t="shared" si="33"/>
        <v>0.52534300941149792</v>
      </c>
      <c r="E128" s="4">
        <v>0</v>
      </c>
      <c r="F128" s="4">
        <v>41.86</v>
      </c>
      <c r="G128" s="2">
        <f t="shared" si="34"/>
        <v>83.72</v>
      </c>
      <c r="H128" s="4">
        <v>0</v>
      </c>
      <c r="I128" s="4">
        <f>63.04/2</f>
        <v>31.52</v>
      </c>
      <c r="J128" s="28">
        <v>45303</v>
      </c>
      <c r="K128" s="28">
        <v>45323</v>
      </c>
      <c r="L128" s="2"/>
      <c r="M128" s="4">
        <v>18.440000000000001</v>
      </c>
      <c r="N128" s="14"/>
      <c r="O128" s="14"/>
      <c r="P128" s="3">
        <v>1</v>
      </c>
      <c r="Q128" s="2">
        <f t="shared" si="26"/>
        <v>57.62</v>
      </c>
      <c r="R128" s="10"/>
      <c r="S128" s="3"/>
      <c r="T128" s="8">
        <f t="shared" si="17"/>
        <v>115.24</v>
      </c>
      <c r="U128" s="4"/>
      <c r="V128" s="3"/>
      <c r="W128" s="4"/>
    </row>
    <row r="129" spans="1:23" ht="31.2" x14ac:dyDescent="0.3">
      <c r="A129" s="5" t="s">
        <v>204</v>
      </c>
      <c r="B129" s="3">
        <v>2</v>
      </c>
      <c r="C129" s="4">
        <v>103.54</v>
      </c>
      <c r="D129" s="6">
        <f t="shared" si="33"/>
        <v>0.25960981263279898</v>
      </c>
      <c r="E129" s="4">
        <v>0</v>
      </c>
      <c r="F129" s="4">
        <v>76.66</v>
      </c>
      <c r="G129" s="2">
        <f t="shared" si="34"/>
        <v>153.32</v>
      </c>
      <c r="H129" s="4">
        <v>0</v>
      </c>
      <c r="I129" s="4">
        <v>167.15</v>
      </c>
      <c r="J129" s="28">
        <v>45303</v>
      </c>
      <c r="K129" s="28">
        <v>45321</v>
      </c>
      <c r="L129" s="2"/>
      <c r="M129" s="4">
        <v>18.440000000000001</v>
      </c>
      <c r="N129" s="14"/>
      <c r="O129" s="14"/>
      <c r="P129" s="3">
        <v>1</v>
      </c>
      <c r="Q129" s="2">
        <f t="shared" si="26"/>
        <v>160.23500000000001</v>
      </c>
      <c r="R129" s="10" t="s">
        <v>205</v>
      </c>
      <c r="S129" s="3"/>
      <c r="T129" s="8">
        <f t="shared" si="17"/>
        <v>320.47000000000003</v>
      </c>
      <c r="U129" s="4"/>
      <c r="V129" s="3"/>
      <c r="W129" s="4"/>
    </row>
    <row r="130" spans="1:23" x14ac:dyDescent="0.3">
      <c r="A130" s="5" t="s">
        <v>206</v>
      </c>
      <c r="B130" s="3">
        <v>2</v>
      </c>
      <c r="C130" s="4">
        <v>250</v>
      </c>
      <c r="D130" s="6">
        <f t="shared" ref="D130:D138" si="41">(((C130-F130)*100)/C130)/100</f>
        <v>0.22899999999999998</v>
      </c>
      <c r="E130" s="4">
        <v>0</v>
      </c>
      <c r="F130" s="4">
        <v>192.75</v>
      </c>
      <c r="G130" s="2">
        <f t="shared" ref="G130:G138" si="42">B130*F130</f>
        <v>385.5</v>
      </c>
      <c r="H130" s="4">
        <v>0</v>
      </c>
      <c r="I130" s="4">
        <v>0</v>
      </c>
      <c r="J130" s="28">
        <v>45303</v>
      </c>
      <c r="K130" s="28">
        <v>45321</v>
      </c>
      <c r="L130" s="2"/>
      <c r="M130" s="4">
        <v>18.440000000000001</v>
      </c>
      <c r="N130" s="14"/>
      <c r="O130" s="14">
        <v>7.75</v>
      </c>
      <c r="P130" s="3">
        <v>1</v>
      </c>
      <c r="Q130" s="2">
        <f t="shared" ref="Q130:Q138" si="43">F130+(I130/B130)-(O130/B130)</f>
        <v>188.875</v>
      </c>
      <c r="R130" s="10" t="s">
        <v>207</v>
      </c>
      <c r="S130" s="3"/>
      <c r="T130" s="8">
        <f t="shared" si="17"/>
        <v>377.75</v>
      </c>
      <c r="U130" s="4"/>
      <c r="V130" s="3"/>
      <c r="W130" s="4"/>
    </row>
    <row r="131" spans="1:23" ht="31.2" x14ac:dyDescent="0.3">
      <c r="A131" s="32" t="s">
        <v>208</v>
      </c>
      <c r="B131" s="3">
        <v>1</v>
      </c>
      <c r="C131" s="4">
        <v>187.86</v>
      </c>
      <c r="D131" s="6">
        <f t="shared" si="41"/>
        <v>0.4186628340253381</v>
      </c>
      <c r="E131" s="4">
        <v>0</v>
      </c>
      <c r="F131" s="4">
        <v>109.21</v>
      </c>
      <c r="G131" s="2">
        <f t="shared" si="42"/>
        <v>109.21</v>
      </c>
      <c r="H131" s="4">
        <v>0</v>
      </c>
      <c r="I131" s="4">
        <f>40.83/3</f>
        <v>13.61</v>
      </c>
      <c r="J131" s="28">
        <v>45303</v>
      </c>
      <c r="K131" s="28">
        <v>45321</v>
      </c>
      <c r="L131" s="2"/>
      <c r="M131" s="4">
        <v>18.440000000000001</v>
      </c>
      <c r="N131" s="14"/>
      <c r="O131" s="14">
        <f>4.48/3</f>
        <v>1.4933333333333334</v>
      </c>
      <c r="P131" s="3">
        <v>1</v>
      </c>
      <c r="Q131" s="2">
        <f t="shared" si="43"/>
        <v>121.32666666666665</v>
      </c>
      <c r="R131" s="10" t="s">
        <v>209</v>
      </c>
      <c r="S131" s="3"/>
      <c r="T131" s="8">
        <f t="shared" ref="T131:T190" si="44">B131*Q131</f>
        <v>121.32666666666665</v>
      </c>
      <c r="U131" s="4"/>
      <c r="V131" s="3"/>
      <c r="W131" s="4"/>
    </row>
    <row r="132" spans="1:23" ht="31.2" x14ac:dyDescent="0.3">
      <c r="A132" s="32" t="s">
        <v>210</v>
      </c>
      <c r="B132" s="3">
        <v>1</v>
      </c>
      <c r="C132" s="4">
        <v>127.16</v>
      </c>
      <c r="D132" s="6">
        <f t="shared" si="41"/>
        <v>0.41884240327146899</v>
      </c>
      <c r="E132" s="4">
        <v>0</v>
      </c>
      <c r="F132" s="4">
        <v>73.900000000000006</v>
      </c>
      <c r="G132" s="2">
        <f t="shared" si="42"/>
        <v>73.900000000000006</v>
      </c>
      <c r="H132" s="4">
        <v>0</v>
      </c>
      <c r="I132" s="4">
        <f>40.83/3</f>
        <v>13.61</v>
      </c>
      <c r="J132" s="28">
        <v>45303</v>
      </c>
      <c r="K132" s="28">
        <v>45321</v>
      </c>
      <c r="L132" s="2"/>
      <c r="M132" s="4">
        <v>18.440000000000001</v>
      </c>
      <c r="N132" s="14"/>
      <c r="O132" s="14">
        <f>4.48/3</f>
        <v>1.4933333333333334</v>
      </c>
      <c r="P132" s="3">
        <v>1</v>
      </c>
      <c r="Q132" s="2">
        <f t="shared" si="43"/>
        <v>86.016666666666666</v>
      </c>
      <c r="R132" s="10" t="s">
        <v>211</v>
      </c>
      <c r="S132" s="3"/>
      <c r="T132" s="8">
        <f t="shared" si="44"/>
        <v>86.016666666666666</v>
      </c>
      <c r="U132" s="4"/>
      <c r="V132" s="3"/>
      <c r="W132" s="4"/>
    </row>
    <row r="133" spans="1:23" ht="31.2" x14ac:dyDescent="0.3">
      <c r="A133" s="32" t="s">
        <v>212</v>
      </c>
      <c r="B133" s="3">
        <v>1</v>
      </c>
      <c r="C133" s="4">
        <v>71.89</v>
      </c>
      <c r="D133" s="6">
        <f t="shared" si="41"/>
        <v>0.42008624287105306</v>
      </c>
      <c r="E133" s="4">
        <v>0</v>
      </c>
      <c r="F133" s="4">
        <v>41.69</v>
      </c>
      <c r="G133" s="2">
        <f t="shared" si="42"/>
        <v>41.69</v>
      </c>
      <c r="H133" s="4">
        <v>0</v>
      </c>
      <c r="I133" s="4">
        <f>40.83/3</f>
        <v>13.61</v>
      </c>
      <c r="J133" s="28">
        <v>45303</v>
      </c>
      <c r="K133" s="28">
        <v>45321</v>
      </c>
      <c r="L133" s="2"/>
      <c r="M133" s="4">
        <v>18.440000000000001</v>
      </c>
      <c r="N133" s="14"/>
      <c r="O133" s="14">
        <f>4.48/3</f>
        <v>1.4933333333333334</v>
      </c>
      <c r="P133" s="3">
        <v>1</v>
      </c>
      <c r="Q133" s="2">
        <f t="shared" si="43"/>
        <v>53.806666666666665</v>
      </c>
      <c r="R133" s="10"/>
      <c r="S133" s="3"/>
      <c r="T133" s="8">
        <f t="shared" si="44"/>
        <v>53.806666666666665</v>
      </c>
      <c r="U133" s="4"/>
      <c r="V133" s="3"/>
      <c r="W133" s="4"/>
    </row>
    <row r="134" spans="1:23" x14ac:dyDescent="0.3">
      <c r="A134" s="32" t="s">
        <v>213</v>
      </c>
      <c r="B134" s="3">
        <v>2</v>
      </c>
      <c r="C134" s="4">
        <v>143.43</v>
      </c>
      <c r="D134" s="6">
        <f t="shared" si="41"/>
        <v>0.50756466569058079</v>
      </c>
      <c r="E134" s="4">
        <v>0</v>
      </c>
      <c r="F134" s="4">
        <v>70.63</v>
      </c>
      <c r="G134" s="2">
        <f t="shared" si="42"/>
        <v>141.26</v>
      </c>
      <c r="H134" s="4">
        <v>0</v>
      </c>
      <c r="I134" s="4">
        <f>(76.48/4)*2</f>
        <v>38.24</v>
      </c>
      <c r="J134" s="28">
        <v>45303</v>
      </c>
      <c r="K134" s="28">
        <v>45321</v>
      </c>
      <c r="L134" s="2"/>
      <c r="M134" s="4">
        <v>18.440000000000001</v>
      </c>
      <c r="N134" s="14"/>
      <c r="O134" s="14"/>
      <c r="P134" s="3">
        <v>1</v>
      </c>
      <c r="Q134" s="2">
        <f t="shared" si="43"/>
        <v>89.75</v>
      </c>
      <c r="R134" s="10" t="s">
        <v>214</v>
      </c>
      <c r="S134" s="3"/>
      <c r="T134" s="8">
        <f t="shared" si="44"/>
        <v>179.5</v>
      </c>
      <c r="U134" s="4"/>
      <c r="V134" s="3"/>
      <c r="W134" s="4"/>
    </row>
    <row r="135" spans="1:23" x14ac:dyDescent="0.3">
      <c r="A135" s="32" t="s">
        <v>215</v>
      </c>
      <c r="B135" s="3">
        <v>1</v>
      </c>
      <c r="C135" s="4">
        <v>143.43</v>
      </c>
      <c r="D135" s="6">
        <f t="shared" si="41"/>
        <v>0.50756466569058079</v>
      </c>
      <c r="E135" s="4">
        <v>0</v>
      </c>
      <c r="F135" s="4">
        <v>70.63</v>
      </c>
      <c r="G135" s="2">
        <f t="shared" si="42"/>
        <v>70.63</v>
      </c>
      <c r="H135" s="4">
        <v>0</v>
      </c>
      <c r="I135" s="4">
        <f>76.48/4</f>
        <v>19.12</v>
      </c>
      <c r="J135" s="28">
        <v>45303</v>
      </c>
      <c r="K135" s="28">
        <v>45321</v>
      </c>
      <c r="L135" s="2"/>
      <c r="M135" s="4">
        <v>18.440000000000001</v>
      </c>
      <c r="N135" s="14"/>
      <c r="O135" s="14"/>
      <c r="P135" s="3">
        <v>1</v>
      </c>
      <c r="Q135" s="2">
        <f t="shared" si="43"/>
        <v>89.75</v>
      </c>
      <c r="R135" s="10"/>
      <c r="S135" s="3"/>
      <c r="T135" s="8">
        <f t="shared" si="44"/>
        <v>89.75</v>
      </c>
      <c r="U135" s="4"/>
      <c r="V135" s="3"/>
      <c r="W135" s="4"/>
    </row>
    <row r="136" spans="1:23" x14ac:dyDescent="0.3">
      <c r="A136" s="32" t="s">
        <v>216</v>
      </c>
      <c r="B136" s="3">
        <v>1</v>
      </c>
      <c r="C136" s="4">
        <v>143.43</v>
      </c>
      <c r="D136" s="6">
        <f t="shared" si="41"/>
        <v>0.50756466569058079</v>
      </c>
      <c r="E136" s="4">
        <v>0</v>
      </c>
      <c r="F136" s="4">
        <v>70.63</v>
      </c>
      <c r="G136" s="2">
        <f t="shared" si="42"/>
        <v>70.63</v>
      </c>
      <c r="H136" s="4">
        <v>0</v>
      </c>
      <c r="I136" s="4">
        <f>76.48/4</f>
        <v>19.12</v>
      </c>
      <c r="J136" s="28">
        <v>45303</v>
      </c>
      <c r="K136" s="28">
        <v>45321</v>
      </c>
      <c r="L136" s="2"/>
      <c r="M136" s="4">
        <v>18.440000000000001</v>
      </c>
      <c r="N136" s="14"/>
      <c r="O136" s="14"/>
      <c r="P136" s="3">
        <v>1</v>
      </c>
      <c r="Q136" s="2">
        <f t="shared" si="43"/>
        <v>89.75</v>
      </c>
      <c r="R136" s="10"/>
      <c r="S136" s="3"/>
      <c r="T136" s="8">
        <f t="shared" si="44"/>
        <v>89.75</v>
      </c>
      <c r="U136" s="4"/>
      <c r="V136" s="3"/>
      <c r="W136" s="4"/>
    </row>
    <row r="137" spans="1:23" ht="31.2" x14ac:dyDescent="0.3">
      <c r="A137" s="32" t="s">
        <v>217</v>
      </c>
      <c r="B137" s="3">
        <v>1</v>
      </c>
      <c r="C137" s="4">
        <v>127.16</v>
      </c>
      <c r="D137" s="6">
        <f t="shared" si="41"/>
        <v>0.41884240327146899</v>
      </c>
      <c r="E137" s="4">
        <v>0</v>
      </c>
      <c r="F137" s="4">
        <v>73.900000000000006</v>
      </c>
      <c r="G137" s="2">
        <f t="shared" si="42"/>
        <v>73.900000000000006</v>
      </c>
      <c r="H137" s="4">
        <v>0</v>
      </c>
      <c r="I137" s="4">
        <f>1.38/2</f>
        <v>0.69</v>
      </c>
      <c r="J137" s="28">
        <v>45303</v>
      </c>
      <c r="K137" s="28">
        <v>45317</v>
      </c>
      <c r="L137" s="2"/>
      <c r="M137" s="4">
        <v>18.440000000000001</v>
      </c>
      <c r="N137" s="14"/>
      <c r="O137" s="14"/>
      <c r="P137" s="3">
        <v>1</v>
      </c>
      <c r="Q137" s="2">
        <f t="shared" si="43"/>
        <v>74.59</v>
      </c>
      <c r="R137" s="10" t="s">
        <v>218</v>
      </c>
      <c r="S137" s="3"/>
      <c r="T137" s="8">
        <f t="shared" si="44"/>
        <v>74.59</v>
      </c>
      <c r="U137" s="4"/>
      <c r="V137" s="3"/>
      <c r="W137" s="4"/>
    </row>
    <row r="138" spans="1:23" x14ac:dyDescent="0.3">
      <c r="A138" s="32" t="s">
        <v>219</v>
      </c>
      <c r="B138" s="3">
        <v>1</v>
      </c>
      <c r="C138" s="4">
        <v>71.89</v>
      </c>
      <c r="D138" s="6">
        <f t="shared" si="41"/>
        <v>0.42008624287105306</v>
      </c>
      <c r="E138" s="4">
        <v>0</v>
      </c>
      <c r="F138" s="4">
        <v>41.69</v>
      </c>
      <c r="G138" s="2">
        <f t="shared" si="42"/>
        <v>41.69</v>
      </c>
      <c r="H138" s="4">
        <v>0</v>
      </c>
      <c r="I138" s="4">
        <f>1.38/2</f>
        <v>0.69</v>
      </c>
      <c r="J138" s="28">
        <v>45303</v>
      </c>
      <c r="K138" s="28">
        <v>45317</v>
      </c>
      <c r="L138" s="2"/>
      <c r="M138" s="4">
        <v>18.440000000000001</v>
      </c>
      <c r="N138" s="14"/>
      <c r="O138" s="14"/>
      <c r="P138" s="3">
        <v>1</v>
      </c>
      <c r="Q138" s="2">
        <f t="shared" si="43"/>
        <v>42.379999999999995</v>
      </c>
      <c r="R138" s="10"/>
      <c r="S138" s="3"/>
      <c r="T138" s="8">
        <f t="shared" si="44"/>
        <v>42.379999999999995</v>
      </c>
      <c r="U138" s="4"/>
      <c r="V138" s="3"/>
      <c r="W138" s="4"/>
    </row>
    <row r="139" spans="1:23" ht="31.2" x14ac:dyDescent="0.3">
      <c r="A139" s="5" t="s">
        <v>222</v>
      </c>
      <c r="B139" s="3">
        <v>2</v>
      </c>
      <c r="C139" s="4">
        <v>227.33</v>
      </c>
      <c r="D139" s="6">
        <f t="shared" ref="D139" si="45">(((C139-F139)*100)/C139)/100</f>
        <v>0.69669643249901014</v>
      </c>
      <c r="E139" s="4">
        <v>0</v>
      </c>
      <c r="F139" s="4">
        <v>68.95</v>
      </c>
      <c r="G139" s="2">
        <f t="shared" ref="G139" si="46">B139*F139</f>
        <v>137.9</v>
      </c>
      <c r="H139" s="4">
        <v>0</v>
      </c>
      <c r="I139" s="4">
        <v>0.04</v>
      </c>
      <c r="J139" s="28">
        <v>45303</v>
      </c>
      <c r="K139" s="28">
        <v>45315</v>
      </c>
      <c r="L139" s="2"/>
      <c r="M139" s="4">
        <v>18.440000000000001</v>
      </c>
      <c r="N139" s="14"/>
      <c r="O139" s="14"/>
      <c r="P139" s="3">
        <v>1</v>
      </c>
      <c r="Q139" s="2">
        <f t="shared" ref="Q139" si="47">F139+(I139/B139)-(O139/B139)</f>
        <v>68.97</v>
      </c>
      <c r="R139" s="10" t="s">
        <v>223</v>
      </c>
      <c r="S139" s="3"/>
      <c r="T139" s="8">
        <f t="shared" si="44"/>
        <v>137.94</v>
      </c>
      <c r="U139" s="4"/>
      <c r="V139" s="3"/>
      <c r="W139" s="4"/>
    </row>
    <row r="140" spans="1:23" ht="46.8" x14ac:dyDescent="0.3">
      <c r="A140" s="5" t="s">
        <v>383</v>
      </c>
      <c r="B140" s="3">
        <v>4</v>
      </c>
      <c r="C140" s="4">
        <v>296.73</v>
      </c>
      <c r="D140" s="6">
        <f t="shared" ref="D140" si="48">(((C140-F140)*100)/C140)/100</f>
        <v>0.50193778856199245</v>
      </c>
      <c r="E140" s="4">
        <v>0</v>
      </c>
      <c r="F140" s="4">
        <v>147.79</v>
      </c>
      <c r="G140" s="2">
        <f t="shared" ref="G140" si="49">B140*F140</f>
        <v>591.16</v>
      </c>
      <c r="H140" s="4">
        <v>0</v>
      </c>
      <c r="I140" s="4">
        <v>181.2</v>
      </c>
      <c r="J140" s="28">
        <v>45303</v>
      </c>
      <c r="K140" s="28">
        <v>45315</v>
      </c>
      <c r="L140" s="2"/>
      <c r="M140" s="4">
        <v>18.440000000000001</v>
      </c>
      <c r="N140" s="14"/>
      <c r="O140" s="14"/>
      <c r="P140" s="3">
        <v>1</v>
      </c>
      <c r="Q140" s="2">
        <f t="shared" ref="Q140" si="50">F140+(I140/B140)-(O140/B140)</f>
        <v>193.08999999999997</v>
      </c>
      <c r="R140" s="10" t="s">
        <v>223</v>
      </c>
      <c r="S140" s="3"/>
      <c r="T140" s="8">
        <f t="shared" si="44"/>
        <v>772.3599999999999</v>
      </c>
      <c r="U140" s="4"/>
      <c r="V140" s="3"/>
      <c r="W140" s="4"/>
    </row>
    <row r="141" spans="1:23" ht="31.2" x14ac:dyDescent="0.3">
      <c r="A141" s="5" t="s">
        <v>220</v>
      </c>
      <c r="B141" s="3">
        <v>2</v>
      </c>
      <c r="C141" s="4">
        <v>180.22</v>
      </c>
      <c r="D141" s="6">
        <f>(((C141-F141)*100)/C141)/100</f>
        <v>0.22577960270780156</v>
      </c>
      <c r="E141" s="4">
        <v>0</v>
      </c>
      <c r="F141" s="4">
        <v>139.53</v>
      </c>
      <c r="G141" s="2">
        <f>B141*F141</f>
        <v>279.06</v>
      </c>
      <c r="H141" s="4">
        <v>0</v>
      </c>
      <c r="I141" s="4">
        <v>0</v>
      </c>
      <c r="J141" s="28">
        <v>45303</v>
      </c>
      <c r="K141" s="28">
        <v>45315</v>
      </c>
      <c r="L141" s="2"/>
      <c r="M141" s="4">
        <v>18.440000000000001</v>
      </c>
      <c r="N141" s="14"/>
      <c r="O141" s="14">
        <v>17.23</v>
      </c>
      <c r="P141" s="3">
        <v>1</v>
      </c>
      <c r="Q141" s="2">
        <f>F141+(I141/B141)-(O141/B141)</f>
        <v>130.91499999999999</v>
      </c>
      <c r="R141" s="10" t="s">
        <v>221</v>
      </c>
      <c r="S141" s="3"/>
      <c r="T141" s="8">
        <f t="shared" si="44"/>
        <v>261.83</v>
      </c>
      <c r="U141" s="4"/>
      <c r="V141" s="3"/>
      <c r="W141" s="4"/>
    </row>
    <row r="142" spans="1:23" ht="31.2" x14ac:dyDescent="0.3">
      <c r="A142" s="5" t="s">
        <v>385</v>
      </c>
      <c r="B142" s="3">
        <v>1</v>
      </c>
      <c r="C142" s="4">
        <v>103.73</v>
      </c>
      <c r="D142" s="6">
        <f t="shared" ref="D142" si="51">(((C142-F142)*100)/C142)/100</f>
        <v>0.57495420804010411</v>
      </c>
      <c r="E142" s="4">
        <v>0</v>
      </c>
      <c r="F142" s="4">
        <v>44.09</v>
      </c>
      <c r="G142" s="2">
        <f t="shared" ref="G142" si="52">B142*F142</f>
        <v>44.09</v>
      </c>
      <c r="H142" s="4">
        <v>0</v>
      </c>
      <c r="I142" s="4">
        <v>0</v>
      </c>
      <c r="J142" s="28">
        <v>45303</v>
      </c>
      <c r="K142" s="28">
        <v>45324</v>
      </c>
      <c r="L142" s="2"/>
      <c r="M142" s="4">
        <v>18.440000000000001</v>
      </c>
      <c r="N142" s="14"/>
      <c r="O142" s="14">
        <v>0</v>
      </c>
      <c r="P142" s="3">
        <v>1</v>
      </c>
      <c r="Q142" s="2">
        <f t="shared" ref="Q142" si="53">F142+(I142/B142)-(O142/B142)</f>
        <v>44.09</v>
      </c>
      <c r="R142" s="10" t="s">
        <v>384</v>
      </c>
      <c r="S142" s="3"/>
      <c r="T142" s="8">
        <f t="shared" si="44"/>
        <v>44.09</v>
      </c>
      <c r="U142" s="4"/>
      <c r="V142" s="3"/>
      <c r="W142" s="4"/>
    </row>
    <row r="143" spans="1:23" ht="31.2" x14ac:dyDescent="0.3">
      <c r="A143" s="5" t="s">
        <v>386</v>
      </c>
      <c r="B143" s="3">
        <v>1</v>
      </c>
      <c r="C143" s="4">
        <v>116.47</v>
      </c>
      <c r="D143" s="6">
        <f t="shared" ref="D143" si="54">(((C143-F143)*100)/C143)/100</f>
        <v>0.57559886666094262</v>
      </c>
      <c r="E143" s="4">
        <v>0</v>
      </c>
      <c r="F143" s="4">
        <v>49.43</v>
      </c>
      <c r="G143" s="2">
        <f t="shared" ref="G143" si="55">B143*F143</f>
        <v>49.43</v>
      </c>
      <c r="H143" s="4">
        <v>0</v>
      </c>
      <c r="I143" s="4">
        <v>0</v>
      </c>
      <c r="J143" s="28">
        <v>45303</v>
      </c>
      <c r="K143" s="28">
        <v>45324</v>
      </c>
      <c r="L143" s="2"/>
      <c r="M143" s="4">
        <v>18.440000000000001</v>
      </c>
      <c r="N143" s="14"/>
      <c r="O143" s="14">
        <v>0</v>
      </c>
      <c r="P143" s="3">
        <v>1</v>
      </c>
      <c r="Q143" s="2">
        <f t="shared" ref="Q143" si="56">F143+(I143/B143)-(O143/B143)</f>
        <v>49.43</v>
      </c>
      <c r="R143" s="10"/>
      <c r="S143" s="3"/>
      <c r="T143" s="8">
        <f t="shared" si="44"/>
        <v>49.43</v>
      </c>
      <c r="U143" s="4"/>
      <c r="V143" s="3"/>
      <c r="W143" s="4"/>
    </row>
    <row r="144" spans="1:23" ht="46.8" x14ac:dyDescent="0.3">
      <c r="A144" s="5" t="s">
        <v>397</v>
      </c>
      <c r="B144" s="3">
        <v>1</v>
      </c>
      <c r="C144" s="4">
        <v>153.44</v>
      </c>
      <c r="D144" s="6">
        <f t="shared" ref="D144" si="57">(((C144-F144)*100)/C144)/100</f>
        <v>0.54207181960375384</v>
      </c>
      <c r="E144" s="4">
        <v>4.17</v>
      </c>
      <c r="F144" s="4">
        <f>E144*M144</f>
        <v>70.264499999999998</v>
      </c>
      <c r="G144" s="2">
        <f t="shared" ref="G144" si="58">B144*F144</f>
        <v>70.264499999999998</v>
      </c>
      <c r="H144" s="4">
        <v>0</v>
      </c>
      <c r="I144" s="4">
        <v>0</v>
      </c>
      <c r="J144" s="28">
        <v>45304</v>
      </c>
      <c r="K144" s="28">
        <v>45316</v>
      </c>
      <c r="L144" s="2"/>
      <c r="M144" s="45">
        <v>16.850000000000001</v>
      </c>
      <c r="N144" s="14"/>
      <c r="O144" s="14">
        <v>0</v>
      </c>
      <c r="P144" s="3">
        <v>1</v>
      </c>
      <c r="Q144" s="2">
        <f t="shared" ref="Q144" si="59">F144+(I144/B144)-(O144/B144)</f>
        <v>70.264499999999998</v>
      </c>
      <c r="R144" s="10" t="s">
        <v>396</v>
      </c>
      <c r="S144" s="3"/>
      <c r="T144" s="8">
        <f t="shared" si="44"/>
        <v>70.264499999999998</v>
      </c>
      <c r="U144" s="4"/>
      <c r="V144" s="3"/>
      <c r="W144" s="4"/>
    </row>
    <row r="145" spans="1:23" ht="31.2" x14ac:dyDescent="0.3">
      <c r="A145" s="5" t="s">
        <v>399</v>
      </c>
      <c r="B145" s="3">
        <v>1</v>
      </c>
      <c r="C145" s="4">
        <v>192.49</v>
      </c>
      <c r="D145" s="6">
        <f t="shared" ref="D145:D147" si="60">(((C145-F145)*100)/C145)/100</f>
        <v>0.71375396124473989</v>
      </c>
      <c r="E145" s="4">
        <v>3.27</v>
      </c>
      <c r="F145" s="4">
        <f t="shared" ref="F145:F147" si="61">E145*M145</f>
        <v>55.099500000000006</v>
      </c>
      <c r="G145" s="2">
        <f t="shared" ref="G145:G147" si="62">B145*F145</f>
        <v>55.099500000000006</v>
      </c>
      <c r="H145" s="4">
        <v>0</v>
      </c>
      <c r="I145" s="4">
        <v>0</v>
      </c>
      <c r="J145" s="28">
        <v>45303</v>
      </c>
      <c r="K145" s="28">
        <v>45324</v>
      </c>
      <c r="L145" s="2"/>
      <c r="M145" s="45">
        <v>16.850000000000001</v>
      </c>
      <c r="N145" s="14"/>
      <c r="O145" s="14">
        <v>0</v>
      </c>
      <c r="P145" s="3">
        <v>1</v>
      </c>
      <c r="Q145" s="2">
        <f t="shared" ref="Q145:Q147" si="63">F145+(I145/B145)-(O145/B145)</f>
        <v>55.099500000000006</v>
      </c>
      <c r="R145" s="10" t="s">
        <v>398</v>
      </c>
      <c r="S145" s="3"/>
      <c r="T145" s="8">
        <f t="shared" si="44"/>
        <v>55.099500000000006</v>
      </c>
      <c r="U145" s="4"/>
      <c r="V145" s="3"/>
      <c r="W145" s="4"/>
    </row>
    <row r="146" spans="1:23" ht="31.2" x14ac:dyDescent="0.3">
      <c r="A146" s="5" t="s">
        <v>400</v>
      </c>
      <c r="B146" s="3">
        <v>1</v>
      </c>
      <c r="C146" s="4">
        <v>116.47</v>
      </c>
      <c r="D146" s="6">
        <f t="shared" si="60"/>
        <v>0.41841675968060449</v>
      </c>
      <c r="E146" s="4">
        <v>4.0199999999999996</v>
      </c>
      <c r="F146" s="4">
        <f t="shared" si="61"/>
        <v>67.736999999999995</v>
      </c>
      <c r="G146" s="2">
        <f t="shared" si="62"/>
        <v>67.736999999999995</v>
      </c>
      <c r="H146" s="4">
        <v>0</v>
      </c>
      <c r="I146" s="4">
        <v>0</v>
      </c>
      <c r="J146" s="28">
        <v>45303</v>
      </c>
      <c r="K146" s="28">
        <v>45324</v>
      </c>
      <c r="L146" s="2"/>
      <c r="M146" s="45">
        <v>16.850000000000001</v>
      </c>
      <c r="N146" s="14"/>
      <c r="O146" s="14">
        <v>0</v>
      </c>
      <c r="P146" s="3">
        <v>1</v>
      </c>
      <c r="Q146" s="2">
        <f t="shared" si="63"/>
        <v>67.736999999999995</v>
      </c>
      <c r="R146" s="10"/>
      <c r="S146" s="3"/>
      <c r="T146" s="8">
        <f t="shared" si="44"/>
        <v>67.736999999999995</v>
      </c>
      <c r="U146" s="4"/>
      <c r="V146" s="3"/>
      <c r="W146" s="4"/>
    </row>
    <row r="147" spans="1:23" ht="46.8" x14ac:dyDescent="0.3">
      <c r="A147" s="5" t="s">
        <v>402</v>
      </c>
      <c r="B147" s="3">
        <v>1</v>
      </c>
      <c r="C147" s="4">
        <v>117.1</v>
      </c>
      <c r="D147" s="6">
        <f t="shared" si="60"/>
        <v>0.64602049530315964</v>
      </c>
      <c r="E147" s="4">
        <v>2.46</v>
      </c>
      <c r="F147" s="4">
        <f t="shared" si="61"/>
        <v>41.451000000000001</v>
      </c>
      <c r="G147" s="2">
        <f t="shared" si="62"/>
        <v>41.451000000000001</v>
      </c>
      <c r="H147" s="4">
        <v>0</v>
      </c>
      <c r="I147" s="4">
        <v>0</v>
      </c>
      <c r="J147" s="28">
        <v>45303</v>
      </c>
      <c r="K147" s="28">
        <v>45324</v>
      </c>
      <c r="L147" s="2"/>
      <c r="M147" s="45">
        <v>16.850000000000001</v>
      </c>
      <c r="N147" s="14"/>
      <c r="O147" s="14">
        <v>0</v>
      </c>
      <c r="P147" s="3">
        <v>1</v>
      </c>
      <c r="Q147" s="2">
        <f t="shared" si="63"/>
        <v>41.451000000000001</v>
      </c>
      <c r="R147" s="10" t="s">
        <v>401</v>
      </c>
      <c r="S147" s="3"/>
      <c r="T147" s="8">
        <f t="shared" si="44"/>
        <v>41.451000000000001</v>
      </c>
      <c r="U147" s="4"/>
      <c r="V147" s="3"/>
      <c r="W147" s="4"/>
    </row>
    <row r="148" spans="1:23" ht="31.2" x14ac:dyDescent="0.3">
      <c r="A148" s="5" t="s">
        <v>224</v>
      </c>
      <c r="B148" s="3">
        <v>1</v>
      </c>
      <c r="C148" s="4">
        <v>164.06</v>
      </c>
      <c r="D148" s="6">
        <f t="shared" ref="D148:D160" si="64">(((C148-F148)*100)/C148)/100</f>
        <v>0.69395343167133972</v>
      </c>
      <c r="E148" s="4">
        <v>0</v>
      </c>
      <c r="F148" s="4">
        <v>50.21</v>
      </c>
      <c r="G148" s="2">
        <f t="shared" ref="G148:G160" si="65">B148*F148</f>
        <v>50.21</v>
      </c>
      <c r="H148" s="4">
        <v>0</v>
      </c>
      <c r="I148" s="4">
        <v>0.02</v>
      </c>
      <c r="J148" s="28">
        <v>45304</v>
      </c>
      <c r="K148" s="28">
        <v>45315</v>
      </c>
      <c r="L148" s="2"/>
      <c r="M148" s="4">
        <v>18.440000000000001</v>
      </c>
      <c r="N148" s="14"/>
      <c r="O148" s="14"/>
      <c r="P148" s="3">
        <v>1</v>
      </c>
      <c r="Q148" s="2">
        <f t="shared" ref="Q148:Q160" si="66">F148+(I148/B148)-(O148/B148)</f>
        <v>50.230000000000004</v>
      </c>
      <c r="R148" s="10" t="s">
        <v>225</v>
      </c>
      <c r="S148" s="3"/>
      <c r="T148" s="8">
        <f t="shared" si="44"/>
        <v>50.230000000000004</v>
      </c>
      <c r="U148" s="4"/>
      <c r="V148" s="3"/>
      <c r="W148" s="4"/>
    </row>
    <row r="149" spans="1:23" ht="31.2" x14ac:dyDescent="0.3">
      <c r="A149" s="5" t="s">
        <v>224</v>
      </c>
      <c r="B149" s="3">
        <v>1</v>
      </c>
      <c r="C149" s="4">
        <v>146.38999999999999</v>
      </c>
      <c r="D149" s="6">
        <f t="shared" si="64"/>
        <v>0.6900061479609263</v>
      </c>
      <c r="E149" s="4">
        <v>0</v>
      </c>
      <c r="F149" s="4">
        <v>45.38</v>
      </c>
      <c r="G149" s="2">
        <f t="shared" si="65"/>
        <v>45.38</v>
      </c>
      <c r="H149" s="4">
        <v>0</v>
      </c>
      <c r="I149" s="4">
        <f>0.05/4</f>
        <v>1.2500000000000001E-2</v>
      </c>
      <c r="J149" s="28">
        <v>45304</v>
      </c>
      <c r="K149" s="28">
        <v>45320</v>
      </c>
      <c r="L149" s="2"/>
      <c r="M149" s="4">
        <v>18.440000000000001</v>
      </c>
      <c r="N149" s="14"/>
      <c r="O149" s="14"/>
      <c r="P149" s="3">
        <v>1</v>
      </c>
      <c r="Q149" s="2">
        <f t="shared" si="66"/>
        <v>45.392500000000005</v>
      </c>
      <c r="R149" s="10" t="s">
        <v>211</v>
      </c>
      <c r="S149" s="3"/>
      <c r="T149" s="8">
        <f t="shared" si="44"/>
        <v>45.392500000000005</v>
      </c>
      <c r="U149" s="4"/>
      <c r="V149" s="3"/>
      <c r="W149" s="4"/>
    </row>
    <row r="150" spans="1:23" ht="31.2" x14ac:dyDescent="0.3">
      <c r="A150" s="5" t="s">
        <v>226</v>
      </c>
      <c r="B150" s="3">
        <v>1</v>
      </c>
      <c r="C150" s="4">
        <v>144.25</v>
      </c>
      <c r="D150" s="6">
        <f t="shared" si="64"/>
        <v>0.69005199306759091</v>
      </c>
      <c r="E150" s="4">
        <v>0</v>
      </c>
      <c r="F150" s="4">
        <v>44.71</v>
      </c>
      <c r="G150" s="2">
        <f t="shared" si="65"/>
        <v>44.71</v>
      </c>
      <c r="H150" s="4">
        <v>0</v>
      </c>
      <c r="I150" s="4">
        <f>0.05/4</f>
        <v>1.2500000000000001E-2</v>
      </c>
      <c r="J150" s="28">
        <v>45304</v>
      </c>
      <c r="K150" s="28">
        <v>45317</v>
      </c>
      <c r="L150" s="2"/>
      <c r="M150" s="4">
        <v>18.440000000000001</v>
      </c>
      <c r="N150" s="14"/>
      <c r="O150" s="14"/>
      <c r="P150" s="3">
        <v>1</v>
      </c>
      <c r="Q150" s="2">
        <f t="shared" si="66"/>
        <v>44.722500000000004</v>
      </c>
      <c r="R150" s="10"/>
      <c r="S150" s="12"/>
      <c r="T150" s="8">
        <f t="shared" si="44"/>
        <v>44.722500000000004</v>
      </c>
      <c r="U150" s="4"/>
      <c r="V150" s="3"/>
      <c r="W150" s="4"/>
    </row>
    <row r="151" spans="1:23" ht="31.2" x14ac:dyDescent="0.3">
      <c r="A151" s="5" t="s">
        <v>227</v>
      </c>
      <c r="B151" s="3">
        <v>1</v>
      </c>
      <c r="C151" s="4">
        <v>152.84</v>
      </c>
      <c r="D151" s="6">
        <f t="shared" si="64"/>
        <v>0.66971996859460892</v>
      </c>
      <c r="E151" s="4">
        <v>0</v>
      </c>
      <c r="F151" s="4">
        <v>50.48</v>
      </c>
      <c r="G151" s="2">
        <f t="shared" si="65"/>
        <v>50.48</v>
      </c>
      <c r="H151" s="4">
        <v>0</v>
      </c>
      <c r="I151" s="4">
        <f>0.05/4</f>
        <v>1.2500000000000001E-2</v>
      </c>
      <c r="J151" s="28">
        <v>45304</v>
      </c>
      <c r="K151" s="28">
        <v>45320</v>
      </c>
      <c r="L151" s="2"/>
      <c r="M151" s="4">
        <v>18.440000000000001</v>
      </c>
      <c r="N151" s="14"/>
      <c r="O151" s="14"/>
      <c r="P151" s="3">
        <v>1</v>
      </c>
      <c r="Q151" s="2">
        <f t="shared" si="66"/>
        <v>50.4925</v>
      </c>
      <c r="R151" s="10"/>
      <c r="S151" s="12"/>
      <c r="T151" s="8">
        <f t="shared" si="44"/>
        <v>50.4925</v>
      </c>
      <c r="U151" s="4"/>
      <c r="V151" s="3"/>
      <c r="W151" s="4"/>
    </row>
    <row r="152" spans="1:23" ht="31.2" x14ac:dyDescent="0.3">
      <c r="A152" s="5" t="s">
        <v>228</v>
      </c>
      <c r="B152" s="3">
        <v>1</v>
      </c>
      <c r="C152" s="4">
        <v>141</v>
      </c>
      <c r="D152" s="6">
        <f t="shared" si="64"/>
        <v>0.68992907801418435</v>
      </c>
      <c r="E152" s="4">
        <v>0</v>
      </c>
      <c r="F152" s="4">
        <v>43.72</v>
      </c>
      <c r="G152" s="2">
        <f t="shared" si="65"/>
        <v>43.72</v>
      </c>
      <c r="H152" s="4">
        <v>0</v>
      </c>
      <c r="I152" s="4">
        <f>0.05/4</f>
        <v>1.2500000000000001E-2</v>
      </c>
      <c r="J152" s="28">
        <v>45304</v>
      </c>
      <c r="K152" s="28">
        <v>45317</v>
      </c>
      <c r="L152" s="2"/>
      <c r="M152" s="4">
        <v>18.440000000000001</v>
      </c>
      <c r="N152" s="14"/>
      <c r="O152" s="14"/>
      <c r="P152" s="3">
        <v>1</v>
      </c>
      <c r="Q152" s="2">
        <f t="shared" si="66"/>
        <v>43.732500000000002</v>
      </c>
      <c r="R152" s="10"/>
      <c r="S152" s="12"/>
      <c r="T152" s="8">
        <f t="shared" si="44"/>
        <v>43.732500000000002</v>
      </c>
      <c r="U152" s="4"/>
      <c r="V152" s="3"/>
      <c r="W152" s="4"/>
    </row>
    <row r="153" spans="1:23" ht="31.2" x14ac:dyDescent="0.3">
      <c r="A153" s="5" t="s">
        <v>229</v>
      </c>
      <c r="B153" s="3">
        <v>1</v>
      </c>
      <c r="C153" s="4">
        <v>159.74</v>
      </c>
      <c r="D153" s="6">
        <f t="shared" si="64"/>
        <v>0.68999624389633152</v>
      </c>
      <c r="E153" s="4">
        <v>0</v>
      </c>
      <c r="F153" s="4">
        <v>49.52</v>
      </c>
      <c r="G153" s="2">
        <f t="shared" si="65"/>
        <v>49.52</v>
      </c>
      <c r="H153" s="4">
        <v>0</v>
      </c>
      <c r="I153" s="4">
        <f>0.05/3</f>
        <v>1.6666666666666666E-2</v>
      </c>
      <c r="J153" s="28">
        <v>45304</v>
      </c>
      <c r="K153" s="28">
        <v>45315</v>
      </c>
      <c r="L153" s="2"/>
      <c r="M153" s="4">
        <v>18.440000000000001</v>
      </c>
      <c r="N153" s="14"/>
      <c r="O153" s="14"/>
      <c r="P153" s="3">
        <v>1</v>
      </c>
      <c r="Q153" s="2">
        <f t="shared" si="66"/>
        <v>49.536666666666669</v>
      </c>
      <c r="R153" s="10" t="s">
        <v>230</v>
      </c>
      <c r="S153" s="12"/>
      <c r="T153" s="8">
        <f t="shared" si="44"/>
        <v>49.536666666666669</v>
      </c>
      <c r="U153" s="4"/>
      <c r="V153" s="3"/>
      <c r="W153" s="4"/>
    </row>
    <row r="154" spans="1:23" ht="31.2" x14ac:dyDescent="0.3">
      <c r="A154" s="5" t="s">
        <v>231</v>
      </c>
      <c r="B154" s="3">
        <v>1</v>
      </c>
      <c r="C154" s="4">
        <v>152.81</v>
      </c>
      <c r="D154" s="6">
        <f t="shared" si="64"/>
        <v>0.69000719848177472</v>
      </c>
      <c r="E154" s="4">
        <v>0</v>
      </c>
      <c r="F154" s="4">
        <v>47.37</v>
      </c>
      <c r="G154" s="2">
        <f t="shared" si="65"/>
        <v>47.37</v>
      </c>
      <c r="H154" s="4">
        <v>0</v>
      </c>
      <c r="I154" s="4">
        <f>0.05/3</f>
        <v>1.6666666666666666E-2</v>
      </c>
      <c r="J154" s="28">
        <v>45304</v>
      </c>
      <c r="K154" s="28">
        <v>45315</v>
      </c>
      <c r="L154" s="2"/>
      <c r="M154" s="4">
        <v>18.440000000000001</v>
      </c>
      <c r="N154" s="14"/>
      <c r="O154" s="14"/>
      <c r="P154" s="3">
        <v>1</v>
      </c>
      <c r="Q154" s="2">
        <f t="shared" si="66"/>
        <v>47.386666666666663</v>
      </c>
      <c r="R154" s="10"/>
      <c r="S154" s="12"/>
      <c r="T154" s="8">
        <f t="shared" si="44"/>
        <v>47.386666666666663</v>
      </c>
      <c r="U154" s="4"/>
      <c r="V154" s="3"/>
      <c r="W154" s="4"/>
    </row>
    <row r="155" spans="1:23" ht="31.2" x14ac:dyDescent="0.3">
      <c r="A155" s="5" t="s">
        <v>232</v>
      </c>
      <c r="B155" s="3">
        <v>1</v>
      </c>
      <c r="C155" s="4">
        <v>151.25</v>
      </c>
      <c r="D155" s="6">
        <f t="shared" si="64"/>
        <v>0.6899173553719008</v>
      </c>
      <c r="E155" s="4">
        <v>0</v>
      </c>
      <c r="F155" s="4">
        <v>46.9</v>
      </c>
      <c r="G155" s="2">
        <f t="shared" si="65"/>
        <v>46.9</v>
      </c>
      <c r="H155" s="4">
        <v>0</v>
      </c>
      <c r="I155" s="4">
        <f>0.05/3</f>
        <v>1.6666666666666666E-2</v>
      </c>
      <c r="J155" s="28">
        <v>45304</v>
      </c>
      <c r="K155" s="28">
        <v>45315</v>
      </c>
      <c r="L155" s="2"/>
      <c r="M155" s="4">
        <v>18.440000000000001</v>
      </c>
      <c r="N155" s="14"/>
      <c r="O155" s="14"/>
      <c r="P155" s="3">
        <v>1</v>
      </c>
      <c r="Q155" s="2">
        <f t="shared" si="66"/>
        <v>46.916666666666664</v>
      </c>
      <c r="R155" s="10"/>
      <c r="S155" s="12"/>
      <c r="T155" s="8">
        <f t="shared" si="44"/>
        <v>46.916666666666664</v>
      </c>
      <c r="U155" s="4"/>
      <c r="V155" s="3"/>
      <c r="W155" s="4"/>
    </row>
    <row r="156" spans="1:23" ht="31.2" x14ac:dyDescent="0.3">
      <c r="A156" s="5" t="s">
        <v>233</v>
      </c>
      <c r="B156" s="3">
        <v>1</v>
      </c>
      <c r="C156" s="4">
        <v>150.69</v>
      </c>
      <c r="D156" s="6">
        <f t="shared" si="64"/>
        <v>0.6899595195434336</v>
      </c>
      <c r="E156" s="4">
        <v>0</v>
      </c>
      <c r="F156" s="4">
        <v>46.72</v>
      </c>
      <c r="G156" s="2">
        <f t="shared" si="65"/>
        <v>46.72</v>
      </c>
      <c r="H156" s="4">
        <v>0</v>
      </c>
      <c r="I156" s="4">
        <v>0.02</v>
      </c>
      <c r="J156" s="28">
        <v>45304</v>
      </c>
      <c r="K156" s="28">
        <v>45315</v>
      </c>
      <c r="L156" s="2"/>
      <c r="M156" s="4">
        <v>18.440000000000001</v>
      </c>
      <c r="N156" s="14"/>
      <c r="O156" s="14"/>
      <c r="P156" s="3">
        <v>4</v>
      </c>
      <c r="Q156" s="2">
        <f t="shared" si="66"/>
        <v>46.74</v>
      </c>
      <c r="R156" s="10" t="s">
        <v>234</v>
      </c>
      <c r="S156" s="12"/>
      <c r="T156" s="8">
        <f t="shared" si="44"/>
        <v>46.74</v>
      </c>
      <c r="U156" s="4"/>
      <c r="V156" s="3"/>
      <c r="W156" s="4"/>
    </row>
    <row r="157" spans="1:23" x14ac:dyDescent="0.3">
      <c r="A157" s="5" t="s">
        <v>235</v>
      </c>
      <c r="B157" s="3">
        <v>1</v>
      </c>
      <c r="C157" s="4">
        <v>310.60000000000002</v>
      </c>
      <c r="D157" s="6">
        <f t="shared" si="64"/>
        <v>0.68998712169993548</v>
      </c>
      <c r="E157" s="4">
        <v>0</v>
      </c>
      <c r="F157" s="4">
        <v>96.29</v>
      </c>
      <c r="G157" s="2">
        <f t="shared" si="65"/>
        <v>96.29</v>
      </c>
      <c r="H157" s="4">
        <v>0</v>
      </c>
      <c r="I157" s="4">
        <f>0.05/2</f>
        <v>2.5000000000000001E-2</v>
      </c>
      <c r="J157" s="28">
        <v>45304</v>
      </c>
      <c r="K157" s="28">
        <v>45320</v>
      </c>
      <c r="L157" s="2"/>
      <c r="M157" s="4">
        <v>18.440000000000001</v>
      </c>
      <c r="N157" s="14"/>
      <c r="O157" s="14"/>
      <c r="P157" s="3">
        <v>1</v>
      </c>
      <c r="Q157" s="2">
        <f t="shared" si="66"/>
        <v>96.315000000000012</v>
      </c>
      <c r="R157" s="10" t="s">
        <v>236</v>
      </c>
      <c r="S157" s="12"/>
      <c r="T157" s="8">
        <f t="shared" si="44"/>
        <v>96.315000000000012</v>
      </c>
      <c r="U157" s="4"/>
      <c r="V157" s="3"/>
      <c r="W157" s="4"/>
    </row>
    <row r="158" spans="1:23" ht="31.2" x14ac:dyDescent="0.3">
      <c r="A158" s="5" t="s">
        <v>237</v>
      </c>
      <c r="B158" s="3">
        <v>1</v>
      </c>
      <c r="C158" s="4">
        <v>319.19</v>
      </c>
      <c r="D158" s="6">
        <f t="shared" si="64"/>
        <v>0.69002788307904384</v>
      </c>
      <c r="E158" s="4">
        <v>0</v>
      </c>
      <c r="F158" s="4">
        <v>98.94</v>
      </c>
      <c r="G158" s="2">
        <f t="shared" si="65"/>
        <v>98.94</v>
      </c>
      <c r="H158" s="4">
        <v>0</v>
      </c>
      <c r="I158" s="4">
        <f>0.05/2</f>
        <v>2.5000000000000001E-2</v>
      </c>
      <c r="J158" s="28">
        <v>45304</v>
      </c>
      <c r="K158" s="28">
        <v>45320</v>
      </c>
      <c r="L158" s="2"/>
      <c r="M158" s="4">
        <v>18.440000000000001</v>
      </c>
      <c r="N158" s="14"/>
      <c r="O158" s="14"/>
      <c r="P158" s="3">
        <v>1</v>
      </c>
      <c r="Q158" s="2">
        <f t="shared" si="66"/>
        <v>98.965000000000003</v>
      </c>
      <c r="R158" s="10"/>
      <c r="S158" s="12"/>
      <c r="T158" s="8">
        <f t="shared" si="44"/>
        <v>98.965000000000003</v>
      </c>
      <c r="U158" s="4"/>
      <c r="V158" s="3"/>
      <c r="W158" s="4"/>
    </row>
    <row r="159" spans="1:23" ht="31.2" x14ac:dyDescent="0.3">
      <c r="A159" s="5" t="s">
        <v>238</v>
      </c>
      <c r="B159" s="3">
        <v>1</v>
      </c>
      <c r="C159" s="4">
        <v>125.23</v>
      </c>
      <c r="D159" s="6">
        <f t="shared" si="64"/>
        <v>0.40988581010939867</v>
      </c>
      <c r="E159" s="4">
        <v>0</v>
      </c>
      <c r="F159" s="4">
        <v>73.900000000000006</v>
      </c>
      <c r="G159" s="2">
        <f t="shared" si="65"/>
        <v>73.900000000000006</v>
      </c>
      <c r="H159" s="4">
        <v>0</v>
      </c>
      <c r="I159" s="4">
        <f>1.38/2</f>
        <v>0.69</v>
      </c>
      <c r="J159" s="28">
        <v>45304</v>
      </c>
      <c r="K159" s="28">
        <v>45323</v>
      </c>
      <c r="L159" s="2"/>
      <c r="M159" s="4">
        <v>18.440000000000001</v>
      </c>
      <c r="N159" s="14"/>
      <c r="O159" s="14"/>
      <c r="P159" s="3">
        <v>1</v>
      </c>
      <c r="Q159" s="2">
        <f t="shared" si="66"/>
        <v>74.59</v>
      </c>
      <c r="R159" s="10" t="s">
        <v>239</v>
      </c>
      <c r="S159" s="12"/>
      <c r="T159" s="8">
        <f t="shared" si="44"/>
        <v>74.59</v>
      </c>
      <c r="U159" s="4"/>
      <c r="V159" s="3"/>
      <c r="W159" s="4"/>
    </row>
    <row r="160" spans="1:23" ht="31.2" x14ac:dyDescent="0.3">
      <c r="A160" s="5" t="s">
        <v>240</v>
      </c>
      <c r="B160" s="3">
        <v>1</v>
      </c>
      <c r="C160" s="4">
        <v>70.8</v>
      </c>
      <c r="D160" s="6">
        <f t="shared" si="64"/>
        <v>0.4111581920903955</v>
      </c>
      <c r="E160" s="4">
        <v>0</v>
      </c>
      <c r="F160" s="4">
        <v>41.69</v>
      </c>
      <c r="G160" s="2">
        <f t="shared" si="65"/>
        <v>41.69</v>
      </c>
      <c r="H160" s="4">
        <v>0</v>
      </c>
      <c r="I160" s="4">
        <f>1.38/2</f>
        <v>0.69</v>
      </c>
      <c r="J160" s="28">
        <v>45304</v>
      </c>
      <c r="K160" s="28">
        <v>45323</v>
      </c>
      <c r="L160" s="2"/>
      <c r="M160" s="4">
        <v>18.440000000000001</v>
      </c>
      <c r="N160" s="14"/>
      <c r="O160" s="14"/>
      <c r="P160" s="3">
        <v>1</v>
      </c>
      <c r="Q160" s="2">
        <f t="shared" si="66"/>
        <v>42.379999999999995</v>
      </c>
      <c r="R160" s="10"/>
      <c r="S160" s="12"/>
      <c r="T160" s="8">
        <f t="shared" si="44"/>
        <v>42.379999999999995</v>
      </c>
      <c r="U160" s="4"/>
      <c r="V160" s="3"/>
      <c r="W160" s="4"/>
    </row>
    <row r="161" spans="1:23" ht="31.2" x14ac:dyDescent="0.3">
      <c r="A161" s="5" t="s">
        <v>388</v>
      </c>
      <c r="B161" s="3">
        <v>2</v>
      </c>
      <c r="C161" s="4">
        <v>125.7</v>
      </c>
      <c r="D161" s="6">
        <f t="shared" ref="D161:D162" si="67">(((C161-F161)*100)/C161)/100</f>
        <v>0.76626889419252175</v>
      </c>
      <c r="E161" s="4">
        <v>0</v>
      </c>
      <c r="F161" s="4">
        <v>29.38</v>
      </c>
      <c r="G161" s="2">
        <f t="shared" ref="G161:G162" si="68">B161*F161</f>
        <v>58.76</v>
      </c>
      <c r="H161" s="4">
        <v>0</v>
      </c>
      <c r="I161" s="4">
        <f>(0.05/3)*2</f>
        <v>3.3333333333333333E-2</v>
      </c>
      <c r="J161" s="28">
        <v>45304</v>
      </c>
      <c r="K161" s="28">
        <v>45323</v>
      </c>
      <c r="L161" s="2"/>
      <c r="M161" s="4">
        <v>18.440000000000001</v>
      </c>
      <c r="N161" s="14"/>
      <c r="O161" s="14"/>
      <c r="P161" s="3">
        <v>1</v>
      </c>
      <c r="Q161" s="2">
        <f t="shared" ref="Q161:Q162" si="69">F161+(I161/B161)-(O161/B161)</f>
        <v>29.396666666666665</v>
      </c>
      <c r="R161" s="10" t="s">
        <v>387</v>
      </c>
      <c r="S161" s="12"/>
      <c r="T161" s="8">
        <f t="shared" si="44"/>
        <v>58.793333333333329</v>
      </c>
      <c r="U161" s="4"/>
      <c r="V161" s="3"/>
      <c r="W161" s="4"/>
    </row>
    <row r="162" spans="1:23" ht="31.2" x14ac:dyDescent="0.3">
      <c r="A162" s="5" t="s">
        <v>389</v>
      </c>
      <c r="B162" s="3">
        <v>1</v>
      </c>
      <c r="C162" s="4">
        <v>126.72</v>
      </c>
      <c r="D162" s="6">
        <f t="shared" si="67"/>
        <v>0.76586174242424254</v>
      </c>
      <c r="E162" s="4">
        <v>0</v>
      </c>
      <c r="F162" s="4">
        <v>29.67</v>
      </c>
      <c r="G162" s="2">
        <f t="shared" si="68"/>
        <v>29.67</v>
      </c>
      <c r="H162" s="4">
        <v>0</v>
      </c>
      <c r="I162" s="4">
        <f>0.05/3</f>
        <v>1.6666666666666666E-2</v>
      </c>
      <c r="J162" s="28">
        <v>45304</v>
      </c>
      <c r="K162" s="28">
        <v>45323</v>
      </c>
      <c r="L162" s="2"/>
      <c r="M162" s="4">
        <v>18.440000000000001</v>
      </c>
      <c r="N162" s="14"/>
      <c r="O162" s="14"/>
      <c r="P162" s="3">
        <v>1</v>
      </c>
      <c r="Q162" s="2">
        <f t="shared" si="69"/>
        <v>29.686666666666667</v>
      </c>
      <c r="R162" s="10"/>
      <c r="S162" s="12"/>
      <c r="T162" s="8">
        <f t="shared" si="44"/>
        <v>29.686666666666667</v>
      </c>
      <c r="U162" s="4"/>
      <c r="V162" s="3"/>
      <c r="W162" s="4"/>
    </row>
    <row r="163" spans="1:23" ht="31.2" x14ac:dyDescent="0.3">
      <c r="A163" s="5" t="s">
        <v>241</v>
      </c>
      <c r="B163" s="3">
        <v>1</v>
      </c>
      <c r="C163" s="4">
        <v>191.77</v>
      </c>
      <c r="D163" s="6">
        <f t="shared" ref="D163:D190" si="70">(((C163-F163)*100)/C163)/100</f>
        <v>0.68994107524638892</v>
      </c>
      <c r="E163" s="4">
        <v>0</v>
      </c>
      <c r="F163" s="4">
        <v>59.46</v>
      </c>
      <c r="G163" s="2">
        <f t="shared" ref="G163:G190" si="71">B163*F163</f>
        <v>59.46</v>
      </c>
      <c r="H163" s="4">
        <v>0</v>
      </c>
      <c r="I163" s="4">
        <v>0.01</v>
      </c>
      <c r="J163" s="28">
        <v>45304</v>
      </c>
      <c r="K163" s="28">
        <v>45315</v>
      </c>
      <c r="L163" s="2"/>
      <c r="M163" s="4">
        <v>18.440000000000001</v>
      </c>
      <c r="N163" s="14"/>
      <c r="O163" s="14"/>
      <c r="P163" s="3">
        <v>4</v>
      </c>
      <c r="Q163" s="2">
        <f t="shared" ref="Q163:Q190" si="72">F163+(I163/B163)-(O163/B163)</f>
        <v>59.47</v>
      </c>
      <c r="R163" s="10" t="s">
        <v>242</v>
      </c>
      <c r="S163" s="12"/>
      <c r="T163" s="8">
        <f t="shared" si="44"/>
        <v>59.47</v>
      </c>
      <c r="U163" s="4"/>
      <c r="V163" s="3"/>
      <c r="W163" s="4"/>
    </row>
    <row r="164" spans="1:23" ht="31.2" x14ac:dyDescent="0.3">
      <c r="A164" s="5" t="s">
        <v>243</v>
      </c>
      <c r="B164" s="3">
        <v>2</v>
      </c>
      <c r="C164" s="4">
        <v>647.39</v>
      </c>
      <c r="D164" s="6">
        <f t="shared" si="70"/>
        <v>0.77681150465716187</v>
      </c>
      <c r="E164" s="4">
        <v>0</v>
      </c>
      <c r="F164" s="4">
        <f>288.98/2</f>
        <v>144.49</v>
      </c>
      <c r="G164" s="2">
        <f t="shared" si="71"/>
        <v>288.98</v>
      </c>
      <c r="H164" s="4">
        <v>0</v>
      </c>
      <c r="I164" s="4">
        <v>0</v>
      </c>
      <c r="J164" s="28">
        <v>45303</v>
      </c>
      <c r="K164" s="28">
        <v>45311</v>
      </c>
      <c r="L164" s="2"/>
      <c r="M164" s="4">
        <v>18.440000000000001</v>
      </c>
      <c r="N164" s="14"/>
      <c r="O164" s="14"/>
      <c r="P164" s="3">
        <v>2</v>
      </c>
      <c r="Q164" s="2">
        <f t="shared" si="72"/>
        <v>144.49</v>
      </c>
      <c r="R164" s="10" t="s">
        <v>244</v>
      </c>
      <c r="S164" s="12"/>
      <c r="T164" s="8">
        <f t="shared" si="44"/>
        <v>288.98</v>
      </c>
      <c r="U164" s="4"/>
      <c r="V164" s="3"/>
      <c r="W164" s="4"/>
    </row>
    <row r="165" spans="1:23" ht="31.2" x14ac:dyDescent="0.3">
      <c r="A165" s="5" t="s">
        <v>245</v>
      </c>
      <c r="B165" s="3">
        <v>1</v>
      </c>
      <c r="C165" s="4">
        <v>727.29</v>
      </c>
      <c r="D165" s="6">
        <f t="shared" si="70"/>
        <v>0.88389775742826104</v>
      </c>
      <c r="E165" s="4">
        <v>0</v>
      </c>
      <c r="F165" s="4">
        <v>84.44</v>
      </c>
      <c r="G165" s="2">
        <f t="shared" si="71"/>
        <v>84.44</v>
      </c>
      <c r="H165" s="4">
        <v>0</v>
      </c>
      <c r="I165" s="4">
        <v>0</v>
      </c>
      <c r="J165" s="28">
        <v>45303</v>
      </c>
      <c r="K165" s="28">
        <v>45311</v>
      </c>
      <c r="L165" s="2"/>
      <c r="M165" s="4">
        <v>18.440000000000001</v>
      </c>
      <c r="N165" s="14"/>
      <c r="O165" s="14"/>
      <c r="P165" s="3">
        <v>8</v>
      </c>
      <c r="Q165" s="2">
        <f t="shared" si="72"/>
        <v>84.44</v>
      </c>
      <c r="R165" s="10" t="s">
        <v>246</v>
      </c>
      <c r="S165" s="12"/>
      <c r="T165" s="8">
        <f t="shared" si="44"/>
        <v>84.44</v>
      </c>
      <c r="U165" s="4"/>
      <c r="V165" s="3"/>
      <c r="W165" s="4"/>
    </row>
    <row r="166" spans="1:23" ht="31.2" x14ac:dyDescent="0.3">
      <c r="A166" s="5" t="s">
        <v>247</v>
      </c>
      <c r="B166" s="3">
        <v>1</v>
      </c>
      <c r="C166" s="4">
        <v>439</v>
      </c>
      <c r="D166" s="6">
        <f t="shared" si="70"/>
        <v>0.86334851936218682</v>
      </c>
      <c r="E166" s="4">
        <v>0</v>
      </c>
      <c r="F166" s="4">
        <v>59.99</v>
      </c>
      <c r="G166" s="2">
        <f t="shared" si="71"/>
        <v>59.99</v>
      </c>
      <c r="H166" s="4">
        <v>0</v>
      </c>
      <c r="I166" s="4">
        <v>0</v>
      </c>
      <c r="J166" s="28">
        <v>45303</v>
      </c>
      <c r="K166" s="28">
        <v>45311</v>
      </c>
      <c r="L166" s="2"/>
      <c r="M166" s="4">
        <v>18.440000000000001</v>
      </c>
      <c r="N166" s="14"/>
      <c r="O166" s="14"/>
      <c r="P166" s="3">
        <v>1</v>
      </c>
      <c r="Q166" s="2">
        <f t="shared" si="72"/>
        <v>59.99</v>
      </c>
      <c r="R166" s="10" t="s">
        <v>248</v>
      </c>
      <c r="S166" s="12"/>
      <c r="T166" s="8">
        <f t="shared" si="44"/>
        <v>59.99</v>
      </c>
      <c r="U166" s="4"/>
      <c r="V166" s="3"/>
      <c r="W166" s="4"/>
    </row>
    <row r="167" spans="1:23" x14ac:dyDescent="0.3">
      <c r="A167" s="5" t="s">
        <v>249</v>
      </c>
      <c r="B167" s="3">
        <v>1</v>
      </c>
      <c r="C167" s="4">
        <v>683</v>
      </c>
      <c r="D167" s="6">
        <f t="shared" si="70"/>
        <v>0.78916544655929721</v>
      </c>
      <c r="E167" s="4">
        <v>0</v>
      </c>
      <c r="F167" s="4">
        <v>144</v>
      </c>
      <c r="G167" s="2">
        <f t="shared" si="71"/>
        <v>144</v>
      </c>
      <c r="H167" s="4">
        <v>0</v>
      </c>
      <c r="I167" s="4">
        <v>0</v>
      </c>
      <c r="J167" s="28">
        <v>45307</v>
      </c>
      <c r="K167" s="28">
        <v>45321</v>
      </c>
      <c r="L167" s="2"/>
      <c r="M167" s="4">
        <v>18.440000000000001</v>
      </c>
      <c r="N167" s="14"/>
      <c r="O167" s="14"/>
      <c r="P167" s="3">
        <v>1</v>
      </c>
      <c r="Q167" s="2">
        <f t="shared" si="72"/>
        <v>144</v>
      </c>
      <c r="R167" s="10" t="s">
        <v>250</v>
      </c>
      <c r="S167" s="12"/>
      <c r="T167" s="8">
        <f t="shared" si="44"/>
        <v>144</v>
      </c>
      <c r="U167" s="4"/>
      <c r="V167" s="3"/>
      <c r="W167" s="4"/>
    </row>
    <row r="168" spans="1:23" x14ac:dyDescent="0.3">
      <c r="A168" s="5" t="s">
        <v>365</v>
      </c>
      <c r="B168" s="3">
        <v>1</v>
      </c>
      <c r="C168" s="4">
        <v>350</v>
      </c>
      <c r="D168" s="6">
        <f t="shared" si="70"/>
        <v>0.56720000000000004</v>
      </c>
      <c r="E168" s="4">
        <v>0</v>
      </c>
      <c r="F168" s="4">
        <v>151.47999999999999</v>
      </c>
      <c r="G168" s="2">
        <f t="shared" si="71"/>
        <v>151.47999999999999</v>
      </c>
      <c r="H168" s="4">
        <v>0</v>
      </c>
      <c r="I168" s="4">
        <v>0</v>
      </c>
      <c r="J168" s="28">
        <v>45308</v>
      </c>
      <c r="K168" s="28">
        <v>45322</v>
      </c>
      <c r="L168" s="2"/>
      <c r="M168" s="4">
        <v>18.440000000000001</v>
      </c>
      <c r="N168" s="14"/>
      <c r="O168" s="14"/>
      <c r="P168" s="3">
        <v>1</v>
      </c>
      <c r="Q168" s="2">
        <f t="shared" si="72"/>
        <v>151.47999999999999</v>
      </c>
      <c r="R168" s="10" t="s">
        <v>251</v>
      </c>
      <c r="S168" s="3"/>
      <c r="T168" s="8">
        <f t="shared" si="44"/>
        <v>151.47999999999999</v>
      </c>
      <c r="U168" s="4"/>
      <c r="V168" s="3"/>
      <c r="W168" s="4"/>
    </row>
    <row r="169" spans="1:23" ht="46.8" x14ac:dyDescent="0.3">
      <c r="A169" s="5" t="s">
        <v>252</v>
      </c>
      <c r="B169" s="3">
        <v>1</v>
      </c>
      <c r="C169" s="4">
        <v>390.69</v>
      </c>
      <c r="D169" s="6">
        <f t="shared" si="70"/>
        <v>0.57155289359850525</v>
      </c>
      <c r="E169" s="4">
        <v>0</v>
      </c>
      <c r="F169" s="4">
        <v>167.39</v>
      </c>
      <c r="G169" s="2">
        <f t="shared" si="71"/>
        <v>167.39</v>
      </c>
      <c r="H169" s="4">
        <v>0</v>
      </c>
      <c r="I169" s="4">
        <v>0</v>
      </c>
      <c r="J169" s="28">
        <v>45308</v>
      </c>
      <c r="K169" s="28">
        <v>45321</v>
      </c>
      <c r="L169" s="2"/>
      <c r="M169" s="4">
        <v>18.440000000000001</v>
      </c>
      <c r="N169" s="14"/>
      <c r="O169" s="14"/>
      <c r="P169" s="3">
        <v>1</v>
      </c>
      <c r="Q169" s="2">
        <f t="shared" si="72"/>
        <v>167.39</v>
      </c>
      <c r="R169" s="10" t="s">
        <v>253</v>
      </c>
      <c r="S169" s="3"/>
      <c r="T169" s="8">
        <f t="shared" si="44"/>
        <v>167.39</v>
      </c>
      <c r="U169" s="4"/>
      <c r="V169" s="3"/>
      <c r="W169" s="4"/>
    </row>
    <row r="170" spans="1:23" ht="31.2" x14ac:dyDescent="0.3">
      <c r="A170" s="5" t="s">
        <v>254</v>
      </c>
      <c r="B170" s="3">
        <v>1</v>
      </c>
      <c r="C170" s="4">
        <v>450</v>
      </c>
      <c r="D170" s="6">
        <f t="shared" si="70"/>
        <v>0.51608888888888893</v>
      </c>
      <c r="E170" s="4">
        <v>0</v>
      </c>
      <c r="F170" s="4">
        <v>217.76</v>
      </c>
      <c r="G170" s="2">
        <f t="shared" si="71"/>
        <v>217.76</v>
      </c>
      <c r="H170" s="4">
        <v>0</v>
      </c>
      <c r="I170" s="4">
        <v>0</v>
      </c>
      <c r="J170" s="28">
        <v>45308</v>
      </c>
      <c r="K170" s="28">
        <v>45322</v>
      </c>
      <c r="L170" s="2"/>
      <c r="M170" s="4">
        <v>18.440000000000001</v>
      </c>
      <c r="N170" s="14"/>
      <c r="O170" s="14"/>
      <c r="P170" s="3">
        <v>1</v>
      </c>
      <c r="Q170" s="2">
        <f t="shared" si="72"/>
        <v>217.76</v>
      </c>
      <c r="R170" s="10" t="s">
        <v>255</v>
      </c>
      <c r="S170" s="3"/>
      <c r="T170" s="8">
        <f t="shared" si="44"/>
        <v>217.76</v>
      </c>
      <c r="U170" s="4"/>
      <c r="V170" s="3"/>
      <c r="W170" s="4"/>
    </row>
    <row r="171" spans="1:23" ht="46.8" x14ac:dyDescent="0.3">
      <c r="A171" s="5" t="s">
        <v>256</v>
      </c>
      <c r="B171" s="3">
        <v>1</v>
      </c>
      <c r="C171" s="4">
        <v>490.98</v>
      </c>
      <c r="D171" s="6">
        <f t="shared" si="70"/>
        <v>9.9983706057273275E-2</v>
      </c>
      <c r="E171" s="4">
        <v>0</v>
      </c>
      <c r="F171" s="4">
        <v>441.89</v>
      </c>
      <c r="G171" s="2">
        <f t="shared" si="71"/>
        <v>441.89</v>
      </c>
      <c r="H171" s="4">
        <v>0</v>
      </c>
      <c r="I171" s="4">
        <v>0</v>
      </c>
      <c r="J171" s="28">
        <v>45308</v>
      </c>
      <c r="K171" s="28">
        <v>45322</v>
      </c>
      <c r="L171" s="2"/>
      <c r="M171" s="4">
        <v>18.440000000000001</v>
      </c>
      <c r="N171" s="14"/>
      <c r="O171" s="14"/>
      <c r="P171" s="3">
        <v>1</v>
      </c>
      <c r="Q171" s="2">
        <f t="shared" si="72"/>
        <v>441.89</v>
      </c>
      <c r="R171" s="10" t="s">
        <v>257</v>
      </c>
      <c r="S171" s="3"/>
      <c r="T171" s="8">
        <f t="shared" si="44"/>
        <v>441.89</v>
      </c>
      <c r="U171" s="4"/>
      <c r="V171" s="3"/>
      <c r="W171" s="4"/>
    </row>
    <row r="172" spans="1:23" ht="46.8" x14ac:dyDescent="0.3">
      <c r="A172" s="32" t="s">
        <v>258</v>
      </c>
      <c r="B172" s="3">
        <v>1</v>
      </c>
      <c r="C172" s="4">
        <v>161.87</v>
      </c>
      <c r="D172" s="6">
        <f t="shared" si="70"/>
        <v>1.0811144745783654E-2</v>
      </c>
      <c r="E172" s="4">
        <v>0</v>
      </c>
      <c r="F172" s="4">
        <v>160.12</v>
      </c>
      <c r="G172" s="2">
        <f t="shared" si="71"/>
        <v>160.12</v>
      </c>
      <c r="H172" s="4">
        <v>0</v>
      </c>
      <c r="I172" s="4">
        <v>0.03</v>
      </c>
      <c r="J172" s="28">
        <v>45312</v>
      </c>
      <c r="K172" s="28">
        <v>45349</v>
      </c>
      <c r="L172" s="2"/>
      <c r="M172" s="4">
        <v>18.440000000000001</v>
      </c>
      <c r="N172" s="14"/>
      <c r="O172" s="14"/>
      <c r="P172" s="3">
        <v>9</v>
      </c>
      <c r="Q172" s="2">
        <f t="shared" si="72"/>
        <v>160.15</v>
      </c>
      <c r="R172" s="10" t="s">
        <v>259</v>
      </c>
      <c r="S172" s="3"/>
      <c r="T172" s="8">
        <f t="shared" si="44"/>
        <v>160.15</v>
      </c>
      <c r="U172" s="4"/>
      <c r="V172" s="3"/>
      <c r="W172" s="4"/>
    </row>
    <row r="173" spans="1:23" ht="46.8" x14ac:dyDescent="0.3">
      <c r="A173" s="32" t="s">
        <v>258</v>
      </c>
      <c r="B173" s="3">
        <v>1</v>
      </c>
      <c r="C173" s="4">
        <v>399.45</v>
      </c>
      <c r="D173" s="6">
        <f t="shared" si="70"/>
        <v>0.65845537614219551</v>
      </c>
      <c r="E173" s="4">
        <v>0</v>
      </c>
      <c r="F173" s="4">
        <v>136.43</v>
      </c>
      <c r="G173" s="2">
        <f t="shared" si="71"/>
        <v>136.43</v>
      </c>
      <c r="H173" s="4">
        <v>0</v>
      </c>
      <c r="I173" s="4">
        <v>0.03</v>
      </c>
      <c r="J173" s="28">
        <v>45312</v>
      </c>
      <c r="K173" s="28">
        <v>45349</v>
      </c>
      <c r="L173" s="2"/>
      <c r="M173" s="4">
        <v>18.440000000000001</v>
      </c>
      <c r="N173" s="14"/>
      <c r="O173" s="14"/>
      <c r="P173" s="3">
        <v>9</v>
      </c>
      <c r="Q173" s="2">
        <f t="shared" si="72"/>
        <v>136.46</v>
      </c>
      <c r="R173" s="10" t="s">
        <v>260</v>
      </c>
      <c r="S173" s="3"/>
      <c r="T173" s="8">
        <f t="shared" si="44"/>
        <v>136.46</v>
      </c>
      <c r="U173" s="4"/>
      <c r="V173" s="3"/>
      <c r="W173" s="4"/>
    </row>
    <row r="174" spans="1:23" ht="31.2" x14ac:dyDescent="0.3">
      <c r="A174" s="32" t="s">
        <v>261</v>
      </c>
      <c r="B174" s="3">
        <v>2</v>
      </c>
      <c r="C174" s="4">
        <v>376.51</v>
      </c>
      <c r="D174" s="6">
        <f t="shared" si="70"/>
        <v>0.65854824573052506</v>
      </c>
      <c r="E174" s="4">
        <v>0</v>
      </c>
      <c r="F174" s="4">
        <v>128.56</v>
      </c>
      <c r="G174" s="2">
        <f t="shared" si="71"/>
        <v>257.12</v>
      </c>
      <c r="H174" s="4">
        <v>0</v>
      </c>
      <c r="I174" s="4">
        <v>0.03</v>
      </c>
      <c r="J174" s="28">
        <v>45312</v>
      </c>
      <c r="K174" s="28">
        <v>45349</v>
      </c>
      <c r="L174" s="2"/>
      <c r="M174" s="4">
        <v>18.440000000000001</v>
      </c>
      <c r="N174" s="14"/>
      <c r="O174" s="14"/>
      <c r="P174" s="3">
        <v>6</v>
      </c>
      <c r="Q174" s="2">
        <f t="shared" si="72"/>
        <v>128.57499999999999</v>
      </c>
      <c r="R174" s="10" t="s">
        <v>262</v>
      </c>
      <c r="S174" s="3"/>
      <c r="T174" s="8">
        <f t="shared" si="44"/>
        <v>257.14999999999998</v>
      </c>
      <c r="U174" s="4"/>
      <c r="V174" s="3"/>
      <c r="W174" s="4"/>
    </row>
    <row r="175" spans="1:23" ht="31.2" x14ac:dyDescent="0.3">
      <c r="A175" s="32" t="s">
        <v>263</v>
      </c>
      <c r="B175" s="3">
        <v>2</v>
      </c>
      <c r="C175" s="4">
        <v>234.82</v>
      </c>
      <c r="D175" s="6">
        <f t="shared" si="70"/>
        <v>0.65841921471765619</v>
      </c>
      <c r="E175" s="4">
        <v>0</v>
      </c>
      <c r="F175" s="4">
        <v>80.209999999999994</v>
      </c>
      <c r="G175" s="2">
        <f t="shared" si="71"/>
        <v>160.41999999999999</v>
      </c>
      <c r="H175" s="4">
        <v>0</v>
      </c>
      <c r="I175" s="4">
        <v>0</v>
      </c>
      <c r="J175" s="28">
        <v>45312</v>
      </c>
      <c r="K175" s="28">
        <v>45349</v>
      </c>
      <c r="L175" s="2"/>
      <c r="M175" s="4">
        <v>18.440000000000001</v>
      </c>
      <c r="N175" s="14"/>
      <c r="O175" s="14"/>
      <c r="P175" s="3">
        <v>3</v>
      </c>
      <c r="Q175" s="2">
        <f t="shared" si="72"/>
        <v>80.209999999999994</v>
      </c>
      <c r="R175" s="10" t="s">
        <v>264</v>
      </c>
      <c r="S175" s="3"/>
      <c r="T175" s="8">
        <f t="shared" si="44"/>
        <v>160.41999999999999</v>
      </c>
      <c r="U175" s="4"/>
      <c r="V175" s="3"/>
      <c r="W175" s="4"/>
    </row>
    <row r="176" spans="1:23" ht="31.2" x14ac:dyDescent="0.3">
      <c r="A176" s="32" t="s">
        <v>265</v>
      </c>
      <c r="B176" s="3">
        <v>2</v>
      </c>
      <c r="C176" s="4">
        <v>296.83999999999997</v>
      </c>
      <c r="D176" s="6">
        <f t="shared" si="70"/>
        <v>0.6584692090014822</v>
      </c>
      <c r="E176" s="7">
        <v>0</v>
      </c>
      <c r="F176" s="7">
        <v>101.38</v>
      </c>
      <c r="G176" s="8">
        <f t="shared" si="71"/>
        <v>202.76</v>
      </c>
      <c r="H176" s="7">
        <v>0</v>
      </c>
      <c r="I176" s="7">
        <v>0</v>
      </c>
      <c r="J176" s="28">
        <v>45312</v>
      </c>
      <c r="K176" s="28">
        <v>45349</v>
      </c>
      <c r="L176" s="4"/>
      <c r="M176" s="7">
        <v>17.59</v>
      </c>
      <c r="N176" s="4"/>
      <c r="O176" s="9"/>
      <c r="P176" s="3">
        <v>8</v>
      </c>
      <c r="Q176" s="8">
        <f t="shared" si="72"/>
        <v>101.38</v>
      </c>
      <c r="R176" s="10" t="s">
        <v>266</v>
      </c>
      <c r="S176" s="3"/>
      <c r="T176" s="8">
        <f t="shared" si="44"/>
        <v>202.76</v>
      </c>
      <c r="U176" s="4"/>
      <c r="V176" s="3"/>
      <c r="W176" s="4"/>
    </row>
    <row r="177" spans="1:23" ht="31.2" x14ac:dyDescent="0.3">
      <c r="A177" s="34" t="s">
        <v>267</v>
      </c>
      <c r="B177" s="22">
        <v>1</v>
      </c>
      <c r="C177" s="23">
        <v>166.51</v>
      </c>
      <c r="D177" s="24">
        <f t="shared" si="70"/>
        <v>4.2039517146116668E-3</v>
      </c>
      <c r="E177" s="25">
        <v>0</v>
      </c>
      <c r="F177" s="25">
        <v>165.81</v>
      </c>
      <c r="G177" s="26">
        <f t="shared" si="71"/>
        <v>165.81</v>
      </c>
      <c r="H177" s="25">
        <v>0</v>
      </c>
      <c r="I177" s="25">
        <v>0.04</v>
      </c>
      <c r="J177" s="28">
        <v>45312</v>
      </c>
      <c r="K177" s="28">
        <v>45349</v>
      </c>
      <c r="L177" s="23"/>
      <c r="M177" s="25">
        <v>17.59</v>
      </c>
      <c r="N177" s="23"/>
      <c r="O177" s="26"/>
      <c r="P177" s="22">
        <v>1</v>
      </c>
      <c r="Q177" s="26">
        <f t="shared" si="72"/>
        <v>165.85</v>
      </c>
      <c r="R177" s="21" t="s">
        <v>268</v>
      </c>
      <c r="S177" s="3"/>
      <c r="T177" s="8">
        <f t="shared" si="44"/>
        <v>165.85</v>
      </c>
      <c r="U177" s="4"/>
      <c r="V177" s="3"/>
      <c r="W177" s="4"/>
    </row>
    <row r="178" spans="1:23" ht="31.2" x14ac:dyDescent="0.3">
      <c r="A178" s="32" t="s">
        <v>269</v>
      </c>
      <c r="B178" s="3">
        <v>1</v>
      </c>
      <c r="C178" s="4">
        <v>187.37</v>
      </c>
      <c r="D178" s="6">
        <f t="shared" si="70"/>
        <v>-0.65426695842450755</v>
      </c>
      <c r="E178" s="7">
        <v>0</v>
      </c>
      <c r="F178" s="7">
        <v>309.95999999999998</v>
      </c>
      <c r="G178" s="8">
        <f t="shared" si="71"/>
        <v>309.95999999999998</v>
      </c>
      <c r="H178" s="7">
        <v>0</v>
      </c>
      <c r="I178" s="7">
        <f>0.06/6</f>
        <v>0.01</v>
      </c>
      <c r="J178" s="28">
        <v>45312</v>
      </c>
      <c r="K178" s="28">
        <v>45325</v>
      </c>
      <c r="L178" s="4"/>
      <c r="M178" s="7">
        <v>17.59</v>
      </c>
      <c r="N178" s="4"/>
      <c r="O178" s="9"/>
      <c r="P178" s="3">
        <v>1</v>
      </c>
      <c r="Q178" s="8">
        <f t="shared" si="72"/>
        <v>309.96999999999997</v>
      </c>
      <c r="R178" s="10" t="s">
        <v>270</v>
      </c>
      <c r="S178" s="3"/>
      <c r="T178" s="8">
        <f t="shared" si="44"/>
        <v>309.96999999999997</v>
      </c>
      <c r="U178" s="4"/>
      <c r="V178" s="3"/>
      <c r="W178" s="4"/>
    </row>
    <row r="179" spans="1:23" ht="31.2" x14ac:dyDescent="0.3">
      <c r="A179" s="32" t="s">
        <v>271</v>
      </c>
      <c r="B179" s="3">
        <v>1</v>
      </c>
      <c r="C179" s="4">
        <v>167.68</v>
      </c>
      <c r="D179" s="6">
        <f t="shared" si="70"/>
        <v>-1.9739980916030547E-2</v>
      </c>
      <c r="E179" s="7">
        <v>0</v>
      </c>
      <c r="F179" s="7">
        <v>170.99</v>
      </c>
      <c r="G179" s="8">
        <f t="shared" si="71"/>
        <v>170.99</v>
      </c>
      <c r="H179" s="7">
        <v>0</v>
      </c>
      <c r="I179" s="7">
        <f>0.06/6</f>
        <v>0.01</v>
      </c>
      <c r="J179" s="28">
        <v>45312</v>
      </c>
      <c r="K179" s="28">
        <v>45325</v>
      </c>
      <c r="L179" s="4"/>
      <c r="M179" s="7">
        <v>17.59</v>
      </c>
      <c r="N179" s="4"/>
      <c r="O179" s="9"/>
      <c r="P179" s="3">
        <v>1</v>
      </c>
      <c r="Q179" s="8">
        <f t="shared" si="72"/>
        <v>171</v>
      </c>
      <c r="R179" s="10"/>
      <c r="S179" s="3"/>
      <c r="T179" s="8">
        <f t="shared" si="44"/>
        <v>171</v>
      </c>
      <c r="U179" s="4"/>
      <c r="V179" s="3"/>
      <c r="W179" s="4"/>
    </row>
    <row r="180" spans="1:23" ht="31.2" x14ac:dyDescent="0.3">
      <c r="A180" s="32" t="s">
        <v>272</v>
      </c>
      <c r="B180" s="3">
        <v>1</v>
      </c>
      <c r="C180" s="4">
        <v>180.53</v>
      </c>
      <c r="D180" s="6">
        <f t="shared" si="70"/>
        <v>-0.37927214313410518</v>
      </c>
      <c r="E180" s="7">
        <v>0</v>
      </c>
      <c r="F180" s="7">
        <v>249</v>
      </c>
      <c r="G180" s="8">
        <f t="shared" si="71"/>
        <v>249</v>
      </c>
      <c r="H180" s="7">
        <v>0</v>
      </c>
      <c r="I180" s="7">
        <f>0.06/6</f>
        <v>0.01</v>
      </c>
      <c r="J180" s="28">
        <v>45312</v>
      </c>
      <c r="K180" s="28">
        <v>45325</v>
      </c>
      <c r="L180" s="4"/>
      <c r="M180" s="7">
        <v>17.59</v>
      </c>
      <c r="N180" s="4"/>
      <c r="O180" s="9"/>
      <c r="P180" s="3">
        <v>1</v>
      </c>
      <c r="Q180" s="8">
        <f t="shared" si="72"/>
        <v>249.01</v>
      </c>
      <c r="R180" s="10"/>
      <c r="S180" s="3"/>
      <c r="T180" s="8">
        <f t="shared" si="44"/>
        <v>249.01</v>
      </c>
      <c r="U180" s="4"/>
      <c r="V180" s="3"/>
      <c r="W180" s="4"/>
    </row>
    <row r="181" spans="1:23" ht="62.4" x14ac:dyDescent="0.3">
      <c r="A181" s="32" t="s">
        <v>273</v>
      </c>
      <c r="B181" s="3">
        <v>1</v>
      </c>
      <c r="C181" s="4">
        <v>236.32</v>
      </c>
      <c r="D181" s="6">
        <f t="shared" si="70"/>
        <v>0.65847156398104278</v>
      </c>
      <c r="E181" s="7">
        <v>0</v>
      </c>
      <c r="F181" s="7">
        <v>80.709999999999994</v>
      </c>
      <c r="G181" s="8">
        <f t="shared" si="71"/>
        <v>80.709999999999994</v>
      </c>
      <c r="H181" s="7">
        <v>0</v>
      </c>
      <c r="I181" s="7">
        <f>0.06/6</f>
        <v>0.01</v>
      </c>
      <c r="J181" s="28">
        <v>45312</v>
      </c>
      <c r="K181" s="28">
        <v>45325</v>
      </c>
      <c r="L181" s="4"/>
      <c r="M181" s="7">
        <v>17.59</v>
      </c>
      <c r="N181" s="4"/>
      <c r="O181" s="9"/>
      <c r="P181" s="3">
        <v>1</v>
      </c>
      <c r="Q181" s="8">
        <f t="shared" si="72"/>
        <v>80.72</v>
      </c>
      <c r="R181" s="10" t="s">
        <v>274</v>
      </c>
      <c r="S181" s="3"/>
      <c r="T181" s="8">
        <f t="shared" si="44"/>
        <v>80.72</v>
      </c>
      <c r="U181" s="4"/>
      <c r="V181" s="3"/>
      <c r="W181" s="4"/>
    </row>
    <row r="182" spans="1:23" ht="62.4" x14ac:dyDescent="0.3">
      <c r="A182" s="32" t="s">
        <v>275</v>
      </c>
      <c r="B182" s="3">
        <v>2</v>
      </c>
      <c r="C182" s="4">
        <v>199.07</v>
      </c>
      <c r="D182" s="6">
        <f t="shared" si="70"/>
        <v>0.65836138041894809</v>
      </c>
      <c r="E182" s="7">
        <v>0</v>
      </c>
      <c r="F182" s="7">
        <v>68.010000000000005</v>
      </c>
      <c r="G182" s="8">
        <f t="shared" si="71"/>
        <v>136.02000000000001</v>
      </c>
      <c r="H182" s="7">
        <v>0</v>
      </c>
      <c r="I182" s="7">
        <f>(0.06/6)*2</f>
        <v>0.02</v>
      </c>
      <c r="J182" s="28">
        <v>45312</v>
      </c>
      <c r="K182" s="28">
        <v>45325</v>
      </c>
      <c r="L182" s="4"/>
      <c r="M182" s="7">
        <v>17.59</v>
      </c>
      <c r="N182" s="4"/>
      <c r="O182" s="9"/>
      <c r="P182" s="3">
        <v>1</v>
      </c>
      <c r="Q182" s="8">
        <f t="shared" si="72"/>
        <v>68.02000000000001</v>
      </c>
      <c r="R182" s="10"/>
      <c r="S182" s="3"/>
      <c r="T182" s="8">
        <f t="shared" si="44"/>
        <v>136.04000000000002</v>
      </c>
      <c r="U182" s="4"/>
      <c r="V182" s="3"/>
      <c r="W182" s="4"/>
    </row>
    <row r="183" spans="1:23" ht="31.2" x14ac:dyDescent="0.3">
      <c r="A183" s="5" t="s">
        <v>276</v>
      </c>
      <c r="B183" s="3">
        <v>1</v>
      </c>
      <c r="C183" s="4">
        <v>584.87</v>
      </c>
      <c r="D183" s="6">
        <f t="shared" si="70"/>
        <v>0.28360148409048164</v>
      </c>
      <c r="E183" s="4">
        <v>0</v>
      </c>
      <c r="F183" s="4">
        <v>419</v>
      </c>
      <c r="G183" s="2">
        <f t="shared" si="71"/>
        <v>419</v>
      </c>
      <c r="H183" s="4">
        <v>0</v>
      </c>
      <c r="I183" s="4">
        <v>0</v>
      </c>
      <c r="J183" s="28">
        <v>45312</v>
      </c>
      <c r="K183" s="28">
        <v>45313</v>
      </c>
      <c r="L183" s="2"/>
      <c r="M183" s="4">
        <v>18.440000000000001</v>
      </c>
      <c r="N183" s="14"/>
      <c r="O183" s="14"/>
      <c r="P183" s="3">
        <v>1</v>
      </c>
      <c r="Q183" s="2">
        <f t="shared" si="72"/>
        <v>419</v>
      </c>
      <c r="R183" s="10" t="s">
        <v>277</v>
      </c>
      <c r="S183" s="3"/>
      <c r="T183" s="8">
        <f t="shared" si="44"/>
        <v>419</v>
      </c>
      <c r="U183" s="4"/>
      <c r="V183" s="3"/>
      <c r="W183" s="4"/>
    </row>
    <row r="184" spans="1:23" ht="31.2" x14ac:dyDescent="0.3">
      <c r="A184" s="5" t="s">
        <v>278</v>
      </c>
      <c r="B184" s="3">
        <v>1</v>
      </c>
      <c r="C184" s="4">
        <v>500.51</v>
      </c>
      <c r="D184" s="6">
        <f t="shared" si="70"/>
        <v>0.23278256178697729</v>
      </c>
      <c r="E184" s="4">
        <v>0</v>
      </c>
      <c r="F184" s="4">
        <v>384</v>
      </c>
      <c r="G184" s="2">
        <f t="shared" si="71"/>
        <v>384</v>
      </c>
      <c r="H184" s="4">
        <v>0</v>
      </c>
      <c r="I184" s="4">
        <v>0</v>
      </c>
      <c r="J184" s="28">
        <v>45312</v>
      </c>
      <c r="K184" s="28">
        <v>45313</v>
      </c>
      <c r="L184" s="2"/>
      <c r="M184" s="4">
        <v>18.440000000000001</v>
      </c>
      <c r="N184" s="14"/>
      <c r="O184" s="14"/>
      <c r="P184" s="3">
        <v>1</v>
      </c>
      <c r="Q184" s="2">
        <f t="shared" si="72"/>
        <v>384</v>
      </c>
      <c r="R184" s="10" t="s">
        <v>366</v>
      </c>
      <c r="S184" s="3"/>
      <c r="T184" s="8">
        <f t="shared" si="44"/>
        <v>384</v>
      </c>
      <c r="U184" s="4"/>
      <c r="V184" s="3"/>
      <c r="W184" s="4"/>
    </row>
    <row r="185" spans="1:23" ht="31.2" x14ac:dyDescent="0.3">
      <c r="A185" s="5" t="s">
        <v>280</v>
      </c>
      <c r="B185" s="3">
        <v>1</v>
      </c>
      <c r="C185" s="4">
        <v>624.04999999999995</v>
      </c>
      <c r="D185" s="6">
        <f t="shared" si="70"/>
        <v>0.38466469032930051</v>
      </c>
      <c r="E185" s="7">
        <v>0</v>
      </c>
      <c r="F185" s="4">
        <v>384</v>
      </c>
      <c r="G185" s="8">
        <f t="shared" si="71"/>
        <v>384</v>
      </c>
      <c r="H185" s="7">
        <v>0</v>
      </c>
      <c r="I185" s="7">
        <v>0</v>
      </c>
      <c r="J185" s="28">
        <v>45312</v>
      </c>
      <c r="K185" s="28">
        <v>45313</v>
      </c>
      <c r="L185" s="4"/>
      <c r="M185" s="7">
        <v>17.59</v>
      </c>
      <c r="N185" s="4"/>
      <c r="O185" s="9"/>
      <c r="P185" s="3">
        <v>1</v>
      </c>
      <c r="Q185" s="8">
        <f t="shared" si="72"/>
        <v>384</v>
      </c>
      <c r="R185" s="10" t="s">
        <v>281</v>
      </c>
      <c r="S185" s="3"/>
      <c r="T185" s="8">
        <f t="shared" si="44"/>
        <v>384</v>
      </c>
      <c r="U185"/>
      <c r="V185"/>
      <c r="W185"/>
    </row>
    <row r="186" spans="1:23" x14ac:dyDescent="0.3">
      <c r="A186" s="5" t="s">
        <v>282</v>
      </c>
      <c r="B186" s="3">
        <v>1</v>
      </c>
      <c r="C186" s="4">
        <v>478.99</v>
      </c>
      <c r="D186" s="6">
        <f t="shared" si="70"/>
        <v>0.19831311718407479</v>
      </c>
      <c r="E186" s="7">
        <v>0</v>
      </c>
      <c r="F186" s="4">
        <v>384</v>
      </c>
      <c r="G186" s="8">
        <f t="shared" si="71"/>
        <v>384</v>
      </c>
      <c r="H186" s="7">
        <v>0</v>
      </c>
      <c r="I186" s="7">
        <v>0</v>
      </c>
      <c r="J186" s="28">
        <v>45312</v>
      </c>
      <c r="K186" s="28">
        <v>45314</v>
      </c>
      <c r="L186" s="4"/>
      <c r="M186" s="7">
        <v>17.59</v>
      </c>
      <c r="N186" s="4"/>
      <c r="O186" s="9"/>
      <c r="P186" s="3">
        <v>1</v>
      </c>
      <c r="Q186" s="8">
        <f t="shared" si="72"/>
        <v>384</v>
      </c>
      <c r="R186" s="10" t="s">
        <v>283</v>
      </c>
      <c r="S186" s="3"/>
      <c r="T186" s="8">
        <f t="shared" si="44"/>
        <v>384</v>
      </c>
      <c r="U186"/>
      <c r="V186"/>
      <c r="W186"/>
    </row>
    <row r="187" spans="1:23" x14ac:dyDescent="0.3">
      <c r="A187" s="5" t="s">
        <v>284</v>
      </c>
      <c r="B187" s="3">
        <v>1</v>
      </c>
      <c r="C187" s="4">
        <v>629</v>
      </c>
      <c r="D187" s="6">
        <f t="shared" si="70"/>
        <v>0.38950715421303655</v>
      </c>
      <c r="E187" s="7">
        <v>0</v>
      </c>
      <c r="F187" s="4">
        <v>384</v>
      </c>
      <c r="G187" s="8">
        <f t="shared" si="71"/>
        <v>384</v>
      </c>
      <c r="H187" s="7">
        <v>0</v>
      </c>
      <c r="I187" s="7"/>
      <c r="J187" s="28">
        <v>45312</v>
      </c>
      <c r="K187" s="28">
        <v>45314</v>
      </c>
      <c r="L187" s="4"/>
      <c r="M187" s="7">
        <v>17.59</v>
      </c>
      <c r="N187" s="4"/>
      <c r="O187" s="9"/>
      <c r="P187" s="3">
        <v>1</v>
      </c>
      <c r="Q187" s="8">
        <f t="shared" si="72"/>
        <v>384</v>
      </c>
      <c r="R187" s="10" t="s">
        <v>285</v>
      </c>
      <c r="S187" s="3"/>
      <c r="T187" s="8">
        <f t="shared" si="44"/>
        <v>384</v>
      </c>
      <c r="U187"/>
      <c r="V187"/>
      <c r="W187"/>
    </row>
    <row r="188" spans="1:23" x14ac:dyDescent="0.3">
      <c r="A188" s="5" t="s">
        <v>286</v>
      </c>
      <c r="B188" s="3">
        <v>1</v>
      </c>
      <c r="C188" s="4">
        <v>355.92</v>
      </c>
      <c r="D188" s="6">
        <f t="shared" si="70"/>
        <v>0.72786019330186558</v>
      </c>
      <c r="E188" s="4">
        <v>0</v>
      </c>
      <c r="F188" s="4">
        <v>96.86</v>
      </c>
      <c r="G188" s="2">
        <f t="shared" si="71"/>
        <v>96.86</v>
      </c>
      <c r="H188" s="4">
        <v>0</v>
      </c>
      <c r="I188" s="4">
        <v>0</v>
      </c>
      <c r="J188" s="28">
        <v>45315</v>
      </c>
      <c r="K188" s="28">
        <v>45326</v>
      </c>
      <c r="L188" s="2"/>
      <c r="M188" s="4">
        <v>18.440000000000001</v>
      </c>
      <c r="N188" s="14"/>
      <c r="O188" s="14"/>
      <c r="P188" s="3">
        <v>1</v>
      </c>
      <c r="Q188" s="2">
        <f t="shared" si="72"/>
        <v>96.86</v>
      </c>
      <c r="R188" s="10" t="s">
        <v>287</v>
      </c>
      <c r="S188" s="3"/>
      <c r="T188" s="8">
        <f t="shared" si="44"/>
        <v>96.86</v>
      </c>
      <c r="U188"/>
      <c r="V188"/>
      <c r="W188"/>
    </row>
    <row r="189" spans="1:23" x14ac:dyDescent="0.3">
      <c r="A189" s="5" t="s">
        <v>288</v>
      </c>
      <c r="B189" s="3">
        <v>1</v>
      </c>
      <c r="C189" s="4">
        <v>278</v>
      </c>
      <c r="D189" s="6">
        <f t="shared" si="70"/>
        <v>0.67953237410071954</v>
      </c>
      <c r="E189" s="4">
        <v>0</v>
      </c>
      <c r="F189" s="4">
        <v>89.09</v>
      </c>
      <c r="G189" s="2">
        <f t="shared" si="71"/>
        <v>89.09</v>
      </c>
      <c r="H189" s="4">
        <v>0</v>
      </c>
      <c r="I189" s="4">
        <v>0</v>
      </c>
      <c r="J189" s="28">
        <v>45315</v>
      </c>
      <c r="K189" s="28">
        <v>45326</v>
      </c>
      <c r="L189" s="2"/>
      <c r="M189" s="4">
        <v>18.440000000000001</v>
      </c>
      <c r="N189" s="14"/>
      <c r="O189" s="14"/>
      <c r="P189" s="3">
        <v>1</v>
      </c>
      <c r="Q189" s="2">
        <f t="shared" si="72"/>
        <v>89.09</v>
      </c>
      <c r="R189" s="10" t="s">
        <v>279</v>
      </c>
      <c r="S189"/>
      <c r="T189" s="8">
        <f t="shared" si="44"/>
        <v>89.09</v>
      </c>
      <c r="U189"/>
      <c r="V189"/>
      <c r="W189"/>
    </row>
    <row r="190" spans="1:23" ht="31.2" x14ac:dyDescent="0.3">
      <c r="A190" s="5" t="s">
        <v>289</v>
      </c>
      <c r="B190" s="3">
        <v>1</v>
      </c>
      <c r="C190" s="4">
        <v>474.49</v>
      </c>
      <c r="D190" s="6">
        <f t="shared" si="70"/>
        <v>0.71866635756285691</v>
      </c>
      <c r="E190" s="7">
        <v>0</v>
      </c>
      <c r="F190" s="7">
        <v>133.49</v>
      </c>
      <c r="G190" s="8">
        <f t="shared" si="71"/>
        <v>133.49</v>
      </c>
      <c r="H190" s="7">
        <v>0</v>
      </c>
      <c r="I190" s="7">
        <v>0</v>
      </c>
      <c r="J190" s="28">
        <v>45315</v>
      </c>
      <c r="K190" s="28">
        <v>45326</v>
      </c>
      <c r="L190" s="4"/>
      <c r="M190" s="7">
        <v>17.59</v>
      </c>
      <c r="N190" s="4"/>
      <c r="O190" s="9"/>
      <c r="P190" s="3">
        <v>1</v>
      </c>
      <c r="Q190" s="8">
        <f t="shared" si="72"/>
        <v>133.49</v>
      </c>
      <c r="R190" s="10" t="s">
        <v>290</v>
      </c>
      <c r="S190"/>
      <c r="T190" s="8">
        <f t="shared" si="44"/>
        <v>133.49</v>
      </c>
      <c r="U190"/>
      <c r="V190"/>
      <c r="W190"/>
    </row>
  </sheetData>
  <hyperlinks>
    <hyperlink ref="R72" r:id="rId1" xr:uid="{B28644F0-275F-4756-9A07-F69B376E4AAA}"/>
    <hyperlink ref="R70" r:id="rId2" xr:uid="{F128C2D1-F37F-499F-AFCF-30D3826B5249}"/>
    <hyperlink ref="R71" r:id="rId3" xr:uid="{E7A87146-DD65-442D-9037-85181FC48301}"/>
    <hyperlink ref="R69" r:id="rId4" xr:uid="{88C00640-A579-4AF1-8685-D156508BF8EF}"/>
    <hyperlink ref="R68" r:id="rId5" xr:uid="{50C6AB6B-04DA-43A2-BDDE-CADF4999FD6F}"/>
    <hyperlink ref="R67" r:id="rId6" xr:uid="{B1084D66-2CA7-4209-B009-72610650FACF}"/>
    <hyperlink ref="R22" r:id="rId7" xr:uid="{D4D4D0C3-B4BF-44E0-A187-86FCF0AE24DC}"/>
    <hyperlink ref="R21" r:id="rId8" xr:uid="{EA86FE82-A8BF-42EF-A26E-B05102BBF05B}"/>
    <hyperlink ref="R20" r:id="rId9" xr:uid="{0A6BF2A5-862F-46FA-AA0A-9F5021E14B35}"/>
    <hyperlink ref="R19" r:id="rId10" xr:uid="{92846C28-78D0-40F9-B1D3-8341B562AA5F}"/>
    <hyperlink ref="R18" r:id="rId11" xr:uid="{A6D74ED2-A1A4-4168-B2B1-070B56455015}"/>
    <hyperlink ref="R17" r:id="rId12" xr:uid="{D2E712CB-35DB-416D-A869-5181C2651825}"/>
    <hyperlink ref="R16" r:id="rId13" xr:uid="{B13DB2C8-F11F-40A7-A17D-97B38903DA97}"/>
    <hyperlink ref="R40" r:id="rId14" xr:uid="{3F90A8A1-6111-4195-80BC-E9E054CD6FE7}"/>
    <hyperlink ref="R38" r:id="rId15" xr:uid="{F8C1D5E7-A224-445E-92BF-E5131BB78061}"/>
    <hyperlink ref="R13" r:id="rId16" xr:uid="{3898E2B8-29B2-45E7-A614-0499F0D4F820}"/>
    <hyperlink ref="R12" r:id="rId17" xr:uid="{88C3BF6F-9407-4144-B57B-242F0637A14F}"/>
    <hyperlink ref="R11" r:id="rId18" xr:uid="{00000000-0004-0000-0000-000003000000}"/>
    <hyperlink ref="R10" r:id="rId19" xr:uid="{00000000-0004-0000-0000-000002000000}"/>
    <hyperlink ref="R6" r:id="rId20" xr:uid="{00000000-0004-0000-0000-000001000000}"/>
    <hyperlink ref="R2" r:id="rId21" xr:uid="{00000000-0004-0000-0000-000000000000}"/>
    <hyperlink ref="R73" r:id="rId22" xr:uid="{CEDED7E9-1E38-4DFA-995B-90DC8431B27C}"/>
    <hyperlink ref="R74" r:id="rId23" xr:uid="{F544D8AA-E65B-4098-994D-1E5CA81BE383}"/>
    <hyperlink ref="R75" r:id="rId24" xr:uid="{64ACB0AF-AB02-449B-B156-40426F511930}"/>
    <hyperlink ref="R76" r:id="rId25" xr:uid="{F3DE9280-2265-4720-9EB6-B5FB9C9496B3}"/>
    <hyperlink ref="R77" r:id="rId26" xr:uid="{D69A77AB-9EFD-4D61-B184-26E3CEDDCDFB}"/>
    <hyperlink ref="R78" r:id="rId27" xr:uid="{5BE34F97-4858-40A7-9A1A-BE0028C30E3D}"/>
    <hyperlink ref="R79" r:id="rId28" xr:uid="{56D66741-2240-43D3-94B5-AA66BB9D48F3}"/>
    <hyperlink ref="R167" r:id="rId29" xr:uid="{C4B8E1A6-3A2E-47D0-97BC-2F624FF64C1D}"/>
    <hyperlink ref="R168" r:id="rId30" xr:uid="{93D1BF33-2EB2-4233-A06F-A95C6C67AB13}"/>
    <hyperlink ref="R169" r:id="rId31" xr:uid="{E9AD90E7-2786-4053-814B-70A86758B688}"/>
    <hyperlink ref="R170" r:id="rId32" xr:uid="{F02899F3-D087-481C-9898-938923625F37}"/>
    <hyperlink ref="R171" r:id="rId33" xr:uid="{66EF0665-5459-4540-A726-42F658D952BC}"/>
    <hyperlink ref="R183" r:id="rId34" xr:uid="{49FA38CD-558A-4119-8205-0E416CE83E74}"/>
    <hyperlink ref="R184" r:id="rId35" xr:uid="{65BABD5E-543B-446D-9447-AA85194B81CC}"/>
    <hyperlink ref="R185" r:id="rId36" xr:uid="{90951EBB-4DB3-4138-8B72-742F0A65D6C0}"/>
    <hyperlink ref="R186" r:id="rId37" xr:uid="{35CAC627-19C3-4534-92D6-279835874479}"/>
    <hyperlink ref="R187" r:id="rId38" xr:uid="{CF855954-79B5-4BC8-9764-F8FB62BC3481}"/>
    <hyperlink ref="R188" r:id="rId39" xr:uid="{1F7FFE26-2694-4E3D-BF29-7868EE87A004}"/>
    <hyperlink ref="R189" r:id="rId40" xr:uid="{1D646098-DC04-4827-99EC-85476BDD4850}"/>
    <hyperlink ref="R190" r:id="rId41" xr:uid="{87DF6B19-21C7-48B6-8F3A-4C4286D12EE8}"/>
    <hyperlink ref="R65" r:id="rId42" xr:uid="{260A232A-8DD8-4E20-9C44-A85602F1BFB0}"/>
    <hyperlink ref="R80" r:id="rId43" xr:uid="{4A2533B3-28B2-4E9D-A32C-5B8067ACEEE0}"/>
    <hyperlink ref="R97" r:id="rId44" xr:uid="{77E0D2F9-EE7A-4FC8-A728-8E62CC9C25B1}"/>
    <hyperlink ref="R108" r:id="rId45" xr:uid="{3A6F76B9-776D-43EE-BA0B-419B6EEC342D}"/>
    <hyperlink ref="R109" r:id="rId46" xr:uid="{A584809F-F870-4FE2-B8E7-66F291176AE9}"/>
    <hyperlink ref="R110" r:id="rId47" xr:uid="{484BFA83-AA44-4FDC-9D0F-461D97574D57}"/>
    <hyperlink ref="R111" r:id="rId48" xr:uid="{05C1E56D-9032-4703-8508-02CB1A1DFCA5}"/>
    <hyperlink ref="R118" r:id="rId49" xr:uid="{CDB57FFE-A814-4833-A5FC-FA625C492B79}"/>
    <hyperlink ref="R142" r:id="rId50" xr:uid="{6C16ABE4-3378-4642-8747-068B0F83B7E5}"/>
    <hyperlink ref="R161" r:id="rId51" xr:uid="{C0D3D750-8DDA-4450-9E67-F21786C49C47}"/>
    <hyperlink ref="R120" r:id="rId52" xr:uid="{4DC305B0-D0CD-4FCC-9966-CBB7865D1E84}"/>
    <hyperlink ref="R144" r:id="rId53" xr:uid="{42C1F02A-70FC-426F-9889-9D66349A6E6B}"/>
    <hyperlink ref="R145" r:id="rId54" xr:uid="{6601DE8C-DEDD-473B-AE85-22DCD8C82D0F}"/>
    <hyperlink ref="R147" r:id="rId55" xr:uid="{091BE47B-77AD-48F7-8EC9-4AB4D8206D8E}"/>
    <hyperlink ref="R47" r:id="rId56" xr:uid="{1F869661-525F-4071-AE26-D5FB239F649F}"/>
    <hyperlink ref="R48" r:id="rId57" xr:uid="{54724FB5-3165-4AB5-87EF-492AE4723B72}"/>
  </hyperlinks>
  <pageMargins left="0.7" right="0.7" top="0.75" bottom="0.75" header="0.3" footer="0.3"/>
  <pageSetup orientation="portrait" r:id="rId58"/>
  <legacyDrawing r:id="rId59"/>
  <picture r:id="rId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0"/>
  <sheetViews>
    <sheetView zoomScale="120" zoomScaleNormal="120" workbookViewId="0">
      <pane ySplit="1" topLeftCell="A2" activePane="bottomLeft" state="frozen"/>
      <selection pane="bottomLeft" activeCell="B2" sqref="B2"/>
    </sheetView>
  </sheetViews>
  <sheetFormatPr baseColWidth="10" defaultColWidth="10.69921875" defaultRowHeight="15.6" x14ac:dyDescent="0.3"/>
  <cols>
    <col min="1" max="1" width="4.19921875" style="27" bestFit="1" customWidth="1"/>
    <col min="2" max="2" width="42.69921875" style="27" customWidth="1"/>
    <col min="3" max="3" width="13.19921875" style="27" bestFit="1" customWidth="1"/>
    <col min="4" max="4" width="13.296875" style="27" bestFit="1" customWidth="1"/>
    <col min="5" max="5" width="12" style="27" bestFit="1" customWidth="1"/>
    <col min="6" max="6" width="14.796875" style="27" bestFit="1" customWidth="1"/>
    <col min="7" max="7" width="8.5" style="27" bestFit="1" customWidth="1"/>
    <col min="8" max="8" width="10.19921875" style="27" bestFit="1" customWidth="1"/>
    <col min="9" max="9" width="7.296875" style="27" bestFit="1" customWidth="1"/>
    <col min="10" max="10" width="7.296875" style="27" customWidth="1"/>
    <col min="11" max="11" width="11.296875" style="27" bestFit="1" customWidth="1"/>
    <col min="12" max="16384" width="10.69921875" style="27"/>
  </cols>
  <sheetData>
    <row r="1" spans="1:14" x14ac:dyDescent="0.3">
      <c r="A1" s="1" t="s">
        <v>291</v>
      </c>
      <c r="B1" s="1" t="s">
        <v>0</v>
      </c>
      <c r="C1" s="1" t="s">
        <v>292</v>
      </c>
      <c r="D1" s="1" t="s">
        <v>293</v>
      </c>
      <c r="E1" s="1" t="s">
        <v>294</v>
      </c>
      <c r="F1" s="1" t="s">
        <v>295</v>
      </c>
      <c r="G1" s="1" t="s">
        <v>1</v>
      </c>
      <c r="H1" s="1" t="s">
        <v>5</v>
      </c>
      <c r="I1" s="1" t="s">
        <v>15</v>
      </c>
      <c r="J1" s="1" t="s">
        <v>363</v>
      </c>
      <c r="K1" s="1" t="s">
        <v>296</v>
      </c>
      <c r="L1" s="1" t="s">
        <v>297</v>
      </c>
      <c r="M1" s="1" t="s">
        <v>298</v>
      </c>
      <c r="N1" s="1"/>
    </row>
    <row r="2" spans="1:14" ht="31.2" x14ac:dyDescent="0.3">
      <c r="A2" s="31">
        <v>2</v>
      </c>
      <c r="B2" s="5" t="str">
        <f>Compras!A2</f>
        <v>HelloKitty - Peluche Tie Dye Kuromi para niños - Kuromy</v>
      </c>
      <c r="C2" s="5" t="s">
        <v>346</v>
      </c>
      <c r="D2" s="5" t="s">
        <v>303</v>
      </c>
      <c r="E2" s="15">
        <f>Compras!C2</f>
        <v>107.08</v>
      </c>
      <c r="F2" s="6">
        <f>Compras!D2</f>
        <v>0.47768023907358986</v>
      </c>
      <c r="G2" s="3">
        <f>Compras!B2</f>
        <v>1</v>
      </c>
      <c r="H2" s="15">
        <f>Compras!Q2</f>
        <v>47.472500000000004</v>
      </c>
      <c r="I2" s="3">
        <f>Compras!P2</f>
        <v>1</v>
      </c>
      <c r="J2" s="30" t="s">
        <v>363</v>
      </c>
      <c r="K2" s="16">
        <f t="shared" ref="K2:K33" si="0">M2* (IF(M2-H2&lt;100, IF(M2-H2&gt;80, 1.25, IF(M2-H2&gt;50, 1.5, 1.75)), IF(M2-H2&gt;150, 0.95, IF(M2-H2&gt;170, 0.9, 1))))</f>
        <v>168.36531250000002</v>
      </c>
      <c r="L2" s="17">
        <f t="shared" ref="L2:L33" si="1">(K2+M2)/2</f>
        <v>132.28703125000001</v>
      </c>
      <c r="M2" s="18">
        <f t="shared" ref="M2:M33" si="2">(H2/I2) * ( IF(E2&gt;H2, IF(E2-H2&gt;100, 1.25, IF(E2-H2&gt;50, 1.5, 1.75)), IF(H2-E2&gt;100, 1.25, IF(H2-E2&gt;50, 1.5, 1.75))) ) + 25</f>
        <v>96.208750000000009</v>
      </c>
      <c r="N2" s="3"/>
    </row>
    <row r="3" spans="1:14" ht="31.2" x14ac:dyDescent="0.3">
      <c r="A3" s="31">
        <v>3</v>
      </c>
      <c r="B3" s="5" t="str">
        <f>Compras!A3</f>
        <v>HelloKitty - Peluche Tie Dye Kuromi para niños - Cinnamoroll</v>
      </c>
      <c r="C3" s="5" t="s">
        <v>346</v>
      </c>
      <c r="D3" s="5" t="s">
        <v>303</v>
      </c>
      <c r="E3" s="15">
        <f>Compras!C3</f>
        <v>117.54</v>
      </c>
      <c r="F3" s="6">
        <f>Compras!D3</f>
        <v>0.47753956100051048</v>
      </c>
      <c r="G3" s="3">
        <f>Compras!B3</f>
        <v>1</v>
      </c>
      <c r="H3" s="15">
        <f>Compras!Q3</f>
        <v>52.952500000000001</v>
      </c>
      <c r="I3" s="3">
        <f>Compras!P3</f>
        <v>1</v>
      </c>
      <c r="J3" s="30" t="s">
        <v>363</v>
      </c>
      <c r="K3" s="16">
        <f t="shared" si="0"/>
        <v>156.643125</v>
      </c>
      <c r="L3" s="17">
        <f t="shared" si="1"/>
        <v>130.53593749999999</v>
      </c>
      <c r="M3" s="18">
        <f t="shared" si="2"/>
        <v>104.42875000000001</v>
      </c>
      <c r="N3" s="3"/>
    </row>
    <row r="4" spans="1:14" ht="31.2" x14ac:dyDescent="0.3">
      <c r="A4" s="31">
        <v>4</v>
      </c>
      <c r="B4" s="5" t="str">
        <f>Compras!A4</f>
        <v>HelloKitty - Peluche Tie Dye Kuromi para niños - Cinnamoroll azul</v>
      </c>
      <c r="C4" s="5" t="s">
        <v>346</v>
      </c>
      <c r="D4" s="5" t="s">
        <v>303</v>
      </c>
      <c r="E4" s="15">
        <f>Compras!C4</f>
        <v>118.63</v>
      </c>
      <c r="F4" s="6">
        <f>Compras!D4</f>
        <v>0.47770378487734966</v>
      </c>
      <c r="G4" s="3">
        <f>Compras!B4</f>
        <v>1</v>
      </c>
      <c r="H4" s="15">
        <f>Compras!Q4</f>
        <v>53.502500000000005</v>
      </c>
      <c r="I4" s="3">
        <f>Compras!P4</f>
        <v>1</v>
      </c>
      <c r="J4" s="30" t="s">
        <v>363</v>
      </c>
      <c r="K4" s="16">
        <f t="shared" si="0"/>
        <v>157.88062500000001</v>
      </c>
      <c r="L4" s="17">
        <f t="shared" si="1"/>
        <v>131.56718750000002</v>
      </c>
      <c r="M4" s="18">
        <f t="shared" si="2"/>
        <v>105.25375000000001</v>
      </c>
      <c r="N4"/>
    </row>
    <row r="5" spans="1:14" ht="31.2" x14ac:dyDescent="0.3">
      <c r="A5" s="31">
        <v>5</v>
      </c>
      <c r="B5" s="5" t="str">
        <f>Compras!A5</f>
        <v>HelloKitty - Peluche Tie Dye Kuromi para niños - Pochacco amarillo</v>
      </c>
      <c r="C5" s="5" t="s">
        <v>346</v>
      </c>
      <c r="D5" s="5" t="s">
        <v>303</v>
      </c>
      <c r="E5" s="15">
        <f>Compras!C5</f>
        <v>113.35</v>
      </c>
      <c r="F5" s="6">
        <f>Compras!D5</f>
        <v>0.47754741949713275</v>
      </c>
      <c r="G5" s="3">
        <f>Compras!B5</f>
        <v>1</v>
      </c>
      <c r="H5" s="15">
        <f>Compras!Q5</f>
        <v>50.762500000000003</v>
      </c>
      <c r="I5" s="3">
        <f>Compras!P5</f>
        <v>1</v>
      </c>
      <c r="J5" s="30" t="s">
        <v>363</v>
      </c>
      <c r="K5" s="16">
        <f t="shared" si="0"/>
        <v>151.71562500000002</v>
      </c>
      <c r="L5" s="17">
        <f t="shared" si="1"/>
        <v>126.42968750000001</v>
      </c>
      <c r="M5" s="18">
        <f t="shared" si="2"/>
        <v>101.14375000000001</v>
      </c>
      <c r="N5" s="3"/>
    </row>
    <row r="6" spans="1:14" ht="31.2" x14ac:dyDescent="0.3">
      <c r="A6" s="31">
        <v>6</v>
      </c>
      <c r="B6" s="5" t="str">
        <f>Compras!A6</f>
        <v>Peluche Kimetsu No Yaiba Tanjirou Nezuko - Amarillo</v>
      </c>
      <c r="C6" s="5" t="s">
        <v>305</v>
      </c>
      <c r="D6" s="5" t="s">
        <v>303</v>
      </c>
      <c r="E6" s="15">
        <f>Compras!C6</f>
        <v>202.79</v>
      </c>
      <c r="F6" s="6">
        <f>Compras!D6</f>
        <v>0.67858375659549286</v>
      </c>
      <c r="G6" s="3">
        <f>Compras!B6</f>
        <v>1</v>
      </c>
      <c r="H6" s="15">
        <f>Compras!Q6</f>
        <v>56.000000000000007</v>
      </c>
      <c r="I6" s="3">
        <f>Compras!P6</f>
        <v>1</v>
      </c>
      <c r="J6" s="30" t="s">
        <v>363</v>
      </c>
      <c r="K6" s="16">
        <f t="shared" si="0"/>
        <v>166.25000000000003</v>
      </c>
      <c r="L6" s="17">
        <f t="shared" si="1"/>
        <v>130.62500000000003</v>
      </c>
      <c r="M6" s="18">
        <f t="shared" si="2"/>
        <v>95.000000000000014</v>
      </c>
      <c r="N6" s="3"/>
    </row>
    <row r="7" spans="1:14" ht="31.2" x14ac:dyDescent="0.3">
      <c r="A7" s="31">
        <v>7</v>
      </c>
      <c r="B7" s="5" t="str">
        <f>Compras!A7</f>
        <v>Peluche Kimetsu No Yaiba Tanjirou Nezuko - Tanjiro</v>
      </c>
      <c r="C7" s="5" t="s">
        <v>305</v>
      </c>
      <c r="D7" s="5" t="s">
        <v>303</v>
      </c>
      <c r="E7" s="15">
        <f>Compras!C7</f>
        <v>202.21</v>
      </c>
      <c r="F7" s="6">
        <f>Compras!D7</f>
        <v>0.67860145393402915</v>
      </c>
      <c r="G7" s="3">
        <f>Compras!B7</f>
        <v>1</v>
      </c>
      <c r="H7" s="15">
        <f>Compras!Q7</f>
        <v>55.809999999999995</v>
      </c>
      <c r="I7" s="3">
        <f>Compras!P7</f>
        <v>1</v>
      </c>
      <c r="J7" s="30" t="s">
        <v>363</v>
      </c>
      <c r="K7" s="16">
        <f t="shared" si="0"/>
        <v>165.83437499999997</v>
      </c>
      <c r="L7" s="17">
        <f t="shared" si="1"/>
        <v>130.29843749999998</v>
      </c>
      <c r="M7" s="18">
        <f t="shared" si="2"/>
        <v>94.762499999999989</v>
      </c>
      <c r="N7" s="3"/>
    </row>
    <row r="8" spans="1:14" ht="31.2" x14ac:dyDescent="0.3">
      <c r="A8" s="31">
        <v>8</v>
      </c>
      <c r="B8" s="5" t="str">
        <f>Compras!A8</f>
        <v>Peluche Kimetsu No Yaiba Tanjirou Nezuko - Cochino</v>
      </c>
      <c r="C8" s="5" t="s">
        <v>305</v>
      </c>
      <c r="D8" s="5" t="s">
        <v>303</v>
      </c>
      <c r="E8" s="15">
        <f>Compras!C8</f>
        <v>201.14</v>
      </c>
      <c r="F8" s="6">
        <f>Compras!D8</f>
        <v>0.67858208213184834</v>
      </c>
      <c r="G8" s="3">
        <f>Compras!B8</f>
        <v>1</v>
      </c>
      <c r="H8" s="15">
        <f>Compras!Q8</f>
        <v>55.470000000000006</v>
      </c>
      <c r="I8" s="3">
        <f>Compras!P8</f>
        <v>1</v>
      </c>
      <c r="J8" s="30" t="s">
        <v>363</v>
      </c>
      <c r="K8" s="16">
        <f t="shared" si="0"/>
        <v>165.09062500000002</v>
      </c>
      <c r="L8" s="17">
        <f t="shared" si="1"/>
        <v>129.71406250000001</v>
      </c>
      <c r="M8" s="18">
        <f t="shared" si="2"/>
        <v>94.337500000000006</v>
      </c>
      <c r="N8" s="3"/>
    </row>
    <row r="9" spans="1:14" ht="31.2" x14ac:dyDescent="0.3">
      <c r="A9" s="31">
        <v>9</v>
      </c>
      <c r="B9" s="5" t="str">
        <f>Compras!A9</f>
        <v>Peluche Kimetsu No Yaiba Tanjirou Nezuko - Niña</v>
      </c>
      <c r="C9" s="5" t="s">
        <v>305</v>
      </c>
      <c r="D9" s="5" t="s">
        <v>303</v>
      </c>
      <c r="E9" s="15">
        <f>Compras!C9</f>
        <v>198.5</v>
      </c>
      <c r="F9" s="6">
        <f>Compras!D9</f>
        <v>0.67858942065491179</v>
      </c>
      <c r="G9" s="3">
        <f>Compras!B9</f>
        <v>1</v>
      </c>
      <c r="H9" s="15">
        <f>Compras!Q9</f>
        <v>54.62</v>
      </c>
      <c r="I9" s="3">
        <f>Compras!P9</f>
        <v>1</v>
      </c>
      <c r="J9" s="30" t="s">
        <v>363</v>
      </c>
      <c r="K9" s="16">
        <f t="shared" si="0"/>
        <v>163.23124999999999</v>
      </c>
      <c r="L9" s="17">
        <f t="shared" si="1"/>
        <v>128.25312499999998</v>
      </c>
      <c r="M9" s="18">
        <f t="shared" si="2"/>
        <v>93.274999999999991</v>
      </c>
      <c r="N9" s="3"/>
    </row>
    <row r="10" spans="1:14" ht="31.2" x14ac:dyDescent="0.3">
      <c r="A10" s="31">
        <v>10</v>
      </c>
      <c r="B10" s="5" t="str">
        <f>Compras!A10</f>
        <v>Sanrio-mini bolsa cuadrada de almacenamiento de anime, Kirby</v>
      </c>
      <c r="C10" s="5" t="s">
        <v>325</v>
      </c>
      <c r="D10" s="5" t="s">
        <v>342</v>
      </c>
      <c r="E10" s="15">
        <f>Compras!C10</f>
        <v>99</v>
      </c>
      <c r="F10" s="6">
        <f>Compras!D10</f>
        <v>0.65585858585858592</v>
      </c>
      <c r="G10" s="3">
        <f>Compras!B10</f>
        <v>1</v>
      </c>
      <c r="H10" s="15">
        <f>Compras!Q10</f>
        <v>59.629999999999995</v>
      </c>
      <c r="I10" s="3">
        <f>Compras!P10</f>
        <v>1</v>
      </c>
      <c r="J10" s="29" t="s">
        <v>363</v>
      </c>
      <c r="K10" s="16">
        <f t="shared" si="0"/>
        <v>194.02875</v>
      </c>
      <c r="L10" s="17">
        <f t="shared" si="1"/>
        <v>161.69062500000001</v>
      </c>
      <c r="M10" s="18">
        <f t="shared" si="2"/>
        <v>129.35249999999999</v>
      </c>
      <c r="N10" s="3"/>
    </row>
    <row r="11" spans="1:14" ht="46.8" x14ac:dyDescent="0.3">
      <c r="A11" s="31">
        <v>11</v>
      </c>
      <c r="B11" s="5" t="str">
        <f>Compras!A11</f>
        <v>Sanrio Hellokitty Mymelody Doraemon bolsa de almacenamiento para cargador de Cable de datos</v>
      </c>
      <c r="C11" s="5" t="s">
        <v>320</v>
      </c>
      <c r="D11" s="5" t="s">
        <v>342</v>
      </c>
      <c r="E11" s="15">
        <f>Compras!C11</f>
        <v>122</v>
      </c>
      <c r="F11" s="6">
        <f>Compras!D11</f>
        <v>0.79918032786885251</v>
      </c>
      <c r="G11" s="3">
        <f>Compras!B11</f>
        <v>1</v>
      </c>
      <c r="H11" s="15">
        <f>Compras!Q11</f>
        <v>51.93</v>
      </c>
      <c r="I11" s="3">
        <f>Compras!P11</f>
        <v>1</v>
      </c>
      <c r="J11" s="29" t="s">
        <v>363</v>
      </c>
      <c r="K11" s="16">
        <f t="shared" si="0"/>
        <v>154.3425</v>
      </c>
      <c r="L11" s="17">
        <f t="shared" si="1"/>
        <v>128.61875000000001</v>
      </c>
      <c r="M11" s="18">
        <f t="shared" si="2"/>
        <v>102.895</v>
      </c>
      <c r="N11" s="3"/>
    </row>
    <row r="12" spans="1:14" ht="31.2" x14ac:dyDescent="0.3">
      <c r="A12" s="31">
        <v>12</v>
      </c>
      <c r="B12" s="5" t="str">
        <f>Compras!A12</f>
        <v>Kawaii Sanrio Mymelody, estuche para cargador bolsa de almacenamiento - Kirby niña</v>
      </c>
      <c r="C12" s="5" t="s">
        <v>346</v>
      </c>
      <c r="D12" s="5" t="s">
        <v>342</v>
      </c>
      <c r="E12" s="15">
        <f>Compras!C12</f>
        <v>119.29</v>
      </c>
      <c r="F12" s="6">
        <f>Compras!D12</f>
        <v>0.51789756056668634</v>
      </c>
      <c r="G12" s="3">
        <f>Compras!B12</f>
        <v>1</v>
      </c>
      <c r="H12" s="15">
        <f>Compras!Q12</f>
        <v>50.48</v>
      </c>
      <c r="I12" s="3">
        <f>Compras!P12</f>
        <v>1</v>
      </c>
      <c r="J12" s="30" t="s">
        <v>363</v>
      </c>
      <c r="K12" s="16">
        <f t="shared" si="0"/>
        <v>151.07999999999998</v>
      </c>
      <c r="L12" s="17">
        <f t="shared" si="1"/>
        <v>125.89999999999999</v>
      </c>
      <c r="M12" s="18">
        <f t="shared" si="2"/>
        <v>100.72</v>
      </c>
      <c r="N12" s="3"/>
    </row>
    <row r="13" spans="1:14" x14ac:dyDescent="0.3">
      <c r="A13" s="31">
        <v>13</v>
      </c>
      <c r="B13" s="5" t="str">
        <f>Compras!A13</f>
        <v>Sanrio kuromi-Bolso cruzado My Melody kuromi</v>
      </c>
      <c r="C13" s="5" t="s">
        <v>346</v>
      </c>
      <c r="D13" s="5" t="s">
        <v>347</v>
      </c>
      <c r="E13" s="15">
        <f>Compras!C13</f>
        <v>126.5</v>
      </c>
      <c r="F13" s="6">
        <f>Compras!D13</f>
        <v>0.30893280632411069</v>
      </c>
      <c r="G13" s="3">
        <f>Compras!B13</f>
        <v>2</v>
      </c>
      <c r="H13" s="15">
        <f>Compras!Q13</f>
        <v>76.745000000000005</v>
      </c>
      <c r="I13" s="3">
        <f>Compras!P13</f>
        <v>1</v>
      </c>
      <c r="J13" s="30" t="s">
        <v>363</v>
      </c>
      <c r="K13" s="16">
        <f t="shared" si="0"/>
        <v>199.12968750000002</v>
      </c>
      <c r="L13" s="17">
        <f t="shared" si="1"/>
        <v>179.21671875000001</v>
      </c>
      <c r="M13" s="18">
        <f t="shared" si="2"/>
        <v>159.30375000000001</v>
      </c>
      <c r="N13" s="3"/>
    </row>
    <row r="14" spans="1:14" ht="31.2" x14ac:dyDescent="0.3">
      <c r="A14" s="31">
        <v>14</v>
      </c>
      <c r="B14" s="5" t="str">
        <f>Compras!A14</f>
        <v>Blueys - peluche de perro de oveja Kawaii hermanita</v>
      </c>
      <c r="C14" s="5" t="s">
        <v>302</v>
      </c>
      <c r="D14" s="5" t="s">
        <v>303</v>
      </c>
      <c r="E14" s="15">
        <f>Compras!C14</f>
        <v>297.44</v>
      </c>
      <c r="F14" s="6">
        <f>Compras!D14</f>
        <v>0.81596288327057565</v>
      </c>
      <c r="G14" s="3">
        <f>Compras!B14</f>
        <v>1</v>
      </c>
      <c r="H14" s="15">
        <f>Compras!Q14</f>
        <v>46.96</v>
      </c>
      <c r="I14" s="3">
        <f>Compras!P14</f>
        <v>1</v>
      </c>
      <c r="J14" s="29" t="s">
        <v>363</v>
      </c>
      <c r="K14" s="16">
        <f t="shared" si="0"/>
        <v>146.47499999999999</v>
      </c>
      <c r="L14" s="17">
        <f t="shared" si="1"/>
        <v>115.08750000000001</v>
      </c>
      <c r="M14" s="18">
        <f t="shared" si="2"/>
        <v>83.7</v>
      </c>
      <c r="N14" s="3"/>
    </row>
    <row r="15" spans="1:14" ht="31.2" x14ac:dyDescent="0.3">
      <c r="A15" s="31">
        <v>15</v>
      </c>
      <c r="B15" s="5" t="str">
        <f>Compras!A15</f>
        <v>Kimetsu No Yaiba Tanjirou Nezuko - Nezuko</v>
      </c>
      <c r="C15" s="5" t="s">
        <v>305</v>
      </c>
      <c r="D15" s="5" t="s">
        <v>303</v>
      </c>
      <c r="E15" s="15">
        <f>Compras!C15</f>
        <v>69</v>
      </c>
      <c r="F15" s="6">
        <f>Compras!D15</f>
        <v>4.2898550724637587E-2</v>
      </c>
      <c r="G15" s="3">
        <f>Compras!B15</f>
        <v>1</v>
      </c>
      <c r="H15" s="15">
        <f>Compras!Q15</f>
        <v>66.050000000000011</v>
      </c>
      <c r="I15" s="3">
        <f>Compras!P15</f>
        <v>1</v>
      </c>
      <c r="J15" s="29" t="s">
        <v>363</v>
      </c>
      <c r="K15" s="16">
        <f t="shared" si="0"/>
        <v>210.88125000000005</v>
      </c>
      <c r="L15" s="17">
        <f t="shared" si="1"/>
        <v>175.73437500000006</v>
      </c>
      <c r="M15" s="18">
        <f t="shared" si="2"/>
        <v>140.58750000000003</v>
      </c>
      <c r="N15"/>
    </row>
    <row r="16" spans="1:14" x14ac:dyDescent="0.3">
      <c r="A16" s="31">
        <v>16</v>
      </c>
      <c r="B16" s="5" t="str">
        <f>Compras!A16</f>
        <v>Hasbro Play-Doh Pasteles Divertidos</v>
      </c>
      <c r="C16" s="5" t="s">
        <v>338</v>
      </c>
      <c r="D16" s="5" t="s">
        <v>337</v>
      </c>
      <c r="E16" s="15">
        <f>Compras!C16</f>
        <v>209</v>
      </c>
      <c r="F16" s="6">
        <f>Compras!D16</f>
        <v>0.28708133971291866</v>
      </c>
      <c r="G16" s="3">
        <f>Compras!B16</f>
        <v>2</v>
      </c>
      <c r="H16" s="15">
        <f>Compras!Q16</f>
        <v>134.1</v>
      </c>
      <c r="I16" s="3">
        <f>Compras!P16</f>
        <v>1</v>
      </c>
      <c r="J16" s="30" t="s">
        <v>363</v>
      </c>
      <c r="K16" s="19">
        <f t="shared" si="0"/>
        <v>282.6875</v>
      </c>
      <c r="L16" s="17">
        <f t="shared" si="1"/>
        <v>254.41874999999999</v>
      </c>
      <c r="M16" s="18">
        <f t="shared" si="2"/>
        <v>226.14999999999998</v>
      </c>
      <c r="N16"/>
    </row>
    <row r="17" spans="1:14" x14ac:dyDescent="0.3">
      <c r="A17" s="31">
        <v>17</v>
      </c>
      <c r="B17" s="5" t="str">
        <f>Compras!A17</f>
        <v>Hasbro Play-Doh Delicias Heladas</v>
      </c>
      <c r="C17" s="5" t="s">
        <v>338</v>
      </c>
      <c r="D17" s="5" t="s">
        <v>337</v>
      </c>
      <c r="E17" s="15">
        <f>Compras!C17</f>
        <v>209</v>
      </c>
      <c r="F17" s="6">
        <f>Compras!D17</f>
        <v>0.28708133971291866</v>
      </c>
      <c r="G17" s="3">
        <f>Compras!B17</f>
        <v>2</v>
      </c>
      <c r="H17" s="15">
        <f>Compras!Q17</f>
        <v>134.1</v>
      </c>
      <c r="I17" s="3">
        <f>Compras!P17</f>
        <v>1</v>
      </c>
      <c r="J17" s="30" t="s">
        <v>363</v>
      </c>
      <c r="K17" s="16">
        <f t="shared" si="0"/>
        <v>282.6875</v>
      </c>
      <c r="L17" s="17">
        <f t="shared" si="1"/>
        <v>254.41874999999999</v>
      </c>
      <c r="M17" s="18">
        <f t="shared" si="2"/>
        <v>226.14999999999998</v>
      </c>
      <c r="N17"/>
    </row>
    <row r="18" spans="1:14" x14ac:dyDescent="0.3">
      <c r="A18" s="31">
        <v>18</v>
      </c>
      <c r="B18" s="5" t="str">
        <f>Compras!A18</f>
        <v>Play Doh Color Pack Varios Colores 1 pza</v>
      </c>
      <c r="C18" s="5" t="s">
        <v>338</v>
      </c>
      <c r="D18" s="5" t="s">
        <v>339</v>
      </c>
      <c r="E18" s="15">
        <f>Compras!C18</f>
        <v>69</v>
      </c>
      <c r="F18" s="6">
        <f>Compras!D18</f>
        <v>0.28985507246376813</v>
      </c>
      <c r="G18" s="3">
        <f>Compras!B18</f>
        <v>2</v>
      </c>
      <c r="H18" s="15">
        <f>Compras!Q18</f>
        <v>44.1</v>
      </c>
      <c r="I18" s="3">
        <f>Compras!P18</f>
        <v>1</v>
      </c>
      <c r="J18" s="30" t="s">
        <v>363</v>
      </c>
      <c r="K18" s="16">
        <f t="shared" si="0"/>
        <v>153.26249999999999</v>
      </c>
      <c r="L18" s="17">
        <f t="shared" si="1"/>
        <v>127.71875</v>
      </c>
      <c r="M18" s="18">
        <f t="shared" si="2"/>
        <v>102.175</v>
      </c>
      <c r="N18"/>
    </row>
    <row r="19" spans="1:14" x14ac:dyDescent="0.3">
      <c r="A19" s="31">
        <v>19</v>
      </c>
      <c r="B19" s="5" t="str">
        <f>Compras!A19</f>
        <v>Play Doh Primeras Creaciones con la Rana</v>
      </c>
      <c r="C19" s="5" t="s">
        <v>338</v>
      </c>
      <c r="D19" s="5" t="s">
        <v>337</v>
      </c>
      <c r="E19" s="15">
        <f>Compras!C19</f>
        <v>239</v>
      </c>
      <c r="F19" s="6">
        <f>Compras!D19</f>
        <v>0.20920502092050211</v>
      </c>
      <c r="G19" s="3">
        <f>Compras!B19</f>
        <v>1</v>
      </c>
      <c r="H19" s="15">
        <f>Compras!Q19</f>
        <v>170.1</v>
      </c>
      <c r="I19" s="3">
        <f>Compras!P19</f>
        <v>1</v>
      </c>
      <c r="J19" s="30" t="s">
        <v>363</v>
      </c>
      <c r="K19" s="16">
        <f t="shared" si="0"/>
        <v>280.14999999999998</v>
      </c>
      <c r="L19" s="17">
        <f t="shared" si="1"/>
        <v>280.14999999999998</v>
      </c>
      <c r="M19" s="18">
        <f t="shared" si="2"/>
        <v>280.14999999999998</v>
      </c>
      <c r="N19"/>
    </row>
    <row r="20" spans="1:14" x14ac:dyDescent="0.3">
      <c r="A20" s="31">
        <v>20</v>
      </c>
      <c r="B20" s="5" t="str">
        <f>Compras!A20</f>
        <v>Hasbro IronMan y IronStomper 10 cm</v>
      </c>
      <c r="C20" s="5" t="s">
        <v>333</v>
      </c>
      <c r="D20" s="5" t="s">
        <v>306</v>
      </c>
      <c r="E20" s="15">
        <f>Compras!C20</f>
        <v>599</v>
      </c>
      <c r="F20" s="6">
        <f>Compras!D20</f>
        <v>0.5008347245409015</v>
      </c>
      <c r="G20" s="3">
        <f>Compras!B20</f>
        <v>1</v>
      </c>
      <c r="H20" s="15">
        <f>Compras!Q20</f>
        <v>269.10000000000002</v>
      </c>
      <c r="I20" s="3">
        <f>Compras!P20</f>
        <v>1</v>
      </c>
      <c r="J20" s="30" t="s">
        <v>363</v>
      </c>
      <c r="K20" s="16">
        <f t="shared" si="0"/>
        <v>451.71875</v>
      </c>
      <c r="L20" s="17">
        <f t="shared" si="1"/>
        <v>406.546875</v>
      </c>
      <c r="M20" s="18">
        <f t="shared" si="2"/>
        <v>361.375</v>
      </c>
      <c r="N20"/>
    </row>
    <row r="21" spans="1:14" x14ac:dyDescent="0.3">
      <c r="A21" s="31">
        <v>21</v>
      </c>
      <c r="B21" s="5" t="str">
        <f>Compras!A21</f>
        <v>Muñeca LOL Surprise! Tot y Mascota</v>
      </c>
      <c r="C21" s="5" t="s">
        <v>328</v>
      </c>
      <c r="D21" s="5" t="s">
        <v>306</v>
      </c>
      <c r="E21" s="15">
        <f>Compras!C21</f>
        <v>249</v>
      </c>
      <c r="F21" s="6">
        <f>Compras!D21</f>
        <v>0.20080321285140562</v>
      </c>
      <c r="G21" s="3">
        <f>Compras!B21</f>
        <v>1</v>
      </c>
      <c r="H21" s="15">
        <f>Compras!Q21</f>
        <v>179.1</v>
      </c>
      <c r="I21" s="3">
        <f>Compras!P21</f>
        <v>1</v>
      </c>
      <c r="J21" s="30" t="s">
        <v>363</v>
      </c>
      <c r="K21" s="16">
        <f t="shared" si="0"/>
        <v>293.64999999999998</v>
      </c>
      <c r="L21" s="17">
        <f t="shared" si="1"/>
        <v>293.64999999999998</v>
      </c>
      <c r="M21" s="18">
        <f t="shared" si="2"/>
        <v>293.64999999999998</v>
      </c>
      <c r="N21" s="3"/>
    </row>
    <row r="22" spans="1:14" x14ac:dyDescent="0.3">
      <c r="A22" s="31">
        <v>22</v>
      </c>
      <c r="B22" s="5" t="str">
        <f>Compras!A22</f>
        <v>Muñeca LOL Surprise! Tot Hermanita y Mascota</v>
      </c>
      <c r="C22" s="5" t="s">
        <v>328</v>
      </c>
      <c r="D22" s="5" t="s">
        <v>306</v>
      </c>
      <c r="E22" s="15">
        <f>Compras!C22</f>
        <v>299</v>
      </c>
      <c r="F22" s="6">
        <f>Compras!D22</f>
        <v>0.16722408026755853</v>
      </c>
      <c r="G22" s="3">
        <f>Compras!B22</f>
        <v>1</v>
      </c>
      <c r="H22" s="15">
        <f>Compras!Q22</f>
        <v>224.1</v>
      </c>
      <c r="I22" s="3">
        <f>Compras!P22</f>
        <v>1</v>
      </c>
      <c r="J22" s="30" t="s">
        <v>363</v>
      </c>
      <c r="K22" s="16">
        <f t="shared" si="0"/>
        <v>361.15</v>
      </c>
      <c r="L22" s="17">
        <f t="shared" si="1"/>
        <v>361.15</v>
      </c>
      <c r="M22" s="18">
        <f t="shared" si="2"/>
        <v>361.15</v>
      </c>
      <c r="N22" s="3"/>
    </row>
    <row r="23" spans="1:14" ht="31.2" x14ac:dyDescent="0.3">
      <c r="A23" s="31">
        <v>23</v>
      </c>
      <c r="B23" s="5" t="str">
        <f>Compras!A23</f>
        <v>Estuche Sanrio Hellokitty Mymelody Doraemon Data Cable Charger Storage</v>
      </c>
      <c r="C23" s="5" t="s">
        <v>346</v>
      </c>
      <c r="D23" s="5" t="s">
        <v>342</v>
      </c>
      <c r="E23" s="15">
        <f>Compras!C23</f>
        <v>32.729999999999997</v>
      </c>
      <c r="F23" s="6">
        <f>Compras!D23</f>
        <v>0.25145126794989298</v>
      </c>
      <c r="G23" s="3">
        <f>Compras!B23</f>
        <v>1</v>
      </c>
      <c r="H23" s="15">
        <f>Compras!Q23</f>
        <v>51.93</v>
      </c>
      <c r="I23" s="3">
        <f>Compras!P23</f>
        <v>1</v>
      </c>
      <c r="J23" s="30" t="s">
        <v>363</v>
      </c>
      <c r="K23" s="16">
        <f t="shared" si="0"/>
        <v>173.81625</v>
      </c>
      <c r="L23" s="17">
        <f t="shared" si="1"/>
        <v>144.84687500000001</v>
      </c>
      <c r="M23" s="18">
        <f t="shared" si="2"/>
        <v>115.8775</v>
      </c>
      <c r="N23" s="3"/>
    </row>
    <row r="24" spans="1:14" ht="31.2" x14ac:dyDescent="0.3">
      <c r="A24" s="31">
        <v>24</v>
      </c>
      <c r="B24" s="5" t="str">
        <f>Compras!A24</f>
        <v>30cm/40cm Cartoon Cardcaptor Sakura Kero Plush Doll Toys Anime</v>
      </c>
      <c r="C24" s="5" t="s">
        <v>304</v>
      </c>
      <c r="D24" s="5" t="s">
        <v>303</v>
      </c>
      <c r="E24" s="15">
        <f>Compras!C24</f>
        <v>247.7</v>
      </c>
      <c r="F24" s="6">
        <f>Compras!D24</f>
        <v>9.2046830843762542E-2</v>
      </c>
      <c r="G24" s="3">
        <f>Compras!B24</f>
        <v>1</v>
      </c>
      <c r="H24" s="15">
        <f>Compras!Q24</f>
        <v>211.68333333333334</v>
      </c>
      <c r="I24" s="3">
        <f>Compras!P24</f>
        <v>1</v>
      </c>
      <c r="J24" s="30" t="s">
        <v>363</v>
      </c>
      <c r="K24" s="16">
        <f t="shared" si="0"/>
        <v>375.67354166666667</v>
      </c>
      <c r="L24" s="17">
        <f t="shared" si="1"/>
        <v>385.5596875</v>
      </c>
      <c r="M24" s="18">
        <f t="shared" si="2"/>
        <v>395.44583333333333</v>
      </c>
      <c r="N24" s="3"/>
    </row>
    <row r="25" spans="1:14" ht="31.2" x14ac:dyDescent="0.3">
      <c r="A25" s="31">
        <v>25</v>
      </c>
      <c r="B25" s="5" t="str">
        <f>Compras!A25</f>
        <v>7cm/13cm Mini Cartoon Cardcaptor Sakura Kero Plush Toys Pendant</v>
      </c>
      <c r="C25" s="5" t="s">
        <v>304</v>
      </c>
      <c r="D25" s="5" t="s">
        <v>303</v>
      </c>
      <c r="E25" s="15">
        <f>Compras!C25</f>
        <v>76.13</v>
      </c>
      <c r="F25" s="6">
        <f>Compras!D25</f>
        <v>8.2227768291080944E-2</v>
      </c>
      <c r="G25" s="3">
        <f>Compras!B25</f>
        <v>2</v>
      </c>
      <c r="H25" s="15">
        <f>Compras!Q25</f>
        <v>56.653333333333336</v>
      </c>
      <c r="I25" s="3">
        <f>Compras!P25</f>
        <v>1</v>
      </c>
      <c r="J25" s="30" t="s">
        <v>363</v>
      </c>
      <c r="K25" s="16">
        <f t="shared" si="0"/>
        <v>186.21500000000003</v>
      </c>
      <c r="L25" s="17">
        <f t="shared" si="1"/>
        <v>155.17916666666667</v>
      </c>
      <c r="M25" s="18">
        <f t="shared" si="2"/>
        <v>124.14333333333335</v>
      </c>
      <c r="N25"/>
    </row>
    <row r="26" spans="1:14" x14ac:dyDescent="0.3">
      <c r="A26" s="31">
        <v>26</v>
      </c>
      <c r="B26" s="5" t="str">
        <f>Compras!A26</f>
        <v>Peluche Familia Blueyd Dog Bingo</v>
      </c>
      <c r="C26" s="5" t="s">
        <v>302</v>
      </c>
      <c r="D26" s="5" t="s">
        <v>303</v>
      </c>
      <c r="E26" s="15">
        <f>Compras!C26</f>
        <v>295.35000000000002</v>
      </c>
      <c r="F26" s="6">
        <f>Compras!D26</f>
        <v>0.76593871677670566</v>
      </c>
      <c r="G26" s="3">
        <f>Compras!B26</f>
        <v>2</v>
      </c>
      <c r="H26" s="15">
        <f>Compras!Q26</f>
        <v>69.13</v>
      </c>
      <c r="I26" s="3">
        <f>Compras!P26</f>
        <v>1</v>
      </c>
      <c r="J26" s="30" t="s">
        <v>363</v>
      </c>
      <c r="K26" s="16">
        <f t="shared" si="0"/>
        <v>194.97187499999998</v>
      </c>
      <c r="L26" s="17">
        <f t="shared" si="1"/>
        <v>153.19218749999999</v>
      </c>
      <c r="M26" s="18">
        <f t="shared" si="2"/>
        <v>111.41249999999999</v>
      </c>
      <c r="N26" s="3"/>
    </row>
    <row r="27" spans="1:14" ht="31.2" x14ac:dyDescent="0.3">
      <c r="A27" s="31">
        <v>27</v>
      </c>
      <c r="B27" s="5" t="str">
        <f>Compras!A27</f>
        <v>Blueys Family Soft Toy Kawaii Sheepdog Stuffed Toys Stuff Doll Anime</v>
      </c>
      <c r="C27" s="5" t="s">
        <v>302</v>
      </c>
      <c r="D27" s="5" t="s">
        <v>303</v>
      </c>
      <c r="E27" s="15">
        <f>Compras!C27</f>
        <v>295.35000000000002</v>
      </c>
      <c r="F27" s="6">
        <f>Compras!D27</f>
        <v>0.50431691213814123</v>
      </c>
      <c r="G27" s="3">
        <f>Compras!B27</f>
        <v>2</v>
      </c>
      <c r="H27" s="15">
        <f>Compras!Q27</f>
        <v>131.76</v>
      </c>
      <c r="I27" s="3">
        <f>Compras!P27</f>
        <v>1</v>
      </c>
      <c r="J27" s="29" t="s">
        <v>363</v>
      </c>
      <c r="K27" s="16">
        <f t="shared" si="0"/>
        <v>284.54999999999995</v>
      </c>
      <c r="L27" s="17">
        <f t="shared" si="1"/>
        <v>237.12499999999997</v>
      </c>
      <c r="M27" s="18">
        <f t="shared" si="2"/>
        <v>189.7</v>
      </c>
      <c r="N27" s="3"/>
    </row>
    <row r="28" spans="1:14" ht="31.2" x14ac:dyDescent="0.3">
      <c r="A28" s="31">
        <v>28</v>
      </c>
      <c r="B28" s="5" t="str">
        <f>Compras!A28</f>
        <v>25cm Kawaii Pearl Milk Tea PIG Plush Toy Stuffed Animal Rabbit Frog</v>
      </c>
      <c r="C28" s="5" t="s">
        <v>321</v>
      </c>
      <c r="D28" s="5" t="s">
        <v>303</v>
      </c>
      <c r="E28" s="15">
        <f>Compras!C28</f>
        <v>61.48</v>
      </c>
      <c r="F28" s="6">
        <f>Compras!D28</f>
        <v>0.20104098893949252</v>
      </c>
      <c r="G28" s="3">
        <f>Compras!B28</f>
        <v>1</v>
      </c>
      <c r="H28" s="15">
        <f>Compras!Q28</f>
        <v>128.97</v>
      </c>
      <c r="I28" s="3">
        <f>Compras!P28</f>
        <v>1</v>
      </c>
      <c r="J28" s="30" t="s">
        <v>363</v>
      </c>
      <c r="K28" s="16">
        <f t="shared" si="0"/>
        <v>273.06874999999997</v>
      </c>
      <c r="L28" s="17">
        <f t="shared" si="1"/>
        <v>245.76187499999997</v>
      </c>
      <c r="M28" s="18">
        <f t="shared" si="2"/>
        <v>218.45499999999998</v>
      </c>
      <c r="N28" s="3"/>
    </row>
    <row r="29" spans="1:14" ht="31.2" x14ac:dyDescent="0.3">
      <c r="A29" s="31">
        <v>29</v>
      </c>
      <c r="B29" s="5" t="str">
        <f>Compras!A29</f>
        <v>Sanrios My Melody Kuromi Pochacco Birthday Cake Shape Plush - Cumpleaños</v>
      </c>
      <c r="C29" s="5" t="s">
        <v>346</v>
      </c>
      <c r="D29" s="5" t="s">
        <v>303</v>
      </c>
      <c r="E29" s="15">
        <f>Compras!C29</f>
        <v>79.900000000000006</v>
      </c>
      <c r="F29" s="6">
        <f>Compras!D29</f>
        <v>3.8423028785982569E-2</v>
      </c>
      <c r="G29" s="3">
        <f>Compras!B29</f>
        <v>2</v>
      </c>
      <c r="H29" s="15">
        <f>Compras!Q29</f>
        <v>123.52499999999999</v>
      </c>
      <c r="I29" s="3">
        <f>Compras!P29</f>
        <v>1</v>
      </c>
      <c r="J29" s="30" t="s">
        <v>363</v>
      </c>
      <c r="K29" s="16">
        <f t="shared" si="0"/>
        <v>241.16874999999999</v>
      </c>
      <c r="L29" s="17">
        <f t="shared" si="1"/>
        <v>241.16874999999999</v>
      </c>
      <c r="M29" s="18">
        <f t="shared" si="2"/>
        <v>241.16874999999999</v>
      </c>
      <c r="N29" s="3"/>
    </row>
    <row r="30" spans="1:14" ht="31.2" x14ac:dyDescent="0.3">
      <c r="A30" s="31">
        <v>30</v>
      </c>
      <c r="B30" s="5" t="str">
        <f>Compras!A30</f>
        <v>The Amazing Digital Circus Plush Cartoon Plushie Toys - Bufon</v>
      </c>
      <c r="C30" s="5" t="s">
        <v>310</v>
      </c>
      <c r="D30" s="5" t="s">
        <v>303</v>
      </c>
      <c r="E30" s="15">
        <f>Compras!C30</f>
        <v>205.17</v>
      </c>
      <c r="F30" s="6">
        <f>Compras!D30</f>
        <v>0.68562655358970603</v>
      </c>
      <c r="G30" s="3">
        <f>Compras!B30</f>
        <v>1</v>
      </c>
      <c r="H30" s="15">
        <f>Compras!Q30</f>
        <v>55.474999999999994</v>
      </c>
      <c r="I30" s="3">
        <f>Compras!P30</f>
        <v>1</v>
      </c>
      <c r="J30" s="30" t="s">
        <v>363</v>
      </c>
      <c r="K30" s="16">
        <f t="shared" si="0"/>
        <v>165.1015625</v>
      </c>
      <c r="L30" s="17">
        <f t="shared" si="1"/>
        <v>129.72265625</v>
      </c>
      <c r="M30" s="18">
        <f t="shared" si="2"/>
        <v>94.34375</v>
      </c>
      <c r="N30" s="3"/>
    </row>
    <row r="31" spans="1:14" ht="31.2" x14ac:dyDescent="0.3">
      <c r="A31" s="31">
        <v>31</v>
      </c>
      <c r="B31" s="5" t="str">
        <f>Compras!A31</f>
        <v>The Amazing Digital Circus Plush Cartoon Plushie Toys - Muñeca</v>
      </c>
      <c r="C31" s="5" t="s">
        <v>310</v>
      </c>
      <c r="D31" s="5" t="s">
        <v>303</v>
      </c>
      <c r="E31" s="15">
        <f>Compras!C31</f>
        <v>168.35</v>
      </c>
      <c r="F31" s="6">
        <f>Compras!D31</f>
        <v>0.62744282744282753</v>
      </c>
      <c r="G31" s="3">
        <f>Compras!B31</f>
        <v>1</v>
      </c>
      <c r="H31" s="15">
        <f>Compras!Q31</f>
        <v>53.695</v>
      </c>
      <c r="I31" s="3">
        <f>Compras!P31</f>
        <v>1</v>
      </c>
      <c r="J31" s="30" t="s">
        <v>363</v>
      </c>
      <c r="K31" s="16">
        <f t="shared" si="0"/>
        <v>161.20781250000002</v>
      </c>
      <c r="L31" s="17">
        <f t="shared" si="1"/>
        <v>126.66328125000001</v>
      </c>
      <c r="M31" s="18">
        <f t="shared" si="2"/>
        <v>92.118750000000006</v>
      </c>
      <c r="N31" s="3"/>
    </row>
    <row r="32" spans="1:14" ht="31.2" x14ac:dyDescent="0.3">
      <c r="A32" s="31">
        <v>32</v>
      </c>
      <c r="B32" s="5" t="str">
        <f>Compras!A32</f>
        <v>Rompecabezas Montessori de 60 piezas para niños, juguetes educativos</v>
      </c>
      <c r="C32" s="5" t="s">
        <v>368</v>
      </c>
      <c r="D32" s="5" t="s">
        <v>322</v>
      </c>
      <c r="E32" s="15">
        <f>Compras!C32</f>
        <v>122.02</v>
      </c>
      <c r="F32" s="6">
        <f>Compras!D32</f>
        <v>0.61842320930994921</v>
      </c>
      <c r="G32" s="3">
        <f>Compras!B32</f>
        <v>1</v>
      </c>
      <c r="H32" s="15">
        <f>Compras!Q32</f>
        <v>39.950000000000003</v>
      </c>
      <c r="I32" s="3">
        <f>Compras!P32</f>
        <v>1</v>
      </c>
      <c r="J32" s="30" t="s">
        <v>363</v>
      </c>
      <c r="K32" s="16">
        <f t="shared" si="0"/>
        <v>148.61875000000003</v>
      </c>
      <c r="L32" s="17">
        <f t="shared" si="1"/>
        <v>116.77187500000002</v>
      </c>
      <c r="M32" s="18">
        <f t="shared" si="2"/>
        <v>84.925000000000011</v>
      </c>
      <c r="N32" s="3"/>
    </row>
    <row r="33" spans="1:14" ht="31.2" x14ac:dyDescent="0.3">
      <c r="A33" s="31">
        <v>33</v>
      </c>
      <c r="B33" s="5" t="str">
        <f>Compras!A33</f>
        <v>The Amazing Digital Circus Pomni Jax Plush Cartoon Plushie Toys - Bufon</v>
      </c>
      <c r="C33" s="5" t="s">
        <v>310</v>
      </c>
      <c r="D33" s="5" t="s">
        <v>303</v>
      </c>
      <c r="E33" s="15">
        <f>Compras!C33</f>
        <v>57.36</v>
      </c>
      <c r="F33" s="6">
        <f>Compras!D33</f>
        <v>0.40603207810320785</v>
      </c>
      <c r="G33" s="3">
        <f>Compras!B33</f>
        <v>1</v>
      </c>
      <c r="H33" s="15">
        <f>Compras!Q33</f>
        <v>62.69</v>
      </c>
      <c r="I33" s="3">
        <f>Compras!P33</f>
        <v>1</v>
      </c>
      <c r="J33" s="30" t="s">
        <v>363</v>
      </c>
      <c r="K33" s="16">
        <f t="shared" si="0"/>
        <v>202.06124999999997</v>
      </c>
      <c r="L33" s="17">
        <f t="shared" si="1"/>
        <v>168.38437499999998</v>
      </c>
      <c r="M33" s="18">
        <f t="shared" si="2"/>
        <v>134.70749999999998</v>
      </c>
      <c r="N33" s="3"/>
    </row>
    <row r="34" spans="1:14" ht="31.2" x14ac:dyDescent="0.3">
      <c r="A34" s="31">
        <v>34</v>
      </c>
      <c r="B34" s="5" t="str">
        <f>Compras!A34</f>
        <v>The Amazing Digital Circus Pomni Jax Plush Cartoon Plushie Toys - Conejo</v>
      </c>
      <c r="C34" s="5" t="s">
        <v>310</v>
      </c>
      <c r="D34" s="5" t="s">
        <v>303</v>
      </c>
      <c r="E34" s="15">
        <f>Compras!C34</f>
        <v>40.479999999999997</v>
      </c>
      <c r="F34" s="6">
        <f>Compras!D34</f>
        <v>0.40316205533596838</v>
      </c>
      <c r="G34" s="3">
        <f>Compras!B34</f>
        <v>1</v>
      </c>
      <c r="H34" s="15">
        <f>Compras!Q34</f>
        <v>52.78</v>
      </c>
      <c r="I34" s="3">
        <f>Compras!P34</f>
        <v>1</v>
      </c>
      <c r="J34" s="30" t="s">
        <v>363</v>
      </c>
      <c r="K34" s="16">
        <f t="shared" ref="K34:K65" si="3">M34* (IF(M34-H34&lt;100, IF(M34-H34&gt;80, 1.25, IF(M34-H34&gt;50, 1.5, 1.75)), IF(M34-H34&gt;150, 0.95, IF(M34-H34&gt;170, 0.9, 1))))</f>
        <v>176.04750000000001</v>
      </c>
      <c r="L34" s="17">
        <f t="shared" ref="L34:L65" si="4">(K34+M34)/2</f>
        <v>146.70625000000001</v>
      </c>
      <c r="M34" s="18">
        <f t="shared" ref="M34:M65" si="5">(H34/I34) * ( IF(E34&gt;H34, IF(E34-H34&gt;100, 1.25, IF(E34-H34&gt;50, 1.5, 1.75)), IF(H34-E34&gt;100, 1.25, IF(H34-E34&gt;50, 1.5, 1.75))) ) + 25</f>
        <v>117.36500000000001</v>
      </c>
      <c r="N34" s="3"/>
    </row>
    <row r="35" spans="1:14" x14ac:dyDescent="0.3">
      <c r="A35" s="31">
        <v>35</v>
      </c>
      <c r="B35" s="5" t="str">
        <f>Compras!A35</f>
        <v>Peluche Conejo Kawaii Pomni Jax - Conejo</v>
      </c>
      <c r="C35" s="5" t="s">
        <v>310</v>
      </c>
      <c r="D35" s="5" t="s">
        <v>303</v>
      </c>
      <c r="E35" s="15">
        <f>Compras!C35</f>
        <v>190.95</v>
      </c>
      <c r="F35" s="6">
        <f>Compras!D35</f>
        <v>0.64210526315789462</v>
      </c>
      <c r="G35" s="3">
        <f>Compras!B35</f>
        <v>1</v>
      </c>
      <c r="H35" s="15">
        <f>Compras!Q35</f>
        <v>58.650000000000006</v>
      </c>
      <c r="I35" s="3">
        <f>Compras!P35</f>
        <v>1</v>
      </c>
      <c r="J35" s="30" t="s">
        <v>363</v>
      </c>
      <c r="K35" s="16">
        <f t="shared" si="3"/>
        <v>172.046875</v>
      </c>
      <c r="L35" s="17">
        <f t="shared" si="4"/>
        <v>135.1796875</v>
      </c>
      <c r="M35" s="18">
        <f t="shared" si="5"/>
        <v>98.3125</v>
      </c>
      <c r="N35" s="3"/>
    </row>
    <row r="36" spans="1:14" ht="31.2" x14ac:dyDescent="0.3">
      <c r="A36" s="31">
        <v>36</v>
      </c>
      <c r="B36" s="5" t="str">
        <f>Compras!A36</f>
        <v>Goro, Scarf Harries Student Campus CosPlay Gryffindor Hufflepuff College</v>
      </c>
      <c r="C36" s="5" t="s">
        <v>314</v>
      </c>
      <c r="D36" s="5" t="s">
        <v>315</v>
      </c>
      <c r="E36" s="15">
        <f>Compras!C36</f>
        <v>99.04</v>
      </c>
      <c r="F36" s="6">
        <f>Compras!D36</f>
        <v>0.52090064620355403</v>
      </c>
      <c r="G36" s="3">
        <f>Compras!B36</f>
        <v>1</v>
      </c>
      <c r="H36" s="15">
        <f>Compras!Q36</f>
        <v>79.254999999999995</v>
      </c>
      <c r="I36" s="3">
        <f>Compras!P36</f>
        <v>1</v>
      </c>
      <c r="J36" s="30" t="s">
        <v>363</v>
      </c>
      <c r="K36" s="16">
        <f t="shared" si="3"/>
        <v>204.62031249999998</v>
      </c>
      <c r="L36" s="17">
        <f t="shared" si="4"/>
        <v>184.15828124999999</v>
      </c>
      <c r="M36" s="18">
        <f t="shared" si="5"/>
        <v>163.69624999999999</v>
      </c>
      <c r="N36" s="3"/>
    </row>
    <row r="37" spans="1:14" ht="31.2" x14ac:dyDescent="0.3">
      <c r="A37" s="31">
        <v>37</v>
      </c>
      <c r="B37" s="5" t="str">
        <f>Compras!A37</f>
        <v>Bufanda, Scarf Harries Student Campus CosPlay Gryffindor Hufflepuff College</v>
      </c>
      <c r="C37" s="5" t="s">
        <v>314</v>
      </c>
      <c r="D37" s="5" t="s">
        <v>316</v>
      </c>
      <c r="E37" s="15">
        <f>Compras!C37</f>
        <v>88.19</v>
      </c>
      <c r="F37" s="6">
        <f>Compras!D37</f>
        <v>0.52114752239482942</v>
      </c>
      <c r="G37" s="3">
        <f>Compras!B37</f>
        <v>1</v>
      </c>
      <c r="H37" s="15">
        <f>Compras!Q37</f>
        <v>74.034999999999997</v>
      </c>
      <c r="I37" s="3">
        <f>Compras!P37</f>
        <v>1</v>
      </c>
      <c r="J37" s="30" t="s">
        <v>363</v>
      </c>
      <c r="K37" s="16">
        <f t="shared" si="3"/>
        <v>193.20156249999999</v>
      </c>
      <c r="L37" s="17">
        <f t="shared" si="4"/>
        <v>173.88140625</v>
      </c>
      <c r="M37" s="18">
        <f t="shared" si="5"/>
        <v>154.56125</v>
      </c>
      <c r="N37" s="3"/>
    </row>
    <row r="38" spans="1:14" x14ac:dyDescent="0.3">
      <c r="A38" s="31">
        <v>38</v>
      </c>
      <c r="B38" s="5" t="str">
        <f>Compras!A38</f>
        <v>Disney-llavero de peluche, James Sullivan</v>
      </c>
      <c r="C38" s="5" t="s">
        <v>313</v>
      </c>
      <c r="D38" s="5" t="s">
        <v>362</v>
      </c>
      <c r="E38" s="15">
        <f>Compras!C38</f>
        <v>91.56</v>
      </c>
      <c r="F38" s="6">
        <f>Compras!D38</f>
        <v>0.51703800786369591</v>
      </c>
      <c r="G38" s="3">
        <f>Compras!B38</f>
        <v>1</v>
      </c>
      <c r="H38" s="15">
        <f>Compras!Q38</f>
        <v>44.225000000000001</v>
      </c>
      <c r="I38" s="3">
        <f>Compras!P38</f>
        <v>1</v>
      </c>
      <c r="J38" s="30" t="s">
        <v>363</v>
      </c>
      <c r="K38" s="16">
        <f t="shared" si="3"/>
        <v>153.59062499999999</v>
      </c>
      <c r="L38" s="17">
        <f t="shared" si="4"/>
        <v>127.9921875</v>
      </c>
      <c r="M38" s="18">
        <f t="shared" si="5"/>
        <v>102.39375</v>
      </c>
      <c r="N38" s="3"/>
    </row>
    <row r="39" spans="1:14" x14ac:dyDescent="0.3">
      <c r="A39" s="31">
        <v>39</v>
      </c>
      <c r="B39" s="5" t="str">
        <f>Compras!A39</f>
        <v>Disney-llavero de peluche, Mike Wazowski</v>
      </c>
      <c r="C39" s="5" t="s">
        <v>313</v>
      </c>
      <c r="D39" s="5" t="s">
        <v>362</v>
      </c>
      <c r="E39" s="15">
        <f>Compras!C39</f>
        <v>85.79</v>
      </c>
      <c r="F39" s="6">
        <f>Compras!D39</f>
        <v>0.51940785639351916</v>
      </c>
      <c r="G39" s="3">
        <f>Compras!B39</f>
        <v>1</v>
      </c>
      <c r="H39" s="15">
        <f>Compras!Q39</f>
        <v>41.234999999999999</v>
      </c>
      <c r="I39" s="3">
        <f>Compras!P39</f>
        <v>1</v>
      </c>
      <c r="J39" s="30" t="s">
        <v>363</v>
      </c>
      <c r="K39" s="16">
        <f t="shared" si="3"/>
        <v>145.74187499999999</v>
      </c>
      <c r="L39" s="17">
        <f t="shared" si="4"/>
        <v>121.45156249999999</v>
      </c>
      <c r="M39" s="18">
        <f t="shared" si="5"/>
        <v>97.161249999999995</v>
      </c>
      <c r="N39" s="3"/>
    </row>
    <row r="40" spans="1:14" ht="31.2" x14ac:dyDescent="0.3">
      <c r="A40" s="31">
        <v>40</v>
      </c>
      <c r="B40" s="5" t="str">
        <f>Compras!A40</f>
        <v>Almohada peluche Star Kirby, muñeco de peluche suave, corazon rosa, fresa, 30cm</v>
      </c>
      <c r="C40" s="5" t="s">
        <v>325</v>
      </c>
      <c r="D40" s="5" t="s">
        <v>303</v>
      </c>
      <c r="E40" s="15">
        <f>Compras!C40</f>
        <v>299</v>
      </c>
      <c r="F40" s="6">
        <f>Compras!D40</f>
        <v>0.33210702341137127</v>
      </c>
      <c r="G40" s="3">
        <f>Compras!B40</f>
        <v>2</v>
      </c>
      <c r="H40" s="15">
        <f>Compras!Q40</f>
        <v>253.34333333333331</v>
      </c>
      <c r="I40" s="3">
        <f>Compras!P40</f>
        <v>1</v>
      </c>
      <c r="J40" s="29" t="s">
        <v>363</v>
      </c>
      <c r="K40" s="16">
        <f t="shared" si="3"/>
        <v>444.93329166666661</v>
      </c>
      <c r="L40" s="17">
        <f t="shared" si="4"/>
        <v>456.64206249999995</v>
      </c>
      <c r="M40" s="18">
        <f t="shared" si="5"/>
        <v>468.3508333333333</v>
      </c>
      <c r="N40" s="3"/>
    </row>
    <row r="41" spans="1:14" ht="31.2" x14ac:dyDescent="0.3">
      <c r="A41" s="31">
        <v>41</v>
      </c>
      <c r="B41" s="5" t="str">
        <f>Compras!A41</f>
        <v>Almohada peluche Star Kirby, muñeco de peluche suave, Kirby sentado, 30cm</v>
      </c>
      <c r="C41" s="5" t="s">
        <v>325</v>
      </c>
      <c r="D41" s="5" t="s">
        <v>303</v>
      </c>
      <c r="E41" s="15">
        <f>Compras!C41</f>
        <v>299</v>
      </c>
      <c r="F41" s="6">
        <f>Compras!D41</f>
        <v>0.29608695652173916</v>
      </c>
      <c r="G41" s="3">
        <f>Compras!B41</f>
        <v>1</v>
      </c>
      <c r="H41" s="15">
        <f>Compras!Q41</f>
        <v>264.11333333333334</v>
      </c>
      <c r="I41" s="3">
        <f>Compras!P41</f>
        <v>1</v>
      </c>
      <c r="J41" s="29" t="s">
        <v>363</v>
      </c>
      <c r="K41" s="16">
        <f t="shared" si="3"/>
        <v>462.83841666666672</v>
      </c>
      <c r="L41" s="17">
        <f t="shared" si="4"/>
        <v>475.01837500000005</v>
      </c>
      <c r="M41" s="18">
        <f t="shared" si="5"/>
        <v>487.19833333333338</v>
      </c>
      <c r="N41"/>
    </row>
    <row r="42" spans="1:14" ht="31.2" x14ac:dyDescent="0.3">
      <c r="A42" s="31">
        <v>42</v>
      </c>
      <c r="B42" s="5" t="str">
        <f>Compras!A42</f>
        <v>Naruto - Anime surrounding Naruto series theme children's cartoon cute plush</v>
      </c>
      <c r="C42" s="5" t="s">
        <v>334</v>
      </c>
      <c r="D42" s="5" t="s">
        <v>303</v>
      </c>
      <c r="E42" s="15">
        <f>Compras!C42</f>
        <v>261</v>
      </c>
      <c r="F42" s="6">
        <f>Compras!D42</f>
        <v>0.39302681992337168</v>
      </c>
      <c r="G42" s="3">
        <f>Compras!B42</f>
        <v>1</v>
      </c>
      <c r="H42" s="15">
        <f>Compras!Q42</f>
        <v>158.41999999999999</v>
      </c>
      <c r="I42" s="3">
        <f>Compras!P42</f>
        <v>1</v>
      </c>
      <c r="J42" s="30" t="s">
        <v>363</v>
      </c>
      <c r="K42" s="16">
        <f t="shared" si="3"/>
        <v>334.53749999999997</v>
      </c>
      <c r="L42" s="17">
        <f t="shared" si="4"/>
        <v>278.78125</v>
      </c>
      <c r="M42" s="18">
        <f t="shared" si="5"/>
        <v>223.02499999999998</v>
      </c>
      <c r="N42"/>
    </row>
    <row r="43" spans="1:14" ht="31.2" x14ac:dyDescent="0.3">
      <c r="A43" s="31">
        <v>43</v>
      </c>
      <c r="B43" s="5" t="str">
        <f>Compras!A43</f>
        <v>21CM Anime Naruto Kyuubi Kurama Toy Q Version Nine-Tailed</v>
      </c>
      <c r="C43" s="5" t="s">
        <v>334</v>
      </c>
      <c r="D43" s="5" t="s">
        <v>303</v>
      </c>
      <c r="E43" s="15">
        <f>Compras!C43</f>
        <v>92.32</v>
      </c>
      <c r="F43" s="6">
        <f>Compras!D43</f>
        <v>0.24122616984402076</v>
      </c>
      <c r="G43" s="3">
        <f>Compras!B43</f>
        <v>1</v>
      </c>
      <c r="H43" s="15">
        <f>Compras!Q43</f>
        <v>162.26999999999998</v>
      </c>
      <c r="I43" s="3">
        <f>Compras!P43</f>
        <v>1</v>
      </c>
      <c r="J43" s="30" t="s">
        <v>363</v>
      </c>
      <c r="K43" s="16">
        <f t="shared" si="3"/>
        <v>268.40499999999997</v>
      </c>
      <c r="L43" s="17">
        <f t="shared" si="4"/>
        <v>268.40499999999997</v>
      </c>
      <c r="M43" s="18">
        <f t="shared" si="5"/>
        <v>268.40499999999997</v>
      </c>
      <c r="N43"/>
    </row>
    <row r="44" spans="1:14" ht="31.2" x14ac:dyDescent="0.3">
      <c r="A44" s="31">
        <v>44</v>
      </c>
      <c r="B44" s="5" t="str">
        <f>Compras!A44</f>
        <v>20cm Naruto Anime Figure Plush Uzumaki Naruto Kakashi Uchiha Itachi</v>
      </c>
      <c r="C44" s="5" t="s">
        <v>334</v>
      </c>
      <c r="D44" s="5" t="s">
        <v>303</v>
      </c>
      <c r="E44" s="15">
        <f>Compras!C44</f>
        <v>89</v>
      </c>
      <c r="F44" s="6">
        <f>Compras!D44</f>
        <v>1.1235955056185523E-4</v>
      </c>
      <c r="G44" s="3">
        <f>Compras!B44</f>
        <v>3</v>
      </c>
      <c r="H44" s="15">
        <f>Compras!Q44</f>
        <v>87.193333333333328</v>
      </c>
      <c r="I44" s="3">
        <f>Compras!P44</f>
        <v>1</v>
      </c>
      <c r="J44" s="30" t="s">
        <v>363</v>
      </c>
      <c r="K44" s="16">
        <f t="shared" si="3"/>
        <v>221.98541666666665</v>
      </c>
      <c r="L44" s="17">
        <f t="shared" si="4"/>
        <v>199.78687499999998</v>
      </c>
      <c r="M44" s="18">
        <f t="shared" si="5"/>
        <v>177.58833333333331</v>
      </c>
      <c r="N44"/>
    </row>
    <row r="45" spans="1:14" ht="31.2" x14ac:dyDescent="0.3">
      <c r="A45" s="31">
        <v>45</v>
      </c>
      <c r="B45" s="5" t="str">
        <f>Compras!A45</f>
        <v>Itachi Anime de NARUTO, Sasuke, Kakashi, Itachi, Gaara…</v>
      </c>
      <c r="C45" s="5" t="s">
        <v>334</v>
      </c>
      <c r="D45" s="5" t="s">
        <v>303</v>
      </c>
      <c r="E45" s="15">
        <f>Compras!C45</f>
        <v>89</v>
      </c>
      <c r="F45" s="6">
        <f>Compras!D45</f>
        <v>0.42393258426966285</v>
      </c>
      <c r="G45" s="3">
        <f>Compras!B45</f>
        <v>1</v>
      </c>
      <c r="H45" s="15">
        <f>Compras!Q45</f>
        <v>73.69</v>
      </c>
      <c r="I45" s="3">
        <f>Compras!P45</f>
        <v>1</v>
      </c>
      <c r="J45" s="30" t="s">
        <v>363</v>
      </c>
      <c r="K45" s="16">
        <f t="shared" si="3"/>
        <v>192.44687499999998</v>
      </c>
      <c r="L45" s="17">
        <f t="shared" si="4"/>
        <v>173.20218749999998</v>
      </c>
      <c r="M45" s="18">
        <f t="shared" si="5"/>
        <v>153.95749999999998</v>
      </c>
      <c r="N45"/>
    </row>
    <row r="46" spans="1:14" ht="31.2" x14ac:dyDescent="0.3">
      <c r="A46" s="31">
        <v>46</v>
      </c>
      <c r="B46" s="5" t="str">
        <f>Compras!A46</f>
        <v>Winnie The Pooh Super Cute Gift Doll Plush Toy Birthday Gift for Children 10cm</v>
      </c>
      <c r="C46" s="5" t="s">
        <v>313</v>
      </c>
      <c r="D46" s="5" t="s">
        <v>303</v>
      </c>
      <c r="E46" s="15">
        <f>Compras!C46</f>
        <v>37.85</v>
      </c>
      <c r="F46" s="6">
        <f>Compras!D46</f>
        <v>0.34266842800528408</v>
      </c>
      <c r="G46" s="3">
        <f>Compras!B46</f>
        <v>3</v>
      </c>
      <c r="H46" s="15">
        <f>Compras!Q46</f>
        <v>33.369999999999997</v>
      </c>
      <c r="I46" s="3">
        <f>Compras!P46</f>
        <v>1</v>
      </c>
      <c r="J46" s="30" t="s">
        <v>363</v>
      </c>
      <c r="K46" s="16">
        <f t="shared" si="3"/>
        <v>125.09625</v>
      </c>
      <c r="L46" s="17">
        <f t="shared" si="4"/>
        <v>104.24687499999999</v>
      </c>
      <c r="M46" s="18">
        <f t="shared" si="5"/>
        <v>83.397499999999994</v>
      </c>
      <c r="N46"/>
    </row>
    <row r="47" spans="1:14" x14ac:dyDescent="0.3">
      <c r="A47" s="31">
        <v>47</v>
      </c>
      <c r="B47" s="5" t="str">
        <f>Compras!A47</f>
        <v>Peluche Start Kirby, Fresa y Corazon 30 cm</v>
      </c>
      <c r="C47" s="5" t="s">
        <v>325</v>
      </c>
      <c r="D47" s="5" t="s">
        <v>303</v>
      </c>
      <c r="E47" s="15">
        <f>Compras!C47</f>
        <v>250</v>
      </c>
      <c r="F47" s="6">
        <f>Compras!D47</f>
        <v>0.20120000000000005</v>
      </c>
      <c r="G47" s="3">
        <f>Compras!B47</f>
        <v>2</v>
      </c>
      <c r="H47" s="15">
        <f>Compras!Q47</f>
        <v>253.34333333333331</v>
      </c>
      <c r="I47" s="3">
        <f>Compras!P47</f>
        <v>1</v>
      </c>
      <c r="J47" s="29" t="s">
        <v>363</v>
      </c>
      <c r="K47" s="16">
        <f t="shared" si="3"/>
        <v>444.93329166666661</v>
      </c>
      <c r="L47" s="17">
        <f t="shared" si="4"/>
        <v>456.64206249999995</v>
      </c>
      <c r="M47" s="18">
        <f t="shared" si="5"/>
        <v>468.3508333333333</v>
      </c>
      <c r="N47"/>
    </row>
    <row r="48" spans="1:14" x14ac:dyDescent="0.3">
      <c r="A48" s="31">
        <v>48</v>
      </c>
      <c r="B48" s="5" t="str">
        <f>Compras!A48</f>
        <v>Peluche Start Kirby, sentadito 30 cm</v>
      </c>
      <c r="C48" s="5" t="s">
        <v>325</v>
      </c>
      <c r="D48" s="5" t="s">
        <v>303</v>
      </c>
      <c r="E48" s="15">
        <f>Compras!C48</f>
        <v>270</v>
      </c>
      <c r="F48" s="6">
        <f>Compras!D48</f>
        <v>0.22048148148148147</v>
      </c>
      <c r="G48" s="3">
        <f>Compras!B48</f>
        <v>1</v>
      </c>
      <c r="H48" s="15">
        <f>Compras!Q48</f>
        <v>264.11333333333334</v>
      </c>
      <c r="I48" s="3">
        <f>Compras!P48</f>
        <v>1</v>
      </c>
      <c r="J48" s="29" t="s">
        <v>363</v>
      </c>
      <c r="K48" s="16">
        <f t="shared" si="3"/>
        <v>462.83841666666672</v>
      </c>
      <c r="L48" s="17">
        <f t="shared" si="4"/>
        <v>475.01837500000005</v>
      </c>
      <c r="M48" s="18">
        <f t="shared" si="5"/>
        <v>487.19833333333338</v>
      </c>
      <c r="N48"/>
    </row>
    <row r="49" spans="1:14" ht="31.2" x14ac:dyDescent="0.3">
      <c r="A49" s="31">
        <v>49</v>
      </c>
      <c r="B49" s="5" t="str">
        <f>Compras!A49</f>
        <v>Sanrio Plush Toys Kuromi Stuff Cinnamoroll Room Decor Hello Kitty Babies</v>
      </c>
      <c r="C49" s="5" t="s">
        <v>346</v>
      </c>
      <c r="D49" s="5" t="s">
        <v>303</v>
      </c>
      <c r="E49" s="15">
        <f>Compras!C49</f>
        <v>160.97</v>
      </c>
      <c r="F49" s="6">
        <f>Compras!D49</f>
        <v>0.49419146424799648</v>
      </c>
      <c r="G49" s="3">
        <f>Compras!B49</f>
        <v>4</v>
      </c>
      <c r="H49" s="15">
        <f>Compras!Q49</f>
        <v>77.349999999999994</v>
      </c>
      <c r="I49" s="3">
        <f>Compras!P49</f>
        <v>1</v>
      </c>
      <c r="J49" s="30" t="s">
        <v>363</v>
      </c>
      <c r="K49" s="16">
        <f t="shared" si="3"/>
        <v>211.53749999999997</v>
      </c>
      <c r="L49" s="17">
        <f t="shared" si="4"/>
        <v>176.28124999999997</v>
      </c>
      <c r="M49" s="18">
        <f t="shared" si="5"/>
        <v>141.02499999999998</v>
      </c>
      <c r="N49"/>
    </row>
    <row r="50" spans="1:14" ht="31.2" x14ac:dyDescent="0.3">
      <c r="A50" s="31">
        <v>50</v>
      </c>
      <c r="B50" s="5" t="str">
        <f>Compras!A50</f>
        <v>Disney Cute Lilo &amp; Stitch Purple Stitch Pendant Plush Toy</v>
      </c>
      <c r="C50" s="5" t="s">
        <v>313</v>
      </c>
      <c r="D50" s="5" t="s">
        <v>362</v>
      </c>
      <c r="E50" s="15">
        <f>Compras!C50</f>
        <v>82.22</v>
      </c>
      <c r="F50" s="6">
        <f>Compras!D50</f>
        <v>0.44368766723424957</v>
      </c>
      <c r="G50" s="3">
        <f>Compras!B50</f>
        <v>3</v>
      </c>
      <c r="H50" s="15">
        <f>Compras!Q50</f>
        <v>45.74</v>
      </c>
      <c r="I50" s="3">
        <f>Compras!P50</f>
        <v>1</v>
      </c>
      <c r="J50" s="30" t="s">
        <v>363</v>
      </c>
      <c r="K50" s="16">
        <f t="shared" si="3"/>
        <v>157.5675</v>
      </c>
      <c r="L50" s="17">
        <f t="shared" si="4"/>
        <v>131.30625000000001</v>
      </c>
      <c r="M50" s="18">
        <f t="shared" si="5"/>
        <v>105.045</v>
      </c>
      <c r="N50"/>
    </row>
    <row r="51" spans="1:14" ht="31.2" x14ac:dyDescent="0.3">
      <c r="A51" s="31">
        <v>51</v>
      </c>
      <c r="B51" s="5" t="str">
        <f>Compras!A51</f>
        <v>Bowsy - 43 Styles Super Mario Plush Toy Bowser Peach Princess Yoshi Mario</v>
      </c>
      <c r="C51" s="5" t="s">
        <v>329</v>
      </c>
      <c r="D51" s="5" t="s">
        <v>303</v>
      </c>
      <c r="E51" s="15">
        <f>Compras!C51</f>
        <v>149.34</v>
      </c>
      <c r="F51" s="6">
        <f>Compras!D51</f>
        <v>0.35409133520824965</v>
      </c>
      <c r="G51" s="3">
        <f>Compras!B51</f>
        <v>1</v>
      </c>
      <c r="H51" s="15">
        <f>Compras!Q51</f>
        <v>158.68</v>
      </c>
      <c r="I51" s="3">
        <f>Compras!P51</f>
        <v>1</v>
      </c>
      <c r="J51" s="30" t="s">
        <v>363</v>
      </c>
      <c r="K51" s="16">
        <f t="shared" si="3"/>
        <v>302.69</v>
      </c>
      <c r="L51" s="17">
        <f t="shared" si="4"/>
        <v>302.69</v>
      </c>
      <c r="M51" s="18">
        <f t="shared" si="5"/>
        <v>302.69</v>
      </c>
      <c r="N51" s="3"/>
    </row>
    <row r="52" spans="1:14" ht="31.2" x14ac:dyDescent="0.3">
      <c r="A52" s="31">
        <v>52</v>
      </c>
      <c r="B52" s="5" t="str">
        <f>Compras!A52</f>
        <v>Mario Odyssey - Super Mario Luigi All Star Collection Plush Dolls Cute Anime</v>
      </c>
      <c r="C52" s="5" t="s">
        <v>329</v>
      </c>
      <c r="D52" s="5" t="s">
        <v>303</v>
      </c>
      <c r="E52" s="15">
        <f>Compras!C52</f>
        <v>247.52</v>
      </c>
      <c r="F52" s="6">
        <f>Compras!D52</f>
        <v>0.39475597931480277</v>
      </c>
      <c r="G52" s="3">
        <f>Compras!B52</f>
        <v>1</v>
      </c>
      <c r="H52" s="15">
        <f>Compras!Q52</f>
        <v>153.55000000000001</v>
      </c>
      <c r="I52" s="3">
        <f>Compras!P52</f>
        <v>1</v>
      </c>
      <c r="J52" s="29" t="s">
        <v>363</v>
      </c>
      <c r="K52" s="16">
        <f t="shared" si="3"/>
        <v>255.32500000000002</v>
      </c>
      <c r="L52" s="17">
        <f t="shared" si="4"/>
        <v>255.32500000000002</v>
      </c>
      <c r="M52" s="18">
        <f t="shared" si="5"/>
        <v>255.32500000000002</v>
      </c>
      <c r="N52" s="3"/>
    </row>
    <row r="53" spans="1:14" ht="31.2" x14ac:dyDescent="0.3">
      <c r="A53" s="31">
        <v>53</v>
      </c>
      <c r="B53" s="5" t="str">
        <f>Compras!A53</f>
        <v>Luigui - Mario Luigi Cosplay Elephant Toys Princess Peach Rosalina Role Play</v>
      </c>
      <c r="C53" s="5" t="s">
        <v>329</v>
      </c>
      <c r="D53" s="5" t="s">
        <v>303</v>
      </c>
      <c r="E53" s="15">
        <f>Compras!C53</f>
        <v>215.08</v>
      </c>
      <c r="F53" s="6">
        <f>Compras!D53</f>
        <v>0.13371768644225412</v>
      </c>
      <c r="G53" s="3">
        <f>Compras!B53</f>
        <v>1</v>
      </c>
      <c r="H53" s="15">
        <f>Compras!Q53</f>
        <v>186.32</v>
      </c>
      <c r="I53" s="3">
        <f>Compras!P53</f>
        <v>1</v>
      </c>
      <c r="J53" s="30" t="s">
        <v>363</v>
      </c>
      <c r="K53" s="16">
        <f t="shared" si="3"/>
        <v>333.50700000000001</v>
      </c>
      <c r="L53" s="17">
        <f t="shared" si="4"/>
        <v>342.2835</v>
      </c>
      <c r="M53" s="18">
        <f t="shared" si="5"/>
        <v>351.06</v>
      </c>
      <c r="N53" s="3"/>
    </row>
    <row r="54" spans="1:14" ht="31.2" x14ac:dyDescent="0.3">
      <c r="A54" s="31">
        <v>54</v>
      </c>
      <c r="B54" s="5" t="str">
        <f>Compras!A54</f>
        <v>Mario Odyssey - Mario Luigi Cosplay Elephant Toys Princess Peach Rosalina Role Play</v>
      </c>
      <c r="C54" s="5" t="s">
        <v>329</v>
      </c>
      <c r="D54" s="5" t="s">
        <v>303</v>
      </c>
      <c r="E54" s="15">
        <f>Compras!C54</f>
        <v>149.47</v>
      </c>
      <c r="F54" s="6">
        <f>Compras!D54</f>
        <v>-0.22031176824780899</v>
      </c>
      <c r="G54" s="3">
        <f>Compras!B54</f>
        <v>1</v>
      </c>
      <c r="H54" s="15">
        <f>Compras!Q54</f>
        <v>182.4</v>
      </c>
      <c r="I54" s="3">
        <f>Compras!P54</f>
        <v>1</v>
      </c>
      <c r="J54" s="30" t="s">
        <v>363</v>
      </c>
      <c r="K54" s="16">
        <f t="shared" si="3"/>
        <v>326.98999999999995</v>
      </c>
      <c r="L54" s="17">
        <f t="shared" si="4"/>
        <v>335.59499999999997</v>
      </c>
      <c r="M54" s="18">
        <f t="shared" si="5"/>
        <v>344.2</v>
      </c>
      <c r="N54" s="3"/>
    </row>
    <row r="55" spans="1:14" ht="31.2" x14ac:dyDescent="0.3">
      <c r="A55" s="31">
        <v>55</v>
      </c>
      <c r="B55" s="5" t="str">
        <f>Compras!A55</f>
        <v>Mario Odyssey - 26 Styles Anime Plush Wendy Bowser Soft Stuffed Toy</v>
      </c>
      <c r="C55" s="5" t="s">
        <v>329</v>
      </c>
      <c r="D55" s="5" t="s">
        <v>303</v>
      </c>
      <c r="E55" s="15">
        <f>Compras!C55</f>
        <v>228.4</v>
      </c>
      <c r="F55" s="6">
        <f>Compras!D55</f>
        <v>0.34404553415061301</v>
      </c>
      <c r="G55" s="3">
        <f>Compras!B55</f>
        <v>1</v>
      </c>
      <c r="H55" s="15">
        <f>Compras!Q55</f>
        <v>163.19999999999999</v>
      </c>
      <c r="I55" s="3">
        <f>Compras!P55</f>
        <v>1</v>
      </c>
      <c r="J55" s="30" t="s">
        <v>363</v>
      </c>
      <c r="K55" s="16">
        <f t="shared" si="3"/>
        <v>269.79999999999995</v>
      </c>
      <c r="L55" s="17">
        <f t="shared" si="4"/>
        <v>269.79999999999995</v>
      </c>
      <c r="M55" s="18">
        <f t="shared" si="5"/>
        <v>269.79999999999995</v>
      </c>
      <c r="N55" s="3"/>
    </row>
    <row r="56" spans="1:14" ht="31.2" x14ac:dyDescent="0.3">
      <c r="A56" s="31">
        <v>56</v>
      </c>
      <c r="B56" s="5" t="str">
        <f>Compras!A56</f>
        <v>Luffy -  25cm One Piece Original Plush Toys CartoonFigure Luffy Chopper…</v>
      </c>
      <c r="C56" s="5" t="s">
        <v>335</v>
      </c>
      <c r="D56" s="5" t="s">
        <v>303</v>
      </c>
      <c r="E56" s="15">
        <f>Compras!C56</f>
        <v>278.82</v>
      </c>
      <c r="F56" s="6">
        <f>Compras!D56</f>
        <v>0.66419195179685819</v>
      </c>
      <c r="G56" s="3">
        <f>Compras!B56</f>
        <v>1</v>
      </c>
      <c r="H56" s="15">
        <f>Compras!Q56</f>
        <v>93.64</v>
      </c>
      <c r="I56" s="3">
        <f>Compras!P56</f>
        <v>1</v>
      </c>
      <c r="J56" s="30" t="s">
        <v>363</v>
      </c>
      <c r="K56" s="16">
        <f t="shared" si="3"/>
        <v>248.58750000000003</v>
      </c>
      <c r="L56" s="17">
        <f t="shared" si="4"/>
        <v>195.31875000000002</v>
      </c>
      <c r="M56" s="18">
        <f t="shared" si="5"/>
        <v>142.05000000000001</v>
      </c>
      <c r="N56" s="3"/>
    </row>
    <row r="57" spans="1:14" ht="31.2" x14ac:dyDescent="0.3">
      <c r="A57" s="31">
        <v>57</v>
      </c>
      <c r="B57" s="5" t="str">
        <f>Compras!A57</f>
        <v>Luffy -  25cm One Piece Original Plush Toys CartoonFigure Luffy Chopper…</v>
      </c>
      <c r="C57" s="5" t="s">
        <v>335</v>
      </c>
      <c r="D57" s="5" t="s">
        <v>303</v>
      </c>
      <c r="E57" s="15">
        <f>Compras!C57</f>
        <v>273.81</v>
      </c>
      <c r="F57" s="6">
        <f>Compras!D57</f>
        <v>0.66418319272488224</v>
      </c>
      <c r="G57" s="3">
        <f>Compras!B57</f>
        <v>1</v>
      </c>
      <c r="H57" s="15">
        <f>Compras!Q57</f>
        <v>91.960000000000008</v>
      </c>
      <c r="I57" s="3">
        <f>Compras!P57</f>
        <v>1</v>
      </c>
      <c r="J57" s="30" t="s">
        <v>363</v>
      </c>
      <c r="K57" s="16">
        <f t="shared" si="3"/>
        <v>244.91250000000002</v>
      </c>
      <c r="L57" s="17">
        <f t="shared" si="4"/>
        <v>192.43125000000003</v>
      </c>
      <c r="M57" s="18">
        <f t="shared" si="5"/>
        <v>139.95000000000002</v>
      </c>
      <c r="N57" s="3"/>
    </row>
    <row r="58" spans="1:14" ht="31.2" x14ac:dyDescent="0.3">
      <c r="A58" s="31">
        <v>58</v>
      </c>
      <c r="B58" s="5" t="str">
        <f>Compras!A58</f>
        <v>HK 30 cm - Sanrio Plushie Hello Kitty Plush Toy Sponge Bob Plush Stuffed Cute Cartoon</v>
      </c>
      <c r="C58" s="5" t="s">
        <v>320</v>
      </c>
      <c r="D58" s="5" t="s">
        <v>303</v>
      </c>
      <c r="E58" s="15">
        <f>Compras!C58</f>
        <v>460.64</v>
      </c>
      <c r="F58" s="6">
        <f>Compras!D58</f>
        <v>0.64165074678707879</v>
      </c>
      <c r="G58" s="3">
        <f>Compras!B58</f>
        <v>2</v>
      </c>
      <c r="H58" s="15">
        <f>Compras!Q58</f>
        <v>165.08499999999998</v>
      </c>
      <c r="I58" s="3">
        <f>Compras!P58</f>
        <v>1</v>
      </c>
      <c r="J58" s="30" t="s">
        <v>363</v>
      </c>
      <c r="K58" s="16">
        <f t="shared" si="3"/>
        <v>347.03437499999995</v>
      </c>
      <c r="L58" s="17">
        <f t="shared" si="4"/>
        <v>289.1953125</v>
      </c>
      <c r="M58" s="18">
        <f t="shared" si="5"/>
        <v>231.35624999999999</v>
      </c>
      <c r="N58" s="3"/>
    </row>
    <row r="59" spans="1:14" ht="31.2" x14ac:dyDescent="0.3">
      <c r="A59" s="31">
        <v>59</v>
      </c>
      <c r="B59" s="5" t="str">
        <f>Compras!A59</f>
        <v>HK Heart 30cm - Sanrio Plushie Hello Kitty Plush Toy Sponge Bob Plush Stuffed Cute Cartoon</v>
      </c>
      <c r="C59" s="5" t="s">
        <v>320</v>
      </c>
      <c r="D59" s="5" t="s">
        <v>303</v>
      </c>
      <c r="E59" s="15">
        <f>Compras!C59</f>
        <v>453.96</v>
      </c>
      <c r="F59" s="6">
        <f>Compras!D59</f>
        <v>0.64170852057449979</v>
      </c>
      <c r="G59" s="3">
        <f>Compras!B59</f>
        <v>1</v>
      </c>
      <c r="H59" s="15">
        <f>Compras!Q59</f>
        <v>162.66499999999999</v>
      </c>
      <c r="I59" s="3">
        <f>Compras!P59</f>
        <v>1</v>
      </c>
      <c r="J59" s="30" t="s">
        <v>363</v>
      </c>
      <c r="K59" s="16">
        <f t="shared" si="3"/>
        <v>342.49687499999999</v>
      </c>
      <c r="L59" s="17">
        <f t="shared" si="4"/>
        <v>285.4140625</v>
      </c>
      <c r="M59" s="18">
        <f t="shared" si="5"/>
        <v>228.33124999999998</v>
      </c>
      <c r="N59" s="3"/>
    </row>
    <row r="60" spans="1:14" ht="46.8" x14ac:dyDescent="0.3">
      <c r="A60" s="31">
        <v>60</v>
      </c>
      <c r="B60" s="5" t="str">
        <f>Compras!A60</f>
        <v>HK Hicecream 30cm - Sanrio Plushie Hello Kitty Plush Toy Sponge Bob Plush Stuffed Cute Cartoon</v>
      </c>
      <c r="C60" s="5" t="s">
        <v>320</v>
      </c>
      <c r="D60" s="5" t="s">
        <v>303</v>
      </c>
      <c r="E60" s="15">
        <f>Compras!C60</f>
        <v>402.76</v>
      </c>
      <c r="F60" s="6">
        <f>Compras!D60</f>
        <v>0.64169728870791543</v>
      </c>
      <c r="G60" s="3">
        <f>Compras!B60</f>
        <v>1</v>
      </c>
      <c r="H60" s="15">
        <f>Compras!Q60</f>
        <v>144.32499999999999</v>
      </c>
      <c r="I60" s="3">
        <f>Compras!P60</f>
        <v>1</v>
      </c>
      <c r="J60" s="30" t="s">
        <v>363</v>
      </c>
      <c r="K60" s="16">
        <f t="shared" si="3"/>
        <v>308.109375</v>
      </c>
      <c r="L60" s="17">
        <f t="shared" si="4"/>
        <v>256.7578125</v>
      </c>
      <c r="M60" s="18">
        <f t="shared" si="5"/>
        <v>205.40625</v>
      </c>
      <c r="N60" s="3"/>
    </row>
    <row r="61" spans="1:14" ht="31.2" x14ac:dyDescent="0.3">
      <c r="A61" s="31">
        <v>61</v>
      </c>
      <c r="B61" s="5" t="str">
        <f>Compras!A61</f>
        <v>HK Heart 20cm - Sanrio Plushie Hello Kitty Plush Toy Sponge Bob Plush Stuffed Cute Cartoon</v>
      </c>
      <c r="C61" s="5" t="s">
        <v>320</v>
      </c>
      <c r="D61" s="5" t="s">
        <v>303</v>
      </c>
      <c r="E61" s="15">
        <f>Compras!C61</f>
        <v>307.88</v>
      </c>
      <c r="F61" s="6">
        <f>Compras!D61</f>
        <v>0.64164609588151222</v>
      </c>
      <c r="G61" s="3">
        <f>Compras!B61</f>
        <v>1</v>
      </c>
      <c r="H61" s="15">
        <f>Compras!Q61</f>
        <v>110.345</v>
      </c>
      <c r="I61" s="3">
        <f>Compras!P61</f>
        <v>1</v>
      </c>
      <c r="J61" s="30" t="s">
        <v>363</v>
      </c>
      <c r="K61" s="16">
        <f t="shared" si="3"/>
        <v>244.39687500000002</v>
      </c>
      <c r="L61" s="17">
        <f t="shared" si="4"/>
        <v>203.6640625</v>
      </c>
      <c r="M61" s="18">
        <f t="shared" si="5"/>
        <v>162.93125000000001</v>
      </c>
      <c r="N61" s="3"/>
    </row>
    <row r="62" spans="1:14" ht="46.8" x14ac:dyDescent="0.3">
      <c r="A62" s="31">
        <v>62</v>
      </c>
      <c r="B62" s="5" t="str">
        <f>Compras!A62</f>
        <v>Kuromi Heart 20cm - Sanrio Plushie Hello Kitty Plush Toy Sponge Bob Plush Stuffed Cute Cartoon</v>
      </c>
      <c r="C62" s="5" t="s">
        <v>346</v>
      </c>
      <c r="D62" s="5" t="s">
        <v>303</v>
      </c>
      <c r="E62" s="15">
        <f>Compras!C62</f>
        <v>304.88</v>
      </c>
      <c r="F62" s="6">
        <f>Compras!D62</f>
        <v>0.64162949357124122</v>
      </c>
      <c r="G62" s="3">
        <f>Compras!B62</f>
        <v>1</v>
      </c>
      <c r="H62" s="15">
        <f>Compras!Q62</f>
        <v>109.27500000000001</v>
      </c>
      <c r="I62" s="3">
        <f>Compras!P62</f>
        <v>1</v>
      </c>
      <c r="J62" s="30" t="s">
        <v>363</v>
      </c>
      <c r="K62" s="16">
        <f t="shared" si="3"/>
        <v>242.390625</v>
      </c>
      <c r="L62" s="17">
        <f t="shared" si="4"/>
        <v>201.9921875</v>
      </c>
      <c r="M62" s="18">
        <f t="shared" si="5"/>
        <v>161.59375</v>
      </c>
      <c r="N62" s="3"/>
    </row>
    <row r="63" spans="1:14" ht="31.2" x14ac:dyDescent="0.3">
      <c r="A63" s="31">
        <v>63</v>
      </c>
      <c r="B63" s="5" t="str">
        <f>Compras!A63</f>
        <v>Pompom 30cm - Sanrio Plushie Hello Kitty Plush Toy Sponge Bob Plush Stuffed Cute Cartoon</v>
      </c>
      <c r="C63" s="5" t="s">
        <v>346</v>
      </c>
      <c r="D63" s="5" t="s">
        <v>303</v>
      </c>
      <c r="E63" s="15">
        <f>Compras!C63</f>
        <v>208.18</v>
      </c>
      <c r="F63" s="6">
        <f>Compras!D63</f>
        <v>0.64165625900662893</v>
      </c>
      <c r="G63" s="3">
        <f>Compras!B63</f>
        <v>1</v>
      </c>
      <c r="H63" s="15">
        <f>Compras!Q63</f>
        <v>74.614999999999995</v>
      </c>
      <c r="I63" s="3">
        <f>Compras!P63</f>
        <v>1</v>
      </c>
      <c r="J63" s="30" t="s">
        <v>363</v>
      </c>
      <c r="K63" s="16">
        <f t="shared" si="3"/>
        <v>206.97031250000001</v>
      </c>
      <c r="L63" s="17">
        <f t="shared" si="4"/>
        <v>162.61953124999999</v>
      </c>
      <c r="M63" s="18">
        <f t="shared" si="5"/>
        <v>118.26875</v>
      </c>
      <c r="N63" s="3"/>
    </row>
    <row r="64" spans="1:14" ht="46.8" x14ac:dyDescent="0.3">
      <c r="A64" s="31">
        <v>64</v>
      </c>
      <c r="B64" s="5" t="str">
        <f>Compras!A64</f>
        <v>Cinnamoroll 30cm - Sanrio Plushie Hello Kitty Plush Toy Sponge Bob Plush Stuffed Cute Cartoon</v>
      </c>
      <c r="C64" s="5" t="s">
        <v>346</v>
      </c>
      <c r="D64" s="5" t="s">
        <v>303</v>
      </c>
      <c r="E64" s="15">
        <f>Compras!C64</f>
        <v>217.42</v>
      </c>
      <c r="F64" s="6">
        <f>Compras!D64</f>
        <v>0.64322509428755414</v>
      </c>
      <c r="G64" s="3">
        <f>Compras!B64</f>
        <v>1</v>
      </c>
      <c r="H64" s="15">
        <f>Compras!Q64</f>
        <v>77.584999999999994</v>
      </c>
      <c r="I64" s="3">
        <f>Compras!P64</f>
        <v>1</v>
      </c>
      <c r="J64" s="30" t="s">
        <v>363</v>
      </c>
      <c r="K64" s="16">
        <f t="shared" si="3"/>
        <v>213.46718749999997</v>
      </c>
      <c r="L64" s="17">
        <f t="shared" si="4"/>
        <v>167.72421874999998</v>
      </c>
      <c r="M64" s="18">
        <f t="shared" si="5"/>
        <v>121.98124999999999</v>
      </c>
      <c r="N64" s="3"/>
    </row>
    <row r="65" spans="1:14" ht="31.2" x14ac:dyDescent="0.3">
      <c r="A65" s="31">
        <v>65</v>
      </c>
      <c r="B65" s="5" t="str">
        <f>Compras!A65</f>
        <v>Disney - llavero de peluche de la Universidad de Monsters Inc, James Sullivan</v>
      </c>
      <c r="C65" s="5" t="s">
        <v>313</v>
      </c>
      <c r="D65" s="5" t="s">
        <v>362</v>
      </c>
      <c r="E65" s="15">
        <f>Compras!C65</f>
        <v>97.92</v>
      </c>
      <c r="F65" s="6">
        <f>Compras!D65</f>
        <v>0.54840686274509798</v>
      </c>
      <c r="G65" s="3">
        <f>Compras!B65</f>
        <v>1</v>
      </c>
      <c r="H65" s="15">
        <f>Compras!Q65</f>
        <v>44.234999999999999</v>
      </c>
      <c r="I65" s="3">
        <f>Compras!P65</f>
        <v>1</v>
      </c>
      <c r="J65" s="30" t="s">
        <v>363</v>
      </c>
      <c r="K65" s="16">
        <f t="shared" si="3"/>
        <v>159.86687499999999</v>
      </c>
      <c r="L65" s="17">
        <f t="shared" si="4"/>
        <v>125.60968749999999</v>
      </c>
      <c r="M65" s="18">
        <f t="shared" si="5"/>
        <v>91.352499999999992</v>
      </c>
      <c r="N65" s="3"/>
    </row>
    <row r="66" spans="1:14" ht="31.2" x14ac:dyDescent="0.3">
      <c r="A66" s="31">
        <v>66</v>
      </c>
      <c r="B66" s="5" t="str">
        <f>Compras!A66</f>
        <v>Disney - llavero de peluche de la Universidad de Monsters Inc, Mike Wazowski</v>
      </c>
      <c r="C66" s="5" t="s">
        <v>313</v>
      </c>
      <c r="D66" s="5" t="s">
        <v>362</v>
      </c>
      <c r="E66" s="15">
        <f>Compras!C66</f>
        <v>91.75</v>
      </c>
      <c r="F66" s="6">
        <f>Compras!D66</f>
        <v>0.55062670299727523</v>
      </c>
      <c r="G66" s="3">
        <f>Compras!B66</f>
        <v>1</v>
      </c>
      <c r="H66" s="15">
        <f>Compras!Q66</f>
        <v>41.244999999999997</v>
      </c>
      <c r="I66" s="3">
        <f>Compras!P66</f>
        <v>1</v>
      </c>
      <c r="J66" s="30" t="s">
        <v>363</v>
      </c>
      <c r="K66" s="16">
        <f t="shared" ref="K66:K97" si="6">M66* (IF(M66-H66&lt;100, IF(M66-H66&gt;80, 1.25, IF(M66-H66&gt;50, 1.5, 1.75)), IF(M66-H66&gt;150, 0.95, IF(M66-H66&gt;170, 0.9, 1))))</f>
        <v>152.018125</v>
      </c>
      <c r="L66" s="17">
        <f t="shared" ref="L66:L97" si="7">(K66+M66)/2</f>
        <v>119.4428125</v>
      </c>
      <c r="M66" s="18">
        <f t="shared" ref="M66:M97" si="8">(H66/I66) * ( IF(E66&gt;H66, IF(E66-H66&gt;100, 1.25, IF(E66-H66&gt;50, 1.5, 1.75)), IF(H66-E66&gt;100, 1.25, IF(H66-E66&gt;50, 1.5, 1.75))) ) + 25</f>
        <v>86.867499999999993</v>
      </c>
      <c r="N66" s="3"/>
    </row>
    <row r="67" spans="1:14" ht="31.2" x14ac:dyDescent="0.3">
      <c r="A67" s="31">
        <v>67</v>
      </c>
      <c r="B67" s="5" t="str">
        <f>Compras!A67</f>
        <v xml:space="preserve">Paw Patrol: La Superpelícula, camión de Juguete del Pup Squad </v>
      </c>
      <c r="C67" s="5" t="s">
        <v>336</v>
      </c>
      <c r="D67" s="5" t="s">
        <v>337</v>
      </c>
      <c r="E67" s="15">
        <f>Compras!C67</f>
        <v>699</v>
      </c>
      <c r="F67" s="6">
        <f>Compras!D67</f>
        <v>0.42167381974248924</v>
      </c>
      <c r="G67" s="3">
        <f>Compras!B67</f>
        <v>1</v>
      </c>
      <c r="H67" s="15">
        <f>Compras!Q67</f>
        <v>404.25</v>
      </c>
      <c r="I67" s="3">
        <f>Compras!P67</f>
        <v>1</v>
      </c>
      <c r="J67" s="30" t="s">
        <v>363</v>
      </c>
      <c r="K67" s="16">
        <f t="shared" si="6"/>
        <v>530.3125</v>
      </c>
      <c r="L67" s="17">
        <f t="shared" si="7"/>
        <v>530.3125</v>
      </c>
      <c r="M67" s="18">
        <f t="shared" si="8"/>
        <v>530.3125</v>
      </c>
      <c r="N67" s="3"/>
    </row>
    <row r="68" spans="1:14" ht="46.8" x14ac:dyDescent="0.3">
      <c r="A68" s="31">
        <v>68</v>
      </c>
      <c r="B68" s="5" t="str">
        <f>Compras!A68</f>
        <v>Lalaloopsy Silly Hair Muñeca April Sunsplash de 33cm con tucán - Pelo Color arcoíris y 11 Accesorios</v>
      </c>
      <c r="C68" s="5" t="s">
        <v>321</v>
      </c>
      <c r="D68" s="5" t="s">
        <v>319</v>
      </c>
      <c r="E68" s="15">
        <f>Compras!C68</f>
        <v>999</v>
      </c>
      <c r="F68" s="6">
        <f>Compras!D68</f>
        <v>0.6576676676676676</v>
      </c>
      <c r="G68" s="3">
        <f>Compras!B68</f>
        <v>1</v>
      </c>
      <c r="H68" s="15">
        <f>Compras!Q68</f>
        <v>341.99</v>
      </c>
      <c r="I68" s="3">
        <f>Compras!P68</f>
        <v>1</v>
      </c>
      <c r="J68" s="30" t="s">
        <v>363</v>
      </c>
      <c r="K68" s="16">
        <f t="shared" si="6"/>
        <v>452.48750000000001</v>
      </c>
      <c r="L68" s="17">
        <f t="shared" si="7"/>
        <v>452.48750000000001</v>
      </c>
      <c r="M68" s="18">
        <f t="shared" si="8"/>
        <v>452.48750000000001</v>
      </c>
      <c r="N68" s="3"/>
    </row>
    <row r="69" spans="1:14" ht="31.2" x14ac:dyDescent="0.3">
      <c r="A69" s="31">
        <v>69</v>
      </c>
      <c r="B69" s="5" t="str">
        <f>Compras!A69</f>
        <v>Summala Bloques de Construcción de Mármol, Juegos con Canicas 180 PCS</v>
      </c>
      <c r="C69" s="5" t="s">
        <v>299</v>
      </c>
      <c r="D69" s="5" t="s">
        <v>300</v>
      </c>
      <c r="E69" s="15">
        <f>Compras!C69</f>
        <v>499</v>
      </c>
      <c r="F69" s="6">
        <f>Compras!D69</f>
        <v>2.004008016032064E-2</v>
      </c>
      <c r="G69" s="3">
        <f>Compras!B69</f>
        <v>1</v>
      </c>
      <c r="H69" s="15">
        <f>Compras!Q69</f>
        <v>489</v>
      </c>
      <c r="I69" s="3">
        <f>Compras!P69</f>
        <v>1</v>
      </c>
      <c r="J69" s="30" t="s">
        <v>363</v>
      </c>
      <c r="K69" s="16">
        <f t="shared" si="6"/>
        <v>836.71249999999998</v>
      </c>
      <c r="L69" s="17">
        <f t="shared" si="7"/>
        <v>858.73125000000005</v>
      </c>
      <c r="M69" s="18">
        <f t="shared" si="8"/>
        <v>880.75</v>
      </c>
      <c r="N69" s="3"/>
    </row>
    <row r="70" spans="1:14" ht="31.2" x14ac:dyDescent="0.3">
      <c r="A70" s="31">
        <v>70</v>
      </c>
      <c r="B70" s="5" t="str">
        <f>Compras!A70</f>
        <v>RENDIN Carro de Control Remoto Recargable, Flip 360 °con Luz y Música</v>
      </c>
      <c r="C70" s="5" t="s">
        <v>344</v>
      </c>
      <c r="D70" s="5" t="s">
        <v>345</v>
      </c>
      <c r="E70" s="15">
        <f>Compras!C70</f>
        <v>279</v>
      </c>
      <c r="F70" s="6">
        <f>Compras!D70</f>
        <v>0</v>
      </c>
      <c r="G70" s="3">
        <f>Compras!B70</f>
        <v>1</v>
      </c>
      <c r="H70" s="15">
        <f>Compras!Q70</f>
        <v>249</v>
      </c>
      <c r="I70" s="3">
        <f>Compras!P70</f>
        <v>1</v>
      </c>
      <c r="J70" s="30" t="s">
        <v>363</v>
      </c>
      <c r="K70" s="16">
        <f t="shared" si="6"/>
        <v>437.71249999999998</v>
      </c>
      <c r="L70" s="17">
        <f t="shared" si="7"/>
        <v>449.23124999999999</v>
      </c>
      <c r="M70" s="18">
        <f t="shared" si="8"/>
        <v>460.75</v>
      </c>
      <c r="N70" s="3"/>
    </row>
    <row r="71" spans="1:14" ht="31.2" x14ac:dyDescent="0.3">
      <c r="A71" s="31">
        <v>71</v>
      </c>
      <c r="B71" s="5" t="str">
        <f>Compras!A71</f>
        <v>EASYTAO Coche Control Remoto 4WD, Todoterreno Acrobático RC 2.4GHz</v>
      </c>
      <c r="C71" s="5" t="s">
        <v>344</v>
      </c>
      <c r="D71" s="5" t="s">
        <v>345</v>
      </c>
      <c r="E71" s="15">
        <f>Compras!C71</f>
        <v>368</v>
      </c>
      <c r="F71" s="6">
        <f>Compras!D71</f>
        <v>0.1875</v>
      </c>
      <c r="G71" s="3">
        <f>Compras!B71</f>
        <v>1</v>
      </c>
      <c r="H71" s="15">
        <f>Compras!Q71</f>
        <v>299</v>
      </c>
      <c r="I71" s="3">
        <f>Compras!P71</f>
        <v>1</v>
      </c>
      <c r="J71" s="30" t="s">
        <v>363</v>
      </c>
      <c r="K71" s="16">
        <f t="shared" si="6"/>
        <v>449.82499999999999</v>
      </c>
      <c r="L71" s="17">
        <f t="shared" si="7"/>
        <v>461.66250000000002</v>
      </c>
      <c r="M71" s="18">
        <f t="shared" si="8"/>
        <v>473.5</v>
      </c>
      <c r="N71" s="3"/>
    </row>
    <row r="72" spans="1:14" ht="31.2" x14ac:dyDescent="0.3">
      <c r="A72" s="31">
        <v>72</v>
      </c>
      <c r="B72" s="5" t="str">
        <f>Compras!A72</f>
        <v>SlowTon Luz de Noche LED, 16 Colores 2 Tema Lámpara Proyector de Estrellas</v>
      </c>
      <c r="C72" s="5" t="s">
        <v>343</v>
      </c>
      <c r="D72" s="5" t="s">
        <v>341</v>
      </c>
      <c r="E72" s="15">
        <f>Compras!C72</f>
        <v>379.99</v>
      </c>
      <c r="F72" s="6">
        <f>Compras!D72</f>
        <v>0.20008421274244065</v>
      </c>
      <c r="G72" s="3">
        <f>Compras!B72</f>
        <v>1</v>
      </c>
      <c r="H72" s="15">
        <f>Compras!Q72</f>
        <v>303.95999999999998</v>
      </c>
      <c r="I72" s="3">
        <f>Compras!P72</f>
        <v>1</v>
      </c>
      <c r="J72" s="30" t="s">
        <v>363</v>
      </c>
      <c r="K72" s="16">
        <f t="shared" si="6"/>
        <v>456.89299999999992</v>
      </c>
      <c r="L72" s="17">
        <f t="shared" si="7"/>
        <v>468.91649999999993</v>
      </c>
      <c r="M72" s="18">
        <f t="shared" si="8"/>
        <v>480.93999999999994</v>
      </c>
      <c r="N72" s="3"/>
    </row>
    <row r="73" spans="1:14" ht="31.2" x14ac:dyDescent="0.3">
      <c r="A73" s="31">
        <v>73</v>
      </c>
      <c r="B73" s="5" t="str">
        <f>Compras!A73</f>
        <v>Juguete De Peluche De Bailarin Pato, Pato con Sonido y Musica</v>
      </c>
      <c r="C73" s="5" t="s">
        <v>321</v>
      </c>
      <c r="D73" s="5" t="s">
        <v>303</v>
      </c>
      <c r="E73" s="15">
        <f>Compras!C73</f>
        <v>179.99</v>
      </c>
      <c r="F73" s="6">
        <f>Compras!D73</f>
        <v>5.0002777932107341E-2</v>
      </c>
      <c r="G73" s="3">
        <f>Compras!B73</f>
        <v>1</v>
      </c>
      <c r="H73" s="15">
        <f>Compras!Q73</f>
        <v>170.99</v>
      </c>
      <c r="I73" s="3">
        <f>Compras!P73</f>
        <v>1</v>
      </c>
      <c r="J73" s="30" t="s">
        <v>363</v>
      </c>
      <c r="K73" s="16">
        <f t="shared" si="6"/>
        <v>308.02087499999999</v>
      </c>
      <c r="L73" s="17">
        <f t="shared" si="7"/>
        <v>316.1266875</v>
      </c>
      <c r="M73" s="18">
        <f t="shared" si="8"/>
        <v>324.23250000000002</v>
      </c>
      <c r="N73" s="3"/>
    </row>
    <row r="74" spans="1:14" x14ac:dyDescent="0.3">
      <c r="A74" s="31">
        <v>74</v>
      </c>
      <c r="B74" s="5" t="str">
        <f>Compras!A74</f>
        <v>Hasbro Transformers Best Aliance</v>
      </c>
      <c r="C74" s="5" t="s">
        <v>348</v>
      </c>
      <c r="D74" s="5" t="s">
        <v>306</v>
      </c>
      <c r="E74" s="15">
        <f>Compras!C74</f>
        <v>389</v>
      </c>
      <c r="F74" s="6">
        <f>Compras!D74</f>
        <v>0.35989717223650386</v>
      </c>
      <c r="G74" s="3">
        <f>Compras!B74</f>
        <v>2</v>
      </c>
      <c r="H74" s="15">
        <f>Compras!Q74</f>
        <v>226.04999999999998</v>
      </c>
      <c r="I74" s="3">
        <f>Compras!P74</f>
        <v>1</v>
      </c>
      <c r="J74" s="30" t="s">
        <v>363</v>
      </c>
      <c r="K74" s="16">
        <f t="shared" si="6"/>
        <v>384.453125</v>
      </c>
      <c r="L74" s="17">
        <f t="shared" si="7"/>
        <v>346.0078125</v>
      </c>
      <c r="M74" s="18">
        <f t="shared" si="8"/>
        <v>307.5625</v>
      </c>
      <c r="N74"/>
    </row>
    <row r="75" spans="1:14" x14ac:dyDescent="0.3">
      <c r="A75" s="31">
        <v>75</v>
      </c>
      <c r="B75" s="5" t="str">
        <f>Compras!A75</f>
        <v>Hasbro Transformers Rise of the Beasts 6"</v>
      </c>
      <c r="C75" s="5" t="s">
        <v>348</v>
      </c>
      <c r="D75" s="5" t="s">
        <v>306</v>
      </c>
      <c r="E75" s="15">
        <f>Compras!C75</f>
        <v>399</v>
      </c>
      <c r="F75" s="6">
        <f>Compras!D75</f>
        <v>0.37593984962406013</v>
      </c>
      <c r="G75" s="3">
        <f>Compras!B75</f>
        <v>1</v>
      </c>
      <c r="H75" s="15">
        <f>Compras!Q75</f>
        <v>228</v>
      </c>
      <c r="I75" s="3">
        <f>Compras!P75</f>
        <v>1</v>
      </c>
      <c r="J75" s="30" t="s">
        <v>363</v>
      </c>
      <c r="K75" s="16">
        <f t="shared" si="6"/>
        <v>387.5</v>
      </c>
      <c r="L75" s="17">
        <f t="shared" si="7"/>
        <v>348.75</v>
      </c>
      <c r="M75" s="18">
        <f t="shared" si="8"/>
        <v>310</v>
      </c>
      <c r="N75"/>
    </row>
    <row r="76" spans="1:14" ht="31.2" x14ac:dyDescent="0.3">
      <c r="A76" s="31">
        <v>76</v>
      </c>
      <c r="B76" s="5" t="str">
        <f>Compras!A76</f>
        <v>Muñeca Baby Alive Hasbro Bebé Spa Cabello Rubio Multicolor</v>
      </c>
      <c r="C76" s="5" t="s">
        <v>318</v>
      </c>
      <c r="D76" s="5" t="s">
        <v>319</v>
      </c>
      <c r="E76" s="15">
        <f>Compras!C76</f>
        <v>419</v>
      </c>
      <c r="F76" s="6">
        <f>Compras!D76</f>
        <v>0.28639618138424822</v>
      </c>
      <c r="G76" s="3">
        <f>Compras!B76</f>
        <v>1</v>
      </c>
      <c r="H76" s="15">
        <f>Compras!Q76</f>
        <v>273</v>
      </c>
      <c r="I76" s="3">
        <f>Compras!P76</f>
        <v>1</v>
      </c>
      <c r="J76" s="30" t="s">
        <v>363</v>
      </c>
      <c r="K76" s="16">
        <f t="shared" si="6"/>
        <v>457.8125</v>
      </c>
      <c r="L76" s="17">
        <f t="shared" si="7"/>
        <v>412.03125</v>
      </c>
      <c r="M76" s="18">
        <f t="shared" si="8"/>
        <v>366.25</v>
      </c>
      <c r="N76"/>
    </row>
    <row r="77" spans="1:14" ht="31.2" x14ac:dyDescent="0.3">
      <c r="A77" s="31">
        <v>77</v>
      </c>
      <c r="B77" s="5" t="str">
        <f>Compras!A77</f>
        <v>Spiderman Hasbro Titan Hero Series Miles Morales</v>
      </c>
      <c r="C77" s="5" t="s">
        <v>333</v>
      </c>
      <c r="D77" s="5" t="s">
        <v>306</v>
      </c>
      <c r="E77" s="15">
        <f>Compras!C77</f>
        <v>259</v>
      </c>
      <c r="F77" s="6">
        <f>Compras!D77</f>
        <v>0.23166023166023167</v>
      </c>
      <c r="G77" s="3">
        <f>Compras!B77</f>
        <v>1</v>
      </c>
      <c r="H77" s="15">
        <f>Compras!Q77</f>
        <v>183</v>
      </c>
      <c r="I77" s="3">
        <f>Compras!P77</f>
        <v>1</v>
      </c>
      <c r="J77" s="30" t="s">
        <v>363</v>
      </c>
      <c r="K77" s="16">
        <f t="shared" si="6"/>
        <v>299.5</v>
      </c>
      <c r="L77" s="17">
        <f t="shared" si="7"/>
        <v>299.5</v>
      </c>
      <c r="M77" s="18">
        <f t="shared" si="8"/>
        <v>299.5</v>
      </c>
      <c r="N77" s="3"/>
    </row>
    <row r="78" spans="1:14" ht="31.2" x14ac:dyDescent="0.3">
      <c r="A78" s="31">
        <v>78</v>
      </c>
      <c r="B78" s="5" t="str">
        <f>Compras!A78</f>
        <v>Hulk &amp; Gamma Smasher Hasbro Marvel Mechstrike</v>
      </c>
      <c r="C78" s="5" t="s">
        <v>333</v>
      </c>
      <c r="D78" s="5" t="s">
        <v>306</v>
      </c>
      <c r="E78" s="15">
        <f>Compras!C78</f>
        <v>939</v>
      </c>
      <c r="F78" s="6">
        <f>Compras!D78</f>
        <v>0.5005324813631522</v>
      </c>
      <c r="G78" s="3">
        <f>Compras!B78</f>
        <v>1</v>
      </c>
      <c r="H78" s="15">
        <f>Compras!Q78</f>
        <v>426</v>
      </c>
      <c r="I78" s="3">
        <f>Compras!P78</f>
        <v>1</v>
      </c>
      <c r="J78" s="30" t="s">
        <v>363</v>
      </c>
      <c r="K78" s="16">
        <f t="shared" si="6"/>
        <v>557.5</v>
      </c>
      <c r="L78" s="17">
        <f t="shared" si="7"/>
        <v>557.5</v>
      </c>
      <c r="M78" s="18">
        <f t="shared" si="8"/>
        <v>557.5</v>
      </c>
      <c r="N78" s="3"/>
    </row>
    <row r="79" spans="1:14" x14ac:dyDescent="0.3">
      <c r="A79" s="31">
        <v>79</v>
      </c>
      <c r="B79" s="5" t="str">
        <f>Compras!A79</f>
        <v>Muñeca Cry babies Bebé Rosa</v>
      </c>
      <c r="C79" s="5" t="s">
        <v>321</v>
      </c>
      <c r="D79" s="5" t="s">
        <v>319</v>
      </c>
      <c r="E79" s="15">
        <f>Compras!C79</f>
        <v>529</v>
      </c>
      <c r="F79" s="6">
        <f>Compras!D79</f>
        <v>0.49149338374291113</v>
      </c>
      <c r="G79" s="3">
        <f>Compras!B79</f>
        <v>1</v>
      </c>
      <c r="H79" s="15">
        <f>Compras!Q79</f>
        <v>245.99999999999997</v>
      </c>
      <c r="I79" s="3">
        <f>Compras!P79</f>
        <v>1</v>
      </c>
      <c r="J79" s="30" t="s">
        <v>363</v>
      </c>
      <c r="K79" s="16">
        <f t="shared" si="6"/>
        <v>415.62499999999994</v>
      </c>
      <c r="L79" s="17">
        <f t="shared" si="7"/>
        <v>374.06249999999994</v>
      </c>
      <c r="M79" s="18">
        <f t="shared" si="8"/>
        <v>332.49999999999994</v>
      </c>
      <c r="N79" s="3"/>
    </row>
    <row r="80" spans="1:14" ht="31.2" x14ac:dyDescent="0.3">
      <c r="A80" s="31">
        <v>80</v>
      </c>
      <c r="B80" s="5" t="str">
        <f>Compras!A80</f>
        <v>Rubio - Devil's Blade Anime Plush Stuffed Toy Cute Dolsl Demon Slayer</v>
      </c>
      <c r="C80" s="5" t="s">
        <v>309</v>
      </c>
      <c r="D80" s="5" t="s">
        <v>303</v>
      </c>
      <c r="E80" s="15">
        <f>Compras!C80</f>
        <v>201.37</v>
      </c>
      <c r="F80" s="6">
        <f>Compras!D80</f>
        <v>0.70998659184585589</v>
      </c>
      <c r="G80" s="3">
        <f>Compras!B80</f>
        <v>1</v>
      </c>
      <c r="H80" s="15">
        <f>Compras!Q80</f>
        <v>57.244999999999997</v>
      </c>
      <c r="I80" s="3">
        <f>Compras!P80</f>
        <v>1</v>
      </c>
      <c r="J80" s="30" t="s">
        <v>363</v>
      </c>
      <c r="K80" s="16">
        <f t="shared" si="6"/>
        <v>168.97343749999999</v>
      </c>
      <c r="L80" s="17">
        <f t="shared" si="7"/>
        <v>132.76484374999998</v>
      </c>
      <c r="M80" s="18">
        <f t="shared" si="8"/>
        <v>96.556249999999991</v>
      </c>
      <c r="N80" s="3"/>
    </row>
    <row r="81" spans="1:14" ht="31.2" x14ac:dyDescent="0.3">
      <c r="A81" s="31">
        <v>81</v>
      </c>
      <c r="B81" s="5" t="str">
        <f>Compras!A81</f>
        <v>Cochino - Devil's Blade Anime Plush Stuffed Toy Cute Dolsl Demon Slayer</v>
      </c>
      <c r="C81" s="5" t="s">
        <v>309</v>
      </c>
      <c r="D81" s="12" t="s">
        <v>303</v>
      </c>
      <c r="E81" s="15">
        <f>Compras!C81</f>
        <v>199.73</v>
      </c>
      <c r="F81" s="6">
        <f>Compras!D81</f>
        <v>0.7100585790817604</v>
      </c>
      <c r="G81" s="3">
        <f>Compras!B81</f>
        <v>1</v>
      </c>
      <c r="H81" s="15">
        <f>Compras!Q81</f>
        <v>56.754999999999995</v>
      </c>
      <c r="I81" s="3">
        <f>Compras!P81</f>
        <v>1</v>
      </c>
      <c r="J81" s="30" t="s">
        <v>363</v>
      </c>
      <c r="K81" s="16">
        <f t="shared" si="6"/>
        <v>167.90156249999998</v>
      </c>
      <c r="L81" s="17">
        <f t="shared" si="7"/>
        <v>131.92265624999999</v>
      </c>
      <c r="M81" s="18">
        <f t="shared" si="8"/>
        <v>95.943749999999994</v>
      </c>
      <c r="N81" s="3"/>
    </row>
    <row r="82" spans="1:14" ht="31.2" x14ac:dyDescent="0.3">
      <c r="A82" s="31">
        <v>82</v>
      </c>
      <c r="B82" s="5" t="str">
        <f>Compras!A82</f>
        <v>Tanjiro - 20cm Demon Slayer Plush Doll Tanjirou Nezuko Zenitsu Anime</v>
      </c>
      <c r="C82" s="5" t="s">
        <v>309</v>
      </c>
      <c r="D82" s="12" t="s">
        <v>303</v>
      </c>
      <c r="E82" s="15">
        <f>Compras!C82</f>
        <v>194.73</v>
      </c>
      <c r="F82" s="6">
        <f>Compras!D82</f>
        <v>0.7099573768808094</v>
      </c>
      <c r="G82" s="3">
        <f>Compras!B82</f>
        <v>1</v>
      </c>
      <c r="H82" s="15">
        <f>Compras!Q82</f>
        <v>55.359999999999992</v>
      </c>
      <c r="I82" s="3">
        <f>Compras!P82</f>
        <v>1</v>
      </c>
      <c r="J82" s="30" t="s">
        <v>363</v>
      </c>
      <c r="K82" s="16">
        <f t="shared" si="6"/>
        <v>164.84999999999997</v>
      </c>
      <c r="L82" s="17">
        <f t="shared" si="7"/>
        <v>129.52499999999998</v>
      </c>
      <c r="M82" s="18">
        <f t="shared" si="8"/>
        <v>94.199999999999989</v>
      </c>
      <c r="N82" s="3"/>
    </row>
    <row r="83" spans="1:14" ht="31.2" x14ac:dyDescent="0.3">
      <c r="A83" s="31">
        <v>83</v>
      </c>
      <c r="B83" s="5" t="str">
        <f>Compras!A83</f>
        <v>Nezuko - 20cm Demon Slayer Plush Doll Tanjirou Nezuko Zenitsu Anime</v>
      </c>
      <c r="C83" s="5" t="s">
        <v>309</v>
      </c>
      <c r="D83" s="12" t="s">
        <v>303</v>
      </c>
      <c r="E83" s="15">
        <f>Compras!C83</f>
        <v>196.79</v>
      </c>
      <c r="F83" s="6">
        <f>Compras!D83</f>
        <v>0.70999542659687986</v>
      </c>
      <c r="G83" s="3">
        <f>Compras!B83</f>
        <v>1</v>
      </c>
      <c r="H83" s="15">
        <f>Compras!Q83</f>
        <v>55.949999999999996</v>
      </c>
      <c r="I83" s="3">
        <f>Compras!P83</f>
        <v>1</v>
      </c>
      <c r="J83" s="30" t="s">
        <v>363</v>
      </c>
      <c r="K83" s="16">
        <f t="shared" si="6"/>
        <v>166.140625</v>
      </c>
      <c r="L83" s="17">
        <f t="shared" si="7"/>
        <v>130.5390625</v>
      </c>
      <c r="M83" s="18">
        <f t="shared" si="8"/>
        <v>94.9375</v>
      </c>
      <c r="N83" s="3"/>
    </row>
    <row r="84" spans="1:14" ht="31.2" x14ac:dyDescent="0.3">
      <c r="A84" s="31">
        <v>84</v>
      </c>
      <c r="B84" s="5" t="str">
        <f>Compras!A84</f>
        <v>Peach Boda - ACG Mario Plush Princess Peach Toadette Luigi Bowser Jr</v>
      </c>
      <c r="C84" s="5" t="s">
        <v>329</v>
      </c>
      <c r="D84" s="12" t="s">
        <v>303</v>
      </c>
      <c r="E84" s="15">
        <f>Compras!C84</f>
        <v>203.26</v>
      </c>
      <c r="F84" s="6">
        <f>Compras!D84</f>
        <v>7.9651677654235947E-2</v>
      </c>
      <c r="G84" s="3">
        <f>Compras!B84</f>
        <v>1</v>
      </c>
      <c r="H84" s="15">
        <f>Compras!Q84</f>
        <v>178.57499999999999</v>
      </c>
      <c r="I84" s="3">
        <f>Compras!P84</f>
        <v>1</v>
      </c>
      <c r="J84" s="30" t="s">
        <v>363</v>
      </c>
      <c r="K84" s="16">
        <f t="shared" si="6"/>
        <v>320.63093749999996</v>
      </c>
      <c r="L84" s="17">
        <f t="shared" si="7"/>
        <v>329.06859374999999</v>
      </c>
      <c r="M84" s="18">
        <f t="shared" si="8"/>
        <v>337.50624999999997</v>
      </c>
      <c r="N84" s="3"/>
    </row>
    <row r="85" spans="1:14" ht="31.2" x14ac:dyDescent="0.3">
      <c r="A85" s="31">
        <v>85</v>
      </c>
      <c r="B85" s="5" t="str">
        <f>Compras!A85</f>
        <v>Sombrero Fantasma - ACG Mario Plush Princess Peach Toadette Luigi Bowser Jr</v>
      </c>
      <c r="C85" s="5" t="s">
        <v>329</v>
      </c>
      <c r="D85" s="12" t="s">
        <v>303</v>
      </c>
      <c r="E85" s="15">
        <f>Compras!C85</f>
        <v>122.81</v>
      </c>
      <c r="F85" s="6">
        <f>Compras!D85</f>
        <v>7.9960915234915775E-2</v>
      </c>
      <c r="G85" s="3">
        <f>Compras!B85</f>
        <v>1</v>
      </c>
      <c r="H85" s="15">
        <f>Compras!Q85</f>
        <v>104.49499999999999</v>
      </c>
      <c r="I85" s="3">
        <f>Compras!P85</f>
        <v>1</v>
      </c>
      <c r="J85" s="30" t="s">
        <v>363</v>
      </c>
      <c r="K85" s="16">
        <f t="shared" si="6"/>
        <v>207.86624999999998</v>
      </c>
      <c r="L85" s="17">
        <f t="shared" si="7"/>
        <v>207.86624999999998</v>
      </c>
      <c r="M85" s="18">
        <f t="shared" si="8"/>
        <v>207.86624999999998</v>
      </c>
      <c r="N85" s="3"/>
    </row>
    <row r="86" spans="1:14" ht="31.2" x14ac:dyDescent="0.3">
      <c r="A86" s="31">
        <v>86</v>
      </c>
      <c r="B86" s="5" t="str">
        <f>Compras!A86</f>
        <v>Winnie the Pooh Collection Sitting Holding Biscuits Plush Toy - Almohada</v>
      </c>
      <c r="C86" s="5" t="s">
        <v>313</v>
      </c>
      <c r="D86" s="12" t="s">
        <v>303</v>
      </c>
      <c r="E86" s="15">
        <f>Compras!C86</f>
        <v>439.33</v>
      </c>
      <c r="F86" s="6">
        <f>Compras!D86</f>
        <v>0.50003414289941495</v>
      </c>
      <c r="G86" s="3">
        <f>Compras!B86</f>
        <v>1</v>
      </c>
      <c r="H86" s="15">
        <f>Compras!Q86</f>
        <v>215.26</v>
      </c>
      <c r="I86" s="3">
        <f>Compras!P86</f>
        <v>1</v>
      </c>
      <c r="J86" s="30" t="s">
        <v>363</v>
      </c>
      <c r="K86" s="16">
        <f t="shared" si="6"/>
        <v>441.11249999999995</v>
      </c>
      <c r="L86" s="17">
        <f t="shared" si="7"/>
        <v>367.59375</v>
      </c>
      <c r="M86" s="18">
        <f t="shared" si="8"/>
        <v>294.07499999999999</v>
      </c>
      <c r="N86" s="3"/>
    </row>
    <row r="87" spans="1:14" x14ac:dyDescent="0.3">
      <c r="A87" s="31">
        <v>87</v>
      </c>
      <c r="B87" s="5" t="str">
        <f>Compras!A87</f>
        <v>Disney Stitch Plush Doll Toys Anime Lilo &amp; Stitch</v>
      </c>
      <c r="C87" s="5" t="s">
        <v>313</v>
      </c>
      <c r="D87" s="12" t="s">
        <v>303</v>
      </c>
      <c r="E87" s="15">
        <f>Compras!C87</f>
        <v>281.22000000000003</v>
      </c>
      <c r="F87" s="6">
        <f>Compras!D87</f>
        <v>0.70005689495768453</v>
      </c>
      <c r="G87" s="3">
        <f>Compras!B87</f>
        <v>1</v>
      </c>
      <c r="H87" s="15">
        <f>Compras!Q87</f>
        <v>82.689999999999984</v>
      </c>
      <c r="I87" s="3">
        <f>Compras!P87</f>
        <v>1</v>
      </c>
      <c r="J87" s="30" t="s">
        <v>363</v>
      </c>
      <c r="K87" s="16">
        <f t="shared" si="6"/>
        <v>224.63437499999998</v>
      </c>
      <c r="L87" s="17">
        <f t="shared" si="7"/>
        <v>176.49843749999997</v>
      </c>
      <c r="M87" s="18">
        <f t="shared" si="8"/>
        <v>128.36249999999998</v>
      </c>
      <c r="N87" s="3"/>
    </row>
    <row r="88" spans="1:14" ht="31.2" x14ac:dyDescent="0.3">
      <c r="A88" s="31">
        <v>88</v>
      </c>
      <c r="B88" s="5" t="str">
        <f>Compras!A88</f>
        <v>Kuromy - Kawaii Sanrio Keychain Kuromi Keyring Doll Plush Cinnamoroll</v>
      </c>
      <c r="C88" s="5" t="s">
        <v>346</v>
      </c>
      <c r="D88" s="12" t="s">
        <v>303</v>
      </c>
      <c r="E88" s="15">
        <f>Compras!C88</f>
        <v>116.98</v>
      </c>
      <c r="F88" s="6">
        <f>Compras!D88</f>
        <v>0.69037442297828688</v>
      </c>
      <c r="G88" s="3">
        <f>Compras!B88</f>
        <v>2</v>
      </c>
      <c r="H88" s="15">
        <f>Compras!Q88</f>
        <v>35.739999999999995</v>
      </c>
      <c r="I88" s="3">
        <f>Compras!P88</f>
        <v>1</v>
      </c>
      <c r="J88" s="30" t="s">
        <v>363</v>
      </c>
      <c r="K88" s="16">
        <f t="shared" si="6"/>
        <v>137.56749999999997</v>
      </c>
      <c r="L88" s="17">
        <f t="shared" si="7"/>
        <v>108.08874999999998</v>
      </c>
      <c r="M88" s="18">
        <f t="shared" si="8"/>
        <v>78.609999999999985</v>
      </c>
      <c r="N88" s="3"/>
    </row>
    <row r="89" spans="1:14" ht="31.2" x14ac:dyDescent="0.3">
      <c r="A89" s="31">
        <v>89</v>
      </c>
      <c r="B89" s="5" t="str">
        <f>Compras!A89</f>
        <v>HK - Kawaii Sanrio Keychain Kuromi Keyring Doll Plush Cinnamoroll</v>
      </c>
      <c r="C89" s="5" t="s">
        <v>320</v>
      </c>
      <c r="D89" s="12" t="s">
        <v>303</v>
      </c>
      <c r="E89" s="15">
        <f>Compras!C89</f>
        <v>115.37</v>
      </c>
      <c r="F89" s="6">
        <f>Compras!D89</f>
        <v>0.69012741613937767</v>
      </c>
      <c r="G89" s="3">
        <f>Compras!B89</f>
        <v>1</v>
      </c>
      <c r="H89" s="15">
        <f>Compras!Q89</f>
        <v>34.79</v>
      </c>
      <c r="I89" s="3">
        <f>Compras!P89</f>
        <v>1</v>
      </c>
      <c r="J89" s="30" t="s">
        <v>363</v>
      </c>
      <c r="K89" s="16">
        <f t="shared" si="6"/>
        <v>135.07375000000002</v>
      </c>
      <c r="L89" s="17">
        <f t="shared" si="7"/>
        <v>106.12937500000001</v>
      </c>
      <c r="M89" s="18">
        <f t="shared" si="8"/>
        <v>77.185000000000002</v>
      </c>
      <c r="N89" s="3"/>
    </row>
    <row r="90" spans="1:14" ht="31.2" x14ac:dyDescent="0.3">
      <c r="A90" s="31">
        <v>90</v>
      </c>
      <c r="B90" s="5" t="str">
        <f>Compras!A90</f>
        <v>Melody - Kawaii Sanrio Keychain Kuromi Keyring Doll Plush Cinnamoroll</v>
      </c>
      <c r="C90" s="5" t="s">
        <v>346</v>
      </c>
      <c r="D90" s="12" t="s">
        <v>303</v>
      </c>
      <c r="E90" s="15">
        <f>Compras!C90</f>
        <v>116.19</v>
      </c>
      <c r="F90" s="6">
        <f>Compras!D90</f>
        <v>0.68999053274808508</v>
      </c>
      <c r="G90" s="3">
        <f>Compras!B90</f>
        <v>1</v>
      </c>
      <c r="H90" s="15">
        <f>Compras!Q90</f>
        <v>35.06</v>
      </c>
      <c r="I90" s="3">
        <f>Compras!P90</f>
        <v>1</v>
      </c>
      <c r="J90" s="30" t="s">
        <v>363</v>
      </c>
      <c r="K90" s="16">
        <f t="shared" si="6"/>
        <v>135.7825</v>
      </c>
      <c r="L90" s="17">
        <f t="shared" si="7"/>
        <v>106.68625</v>
      </c>
      <c r="M90" s="18">
        <f t="shared" si="8"/>
        <v>77.59</v>
      </c>
      <c r="N90" s="3"/>
    </row>
    <row r="91" spans="1:14" ht="31.2" x14ac:dyDescent="0.3">
      <c r="A91" s="31">
        <v>91</v>
      </c>
      <c r="B91" s="5" t="str">
        <f>Compras!A91</f>
        <v>Luffy - 25cm One Piece Original Plush Toys CartoonFigure Luffy Chopper…</v>
      </c>
      <c r="C91" s="5" t="s">
        <v>335</v>
      </c>
      <c r="D91" s="12" t="s">
        <v>303</v>
      </c>
      <c r="E91" s="15">
        <f>Compras!C91</f>
        <v>278.82</v>
      </c>
      <c r="F91" s="6">
        <f>Compras!D91</f>
        <v>0.7099562441718672</v>
      </c>
      <c r="G91" s="3">
        <f>Compras!B91</f>
        <v>1</v>
      </c>
      <c r="H91" s="15">
        <f>Compras!Q91</f>
        <v>79.28</v>
      </c>
      <c r="I91" s="3">
        <f>Compras!P91</f>
        <v>1</v>
      </c>
      <c r="J91" s="29" t="s">
        <v>363</v>
      </c>
      <c r="K91" s="16">
        <f t="shared" si="6"/>
        <v>217.17499999999998</v>
      </c>
      <c r="L91" s="17">
        <f t="shared" si="7"/>
        <v>170.63749999999999</v>
      </c>
      <c r="M91" s="18">
        <f t="shared" si="8"/>
        <v>124.1</v>
      </c>
      <c r="N91" s="3"/>
    </row>
    <row r="92" spans="1:14" ht="31.2" x14ac:dyDescent="0.3">
      <c r="A92" s="31">
        <v>92</v>
      </c>
      <c r="B92" s="5" t="str">
        <f>Compras!A92</f>
        <v>Bulbasaur 18cm - 47 Styles Anime Pokemon Plush Charmander Squirtle Pikachu Plush...</v>
      </c>
      <c r="C92" s="5" t="s">
        <v>340</v>
      </c>
      <c r="D92" s="12" t="s">
        <v>303</v>
      </c>
      <c r="E92" s="15">
        <f>Compras!C92</f>
        <v>310.68</v>
      </c>
      <c r="F92" s="6">
        <f>Compras!D92</f>
        <v>0.71002317497103118</v>
      </c>
      <c r="G92" s="3">
        <f>Compras!B92</f>
        <v>2</v>
      </c>
      <c r="H92" s="15">
        <f>Compras!Q92</f>
        <v>88.356125000000006</v>
      </c>
      <c r="I92" s="3">
        <f>Compras!P92</f>
        <v>1</v>
      </c>
      <c r="J92" s="30" t="s">
        <v>363</v>
      </c>
      <c r="K92" s="16">
        <f t="shared" si="6"/>
        <v>237.02902343750003</v>
      </c>
      <c r="L92" s="17">
        <f t="shared" si="7"/>
        <v>186.23708984375003</v>
      </c>
      <c r="M92" s="18">
        <f t="shared" si="8"/>
        <v>135.44515625000003</v>
      </c>
      <c r="N92"/>
    </row>
    <row r="93" spans="1:14" ht="31.2" x14ac:dyDescent="0.3">
      <c r="A93" s="31">
        <v>93</v>
      </c>
      <c r="B93" s="5" t="str">
        <f>Compras!A93</f>
        <v>Bulbasaur 32cm - 47 Styles Anime Pokemon Plush Charmander Squirtle Pikachu Plush...</v>
      </c>
      <c r="C93" s="5" t="s">
        <v>340</v>
      </c>
      <c r="D93" s="5" t="s">
        <v>303</v>
      </c>
      <c r="E93" s="15">
        <f>Compras!C93</f>
        <v>794.42</v>
      </c>
      <c r="F93" s="6">
        <f>Compras!D93</f>
        <v>0.71000226580398274</v>
      </c>
      <c r="G93" s="3">
        <f>Compras!B93</f>
        <v>1</v>
      </c>
      <c r="H93" s="15">
        <f>Compras!Q93</f>
        <v>226.91225</v>
      </c>
      <c r="I93" s="3">
        <f>Compras!P93</f>
        <v>1</v>
      </c>
      <c r="J93" s="30" t="s">
        <v>363</v>
      </c>
      <c r="K93" s="16">
        <f t="shared" si="6"/>
        <v>385.80039062499998</v>
      </c>
      <c r="L93" s="17">
        <f t="shared" si="7"/>
        <v>347.22035156250001</v>
      </c>
      <c r="M93" s="18">
        <f t="shared" si="8"/>
        <v>308.64031249999999</v>
      </c>
      <c r="N93" s="3"/>
    </row>
    <row r="94" spans="1:14" ht="31.2" x14ac:dyDescent="0.3">
      <c r="A94" s="31">
        <v>94</v>
      </c>
      <c r="B94" s="5" t="str">
        <f>Compras!A94</f>
        <v>Pingüino 25cm - 47 Styles Anime Pokemon Plush Charmander Squirtle Pikachu Plush...</v>
      </c>
      <c r="C94" s="5" t="s">
        <v>340</v>
      </c>
      <c r="D94" s="5" t="s">
        <v>303</v>
      </c>
      <c r="E94" s="15">
        <f>Compras!C94</f>
        <v>365.01</v>
      </c>
      <c r="F94" s="6">
        <f>Compras!D94</f>
        <v>0.7100079449878085</v>
      </c>
      <c r="G94" s="3">
        <f>Compras!B94</f>
        <v>1</v>
      </c>
      <c r="H94" s="15">
        <f>Compras!Q94</f>
        <v>102.38224999999998</v>
      </c>
      <c r="I94" s="3">
        <f>Compras!P94</f>
        <v>1</v>
      </c>
      <c r="J94" s="30" t="s">
        <v>363</v>
      </c>
      <c r="K94" s="16">
        <f t="shared" si="6"/>
        <v>229.46671874999996</v>
      </c>
      <c r="L94" s="17">
        <f t="shared" si="7"/>
        <v>191.22226562499998</v>
      </c>
      <c r="M94" s="18">
        <f t="shared" si="8"/>
        <v>152.97781249999997</v>
      </c>
      <c r="N94" s="3"/>
    </row>
    <row r="95" spans="1:14" ht="31.2" x14ac:dyDescent="0.3">
      <c r="A95" s="31">
        <v>95</v>
      </c>
      <c r="B95" s="5" t="str">
        <f>Compras!A95</f>
        <v>Estrella 25cm - 47 Styles Anime Pokemon Plush Charmander Squirtle Pikachu Plush...</v>
      </c>
      <c r="C95" s="5" t="s">
        <v>340</v>
      </c>
      <c r="D95" s="5" t="s">
        <v>303</v>
      </c>
      <c r="E95" s="15">
        <f>Compras!C95</f>
        <v>360.22</v>
      </c>
      <c r="F95" s="6">
        <f>Compras!D95</f>
        <v>0.7099550274832046</v>
      </c>
      <c r="G95" s="3">
        <f>Compras!B95</f>
        <v>1</v>
      </c>
      <c r="H95" s="15">
        <f>Compras!Q95</f>
        <v>101.01224999999999</v>
      </c>
      <c r="I95" s="3">
        <f>Compras!P95</f>
        <v>1</v>
      </c>
      <c r="J95" s="30" t="s">
        <v>363</v>
      </c>
      <c r="K95" s="16">
        <f t="shared" si="6"/>
        <v>226.89796874999999</v>
      </c>
      <c r="L95" s="17">
        <f t="shared" si="7"/>
        <v>189.08164062499998</v>
      </c>
      <c r="M95" s="18">
        <f t="shared" si="8"/>
        <v>151.26531249999999</v>
      </c>
      <c r="N95" s="3"/>
    </row>
    <row r="96" spans="1:14" ht="31.2" x14ac:dyDescent="0.3">
      <c r="A96" s="31">
        <v>96</v>
      </c>
      <c r="B96" s="5" t="str">
        <f>Compras!A96</f>
        <v>Pikachu 25cm - 47 Styles Anime Pokemon Plush Charmander Squirtle Pikachu Plush...</v>
      </c>
      <c r="C96" s="5" t="s">
        <v>340</v>
      </c>
      <c r="D96" s="5" t="s">
        <v>303</v>
      </c>
      <c r="E96" s="15">
        <f>Compras!C96</f>
        <v>243.86</v>
      </c>
      <c r="F96" s="6">
        <f>Compras!D96</f>
        <v>0.70999753957188549</v>
      </c>
      <c r="G96" s="3">
        <f>Compras!B96</f>
        <v>1</v>
      </c>
      <c r="H96" s="15">
        <f>Compras!Q96</f>
        <v>67.252249999999989</v>
      </c>
      <c r="I96" s="3">
        <f>Compras!P96</f>
        <v>1</v>
      </c>
      <c r="J96" s="30" t="s">
        <v>363</v>
      </c>
      <c r="K96" s="16">
        <f t="shared" si="6"/>
        <v>190.86429687499998</v>
      </c>
      <c r="L96" s="17">
        <f t="shared" si="7"/>
        <v>149.96480468749999</v>
      </c>
      <c r="M96" s="18">
        <f t="shared" si="8"/>
        <v>109.06531249999999</v>
      </c>
      <c r="N96" s="3"/>
    </row>
    <row r="97" spans="1:14" ht="31.2" x14ac:dyDescent="0.3">
      <c r="A97" s="31">
        <v>97</v>
      </c>
      <c r="B97" s="5" t="str">
        <f>Compras!A97</f>
        <v>Kuromy pijama esponja - Sanrio 25Cm Anime Sanriod Toys Kawaii Kuromi Mymelody</v>
      </c>
      <c r="C97" s="5" t="s">
        <v>346</v>
      </c>
      <c r="D97" s="5" t="s">
        <v>303</v>
      </c>
      <c r="E97" s="15">
        <f>Compras!C97</f>
        <v>118.21</v>
      </c>
      <c r="F97" s="6">
        <f>Compras!D97</f>
        <v>0.52998900262245152</v>
      </c>
      <c r="G97" s="3">
        <f>Compras!B97</f>
        <v>1</v>
      </c>
      <c r="H97" s="15">
        <f>Compras!Q97</f>
        <v>55.56</v>
      </c>
      <c r="I97" s="3">
        <f>Compras!P97</f>
        <v>1</v>
      </c>
      <c r="J97" s="29" t="s">
        <v>363</v>
      </c>
      <c r="K97" s="16">
        <f t="shared" si="6"/>
        <v>162.51</v>
      </c>
      <c r="L97" s="17">
        <f t="shared" si="7"/>
        <v>135.42500000000001</v>
      </c>
      <c r="M97" s="18">
        <f t="shared" si="8"/>
        <v>108.34</v>
      </c>
      <c r="N97" s="3"/>
    </row>
    <row r="98" spans="1:14" ht="31.2" x14ac:dyDescent="0.3">
      <c r="A98" s="31">
        <v>98</v>
      </c>
      <c r="B98" s="5" t="str">
        <f>Compras!A98</f>
        <v>Kuromy moño rosa - Sanrio 25Cm Anime Sanriod Toys Kawaii Kuromi Mymelody</v>
      </c>
      <c r="C98" s="5" t="s">
        <v>346</v>
      </c>
      <c r="D98" s="5" t="s">
        <v>303</v>
      </c>
      <c r="E98" s="15">
        <f>Compras!C98</f>
        <v>103.27</v>
      </c>
      <c r="F98" s="6">
        <f>Compras!D98</f>
        <v>0.53006681514476606</v>
      </c>
      <c r="G98" s="3">
        <f>Compras!B98</f>
        <v>2</v>
      </c>
      <c r="H98" s="15">
        <f>Compras!Q98</f>
        <v>48.53</v>
      </c>
      <c r="I98" s="3">
        <f>Compras!P98</f>
        <v>1</v>
      </c>
      <c r="J98" s="29" t="s">
        <v>363</v>
      </c>
      <c r="K98" s="16">
        <f t="shared" ref="K98:K129" si="9">M98* (IF(M98-H98&lt;100, IF(M98-H98&gt;80, 1.25, IF(M98-H98&gt;50, 1.5, 1.75)), IF(M98-H98&gt;150, 0.95, IF(M98-H98&gt;170, 0.9, 1))))</f>
        <v>171.14125000000001</v>
      </c>
      <c r="L98" s="17">
        <f t="shared" ref="L98:L129" si="10">(K98+M98)/2</f>
        <v>134.46812500000001</v>
      </c>
      <c r="M98" s="18">
        <f t="shared" ref="M98:M129" si="11">(H98/I98) * ( IF(E98&gt;H98, IF(E98-H98&gt;100, 1.25, IF(E98-H98&gt;50, 1.5, 1.75)), IF(H98-E98&gt;100, 1.25, IF(H98-E98&gt;50, 1.5, 1.75))) ) + 25</f>
        <v>97.795000000000002</v>
      </c>
      <c r="N98" s="3"/>
    </row>
    <row r="99" spans="1:14" ht="31.2" x14ac:dyDescent="0.3">
      <c r="A99" s="31">
        <v>99</v>
      </c>
      <c r="B99" s="5" t="str">
        <f>Compras!A99</f>
        <v>Par de Peluches The Amazing Digital Circus Plush Kawaii</v>
      </c>
      <c r="C99" s="5" t="s">
        <v>310</v>
      </c>
      <c r="D99" s="5" t="s">
        <v>303</v>
      </c>
      <c r="E99" s="15">
        <f>Compras!C99</f>
        <v>404.9</v>
      </c>
      <c r="F99" s="6">
        <f>Compras!D99</f>
        <v>0.68997283279822186</v>
      </c>
      <c r="G99" s="3">
        <f>Compras!B99</f>
        <v>1</v>
      </c>
      <c r="H99" s="15">
        <f>Compras!Q99</f>
        <v>120.51</v>
      </c>
      <c r="I99" s="3">
        <f>Compras!P99</f>
        <v>2</v>
      </c>
      <c r="J99" s="29" t="s">
        <v>363</v>
      </c>
      <c r="K99" s="16">
        <f t="shared" si="9"/>
        <v>175.55781250000001</v>
      </c>
      <c r="L99" s="17">
        <f t="shared" si="10"/>
        <v>137.93828125000002</v>
      </c>
      <c r="M99" s="18">
        <f t="shared" si="11"/>
        <v>100.31875000000001</v>
      </c>
      <c r="N99" s="3"/>
    </row>
    <row r="100" spans="1:14" ht="31.2" x14ac:dyDescent="0.3">
      <c r="A100" s="31">
        <v>100</v>
      </c>
      <c r="B100" s="5" t="str">
        <f>Compras!A100</f>
        <v>Kuromy Moño - HelloKitty Tie Dye Kuromi Plush Toy Melody Cinnamon</v>
      </c>
      <c r="C100" s="5" t="s">
        <v>346</v>
      </c>
      <c r="D100" s="5" t="s">
        <v>303</v>
      </c>
      <c r="E100" s="15">
        <f>Compras!C100</f>
        <v>106.33</v>
      </c>
      <c r="F100" s="6">
        <f>Compras!D100</f>
        <v>0.52995391705069128</v>
      </c>
      <c r="G100" s="3">
        <f>Compras!B100</f>
        <v>1</v>
      </c>
      <c r="H100" s="15">
        <f>Compras!Q100</f>
        <v>50</v>
      </c>
      <c r="I100" s="3">
        <f>Compras!P100</f>
        <v>1</v>
      </c>
      <c r="J100" s="30" t="s">
        <v>363</v>
      </c>
      <c r="K100" s="16">
        <f t="shared" si="9"/>
        <v>175</v>
      </c>
      <c r="L100" s="17">
        <f t="shared" si="10"/>
        <v>137.5</v>
      </c>
      <c r="M100" s="18">
        <f t="shared" si="11"/>
        <v>100</v>
      </c>
      <c r="N100" s="3"/>
    </row>
    <row r="101" spans="1:14" ht="31.2" x14ac:dyDescent="0.3">
      <c r="A101" s="31">
        <v>101</v>
      </c>
      <c r="B101" s="5" t="str">
        <f>Compras!A101</f>
        <v>35cm Disney Winnie The Pooh Toys Cute Soft Animals</v>
      </c>
      <c r="C101" s="5" t="s">
        <v>313</v>
      </c>
      <c r="D101" s="5" t="s">
        <v>303</v>
      </c>
      <c r="E101" s="15">
        <f>Compras!C101</f>
        <v>102.21</v>
      </c>
      <c r="F101" s="6">
        <f>Compras!D101</f>
        <v>0.24997554055376184</v>
      </c>
      <c r="G101" s="3">
        <f>Compras!B101</f>
        <v>2</v>
      </c>
      <c r="H101" s="15">
        <f>Compras!Q101</f>
        <v>160.23500000000001</v>
      </c>
      <c r="I101" s="3">
        <f>Compras!P101</f>
        <v>1</v>
      </c>
      <c r="J101" s="29" t="s">
        <v>363</v>
      </c>
      <c r="K101" s="16">
        <f t="shared" si="9"/>
        <v>265.35250000000002</v>
      </c>
      <c r="L101" s="17">
        <f t="shared" si="10"/>
        <v>265.35250000000002</v>
      </c>
      <c r="M101" s="18">
        <f t="shared" si="11"/>
        <v>265.35250000000002</v>
      </c>
      <c r="N101"/>
    </row>
    <row r="102" spans="1:14" ht="31.2" x14ac:dyDescent="0.3">
      <c r="A102" s="31">
        <v>102</v>
      </c>
      <c r="B102" s="5" t="str">
        <f>Compras!A102</f>
        <v>Chopper - Original 25CM One Piece Anime Figures Cosplay Plush Toys Zoro…</v>
      </c>
      <c r="C102" s="5" t="s">
        <v>335</v>
      </c>
      <c r="D102" s="5" t="s">
        <v>303</v>
      </c>
      <c r="E102" s="15">
        <f>Compras!C102</f>
        <v>285.27</v>
      </c>
      <c r="F102" s="6">
        <f>Compras!D102</f>
        <v>0.69001297016861218</v>
      </c>
      <c r="G102" s="3">
        <f>Compras!B102</f>
        <v>2</v>
      </c>
      <c r="H102" s="15">
        <f>Compras!Q102</f>
        <v>88.477500000000006</v>
      </c>
      <c r="I102" s="3">
        <f>Compras!P102</f>
        <v>1</v>
      </c>
      <c r="J102" s="30" t="s">
        <v>363</v>
      </c>
      <c r="K102" s="16">
        <f t="shared" si="9"/>
        <v>237.29453125000003</v>
      </c>
      <c r="L102" s="17">
        <f t="shared" si="10"/>
        <v>186.44570312500002</v>
      </c>
      <c r="M102" s="18">
        <f t="shared" si="11"/>
        <v>135.59687500000001</v>
      </c>
      <c r="N102"/>
    </row>
    <row r="103" spans="1:14" ht="31.2" x14ac:dyDescent="0.3">
      <c r="A103" s="31">
        <v>103</v>
      </c>
      <c r="B103" s="5" t="str">
        <f>Compras!A103</f>
        <v>Luffy - Original 25CM One Piece Anime Figures Cosplay Plush Toys Zoro…</v>
      </c>
      <c r="C103" s="5" t="s">
        <v>335</v>
      </c>
      <c r="D103" s="5" t="s">
        <v>303</v>
      </c>
      <c r="E103" s="15">
        <f>Compras!C103</f>
        <v>307.33</v>
      </c>
      <c r="F103" s="6">
        <f>Compras!D103</f>
        <v>0.68997494549832428</v>
      </c>
      <c r="G103" s="3">
        <f>Compras!B103</f>
        <v>1</v>
      </c>
      <c r="H103" s="15">
        <f>Compras!Q103</f>
        <v>95.375</v>
      </c>
      <c r="I103" s="3">
        <f>Compras!P103</f>
        <v>1</v>
      </c>
      <c r="J103" s="30" t="s">
        <v>363</v>
      </c>
      <c r="K103" s="16">
        <f t="shared" si="9"/>
        <v>252.3828125</v>
      </c>
      <c r="L103" s="17">
        <f t="shared" si="10"/>
        <v>198.30078125</v>
      </c>
      <c r="M103" s="18">
        <f t="shared" si="11"/>
        <v>144.21875</v>
      </c>
      <c r="N103"/>
    </row>
    <row r="104" spans="1:14" ht="31.2" x14ac:dyDescent="0.3">
      <c r="A104" s="31">
        <v>104</v>
      </c>
      <c r="B104" s="5" t="str">
        <f>Compras!A104</f>
        <v>Chopper - 4 Styles One Piece 20cm Tony Tony Chopper Anime Figure Plush Toys</v>
      </c>
      <c r="C104" s="5" t="s">
        <v>335</v>
      </c>
      <c r="D104" s="5" t="s">
        <v>303</v>
      </c>
      <c r="E104" s="15">
        <f>Compras!C104</f>
        <v>125.23</v>
      </c>
      <c r="F104" s="6">
        <f>Compras!D104</f>
        <v>0.29984827916633389</v>
      </c>
      <c r="G104" s="3">
        <f>Compras!B104</f>
        <v>1</v>
      </c>
      <c r="H104" s="15">
        <f>Compras!Q104</f>
        <v>87.775000000000006</v>
      </c>
      <c r="I104" s="3">
        <f>Compras!P104</f>
        <v>1</v>
      </c>
      <c r="J104" s="30" t="s">
        <v>363</v>
      </c>
      <c r="K104" s="16">
        <f t="shared" si="9"/>
        <v>223.25781250000003</v>
      </c>
      <c r="L104" s="17">
        <f t="shared" si="10"/>
        <v>200.93203125000002</v>
      </c>
      <c r="M104" s="18">
        <f t="shared" si="11"/>
        <v>178.60625000000002</v>
      </c>
      <c r="N104"/>
    </row>
    <row r="105" spans="1:14" ht="31.2" x14ac:dyDescent="0.3">
      <c r="A105" s="31">
        <v>105</v>
      </c>
      <c r="B105" s="5" t="str">
        <f>Compras!A105</f>
        <v>Kirby - Cute Cartoon Stars Kirby Meta Knight Waddle Dee Plush Toys</v>
      </c>
      <c r="C105" s="5" t="s">
        <v>325</v>
      </c>
      <c r="D105" s="5" t="s">
        <v>303</v>
      </c>
      <c r="E105" s="15">
        <f>Compras!C105</f>
        <v>136.25</v>
      </c>
      <c r="F105" s="6">
        <f>Compras!D105</f>
        <v>0.24022018348623855</v>
      </c>
      <c r="G105" s="3">
        <f>Compras!B105</f>
        <v>4</v>
      </c>
      <c r="H105" s="15">
        <f>Compras!Q105</f>
        <v>230.7883333333333</v>
      </c>
      <c r="I105" s="3">
        <f>Compras!P105</f>
        <v>1</v>
      </c>
      <c r="J105" s="30" t="s">
        <v>363</v>
      </c>
      <c r="K105" s="16">
        <f t="shared" si="9"/>
        <v>371.18249999999995</v>
      </c>
      <c r="L105" s="17">
        <f t="shared" si="10"/>
        <v>371.18249999999995</v>
      </c>
      <c r="M105" s="18">
        <f t="shared" si="11"/>
        <v>371.18249999999995</v>
      </c>
      <c r="N105"/>
    </row>
    <row r="106" spans="1:14" ht="31.2" x14ac:dyDescent="0.3">
      <c r="A106" s="31">
        <v>106</v>
      </c>
      <c r="B106" s="5" t="str">
        <f>Compras!A106</f>
        <v>Kirby Hielo - Cute Cartoon Stars Kirby Meta Knight Waddle Dee Plush Toys</v>
      </c>
      <c r="C106" s="5" t="s">
        <v>325</v>
      </c>
      <c r="D106" s="12" t="s">
        <v>303</v>
      </c>
      <c r="E106" s="15">
        <f>Compras!C106</f>
        <v>32.159999999999997</v>
      </c>
      <c r="F106" s="6">
        <f>Compras!D106</f>
        <v>-2.8081467661691546</v>
      </c>
      <c r="G106" s="3">
        <f>Compras!B106</f>
        <v>2</v>
      </c>
      <c r="H106" s="15">
        <f>Compras!Q106</f>
        <v>249.73833333333332</v>
      </c>
      <c r="I106" s="3">
        <f>Compras!P106</f>
        <v>1</v>
      </c>
      <c r="J106" s="30" t="s">
        <v>363</v>
      </c>
      <c r="K106" s="16">
        <f t="shared" si="9"/>
        <v>421.46614583333331</v>
      </c>
      <c r="L106" s="17">
        <f t="shared" si="10"/>
        <v>379.31953124999995</v>
      </c>
      <c r="M106" s="18">
        <f t="shared" si="11"/>
        <v>337.17291666666665</v>
      </c>
      <c r="N106"/>
    </row>
    <row r="107" spans="1:14" ht="31.2" x14ac:dyDescent="0.3">
      <c r="A107" s="31">
        <v>107</v>
      </c>
      <c r="B107" s="5" t="str">
        <f>Compras!A107</f>
        <v>Kirby Heart - Kawaii Anime Star Kirby Sword Kirby Stuffed Peluche Plush</v>
      </c>
      <c r="C107" s="5" t="s">
        <v>325</v>
      </c>
      <c r="D107" s="12" t="s">
        <v>303</v>
      </c>
      <c r="E107" s="15">
        <f>Compras!C107</f>
        <v>141.25</v>
      </c>
      <c r="F107" s="6">
        <f>Compras!D107</f>
        <v>0.49996460176991148</v>
      </c>
      <c r="G107" s="3">
        <f>Compras!B107</f>
        <v>4</v>
      </c>
      <c r="H107" s="15">
        <f>Compras!Q107</f>
        <v>89.75</v>
      </c>
      <c r="I107" s="3">
        <f>Compras!P107</f>
        <v>1</v>
      </c>
      <c r="J107" s="30" t="s">
        <v>363</v>
      </c>
      <c r="K107" s="16">
        <f t="shared" si="9"/>
        <v>239.4375</v>
      </c>
      <c r="L107" s="17">
        <f t="shared" si="10"/>
        <v>199.53125</v>
      </c>
      <c r="M107" s="18">
        <f t="shared" si="11"/>
        <v>159.625</v>
      </c>
      <c r="N107"/>
    </row>
    <row r="108" spans="1:14" ht="31.2" x14ac:dyDescent="0.3">
      <c r="A108" s="31">
        <v>108</v>
      </c>
      <c r="B108" s="5" t="str">
        <f>Compras!A108</f>
        <v>Adornos de pastel de luna de hierro, decoración creativa de Arte de hierro</v>
      </c>
      <c r="C108" s="5" t="s">
        <v>321</v>
      </c>
      <c r="D108" s="5" t="s">
        <v>407</v>
      </c>
      <c r="E108" s="15">
        <f>Compras!C108</f>
        <v>52.17</v>
      </c>
      <c r="F108" s="6">
        <f>Compras!D108</f>
        <v>0.48821161587119044</v>
      </c>
      <c r="G108" s="3">
        <f>Compras!B108</f>
        <v>1</v>
      </c>
      <c r="H108" s="15">
        <f>Compras!Q108</f>
        <v>46.68</v>
      </c>
      <c r="I108" s="3">
        <f>Compras!P108</f>
        <v>1</v>
      </c>
      <c r="J108" s="30" t="s">
        <v>363</v>
      </c>
      <c r="K108" s="16">
        <f t="shared" si="9"/>
        <v>160.035</v>
      </c>
      <c r="L108" s="17">
        <f t="shared" si="10"/>
        <v>133.36250000000001</v>
      </c>
      <c r="M108" s="18">
        <f t="shared" si="11"/>
        <v>106.69</v>
      </c>
      <c r="N108"/>
    </row>
    <row r="109" spans="1:14" ht="31.2" x14ac:dyDescent="0.3">
      <c r="A109" s="31">
        <v>109</v>
      </c>
      <c r="B109" s="5" t="str">
        <f>Compras!A109</f>
        <v>Adorno de acrílico dorado para pastel de cumpleaños, Perla de imitación dorada, Luna</v>
      </c>
      <c r="C109" s="5" t="s">
        <v>321</v>
      </c>
      <c r="D109" s="12" t="s">
        <v>407</v>
      </c>
      <c r="E109" s="15">
        <f>Compras!C109</f>
        <v>32.56</v>
      </c>
      <c r="F109" s="6">
        <f>Compras!D109</f>
        <v>0.1483415233415234</v>
      </c>
      <c r="G109" s="3">
        <f>Compras!B109</f>
        <v>1</v>
      </c>
      <c r="H109" s="15">
        <f>Compras!Q109</f>
        <v>35.31</v>
      </c>
      <c r="I109" s="3">
        <f>Compras!P109</f>
        <v>1</v>
      </c>
      <c r="J109" s="30" t="s">
        <v>363</v>
      </c>
      <c r="K109" s="16">
        <f t="shared" si="9"/>
        <v>130.18875</v>
      </c>
      <c r="L109" s="17">
        <f t="shared" si="10"/>
        <v>108.49062499999999</v>
      </c>
      <c r="M109" s="18">
        <f t="shared" si="11"/>
        <v>86.792500000000004</v>
      </c>
      <c r="N109"/>
    </row>
    <row r="110" spans="1:14" ht="31.2" x14ac:dyDescent="0.3">
      <c r="A110" s="31">
        <v>110</v>
      </c>
      <c r="B110" s="5" t="str">
        <f>Compras!A110</f>
        <v>Adorno de pastel para hornear, decoración de hilo, arco de bola de platino</v>
      </c>
      <c r="C110" s="5" t="s">
        <v>321</v>
      </c>
      <c r="D110" s="12" t="s">
        <v>407</v>
      </c>
      <c r="E110" s="15">
        <f>Compras!C110</f>
        <v>90.79</v>
      </c>
      <c r="F110" s="6">
        <f>Compras!D110</f>
        <v>0.52373609428351142</v>
      </c>
      <c r="G110" s="3">
        <f>Compras!B110</f>
        <v>1</v>
      </c>
      <c r="H110" s="15">
        <f>Compras!Q110</f>
        <v>43.24</v>
      </c>
      <c r="I110" s="3">
        <f>Compras!P110</f>
        <v>1</v>
      </c>
      <c r="J110" s="30" t="s">
        <v>363</v>
      </c>
      <c r="K110" s="16">
        <f t="shared" si="9"/>
        <v>151.005</v>
      </c>
      <c r="L110" s="17">
        <f t="shared" si="10"/>
        <v>125.83750000000001</v>
      </c>
      <c r="M110" s="18">
        <f t="shared" si="11"/>
        <v>100.67</v>
      </c>
      <c r="N110"/>
    </row>
    <row r="111" spans="1:14" ht="31.2" x14ac:dyDescent="0.3">
      <c r="A111" s="31">
        <v>111</v>
      </c>
      <c r="B111" s="5" t="str">
        <f>Compras!A111</f>
        <v>fiesta de cumpleaños para hornear, regalos encantadores, adornos de pastel, corazon</v>
      </c>
      <c r="C111" s="5" t="s">
        <v>321</v>
      </c>
      <c r="D111" s="5" t="s">
        <v>407</v>
      </c>
      <c r="E111" s="15">
        <f>Compras!C111</f>
        <v>39.43</v>
      </c>
      <c r="F111" s="6">
        <f>Compras!D111</f>
        <v>0.14811057570377875</v>
      </c>
      <c r="G111" s="3">
        <f>Compras!B111</f>
        <v>1</v>
      </c>
      <c r="H111" s="15">
        <f>Compras!Q111</f>
        <v>51.680000000000007</v>
      </c>
      <c r="I111" s="3">
        <f>Compras!P111</f>
        <v>1</v>
      </c>
      <c r="J111" s="30" t="s">
        <v>363</v>
      </c>
      <c r="K111" s="16">
        <f t="shared" si="9"/>
        <v>173.16000000000003</v>
      </c>
      <c r="L111" s="17">
        <f t="shared" si="10"/>
        <v>144.30000000000001</v>
      </c>
      <c r="M111" s="18">
        <f t="shared" si="11"/>
        <v>115.44000000000001</v>
      </c>
      <c r="N111"/>
    </row>
    <row r="112" spans="1:14" ht="31.2" x14ac:dyDescent="0.3">
      <c r="A112" s="31">
        <v>112</v>
      </c>
      <c r="B112" s="5" t="str">
        <f>Compras!A112</f>
        <v>Luz de noche de Pokémon Pikachu, Luz suave de Anime - Recostado</v>
      </c>
      <c r="C112" s="5" t="s">
        <v>340</v>
      </c>
      <c r="D112" s="12" t="s">
        <v>341</v>
      </c>
      <c r="E112" s="15">
        <f>Compras!C112</f>
        <v>83.97</v>
      </c>
      <c r="F112" s="6">
        <f>Compras!D112</f>
        <v>0.50922948672144808</v>
      </c>
      <c r="G112" s="3">
        <f>Compras!B112</f>
        <v>1</v>
      </c>
      <c r="H112" s="15">
        <f>Compras!Q112</f>
        <v>41.22</v>
      </c>
      <c r="I112" s="3">
        <f>Compras!P112</f>
        <v>1</v>
      </c>
      <c r="J112" s="30" t="s">
        <v>363</v>
      </c>
      <c r="K112" s="16">
        <f t="shared" si="9"/>
        <v>145.70249999999999</v>
      </c>
      <c r="L112" s="17">
        <f t="shared" si="10"/>
        <v>121.41874999999999</v>
      </c>
      <c r="M112" s="18">
        <f t="shared" si="11"/>
        <v>97.134999999999991</v>
      </c>
      <c r="N112"/>
    </row>
    <row r="113" spans="1:14" ht="31.2" x14ac:dyDescent="0.3">
      <c r="A113" s="31">
        <v>113</v>
      </c>
      <c r="B113" s="5" t="str">
        <f>Compras!A113</f>
        <v>Luz de noche de Pokémon Pikachu, Luz suave de Anime - Currucado</v>
      </c>
      <c r="C113" s="5" t="s">
        <v>340</v>
      </c>
      <c r="D113" s="12" t="s">
        <v>341</v>
      </c>
      <c r="E113" s="15">
        <f>Compras!C113</f>
        <v>32.159999999999997</v>
      </c>
      <c r="F113" s="6">
        <f>Compras!D113</f>
        <v>-0.23818407960199017</v>
      </c>
      <c r="G113" s="3">
        <f>Compras!B113</f>
        <v>1</v>
      </c>
      <c r="H113" s="15">
        <f>Compras!Q113</f>
        <v>39.83</v>
      </c>
      <c r="I113" s="3">
        <f>Compras!P113</f>
        <v>1</v>
      </c>
      <c r="J113" s="44" t="s">
        <v>363</v>
      </c>
      <c r="K113" s="16">
        <f t="shared" si="9"/>
        <v>142.05375000000001</v>
      </c>
      <c r="L113" s="17">
        <f t="shared" si="10"/>
        <v>118.37812500000001</v>
      </c>
      <c r="M113" s="18">
        <f t="shared" si="11"/>
        <v>94.702500000000001</v>
      </c>
      <c r="N113" s="3"/>
    </row>
    <row r="114" spans="1:14" ht="31.2" x14ac:dyDescent="0.3">
      <c r="A114" s="31">
        <v>114</v>
      </c>
      <c r="B114" s="5" t="str">
        <f>Compras!A114</f>
        <v>Rompecabezas de sistema Solar de madera para niños</v>
      </c>
      <c r="C114" s="5" t="s">
        <v>321</v>
      </c>
      <c r="D114" s="12" t="s">
        <v>322</v>
      </c>
      <c r="E114" s="15">
        <f>Compras!C114</f>
        <v>361.61</v>
      </c>
      <c r="F114" s="6">
        <f>Compras!D114</f>
        <v>0.58001714554354133</v>
      </c>
      <c r="G114" s="3">
        <f>Compras!B114</f>
        <v>1</v>
      </c>
      <c r="H114" s="15">
        <f>Compras!Q114</f>
        <v>151.89000000000001</v>
      </c>
      <c r="I114" s="3">
        <f>Compras!P114</f>
        <v>1</v>
      </c>
      <c r="J114" s="30" t="s">
        <v>363</v>
      </c>
      <c r="K114" s="16">
        <f t="shared" si="9"/>
        <v>322.29375000000005</v>
      </c>
      <c r="L114" s="17">
        <f t="shared" si="10"/>
        <v>268.578125</v>
      </c>
      <c r="M114" s="18">
        <f t="shared" si="11"/>
        <v>214.86250000000001</v>
      </c>
      <c r="N114" s="3"/>
    </row>
    <row r="115" spans="1:14" ht="31.2" x14ac:dyDescent="0.3">
      <c r="A115" s="31">
        <v>115</v>
      </c>
      <c r="B115" s="5" t="str">
        <f>Compras!A115</f>
        <v>Dinosaurio ZaZaZa para niños, juguete creativo sin batería</v>
      </c>
      <c r="C115" s="5" t="s">
        <v>311</v>
      </c>
      <c r="D115" s="12" t="s">
        <v>312</v>
      </c>
      <c r="E115" s="15">
        <f>Compras!C115</f>
        <v>219.89</v>
      </c>
      <c r="F115" s="6">
        <f>Compras!D115</f>
        <v>0.66005730137796159</v>
      </c>
      <c r="G115" s="3">
        <f>Compras!B115</f>
        <v>2</v>
      </c>
      <c r="H115" s="15">
        <f>Compras!Q115</f>
        <v>74.765000000000001</v>
      </c>
      <c r="I115" s="3">
        <f>Compras!P115</f>
        <v>1</v>
      </c>
      <c r="J115" s="30" t="s">
        <v>363</v>
      </c>
      <c r="K115" s="16">
        <f t="shared" si="9"/>
        <v>207.29843750000001</v>
      </c>
      <c r="L115" s="17">
        <f t="shared" si="10"/>
        <v>162.87734374999999</v>
      </c>
      <c r="M115" s="18">
        <f t="shared" si="11"/>
        <v>118.45625</v>
      </c>
      <c r="N115" s="3"/>
    </row>
    <row r="116" spans="1:14" ht="31.2" x14ac:dyDescent="0.3">
      <c r="A116" s="31">
        <v>116</v>
      </c>
      <c r="B116" s="5" t="str">
        <f>Compras!A116</f>
        <v>Rompecabezas Montessori de 60 piezas para niños</v>
      </c>
      <c r="C116" s="5" t="s">
        <v>321</v>
      </c>
      <c r="D116" s="12" t="s">
        <v>322</v>
      </c>
      <c r="E116" s="15">
        <f>Compras!C116</f>
        <v>99.08</v>
      </c>
      <c r="F116" s="6">
        <f>Compras!D116</f>
        <v>0.57993540573274127</v>
      </c>
      <c r="G116" s="3">
        <f>Compras!B116</f>
        <v>2</v>
      </c>
      <c r="H116" s="15">
        <f>Compras!Q116</f>
        <v>41.634999999999998</v>
      </c>
      <c r="I116" s="3">
        <f>Compras!P116</f>
        <v>1</v>
      </c>
      <c r="J116" s="29" t="s">
        <v>363</v>
      </c>
      <c r="K116" s="16">
        <f t="shared" si="9"/>
        <v>153.041875</v>
      </c>
      <c r="L116" s="17">
        <f t="shared" si="10"/>
        <v>120.2471875</v>
      </c>
      <c r="M116" s="18">
        <f t="shared" si="11"/>
        <v>87.452500000000001</v>
      </c>
      <c r="N116" s="3"/>
    </row>
    <row r="117" spans="1:14" ht="31.2" x14ac:dyDescent="0.3">
      <c r="A117" s="31">
        <v>117</v>
      </c>
      <c r="B117" s="5" t="str">
        <f>Compras!A117</f>
        <v>Gorros de felpa de Pikachu de dibujos animados para niño y adulto</v>
      </c>
      <c r="C117" s="5" t="s">
        <v>340</v>
      </c>
      <c r="D117" s="12" t="s">
        <v>315</v>
      </c>
      <c r="E117" s="15">
        <f>Compras!C117</f>
        <v>72.599999999999994</v>
      </c>
      <c r="F117" s="6">
        <f>Compras!D117</f>
        <v>5.8126721763085386E-2</v>
      </c>
      <c r="G117" s="3">
        <f>Compras!B117</f>
        <v>1</v>
      </c>
      <c r="H117" s="15">
        <f>Compras!Q117</f>
        <v>68.429999999999993</v>
      </c>
      <c r="I117" s="3">
        <f>Compras!P117</f>
        <v>1</v>
      </c>
      <c r="J117" s="30" t="s">
        <v>363</v>
      </c>
      <c r="K117" s="16">
        <f t="shared" si="9"/>
        <v>217.12875</v>
      </c>
      <c r="L117" s="17">
        <f t="shared" si="10"/>
        <v>180.94062500000001</v>
      </c>
      <c r="M117" s="18">
        <f t="shared" si="11"/>
        <v>144.7525</v>
      </c>
      <c r="N117" s="3"/>
    </row>
    <row r="118" spans="1:14" ht="31.2" x14ac:dyDescent="0.3">
      <c r="A118" s="31">
        <v>118</v>
      </c>
      <c r="B118" s="5" t="str">
        <f>Compras!A118</f>
        <v>Lámpara de mesita de noche con forma de Luna para niños, Kawaii 3D, Sanrio</v>
      </c>
      <c r="C118" s="5" t="s">
        <v>346</v>
      </c>
      <c r="D118" s="12" t="s">
        <v>341</v>
      </c>
      <c r="E118" s="15">
        <f>Compras!C118</f>
        <v>98.65</v>
      </c>
      <c r="F118" s="6">
        <f>Compras!D118</f>
        <v>0.35124176381145467</v>
      </c>
      <c r="G118" s="3">
        <f>Compras!B118</f>
        <v>4</v>
      </c>
      <c r="H118" s="15">
        <f>Compras!Q118</f>
        <v>109.59</v>
      </c>
      <c r="I118" s="3">
        <f>Compras!P118</f>
        <v>1</v>
      </c>
      <c r="J118" s="29" t="s">
        <v>363</v>
      </c>
      <c r="K118" s="16">
        <f t="shared" si="9"/>
        <v>216.7825</v>
      </c>
      <c r="L118" s="17">
        <f t="shared" si="10"/>
        <v>216.7825</v>
      </c>
      <c r="M118" s="18">
        <f t="shared" si="11"/>
        <v>216.7825</v>
      </c>
      <c r="N118" s="3"/>
    </row>
    <row r="119" spans="1:14" x14ac:dyDescent="0.3">
      <c r="A119" s="31">
        <v>119</v>
      </c>
      <c r="B119" s="5" t="str">
        <f>Compras!A119</f>
        <v>Sanrio - Luz de noche Kawaii Kuromi Melody</v>
      </c>
      <c r="C119" s="5" t="s">
        <v>346</v>
      </c>
      <c r="D119" s="12" t="s">
        <v>341</v>
      </c>
      <c r="E119" s="15">
        <f>Compras!C119</f>
        <v>150</v>
      </c>
      <c r="F119" s="6">
        <f>Compras!D119</f>
        <v>0.63439999999999996</v>
      </c>
      <c r="G119" s="3">
        <f>Compras!B119</f>
        <v>2</v>
      </c>
      <c r="H119" s="15">
        <f>Compras!Q119</f>
        <v>54.855000000000004</v>
      </c>
      <c r="I119" s="3">
        <f>Compras!P119</f>
        <v>1</v>
      </c>
      <c r="J119" s="30" t="s">
        <v>363</v>
      </c>
      <c r="K119" s="16">
        <f t="shared" si="9"/>
        <v>160.92374999999998</v>
      </c>
      <c r="L119" s="17">
        <f t="shared" si="10"/>
        <v>134.10312499999998</v>
      </c>
      <c r="M119" s="18">
        <f t="shared" si="11"/>
        <v>107.2825</v>
      </c>
      <c r="N119" s="3"/>
    </row>
    <row r="120" spans="1:14" ht="31.2" x14ac:dyDescent="0.3">
      <c r="A120" s="31">
        <v>120</v>
      </c>
      <c r="B120" s="5" t="str">
        <f>Compras!A120</f>
        <v>Guirnalda de luces LED de Navidad, iluminación interior y exterior con batería USB, 3-100M</v>
      </c>
      <c r="C120" s="5" t="s">
        <v>394</v>
      </c>
      <c r="D120" s="12" t="s">
        <v>395</v>
      </c>
      <c r="E120" s="15">
        <f>Compras!C120</f>
        <v>122.11</v>
      </c>
      <c r="F120" s="6">
        <f>Compras!D120</f>
        <v>0.74285480304643359</v>
      </c>
      <c r="G120" s="3">
        <f>Compras!B120</f>
        <v>1</v>
      </c>
      <c r="H120" s="15">
        <f>Compras!Q120</f>
        <v>31.43</v>
      </c>
      <c r="I120" s="3">
        <f>Compras!P120</f>
        <v>1</v>
      </c>
      <c r="J120" s="30" t="s">
        <v>363</v>
      </c>
      <c r="K120" s="16">
        <f t="shared" si="9"/>
        <v>126.25375</v>
      </c>
      <c r="L120" s="17">
        <f t="shared" si="10"/>
        <v>99.199375000000003</v>
      </c>
      <c r="M120" s="18">
        <f t="shared" si="11"/>
        <v>72.144999999999996</v>
      </c>
      <c r="N120" s="3"/>
    </row>
    <row r="121" spans="1:14" ht="31.2" x14ac:dyDescent="0.3">
      <c r="A121" s="31">
        <v>121</v>
      </c>
      <c r="B121" s="5" t="str">
        <f>Compras!A121</f>
        <v>Pegatinas Kirby de piezas, calcomanías impermeables para monopatín</v>
      </c>
      <c r="C121" s="5" t="s">
        <v>325</v>
      </c>
      <c r="D121" s="12" t="s">
        <v>326</v>
      </c>
      <c r="E121" s="15">
        <f>Compras!C121</f>
        <v>115.42</v>
      </c>
      <c r="F121" s="6">
        <f>Compras!D121</f>
        <v>0.7100155952174666</v>
      </c>
      <c r="G121" s="3">
        <f>Compras!B121</f>
        <v>2</v>
      </c>
      <c r="H121" s="15">
        <f>Compras!Q121</f>
        <v>33.475000000000001</v>
      </c>
      <c r="I121" s="3">
        <f>Compras!P121</f>
        <v>1</v>
      </c>
      <c r="J121" s="30" t="s">
        <v>363</v>
      </c>
      <c r="K121" s="16">
        <f t="shared" si="9"/>
        <v>131.62187500000002</v>
      </c>
      <c r="L121" s="17">
        <f t="shared" si="10"/>
        <v>103.41718750000001</v>
      </c>
      <c r="M121" s="18">
        <f t="shared" si="11"/>
        <v>75.212500000000006</v>
      </c>
      <c r="N121" s="3"/>
    </row>
    <row r="122" spans="1:14" ht="31.2" x14ac:dyDescent="0.3">
      <c r="A122" s="31">
        <v>122</v>
      </c>
      <c r="B122" s="5" t="str">
        <f>Compras!A122</f>
        <v>Pegatinas Kirby de piezas, calcomanías impermeables para monopatín</v>
      </c>
      <c r="C122" s="5" t="s">
        <v>325</v>
      </c>
      <c r="D122" s="12" t="s">
        <v>326</v>
      </c>
      <c r="E122" s="15">
        <f>Compras!C122</f>
        <v>115.42</v>
      </c>
      <c r="F122" s="6">
        <f>Compras!D122</f>
        <v>0.7100155952174666</v>
      </c>
      <c r="G122" s="3">
        <f>Compras!B122</f>
        <v>2</v>
      </c>
      <c r="H122" s="15">
        <f>Compras!Q122</f>
        <v>33.475000000000001</v>
      </c>
      <c r="I122" s="3">
        <f>Compras!P122</f>
        <v>1</v>
      </c>
      <c r="J122" s="30" t="s">
        <v>363</v>
      </c>
      <c r="K122" s="16">
        <f t="shared" si="9"/>
        <v>131.62187500000002</v>
      </c>
      <c r="L122" s="17">
        <f t="shared" si="10"/>
        <v>103.41718750000001</v>
      </c>
      <c r="M122" s="18">
        <f t="shared" si="11"/>
        <v>75.212500000000006</v>
      </c>
      <c r="N122" s="3"/>
    </row>
    <row r="123" spans="1:14" ht="31.2" x14ac:dyDescent="0.3">
      <c r="A123" s="31">
        <v>123</v>
      </c>
      <c r="B123" s="5" t="str">
        <f>Compras!A123</f>
        <v>Harry Potter - Varita mágica de núcleo de Metal para niños - Dumbledore</v>
      </c>
      <c r="C123" s="5" t="s">
        <v>314</v>
      </c>
      <c r="D123" s="12" t="s">
        <v>317</v>
      </c>
      <c r="E123" s="15">
        <f>Compras!C123</f>
        <v>137.77000000000001</v>
      </c>
      <c r="F123" s="6">
        <f>Compras!D123</f>
        <v>0.70995136822239957</v>
      </c>
      <c r="G123" s="3">
        <f>Compras!B123</f>
        <v>1</v>
      </c>
      <c r="H123" s="15">
        <f>Compras!Q123</f>
        <v>39.966666666666669</v>
      </c>
      <c r="I123" s="3">
        <f>Compras!P123</f>
        <v>1</v>
      </c>
      <c r="J123" s="30" t="s">
        <v>363</v>
      </c>
      <c r="K123" s="16">
        <f t="shared" si="9"/>
        <v>148.66249999999999</v>
      </c>
      <c r="L123" s="17">
        <f t="shared" si="10"/>
        <v>116.80625000000001</v>
      </c>
      <c r="M123" s="18">
        <f t="shared" si="11"/>
        <v>84.95</v>
      </c>
      <c r="N123" s="3"/>
    </row>
    <row r="124" spans="1:14" ht="31.2" x14ac:dyDescent="0.3">
      <c r="A124" s="31">
        <v>124</v>
      </c>
      <c r="B124" s="5" t="str">
        <f>Compras!A124</f>
        <v>Harry Potter - Varita mágica de núcleo de Metal para niños - Snape</v>
      </c>
      <c r="C124" s="5" t="s">
        <v>314</v>
      </c>
      <c r="D124" s="12" t="s">
        <v>317</v>
      </c>
      <c r="E124" s="15">
        <f>Compras!C124</f>
        <v>133.08000000000001</v>
      </c>
      <c r="F124" s="6">
        <f>Compras!D124</f>
        <v>0.71002404568680488</v>
      </c>
      <c r="G124" s="3">
        <f>Compras!B124</f>
        <v>1</v>
      </c>
      <c r="H124" s="15">
        <f>Compras!Q124</f>
        <v>38.596666666666671</v>
      </c>
      <c r="I124" s="3">
        <f>Compras!P124</f>
        <v>1</v>
      </c>
      <c r="J124" s="30" t="s">
        <v>363</v>
      </c>
      <c r="K124" s="16">
        <f t="shared" si="9"/>
        <v>145.06625000000003</v>
      </c>
      <c r="L124" s="17">
        <f t="shared" si="10"/>
        <v>113.98062500000002</v>
      </c>
      <c r="M124" s="18">
        <f t="shared" si="11"/>
        <v>82.89500000000001</v>
      </c>
      <c r="N124" s="3"/>
    </row>
    <row r="125" spans="1:14" ht="31.2" x14ac:dyDescent="0.3">
      <c r="A125" s="31">
        <v>125</v>
      </c>
      <c r="B125" s="5" t="str">
        <f>Compras!A125</f>
        <v>Harry Potter - Varita mágica de núcleo de Metal para niños - Harry</v>
      </c>
      <c r="C125" s="5" t="s">
        <v>314</v>
      </c>
      <c r="D125" s="5" t="s">
        <v>317</v>
      </c>
      <c r="E125" s="15">
        <f>Compras!C125</f>
        <v>143.97999999999999</v>
      </c>
      <c r="F125" s="6">
        <f>Compras!D125</f>
        <v>0.7100986248090011</v>
      </c>
      <c r="G125" s="3">
        <f>Compras!B125</f>
        <v>1</v>
      </c>
      <c r="H125" s="15">
        <f>Compras!Q125</f>
        <v>41.74666666666667</v>
      </c>
      <c r="I125" s="3">
        <f>Compras!P125</f>
        <v>1</v>
      </c>
      <c r="J125" s="30" t="s">
        <v>363</v>
      </c>
      <c r="K125" s="16">
        <f t="shared" si="9"/>
        <v>135.07083333333333</v>
      </c>
      <c r="L125" s="17">
        <f t="shared" si="10"/>
        <v>106.12708333333333</v>
      </c>
      <c r="M125" s="18">
        <f t="shared" si="11"/>
        <v>77.183333333333337</v>
      </c>
      <c r="N125" s="3"/>
    </row>
    <row r="126" spans="1:14" x14ac:dyDescent="0.3">
      <c r="A126" s="31">
        <v>126</v>
      </c>
      <c r="B126" s="5" t="str">
        <f>Compras!A126</f>
        <v>Gorra de camión Kirby Kawaii</v>
      </c>
      <c r="C126" s="5" t="s">
        <v>325</v>
      </c>
      <c r="D126" s="5" t="s">
        <v>327</v>
      </c>
      <c r="E126" s="15">
        <f>Compras!C126</f>
        <v>201.08</v>
      </c>
      <c r="F126" s="6">
        <f>Compras!D126</f>
        <v>0.31136860950865336</v>
      </c>
      <c r="G126" s="3">
        <f>Compras!B126</f>
        <v>2</v>
      </c>
      <c r="H126" s="15">
        <f>Compras!Q126</f>
        <v>191.655</v>
      </c>
      <c r="I126" s="3">
        <f>Compras!P126</f>
        <v>1</v>
      </c>
      <c r="J126" s="30" t="s">
        <v>363</v>
      </c>
      <c r="K126" s="16">
        <f t="shared" si="9"/>
        <v>342.37643750000001</v>
      </c>
      <c r="L126" s="17">
        <f t="shared" si="10"/>
        <v>351.38634375000004</v>
      </c>
      <c r="M126" s="18">
        <f t="shared" si="11"/>
        <v>360.39625000000001</v>
      </c>
      <c r="N126" s="3"/>
    </row>
    <row r="127" spans="1:14" ht="31.2" x14ac:dyDescent="0.3">
      <c r="A127" s="31">
        <v>127</v>
      </c>
      <c r="B127" s="5" t="str">
        <f>Compras!A127</f>
        <v>Bufanda de Harry para estudiantes, CosPlay de Campus - Gorro</v>
      </c>
      <c r="C127" s="5" t="s">
        <v>314</v>
      </c>
      <c r="D127" s="5" t="s">
        <v>315</v>
      </c>
      <c r="E127" s="15">
        <f>Compras!C127</f>
        <v>99.04</v>
      </c>
      <c r="F127" s="6">
        <f>Compras!D127</f>
        <v>0.52514135702746367</v>
      </c>
      <c r="G127" s="3">
        <f>Compras!B127</f>
        <v>2</v>
      </c>
      <c r="H127" s="15">
        <f>Compras!Q127</f>
        <v>62.79</v>
      </c>
      <c r="I127" s="3">
        <f>Compras!P127</f>
        <v>1</v>
      </c>
      <c r="J127" s="30" t="s">
        <v>363</v>
      </c>
      <c r="K127" s="16">
        <f t="shared" si="9"/>
        <v>202.32374999999999</v>
      </c>
      <c r="L127" s="17">
        <f t="shared" si="10"/>
        <v>168.60312499999998</v>
      </c>
      <c r="M127" s="18">
        <f t="shared" si="11"/>
        <v>134.88249999999999</v>
      </c>
      <c r="N127" s="3"/>
    </row>
    <row r="128" spans="1:14" ht="31.2" x14ac:dyDescent="0.3">
      <c r="A128" s="31">
        <v>128</v>
      </c>
      <c r="B128" s="5" t="str">
        <f>Compras!A128</f>
        <v>Bufanda de Harry para estudiantes, CosPlay de Campus - Bufanda</v>
      </c>
      <c r="C128" s="5" t="s">
        <v>314</v>
      </c>
      <c r="D128" s="5" t="s">
        <v>316</v>
      </c>
      <c r="E128" s="15">
        <f>Compras!C128</f>
        <v>88.19</v>
      </c>
      <c r="F128" s="6">
        <f>Compras!D128</f>
        <v>0.52534300941149792</v>
      </c>
      <c r="G128" s="3">
        <f>Compras!B128</f>
        <v>2</v>
      </c>
      <c r="H128" s="15">
        <f>Compras!Q128</f>
        <v>57.62</v>
      </c>
      <c r="I128" s="3">
        <f>Compras!P128</f>
        <v>1</v>
      </c>
      <c r="J128" s="30" t="s">
        <v>363</v>
      </c>
      <c r="K128" s="16">
        <f t="shared" si="9"/>
        <v>188.7525</v>
      </c>
      <c r="L128" s="17">
        <f t="shared" si="10"/>
        <v>157.29374999999999</v>
      </c>
      <c r="M128" s="18">
        <f t="shared" si="11"/>
        <v>125.83499999999999</v>
      </c>
      <c r="N128"/>
    </row>
    <row r="129" spans="1:14" x14ac:dyDescent="0.3">
      <c r="A129" s="31">
        <v>129</v>
      </c>
      <c r="B129" s="5" t="str">
        <f>Compras!A129</f>
        <v>Peluche Winnie The Pooh tarro de miel</v>
      </c>
      <c r="C129" s="5" t="s">
        <v>313</v>
      </c>
      <c r="D129" s="5" t="s">
        <v>303</v>
      </c>
      <c r="E129" s="15">
        <f>Compras!C129</f>
        <v>103.54</v>
      </c>
      <c r="F129" s="6">
        <f>Compras!D129</f>
        <v>0.25960981263279898</v>
      </c>
      <c r="G129" s="3">
        <f>Compras!B129</f>
        <v>2</v>
      </c>
      <c r="H129" s="15">
        <f>Compras!Q129</f>
        <v>160.23500000000001</v>
      </c>
      <c r="I129" s="3">
        <f>Compras!P129</f>
        <v>1</v>
      </c>
      <c r="J129" s="30" t="s">
        <v>363</v>
      </c>
      <c r="K129" s="16">
        <f t="shared" si="9"/>
        <v>265.35250000000002</v>
      </c>
      <c r="L129" s="17">
        <f t="shared" si="10"/>
        <v>265.35250000000002</v>
      </c>
      <c r="M129" s="18">
        <f t="shared" si="11"/>
        <v>265.35250000000002</v>
      </c>
      <c r="N129"/>
    </row>
    <row r="130" spans="1:14" x14ac:dyDescent="0.3">
      <c r="A130" s="31">
        <v>130</v>
      </c>
      <c r="B130" s="5" t="str">
        <f>Compras!A130</f>
        <v>Peluche Kawaii de Star Kirby Dormilon</v>
      </c>
      <c r="C130" s="5" t="s">
        <v>325</v>
      </c>
      <c r="D130" s="5" t="s">
        <v>303</v>
      </c>
      <c r="E130" s="15">
        <f>Compras!C130</f>
        <v>250</v>
      </c>
      <c r="F130" s="6">
        <f>Compras!D130</f>
        <v>0.22899999999999998</v>
      </c>
      <c r="G130" s="3">
        <f>Compras!B130</f>
        <v>2</v>
      </c>
      <c r="H130" s="15">
        <f>Compras!Q130</f>
        <v>188.875</v>
      </c>
      <c r="I130" s="3">
        <f>Compras!P130</f>
        <v>1</v>
      </c>
      <c r="J130" s="30" t="s">
        <v>363</v>
      </c>
      <c r="K130" s="16">
        <f t="shared" ref="K130:K161" si="12">M130* (IF(M130-H130&lt;100, IF(M130-H130&gt;80, 1.25, IF(M130-H130&gt;50, 1.5, 1.75)), IF(M130-H130&gt;150, 0.95, IF(M130-H130&gt;170, 0.9, 1))))</f>
        <v>308.3125</v>
      </c>
      <c r="L130" s="17">
        <f t="shared" ref="L130:L161" si="13">(K130+M130)/2</f>
        <v>308.3125</v>
      </c>
      <c r="M130" s="18">
        <f t="shared" ref="M130:M161" si="14">(H130/I130) * ( IF(E130&gt;H130, IF(E130-H130&gt;100, 1.25, IF(E130-H130&gt;50, 1.5, 1.75)), IF(H130-E130&gt;100, 1.25, IF(H130-E130&gt;50, 1.5, 1.75))) ) + 25</f>
        <v>308.3125</v>
      </c>
      <c r="N130"/>
    </row>
    <row r="131" spans="1:14" ht="31.2" x14ac:dyDescent="0.3">
      <c r="A131" s="31">
        <v>131</v>
      </c>
      <c r="B131" s="5" t="str">
        <f>Compras!A131</f>
        <v xml:space="preserve">Peluche Kawaii de Star Kirby dormilon, sandía, conejo... </v>
      </c>
      <c r="C131" s="5" t="s">
        <v>325</v>
      </c>
      <c r="D131" s="5" t="s">
        <v>303</v>
      </c>
      <c r="E131" s="15">
        <f>Compras!C131</f>
        <v>187.86</v>
      </c>
      <c r="F131" s="6">
        <f>Compras!D131</f>
        <v>0.4186628340253381</v>
      </c>
      <c r="G131" s="3">
        <f>Compras!B131</f>
        <v>1</v>
      </c>
      <c r="H131" s="15">
        <f>Compras!Q131</f>
        <v>121.32666666666665</v>
      </c>
      <c r="I131" s="3">
        <f>Compras!P131</f>
        <v>1</v>
      </c>
      <c r="J131" s="29" t="s">
        <v>363</v>
      </c>
      <c r="K131" s="16">
        <f t="shared" si="12"/>
        <v>258.73749999999995</v>
      </c>
      <c r="L131" s="17">
        <f t="shared" si="13"/>
        <v>232.86374999999998</v>
      </c>
      <c r="M131" s="18">
        <f t="shared" si="14"/>
        <v>206.98999999999998</v>
      </c>
      <c r="N131"/>
    </row>
    <row r="132" spans="1:14" ht="31.2" x14ac:dyDescent="0.3">
      <c r="A132" s="31">
        <v>132</v>
      </c>
      <c r="B132" s="5" t="str">
        <f>Compras!A132</f>
        <v xml:space="preserve">Peluche Kawaii de Star Kirby gorro dormir, sandía, conejo... </v>
      </c>
      <c r="C132" s="5" t="s">
        <v>325</v>
      </c>
      <c r="D132" s="5" t="s">
        <v>303</v>
      </c>
      <c r="E132" s="15">
        <f>Compras!C132</f>
        <v>127.16</v>
      </c>
      <c r="F132" s="6">
        <f>Compras!D132</f>
        <v>0.41884240327146899</v>
      </c>
      <c r="G132" s="3">
        <f>Compras!B132</f>
        <v>1</v>
      </c>
      <c r="H132" s="15">
        <f>Compras!Q132</f>
        <v>86.016666666666666</v>
      </c>
      <c r="I132" s="3">
        <f>Compras!P132</f>
        <v>1</v>
      </c>
      <c r="J132" s="29" t="s">
        <v>363</v>
      </c>
      <c r="K132" s="16">
        <f t="shared" si="12"/>
        <v>219.41145833333334</v>
      </c>
      <c r="L132" s="17">
        <f t="shared" si="13"/>
        <v>197.47031250000001</v>
      </c>
      <c r="M132" s="18">
        <f t="shared" si="14"/>
        <v>175.52916666666667</v>
      </c>
      <c r="N132"/>
    </row>
    <row r="133" spans="1:14" ht="31.2" x14ac:dyDescent="0.3">
      <c r="A133" s="31">
        <v>133</v>
      </c>
      <c r="B133" s="5" t="str">
        <f>Compras!A133</f>
        <v xml:space="preserve">Peluche Kawaii de Star Kirby helado, sandía, conejo... </v>
      </c>
      <c r="C133" s="5" t="s">
        <v>325</v>
      </c>
      <c r="D133" s="5" t="s">
        <v>303</v>
      </c>
      <c r="E133" s="15">
        <f>Compras!C133</f>
        <v>71.89</v>
      </c>
      <c r="F133" s="6">
        <f>Compras!D133</f>
        <v>0.42008624287105306</v>
      </c>
      <c r="G133" s="3">
        <f>Compras!B133</f>
        <v>1</v>
      </c>
      <c r="H133" s="15">
        <f>Compras!Q133</f>
        <v>53.806666666666665</v>
      </c>
      <c r="I133" s="3">
        <f>Compras!P133</f>
        <v>1</v>
      </c>
      <c r="J133" s="29" t="s">
        <v>363</v>
      </c>
      <c r="K133" s="16">
        <f t="shared" si="12"/>
        <v>178.74250000000001</v>
      </c>
      <c r="L133" s="17">
        <f t="shared" si="13"/>
        <v>148.95208333333335</v>
      </c>
      <c r="M133" s="18">
        <f t="shared" si="14"/>
        <v>119.16166666666666</v>
      </c>
      <c r="N133"/>
    </row>
    <row r="134" spans="1:14" x14ac:dyDescent="0.3">
      <c r="A134" s="31">
        <v>134</v>
      </c>
      <c r="B134" s="5" t="str">
        <f>Compras!A134</f>
        <v>Peluche Kirby Corazon, espada, Kawaii</v>
      </c>
      <c r="C134" s="5" t="s">
        <v>325</v>
      </c>
      <c r="D134" s="5" t="s">
        <v>303</v>
      </c>
      <c r="E134" s="15">
        <f>Compras!C134</f>
        <v>143.43</v>
      </c>
      <c r="F134" s="6">
        <f>Compras!D134</f>
        <v>0.50756466569058079</v>
      </c>
      <c r="G134" s="3">
        <f>Compras!B134</f>
        <v>2</v>
      </c>
      <c r="H134" s="15">
        <f>Compras!Q134</f>
        <v>89.75</v>
      </c>
      <c r="I134" s="3">
        <f>Compras!P134</f>
        <v>1</v>
      </c>
      <c r="J134" s="29" t="s">
        <v>363</v>
      </c>
      <c r="K134" s="16">
        <f t="shared" si="12"/>
        <v>239.4375</v>
      </c>
      <c r="L134" s="17">
        <f t="shared" si="13"/>
        <v>199.53125</v>
      </c>
      <c r="M134" s="18">
        <f t="shared" si="14"/>
        <v>159.625</v>
      </c>
      <c r="N134"/>
    </row>
    <row r="135" spans="1:14" x14ac:dyDescent="0.3">
      <c r="A135" s="31">
        <v>135</v>
      </c>
      <c r="B135" s="5" t="str">
        <f>Compras!A135</f>
        <v>Peluche Kirby Pintor, espada, Kawaii</v>
      </c>
      <c r="C135" s="5" t="s">
        <v>325</v>
      </c>
      <c r="D135" s="5" t="s">
        <v>303</v>
      </c>
      <c r="E135" s="15">
        <f>Compras!C135</f>
        <v>143.43</v>
      </c>
      <c r="F135" s="6">
        <f>Compras!D135</f>
        <v>0.50756466569058079</v>
      </c>
      <c r="G135" s="3">
        <f>Compras!B135</f>
        <v>1</v>
      </c>
      <c r="H135" s="15">
        <f>Compras!Q135</f>
        <v>89.75</v>
      </c>
      <c r="I135" s="3">
        <f>Compras!P135</f>
        <v>1</v>
      </c>
      <c r="J135" s="29" t="s">
        <v>363</v>
      </c>
      <c r="K135" s="16">
        <f t="shared" si="12"/>
        <v>239.4375</v>
      </c>
      <c r="L135" s="17">
        <f t="shared" si="13"/>
        <v>199.53125</v>
      </c>
      <c r="M135" s="18">
        <f t="shared" si="14"/>
        <v>159.625</v>
      </c>
      <c r="N135"/>
    </row>
    <row r="136" spans="1:14" x14ac:dyDescent="0.3">
      <c r="A136" s="31">
        <v>136</v>
      </c>
      <c r="B136" s="5" t="str">
        <f>Compras!A136</f>
        <v>Peluche Kirby Espada, Kawaii</v>
      </c>
      <c r="C136" s="5" t="s">
        <v>325</v>
      </c>
      <c r="D136" s="5" t="s">
        <v>303</v>
      </c>
      <c r="E136" s="15">
        <f>Compras!C136</f>
        <v>143.43</v>
      </c>
      <c r="F136" s="6">
        <f>Compras!D136</f>
        <v>0.50756466569058079</v>
      </c>
      <c r="G136" s="3">
        <f>Compras!B136</f>
        <v>1</v>
      </c>
      <c r="H136" s="15">
        <f>Compras!Q136</f>
        <v>89.75</v>
      </c>
      <c r="I136" s="3">
        <f>Compras!P136</f>
        <v>1</v>
      </c>
      <c r="J136" s="29" t="s">
        <v>363</v>
      </c>
      <c r="K136" s="16">
        <f t="shared" si="12"/>
        <v>239.4375</v>
      </c>
      <c r="L136" s="17">
        <f t="shared" si="13"/>
        <v>199.53125</v>
      </c>
      <c r="M136" s="18">
        <f t="shared" si="14"/>
        <v>159.625</v>
      </c>
      <c r="N136"/>
    </row>
    <row r="137" spans="1:14" x14ac:dyDescent="0.3">
      <c r="A137" s="31">
        <v>137</v>
      </c>
      <c r="B137" s="5" t="str">
        <f>Compras!A137</f>
        <v>Peluche Kawaii de Star Kirby gorro dormir</v>
      </c>
      <c r="C137" s="5" t="s">
        <v>325</v>
      </c>
      <c r="D137" s="5" t="s">
        <v>303</v>
      </c>
      <c r="E137" s="15">
        <f>Compras!C137</f>
        <v>127.16</v>
      </c>
      <c r="F137" s="6">
        <f>Compras!D137</f>
        <v>0.41884240327146899</v>
      </c>
      <c r="G137" s="3">
        <f>Compras!B137</f>
        <v>1</v>
      </c>
      <c r="H137" s="15">
        <f>Compras!Q137</f>
        <v>74.59</v>
      </c>
      <c r="I137" s="3">
        <f>Compras!P137</f>
        <v>1</v>
      </c>
      <c r="J137" s="29" t="s">
        <v>363</v>
      </c>
      <c r="K137" s="16">
        <f t="shared" si="12"/>
        <v>205.32749999999999</v>
      </c>
      <c r="L137" s="17">
        <f t="shared" si="13"/>
        <v>171.10624999999999</v>
      </c>
      <c r="M137" s="18">
        <f t="shared" si="14"/>
        <v>136.88499999999999</v>
      </c>
      <c r="N137"/>
    </row>
    <row r="138" spans="1:14" x14ac:dyDescent="0.3">
      <c r="A138" s="31">
        <v>138</v>
      </c>
      <c r="B138" s="5" t="str">
        <f>Compras!A138</f>
        <v>Peluche Kawaii de Star Kirby helado</v>
      </c>
      <c r="C138" s="5" t="s">
        <v>325</v>
      </c>
      <c r="D138" s="5" t="s">
        <v>303</v>
      </c>
      <c r="E138" s="15">
        <f>Compras!C138</f>
        <v>71.89</v>
      </c>
      <c r="F138" s="6">
        <f>Compras!D138</f>
        <v>0.42008624287105306</v>
      </c>
      <c r="G138" s="3">
        <f>Compras!B138</f>
        <v>1</v>
      </c>
      <c r="H138" s="15">
        <f>Compras!Q138</f>
        <v>42.379999999999995</v>
      </c>
      <c r="I138" s="3">
        <f>Compras!P138</f>
        <v>1</v>
      </c>
      <c r="J138" s="29" t="s">
        <v>363</v>
      </c>
      <c r="K138" s="16">
        <f t="shared" si="12"/>
        <v>148.7475</v>
      </c>
      <c r="L138" s="17">
        <f t="shared" si="13"/>
        <v>123.95625</v>
      </c>
      <c r="M138" s="18">
        <f t="shared" si="14"/>
        <v>99.164999999999992</v>
      </c>
      <c r="N138"/>
    </row>
    <row r="139" spans="1:14" ht="31.2" x14ac:dyDescent="0.3">
      <c r="A139" s="31">
        <v>139</v>
      </c>
      <c r="B139" s="5" t="str">
        <f>Compras!A139</f>
        <v>Estuche Pokémon, lote de minimuñecas de Anime, Pikachu</v>
      </c>
      <c r="C139" s="5" t="s">
        <v>340</v>
      </c>
      <c r="D139" s="5" t="s">
        <v>342</v>
      </c>
      <c r="E139" s="15">
        <f>Compras!C139</f>
        <v>227.33</v>
      </c>
      <c r="F139" s="6">
        <f>Compras!D139</f>
        <v>0.69669643249901014</v>
      </c>
      <c r="G139" s="3">
        <f>Compras!B139</f>
        <v>2</v>
      </c>
      <c r="H139" s="15">
        <f>Compras!Q139</f>
        <v>68.97</v>
      </c>
      <c r="I139" s="3">
        <f>Compras!P139</f>
        <v>1</v>
      </c>
      <c r="J139" s="30" t="s">
        <v>363</v>
      </c>
      <c r="K139" s="16">
        <f t="shared" si="12"/>
        <v>194.62187500000002</v>
      </c>
      <c r="L139" s="17">
        <f t="shared" si="13"/>
        <v>152.91718750000001</v>
      </c>
      <c r="M139" s="18">
        <f t="shared" si="14"/>
        <v>111.21250000000001</v>
      </c>
      <c r="N139"/>
    </row>
    <row r="140" spans="1:14" ht="31.2" x14ac:dyDescent="0.3">
      <c r="A140" s="31">
        <v>140</v>
      </c>
      <c r="B140" s="5" t="str">
        <f>Compras!A140</f>
        <v xml:space="preserve">Figura de luz nocturna Pokemon elf, lámpara de mesita de noche, Pikachu, Bulbasaur </v>
      </c>
      <c r="C140" s="5" t="s">
        <v>340</v>
      </c>
      <c r="D140" s="5" t="s">
        <v>341</v>
      </c>
      <c r="E140" s="15">
        <f>Compras!C140</f>
        <v>296.73</v>
      </c>
      <c r="F140" s="6">
        <f>Compras!D140</f>
        <v>0.50193778856199245</v>
      </c>
      <c r="G140" s="3">
        <f>Compras!B140</f>
        <v>4</v>
      </c>
      <c r="H140" s="15">
        <f>Compras!Q140</f>
        <v>193.08999999999997</v>
      </c>
      <c r="I140" s="3">
        <f>Compras!P140</f>
        <v>1</v>
      </c>
      <c r="J140" s="30" t="s">
        <v>363</v>
      </c>
      <c r="K140" s="16">
        <f t="shared" si="12"/>
        <v>399.54374999999993</v>
      </c>
      <c r="L140" s="17">
        <f t="shared" si="13"/>
        <v>332.95312499999994</v>
      </c>
      <c r="M140" s="18">
        <f t="shared" si="14"/>
        <v>266.36249999999995</v>
      </c>
      <c r="N140"/>
    </row>
    <row r="141" spans="1:14" ht="31.2" x14ac:dyDescent="0.3">
      <c r="A141" s="31">
        <v>141</v>
      </c>
      <c r="B141" s="5" t="str">
        <f>Compras!A141</f>
        <v>Pelotas monocromáticas suaves de espuma EVA para practicar Golf</v>
      </c>
      <c r="C141" s="5" t="s">
        <v>321</v>
      </c>
      <c r="D141" s="5" t="s">
        <v>323</v>
      </c>
      <c r="E141" s="15">
        <f>Compras!C141</f>
        <v>180.22</v>
      </c>
      <c r="F141" s="6">
        <f>Compras!D141</f>
        <v>0.22577960270780156</v>
      </c>
      <c r="G141" s="3">
        <f>Compras!B141</f>
        <v>2</v>
      </c>
      <c r="H141" s="15">
        <f>Compras!Q141</f>
        <v>130.91499999999999</v>
      </c>
      <c r="I141" s="3">
        <f>Compras!P141</f>
        <v>1</v>
      </c>
      <c r="J141" s="30" t="s">
        <v>363</v>
      </c>
      <c r="K141" s="16">
        <f t="shared" si="12"/>
        <v>254.10124999999999</v>
      </c>
      <c r="L141" s="17">
        <f t="shared" si="13"/>
        <v>254.10124999999999</v>
      </c>
      <c r="M141" s="18">
        <f t="shared" si="14"/>
        <v>254.10124999999999</v>
      </c>
      <c r="N141"/>
    </row>
    <row r="142" spans="1:14" ht="31.2" x14ac:dyDescent="0.3">
      <c r="A142" s="31">
        <v>142</v>
      </c>
      <c r="B142" s="5" t="str">
        <f>Compras!A142</f>
        <v xml:space="preserve">Bufanda de Harry para estudiantes, Gryffindor, Hufflepuff - Bufanda </v>
      </c>
      <c r="C142" s="5" t="s">
        <v>314</v>
      </c>
      <c r="D142" s="5" t="s">
        <v>316</v>
      </c>
      <c r="E142" s="15">
        <f>Compras!C142</f>
        <v>103.73</v>
      </c>
      <c r="F142" s="6">
        <f>Compras!D142</f>
        <v>0.57495420804010411</v>
      </c>
      <c r="G142" s="3">
        <f>Compras!B142</f>
        <v>1</v>
      </c>
      <c r="H142" s="15">
        <f>Compras!Q142</f>
        <v>44.09</v>
      </c>
      <c r="I142" s="3">
        <f>Compras!P142</f>
        <v>1</v>
      </c>
      <c r="J142" s="30" t="s">
        <v>363</v>
      </c>
      <c r="K142" s="16">
        <f t="shared" si="12"/>
        <v>159.48625000000001</v>
      </c>
      <c r="L142" s="17">
        <f t="shared" si="13"/>
        <v>125.31062500000002</v>
      </c>
      <c r="M142" s="18">
        <f t="shared" si="14"/>
        <v>91.135000000000005</v>
      </c>
      <c r="N142"/>
    </row>
    <row r="143" spans="1:14" ht="31.2" x14ac:dyDescent="0.3">
      <c r="A143" s="31">
        <v>143</v>
      </c>
      <c r="B143" s="5" t="str">
        <f>Compras!A143</f>
        <v xml:space="preserve">Bufanda de Harry para estudiantes, Gryffindor, Hufflepuff - Gorro </v>
      </c>
      <c r="C143" s="5" t="s">
        <v>314</v>
      </c>
      <c r="D143" s="5" t="s">
        <v>315</v>
      </c>
      <c r="E143" s="15">
        <f>Compras!C143</f>
        <v>116.47</v>
      </c>
      <c r="F143" s="6">
        <f>Compras!D143</f>
        <v>0.57559886666094262</v>
      </c>
      <c r="G143" s="3">
        <f>Compras!B143</f>
        <v>1</v>
      </c>
      <c r="H143" s="15">
        <f>Compras!Q143</f>
        <v>49.43</v>
      </c>
      <c r="I143" s="3">
        <f>Compras!P143</f>
        <v>1</v>
      </c>
      <c r="J143" s="30" t="s">
        <v>363</v>
      </c>
      <c r="K143" s="16">
        <f t="shared" si="12"/>
        <v>173.50375</v>
      </c>
      <c r="L143" s="17">
        <f t="shared" si="13"/>
        <v>136.324375</v>
      </c>
      <c r="M143" s="18">
        <f t="shared" si="14"/>
        <v>99.144999999999996</v>
      </c>
      <c r="N143"/>
    </row>
    <row r="144" spans="1:14" ht="31.2" x14ac:dyDescent="0.3">
      <c r="A144" s="31">
        <v>144</v>
      </c>
      <c r="B144" s="5" t="str">
        <f>Compras!A144</f>
        <v>Cartera de Anime de Naruto Uzumaki, figuras de acción de Uchiha - Nube Akatsuki</v>
      </c>
      <c r="C144" s="5" t="s">
        <v>334</v>
      </c>
      <c r="D144" s="5" t="s">
        <v>403</v>
      </c>
      <c r="E144" s="15">
        <f>Compras!C144</f>
        <v>153.44</v>
      </c>
      <c r="F144" s="6">
        <f>Compras!D144</f>
        <v>0.54207181960375384</v>
      </c>
      <c r="G144" s="3">
        <f>Compras!B144</f>
        <v>1</v>
      </c>
      <c r="H144" s="15">
        <f>Compras!Q144</f>
        <v>70.264499999999998</v>
      </c>
      <c r="I144" s="3">
        <f>Compras!P144</f>
        <v>1</v>
      </c>
      <c r="J144" s="30" t="s">
        <v>363</v>
      </c>
      <c r="K144" s="16">
        <f t="shared" si="12"/>
        <v>195.595125</v>
      </c>
      <c r="L144" s="17">
        <f t="shared" si="13"/>
        <v>162.9959375</v>
      </c>
      <c r="M144" s="18">
        <f t="shared" si="14"/>
        <v>130.39675</v>
      </c>
      <c r="N144"/>
    </row>
    <row r="145" spans="1:14" ht="31.2" x14ac:dyDescent="0.3">
      <c r="A145" s="31">
        <v>145</v>
      </c>
      <c r="B145" s="5" t="str">
        <f>Compras!A145</f>
        <v>Cartera de juego de alta calidad para hombre, Zelda</v>
      </c>
      <c r="C145" s="5" t="s">
        <v>404</v>
      </c>
      <c r="D145" s="5" t="s">
        <v>403</v>
      </c>
      <c r="E145" s="15">
        <f>Compras!C145</f>
        <v>192.49</v>
      </c>
      <c r="F145" s="6">
        <f>Compras!D145</f>
        <v>0.71375396124473989</v>
      </c>
      <c r="G145" s="3">
        <f>Compras!B145</f>
        <v>1</v>
      </c>
      <c r="H145" s="15">
        <f>Compras!Q145</f>
        <v>55.099500000000006</v>
      </c>
      <c r="I145" s="3">
        <f>Compras!P145</f>
        <v>1</v>
      </c>
      <c r="J145" s="30" t="s">
        <v>363</v>
      </c>
      <c r="K145" s="16">
        <f t="shared" si="12"/>
        <v>164.28015625000003</v>
      </c>
      <c r="L145" s="17">
        <f t="shared" si="13"/>
        <v>129.07726562500002</v>
      </c>
      <c r="M145" s="18">
        <f t="shared" si="14"/>
        <v>93.874375000000015</v>
      </c>
      <c r="N145"/>
    </row>
    <row r="146" spans="1:14" ht="31.2" x14ac:dyDescent="0.3">
      <c r="A146" s="31">
        <v>146</v>
      </c>
      <c r="B146" s="5" t="str">
        <f>Compras!A146</f>
        <v>Estuche de Pokémon, lote de minimuñecas de Anime, Pikachu</v>
      </c>
      <c r="C146" s="5" t="s">
        <v>340</v>
      </c>
      <c r="D146" s="5" t="s">
        <v>342</v>
      </c>
      <c r="E146" s="15">
        <f>Compras!C146</f>
        <v>116.47</v>
      </c>
      <c r="F146" s="6">
        <f>Compras!D146</f>
        <v>0.41841675968060449</v>
      </c>
      <c r="G146" s="3">
        <f>Compras!B146</f>
        <v>1</v>
      </c>
      <c r="H146" s="15">
        <f>Compras!Q146</f>
        <v>67.736999999999995</v>
      </c>
      <c r="I146" s="3">
        <f>Compras!P146</f>
        <v>1</v>
      </c>
      <c r="J146" s="30" t="s">
        <v>363</v>
      </c>
      <c r="K146" s="16">
        <f t="shared" si="12"/>
        <v>215.30962499999998</v>
      </c>
      <c r="L146" s="17">
        <f t="shared" si="13"/>
        <v>179.4246875</v>
      </c>
      <c r="M146" s="18">
        <f t="shared" si="14"/>
        <v>143.53975</v>
      </c>
      <c r="N146"/>
    </row>
    <row r="147" spans="1:14" ht="31.2" x14ac:dyDescent="0.3">
      <c r="A147" s="31">
        <v>147</v>
      </c>
      <c r="B147" s="5" t="str">
        <f>Compras!A147</f>
        <v>Bolsa de almacenamiento de Star Kirby, bolsa de cosméticos de felpa, kawai</v>
      </c>
      <c r="C147" s="5" t="s">
        <v>325</v>
      </c>
      <c r="D147" s="5" t="s">
        <v>405</v>
      </c>
      <c r="E147" s="15">
        <f>Compras!C147</f>
        <v>117.1</v>
      </c>
      <c r="F147" s="6">
        <f>Compras!D147</f>
        <v>0.64602049530315964</v>
      </c>
      <c r="G147" s="3">
        <f>Compras!B147</f>
        <v>1</v>
      </c>
      <c r="H147" s="15">
        <f>Compras!Q147</f>
        <v>41.451000000000001</v>
      </c>
      <c r="I147" s="3">
        <f>Compras!P147</f>
        <v>1</v>
      </c>
      <c r="J147" s="30" t="s">
        <v>363</v>
      </c>
      <c r="K147" s="16">
        <f t="shared" si="12"/>
        <v>152.558875</v>
      </c>
      <c r="L147" s="17">
        <f t="shared" si="13"/>
        <v>119.8676875</v>
      </c>
      <c r="M147" s="18">
        <f t="shared" si="14"/>
        <v>87.176500000000004</v>
      </c>
      <c r="N147"/>
    </row>
    <row r="148" spans="1:14" ht="31.2" x14ac:dyDescent="0.3">
      <c r="A148" s="31">
        <v>148</v>
      </c>
      <c r="B148" s="5" t="str">
        <f>Compras!A148</f>
        <v>Figura de Anime de One Piece, Monkey D Luffy - Hancock</v>
      </c>
      <c r="C148" s="5" t="s">
        <v>335</v>
      </c>
      <c r="D148" s="5" t="s">
        <v>306</v>
      </c>
      <c r="E148" s="15">
        <f>Compras!C148</f>
        <v>164.06</v>
      </c>
      <c r="F148" s="6">
        <f>Compras!D148</f>
        <v>0.69395343167133972</v>
      </c>
      <c r="G148" s="3">
        <f>Compras!B148</f>
        <v>1</v>
      </c>
      <c r="H148" s="15">
        <f>Compras!Q148</f>
        <v>50.230000000000004</v>
      </c>
      <c r="I148" s="3">
        <f>Compras!P148</f>
        <v>1</v>
      </c>
      <c r="J148" s="30" t="s">
        <v>363</v>
      </c>
      <c r="K148" s="16">
        <f t="shared" si="12"/>
        <v>153.62812500000001</v>
      </c>
      <c r="L148" s="17">
        <f t="shared" si="13"/>
        <v>120.70781250000002</v>
      </c>
      <c r="M148" s="18">
        <f t="shared" si="14"/>
        <v>87.787500000000009</v>
      </c>
      <c r="N148" s="3"/>
    </row>
    <row r="149" spans="1:14" ht="31.2" x14ac:dyDescent="0.3">
      <c r="A149" s="31">
        <v>149</v>
      </c>
      <c r="B149" s="5" t="str">
        <f>Compras!A149</f>
        <v>Figura de Anime de One Piece, Monkey D Luffy - Hancock</v>
      </c>
      <c r="C149" s="5" t="s">
        <v>335</v>
      </c>
      <c r="D149" s="5" t="s">
        <v>306</v>
      </c>
      <c r="E149" s="15">
        <f>Compras!C149</f>
        <v>146.38999999999999</v>
      </c>
      <c r="F149" s="6">
        <f>Compras!D149</f>
        <v>0.6900061479609263</v>
      </c>
      <c r="G149" s="3">
        <f>Compras!B149</f>
        <v>1</v>
      </c>
      <c r="H149" s="15">
        <f>Compras!Q149</f>
        <v>45.392500000000005</v>
      </c>
      <c r="I149" s="3">
        <f>Compras!P149</f>
        <v>1</v>
      </c>
      <c r="J149" s="30" t="s">
        <v>363</v>
      </c>
      <c r="K149" s="16">
        <f t="shared" si="12"/>
        <v>143.04609375000001</v>
      </c>
      <c r="L149" s="17">
        <f t="shared" si="13"/>
        <v>112.39335937500002</v>
      </c>
      <c r="M149" s="18">
        <f t="shared" si="14"/>
        <v>81.740625000000009</v>
      </c>
      <c r="N149" s="3"/>
    </row>
    <row r="150" spans="1:14" ht="31.2" x14ac:dyDescent="0.3">
      <c r="A150" s="31">
        <v>150</v>
      </c>
      <c r="B150" s="5" t="str">
        <f>Compras!A150</f>
        <v>Figura de Anime de One Piece, Monkey D Luffy - Zoro</v>
      </c>
      <c r="C150" s="5" t="s">
        <v>335</v>
      </c>
      <c r="D150" s="5" t="s">
        <v>306</v>
      </c>
      <c r="E150" s="15">
        <f>Compras!C150</f>
        <v>144.25</v>
      </c>
      <c r="F150" s="6">
        <f>Compras!D150</f>
        <v>0.69005199306759091</v>
      </c>
      <c r="G150" s="3">
        <f>Compras!B150</f>
        <v>1</v>
      </c>
      <c r="H150" s="15">
        <f>Compras!Q150</f>
        <v>44.722500000000004</v>
      </c>
      <c r="I150" s="3">
        <f>Compras!P150</f>
        <v>1</v>
      </c>
      <c r="J150" s="30" t="s">
        <v>363</v>
      </c>
      <c r="K150" s="16">
        <f t="shared" si="12"/>
        <v>161.14656250000002</v>
      </c>
      <c r="L150" s="17">
        <f t="shared" si="13"/>
        <v>126.61515625000001</v>
      </c>
      <c r="M150" s="18">
        <f t="shared" si="14"/>
        <v>92.083750000000009</v>
      </c>
      <c r="N150" s="20">
        <f>(M152+K150)/2</f>
        <v>125.87265625000001</v>
      </c>
    </row>
    <row r="151" spans="1:14" ht="31.2" x14ac:dyDescent="0.3">
      <c r="A151" s="31">
        <v>151</v>
      </c>
      <c r="B151" s="5" t="str">
        <f>Compras!A151</f>
        <v>Figura de Anime de One Piece, Monkey D Luffy - Chopper</v>
      </c>
      <c r="C151" s="5" t="s">
        <v>335</v>
      </c>
      <c r="D151" s="5" t="s">
        <v>306</v>
      </c>
      <c r="E151" s="15">
        <f>Compras!C151</f>
        <v>152.84</v>
      </c>
      <c r="F151" s="6">
        <f>Compras!D151</f>
        <v>0.66971996859460892</v>
      </c>
      <c r="G151" s="3">
        <f>Compras!B151</f>
        <v>1</v>
      </c>
      <c r="H151" s="15">
        <f>Compras!Q151</f>
        <v>50.4925</v>
      </c>
      <c r="I151" s="3">
        <f>Compras!P151</f>
        <v>1</v>
      </c>
      <c r="J151" s="30" t="s">
        <v>363</v>
      </c>
      <c r="K151" s="16">
        <f t="shared" si="12"/>
        <v>154.20234374999998</v>
      </c>
      <c r="L151" s="17">
        <f t="shared" si="13"/>
        <v>121.15898437499999</v>
      </c>
      <c r="M151" s="18">
        <f t="shared" si="14"/>
        <v>88.115624999999994</v>
      </c>
      <c r="N151" s="3"/>
    </row>
    <row r="152" spans="1:14" ht="31.2" x14ac:dyDescent="0.3">
      <c r="A152" s="31">
        <v>152</v>
      </c>
      <c r="B152" s="5" t="str">
        <f>Compras!A152</f>
        <v>Figura de Anime de One Piece, Monkey D Luffy - Nami</v>
      </c>
      <c r="C152" s="5" t="s">
        <v>335</v>
      </c>
      <c r="D152" s="5" t="s">
        <v>306</v>
      </c>
      <c r="E152" s="15">
        <f>Compras!C152</f>
        <v>141</v>
      </c>
      <c r="F152" s="6">
        <f>Compras!D152</f>
        <v>0.68992907801418435</v>
      </c>
      <c r="G152" s="3">
        <f>Compras!B152</f>
        <v>1</v>
      </c>
      <c r="H152" s="15">
        <f>Compras!Q152</f>
        <v>43.732500000000002</v>
      </c>
      <c r="I152" s="3">
        <f>Compras!P152</f>
        <v>1</v>
      </c>
      <c r="J152" s="30" t="s">
        <v>363</v>
      </c>
      <c r="K152" s="16">
        <f t="shared" si="12"/>
        <v>158.54781249999999</v>
      </c>
      <c r="L152" s="17">
        <f t="shared" si="13"/>
        <v>124.57328124999999</v>
      </c>
      <c r="M152" s="18">
        <f t="shared" si="14"/>
        <v>90.598749999999995</v>
      </c>
      <c r="N152" s="3"/>
    </row>
    <row r="153" spans="1:14" ht="31.2" x14ac:dyDescent="0.3">
      <c r="A153" s="31">
        <v>153</v>
      </c>
      <c r="B153" s="5" t="str">
        <f>Compras!A153</f>
        <v>Figuras de acción de One Piece Zoro, Luffy - Robin</v>
      </c>
      <c r="C153" s="5" t="s">
        <v>335</v>
      </c>
      <c r="D153" s="5" t="s">
        <v>306</v>
      </c>
      <c r="E153" s="15">
        <f>Compras!C153</f>
        <v>159.74</v>
      </c>
      <c r="F153" s="6">
        <f>Compras!D153</f>
        <v>0.68999624389633152</v>
      </c>
      <c r="G153" s="3">
        <f>Compras!B153</f>
        <v>1</v>
      </c>
      <c r="H153" s="15">
        <f>Compras!Q153</f>
        <v>49.536666666666669</v>
      </c>
      <c r="I153" s="3">
        <f>Compras!P153</f>
        <v>1</v>
      </c>
      <c r="J153" s="30" t="s">
        <v>363</v>
      </c>
      <c r="K153" s="16">
        <f t="shared" si="12"/>
        <v>152.11145833333333</v>
      </c>
      <c r="L153" s="17">
        <f t="shared" si="13"/>
        <v>119.51614583333333</v>
      </c>
      <c r="M153" s="18">
        <f t="shared" si="14"/>
        <v>86.920833333333334</v>
      </c>
      <c r="N153" s="3"/>
    </row>
    <row r="154" spans="1:14" x14ac:dyDescent="0.3">
      <c r="A154" s="31">
        <v>154</v>
      </c>
      <c r="B154" s="5" t="str">
        <f>Compras!A154</f>
        <v>Figuras de acción de One Piece Zoro, Luffy - Luffy</v>
      </c>
      <c r="C154" s="5" t="s">
        <v>335</v>
      </c>
      <c r="D154" s="5" t="s">
        <v>306</v>
      </c>
      <c r="E154" s="15">
        <f>Compras!C154</f>
        <v>152.81</v>
      </c>
      <c r="F154" s="6">
        <f>Compras!D154</f>
        <v>0.69000719848177472</v>
      </c>
      <c r="G154" s="3">
        <f>Compras!B154</f>
        <v>1</v>
      </c>
      <c r="H154" s="15">
        <f>Compras!Q154</f>
        <v>47.386666666666663</v>
      </c>
      <c r="I154" s="3">
        <f>Compras!P154</f>
        <v>1</v>
      </c>
      <c r="J154" s="30" t="s">
        <v>363</v>
      </c>
      <c r="K154" s="16">
        <f t="shared" si="12"/>
        <v>147.4083333333333</v>
      </c>
      <c r="L154" s="17">
        <f t="shared" si="13"/>
        <v>115.82083333333331</v>
      </c>
      <c r="M154" s="18">
        <f t="shared" si="14"/>
        <v>84.23333333333332</v>
      </c>
      <c r="N154" s="3"/>
    </row>
    <row r="155" spans="1:14" x14ac:dyDescent="0.3">
      <c r="A155" s="31">
        <v>155</v>
      </c>
      <c r="B155" s="5" t="str">
        <f>Compras!A155</f>
        <v>Figuras de acción de One Piece Zoro, Luffy - Sanji</v>
      </c>
      <c r="C155" s="5" t="s">
        <v>335</v>
      </c>
      <c r="D155" s="5" t="s">
        <v>306</v>
      </c>
      <c r="E155" s="15">
        <f>Compras!C155</f>
        <v>151.25</v>
      </c>
      <c r="F155" s="6">
        <f>Compras!D155</f>
        <v>0.6899173553719008</v>
      </c>
      <c r="G155" s="3">
        <f>Compras!B155</f>
        <v>1</v>
      </c>
      <c r="H155" s="15">
        <f>Compras!Q155</f>
        <v>46.916666666666664</v>
      </c>
      <c r="I155" s="3">
        <f>Compras!P155</f>
        <v>1</v>
      </c>
      <c r="J155" s="30" t="s">
        <v>363</v>
      </c>
      <c r="K155" s="16">
        <f t="shared" si="12"/>
        <v>146.38020833333331</v>
      </c>
      <c r="L155" s="17">
        <f t="shared" si="13"/>
        <v>115.01302083333331</v>
      </c>
      <c r="M155" s="18">
        <f t="shared" si="14"/>
        <v>83.645833333333329</v>
      </c>
      <c r="N155" s="3"/>
    </row>
    <row r="156" spans="1:14" ht="31.2" x14ac:dyDescent="0.3">
      <c r="A156" s="31">
        <v>156</v>
      </c>
      <c r="B156" s="5" t="str">
        <f>Compras!A156</f>
        <v>Figuras de acción de Demon Slayer, estatua de PVC de Kamado</v>
      </c>
      <c r="C156" s="5" t="s">
        <v>309</v>
      </c>
      <c r="D156" s="5" t="s">
        <v>306</v>
      </c>
      <c r="E156" s="15">
        <f>Compras!C156</f>
        <v>150.69</v>
      </c>
      <c r="F156" s="6">
        <f>Compras!D156</f>
        <v>0.6899595195434336</v>
      </c>
      <c r="G156" s="3">
        <f>Compras!B156</f>
        <v>1</v>
      </c>
      <c r="H156" s="15">
        <f>Compras!Q156</f>
        <v>46.74</v>
      </c>
      <c r="I156" s="3">
        <f>Compras!P156</f>
        <v>4</v>
      </c>
      <c r="J156" s="30" t="s">
        <v>363</v>
      </c>
      <c r="K156" s="16">
        <f t="shared" si="12"/>
        <v>69.310937500000009</v>
      </c>
      <c r="L156" s="17">
        <f t="shared" si="13"/>
        <v>54.458593750000006</v>
      </c>
      <c r="M156" s="18">
        <f t="shared" si="14"/>
        <v>39.606250000000003</v>
      </c>
      <c r="N156" s="3"/>
    </row>
    <row r="157" spans="1:14" x14ac:dyDescent="0.3">
      <c r="A157" s="31">
        <v>157</v>
      </c>
      <c r="B157" s="5" t="str">
        <f>Compras!A157</f>
        <v>Figura One Piece Luffy de 13CM</v>
      </c>
      <c r="C157" s="5" t="s">
        <v>335</v>
      </c>
      <c r="D157" s="12" t="s">
        <v>306</v>
      </c>
      <c r="E157" s="15">
        <f>Compras!C157</f>
        <v>310.60000000000002</v>
      </c>
      <c r="F157" s="6">
        <f>Compras!D157</f>
        <v>0.68998712169993548</v>
      </c>
      <c r="G157" s="3">
        <f>Compras!B157</f>
        <v>1</v>
      </c>
      <c r="H157" s="15">
        <f>Compras!Q157</f>
        <v>96.315000000000012</v>
      </c>
      <c r="I157" s="3">
        <f>Compras!P157</f>
        <v>1</v>
      </c>
      <c r="J157" s="30" t="s">
        <v>363</v>
      </c>
      <c r="K157" s="16">
        <f t="shared" si="12"/>
        <v>254.43906250000003</v>
      </c>
      <c r="L157" s="17">
        <f t="shared" si="13"/>
        <v>199.91640625000002</v>
      </c>
      <c r="M157" s="18">
        <f t="shared" si="14"/>
        <v>145.39375000000001</v>
      </c>
      <c r="N157" s="3"/>
    </row>
    <row r="158" spans="1:14" x14ac:dyDescent="0.3">
      <c r="A158" s="31">
        <v>158</v>
      </c>
      <c r="B158" s="5" t="str">
        <f>Compras!A158</f>
        <v>Figura de One Piece Roronoa Zoro de 13CM</v>
      </c>
      <c r="C158" s="5" t="s">
        <v>335</v>
      </c>
      <c r="D158" s="12" t="s">
        <v>306</v>
      </c>
      <c r="E158" s="15">
        <f>Compras!C158</f>
        <v>319.19</v>
      </c>
      <c r="F158" s="6">
        <f>Compras!D158</f>
        <v>0.69002788307904384</v>
      </c>
      <c r="G158" s="3">
        <f>Compras!B158</f>
        <v>1</v>
      </c>
      <c r="H158" s="15">
        <f>Compras!Q158</f>
        <v>98.965000000000003</v>
      </c>
      <c r="I158" s="3">
        <f>Compras!P158</f>
        <v>1</v>
      </c>
      <c r="J158" s="30" t="s">
        <v>363</v>
      </c>
      <c r="K158" s="16">
        <f t="shared" si="12"/>
        <v>260.23593750000003</v>
      </c>
      <c r="L158" s="17">
        <f t="shared" si="13"/>
        <v>204.47109375000002</v>
      </c>
      <c r="M158" s="18">
        <f t="shared" si="14"/>
        <v>148.70625000000001</v>
      </c>
      <c r="N158" s="3"/>
    </row>
    <row r="159" spans="1:14" ht="31.2" x14ac:dyDescent="0.3">
      <c r="A159" s="31">
        <v>159</v>
      </c>
      <c r="B159" s="5" t="str">
        <f>Compras!A159</f>
        <v>Kirby Dormilon - Peluche Kawaii de Star Kirby para niños</v>
      </c>
      <c r="C159" s="5" t="s">
        <v>325</v>
      </c>
      <c r="D159" s="12" t="s">
        <v>303</v>
      </c>
      <c r="E159" s="15">
        <f>Compras!C159</f>
        <v>125.23</v>
      </c>
      <c r="F159" s="6">
        <f>Compras!D159</f>
        <v>0.40988581010939867</v>
      </c>
      <c r="G159" s="3">
        <f>Compras!B159</f>
        <v>1</v>
      </c>
      <c r="H159" s="15">
        <f>Compras!Q159</f>
        <v>74.59</v>
      </c>
      <c r="I159" s="3">
        <f>Compras!P159</f>
        <v>1</v>
      </c>
      <c r="J159" s="30" t="s">
        <v>363</v>
      </c>
      <c r="K159" s="16">
        <f t="shared" si="12"/>
        <v>205.32749999999999</v>
      </c>
      <c r="L159" s="17">
        <f t="shared" si="13"/>
        <v>171.10624999999999</v>
      </c>
      <c r="M159" s="18">
        <f t="shared" si="14"/>
        <v>136.88499999999999</v>
      </c>
      <c r="N159"/>
    </row>
    <row r="160" spans="1:14" ht="31.2" x14ac:dyDescent="0.3">
      <c r="A160" s="31">
        <v>160</v>
      </c>
      <c r="B160" s="5" t="str">
        <f>Compras!A160</f>
        <v>Kirby Helado - Peluche Kawaii de Star Kirby para niños</v>
      </c>
      <c r="C160" s="5" t="s">
        <v>325</v>
      </c>
      <c r="D160" s="12" t="s">
        <v>303</v>
      </c>
      <c r="E160" s="15">
        <f>Compras!C160</f>
        <v>70.8</v>
      </c>
      <c r="F160" s="6">
        <f>Compras!D160</f>
        <v>0.4111581920903955</v>
      </c>
      <c r="G160" s="3">
        <f>Compras!B160</f>
        <v>1</v>
      </c>
      <c r="H160" s="15">
        <f>Compras!Q160</f>
        <v>42.379999999999995</v>
      </c>
      <c r="I160" s="3">
        <f>Compras!P160</f>
        <v>1</v>
      </c>
      <c r="J160" s="30" t="s">
        <v>363</v>
      </c>
      <c r="K160" s="16">
        <f t="shared" si="12"/>
        <v>148.7475</v>
      </c>
      <c r="L160" s="17">
        <f t="shared" si="13"/>
        <v>123.95625</v>
      </c>
      <c r="M160" s="18">
        <f t="shared" si="14"/>
        <v>99.164999999999992</v>
      </c>
      <c r="N160" s="3"/>
    </row>
    <row r="161" spans="1:14" ht="31.2" x14ac:dyDescent="0.3">
      <c r="A161" s="31">
        <v>161</v>
      </c>
      <c r="B161" s="5" t="str">
        <f>Compras!A161</f>
        <v>Llavero de Anime de Disney Toy Story, colgante de figura de Woody</v>
      </c>
      <c r="C161" s="5" t="s">
        <v>390</v>
      </c>
      <c r="D161" s="12" t="s">
        <v>391</v>
      </c>
      <c r="E161" s="15">
        <f>Compras!C161</f>
        <v>125.7</v>
      </c>
      <c r="F161" s="6">
        <f>Compras!D161</f>
        <v>0.76626889419252175</v>
      </c>
      <c r="G161" s="3">
        <f>Compras!B161</f>
        <v>2</v>
      </c>
      <c r="H161" s="15">
        <f>Compras!Q161</f>
        <v>29.396666666666665</v>
      </c>
      <c r="I161" s="3">
        <f>Compras!P161</f>
        <v>1</v>
      </c>
      <c r="J161" s="30" t="s">
        <v>363</v>
      </c>
      <c r="K161" s="16">
        <f t="shared" si="12"/>
        <v>120.91624999999999</v>
      </c>
      <c r="L161" s="17">
        <f t="shared" si="13"/>
        <v>95.005624999999995</v>
      </c>
      <c r="M161" s="18">
        <f t="shared" si="14"/>
        <v>69.094999999999999</v>
      </c>
      <c r="N161" s="3"/>
    </row>
    <row r="162" spans="1:14" ht="31.2" x14ac:dyDescent="0.3">
      <c r="A162" s="31">
        <v>162</v>
      </c>
      <c r="B162" s="5" t="str">
        <f>Compras!A162</f>
        <v>LLavero de Anime de Disney Toy Story, colgante de figura de Alien</v>
      </c>
      <c r="C162" s="5" t="s">
        <v>390</v>
      </c>
      <c r="D162" s="12" t="s">
        <v>391</v>
      </c>
      <c r="E162" s="15">
        <f>Compras!C162</f>
        <v>126.72</v>
      </c>
      <c r="F162" s="6">
        <f>Compras!D162</f>
        <v>0.76586174242424254</v>
      </c>
      <c r="G162" s="3">
        <f>Compras!B162</f>
        <v>1</v>
      </c>
      <c r="H162" s="15">
        <f>Compras!Q162</f>
        <v>29.686666666666667</v>
      </c>
      <c r="I162" s="3">
        <f>Compras!P162</f>
        <v>1</v>
      </c>
      <c r="J162" s="30" t="s">
        <v>363</v>
      </c>
      <c r="K162" s="16">
        <f t="shared" ref="K162:K190" si="15">M162* (IF(M162-H162&lt;100, IF(M162-H162&gt;80, 1.25, IF(M162-H162&gt;50, 1.5, 1.75)), IF(M162-H162&gt;150, 0.95, IF(M162-H162&gt;170, 0.9, 1))))</f>
        <v>121.67750000000001</v>
      </c>
      <c r="L162" s="17">
        <f t="shared" ref="L162:L193" si="16">(K162+M162)/2</f>
        <v>95.603750000000005</v>
      </c>
      <c r="M162" s="18">
        <f t="shared" ref="M162:M190" si="17">(H162/I162) * ( IF(E162&gt;H162, IF(E162-H162&gt;100, 1.25, IF(E162-H162&gt;50, 1.5, 1.75)), IF(H162-E162&gt;100, 1.25, IF(H162-E162&gt;50, 1.5, 1.75))) ) + 25</f>
        <v>69.53</v>
      </c>
      <c r="N162" s="3"/>
    </row>
    <row r="163" spans="1:14" ht="31.2" x14ac:dyDescent="0.3">
      <c r="A163" s="31">
        <v>163</v>
      </c>
      <c r="B163" s="5" t="str">
        <f>Compras!A163</f>
        <v>Set 4 Figuras One Piece, Luffy personaje de Anime de una pieza</v>
      </c>
      <c r="C163" s="5" t="s">
        <v>335</v>
      </c>
      <c r="D163" s="12" t="s">
        <v>306</v>
      </c>
      <c r="E163" s="15">
        <f>Compras!C163</f>
        <v>191.77</v>
      </c>
      <c r="F163" s="6">
        <f>Compras!D163</f>
        <v>0.68994107524638892</v>
      </c>
      <c r="G163" s="3">
        <f>Compras!B163</f>
        <v>1</v>
      </c>
      <c r="H163" s="15">
        <f>Compras!Q163</f>
        <v>59.47</v>
      </c>
      <c r="I163" s="3">
        <f>Compras!P163</f>
        <v>4</v>
      </c>
      <c r="J163" s="30" t="s">
        <v>363</v>
      </c>
      <c r="K163" s="16">
        <f t="shared" si="15"/>
        <v>76.272656249999997</v>
      </c>
      <c r="L163" s="17">
        <f t="shared" si="16"/>
        <v>59.928515625000003</v>
      </c>
      <c r="M163" s="18">
        <f t="shared" si="17"/>
        <v>43.584375000000001</v>
      </c>
      <c r="N163" s="3"/>
    </row>
    <row r="164" spans="1:14" ht="31.2" x14ac:dyDescent="0.3">
      <c r="A164" s="31">
        <v>164</v>
      </c>
      <c r="B164" s="5" t="str">
        <f>Compras!A164</f>
        <v>One Piece, personaje de anime, muñeco de anime sentado</v>
      </c>
      <c r="C164" s="5" t="s">
        <v>335</v>
      </c>
      <c r="D164" s="12" t="s">
        <v>306</v>
      </c>
      <c r="E164" s="15">
        <f>Compras!C164</f>
        <v>647.39</v>
      </c>
      <c r="F164" s="6">
        <f>Compras!D164</f>
        <v>0.77681150465716187</v>
      </c>
      <c r="G164" s="3">
        <f>Compras!B164</f>
        <v>2</v>
      </c>
      <c r="H164" s="15">
        <f>Compras!Q164</f>
        <v>144.49</v>
      </c>
      <c r="I164" s="3">
        <f>Compras!P164</f>
        <v>2</v>
      </c>
      <c r="J164" s="30" t="s">
        <v>363</v>
      </c>
      <c r="K164" s="16">
        <f t="shared" si="15"/>
        <v>201.78593750000002</v>
      </c>
      <c r="L164" s="17">
        <f t="shared" si="16"/>
        <v>158.54609375000001</v>
      </c>
      <c r="M164" s="18">
        <f t="shared" si="17"/>
        <v>115.30625000000001</v>
      </c>
      <c r="N164" s="3"/>
    </row>
    <row r="165" spans="1:14" ht="31.2" x14ac:dyDescent="0.3">
      <c r="A165" s="31">
        <v>165</v>
      </c>
      <c r="B165" s="5" t="str">
        <f>Compras!A165</f>
        <v>8pcs / set Figurina Figura Figuras de Majin Buu DBZ</v>
      </c>
      <c r="C165" s="5" t="s">
        <v>307</v>
      </c>
      <c r="D165" s="12" t="s">
        <v>308</v>
      </c>
      <c r="E165" s="15">
        <f>Compras!C165</f>
        <v>727.29</v>
      </c>
      <c r="F165" s="6">
        <f>Compras!D165</f>
        <v>0.88389775742826104</v>
      </c>
      <c r="G165" s="3">
        <f>Compras!B165</f>
        <v>1</v>
      </c>
      <c r="H165" s="15">
        <f>Compras!Q165</f>
        <v>84.44</v>
      </c>
      <c r="I165" s="3">
        <f>Compras!P165</f>
        <v>8</v>
      </c>
      <c r="J165" s="30" t="s">
        <v>363</v>
      </c>
      <c r="K165" s="16">
        <f t="shared" si="15"/>
        <v>66.839062499999997</v>
      </c>
      <c r="L165" s="17">
        <f t="shared" si="16"/>
        <v>52.516406250000003</v>
      </c>
      <c r="M165" s="18">
        <f t="shared" si="17"/>
        <v>38.193750000000001</v>
      </c>
      <c r="N165" s="3"/>
    </row>
    <row r="166" spans="1:14" x14ac:dyDescent="0.3">
      <c r="A166" s="31">
        <v>166</v>
      </c>
      <c r="B166" s="5" t="str">
        <f>Compras!A166</f>
        <v>1pc, Figura de acción de la serie DBZ - Goku</v>
      </c>
      <c r="C166" s="5" t="s">
        <v>307</v>
      </c>
      <c r="D166" s="12" t="s">
        <v>306</v>
      </c>
      <c r="E166" s="15">
        <f>Compras!C166</f>
        <v>439</v>
      </c>
      <c r="F166" s="6">
        <f>Compras!D166</f>
        <v>0.86334851936218682</v>
      </c>
      <c r="G166" s="3">
        <f>Compras!B166</f>
        <v>1</v>
      </c>
      <c r="H166" s="15">
        <f>Compras!Q166</f>
        <v>59.99</v>
      </c>
      <c r="I166" s="3">
        <f>Compras!P166</f>
        <v>1</v>
      </c>
      <c r="J166" s="30" t="s">
        <v>363</v>
      </c>
      <c r="K166" s="16">
        <f t="shared" si="15"/>
        <v>174.97812500000001</v>
      </c>
      <c r="L166" s="17">
        <f t="shared" si="16"/>
        <v>137.48281249999999</v>
      </c>
      <c r="M166" s="18">
        <f t="shared" si="17"/>
        <v>99.987499999999997</v>
      </c>
      <c r="N166" s="3"/>
    </row>
    <row r="167" spans="1:14" x14ac:dyDescent="0.3">
      <c r="A167" s="31">
        <v>167</v>
      </c>
      <c r="B167" s="5" t="str">
        <f>Compras!A167</f>
        <v>Figura de Goku DBZ 15.5CM</v>
      </c>
      <c r="C167" s="5" t="s">
        <v>307</v>
      </c>
      <c r="D167" s="12" t="s">
        <v>306</v>
      </c>
      <c r="E167" s="15">
        <f>Compras!C167</f>
        <v>683</v>
      </c>
      <c r="F167" s="6">
        <f>Compras!D167</f>
        <v>0.78916544655929721</v>
      </c>
      <c r="G167" s="3">
        <f>Compras!B167</f>
        <v>1</v>
      </c>
      <c r="H167" s="15">
        <f>Compras!Q167</f>
        <v>144</v>
      </c>
      <c r="I167" s="3">
        <f>Compras!P167</f>
        <v>1</v>
      </c>
      <c r="J167" s="30" t="s">
        <v>363</v>
      </c>
      <c r="K167" s="16">
        <f t="shared" si="15"/>
        <v>307.5</v>
      </c>
      <c r="L167" s="17">
        <f t="shared" si="16"/>
        <v>256.25</v>
      </c>
      <c r="M167" s="18">
        <f t="shared" si="17"/>
        <v>205</v>
      </c>
      <c r="N167" s="3"/>
    </row>
    <row r="168" spans="1:14" x14ac:dyDescent="0.3">
      <c r="A168" s="31">
        <v>168</v>
      </c>
      <c r="B168" s="5" t="str">
        <f>Compras!A168</f>
        <v>Figura Tony Tony Chopper Samurai</v>
      </c>
      <c r="C168" s="5" t="s">
        <v>335</v>
      </c>
      <c r="D168" s="12" t="s">
        <v>306</v>
      </c>
      <c r="E168" s="15">
        <f>Compras!C168</f>
        <v>350</v>
      </c>
      <c r="F168" s="6">
        <f>Compras!D168</f>
        <v>0.56720000000000004</v>
      </c>
      <c r="G168" s="3">
        <f>Compras!B168</f>
        <v>1</v>
      </c>
      <c r="H168" s="15">
        <f>Compras!Q168</f>
        <v>151.47999999999999</v>
      </c>
      <c r="I168" s="3">
        <f>Compras!P168</f>
        <v>1</v>
      </c>
      <c r="J168" s="30" t="s">
        <v>363</v>
      </c>
      <c r="K168" s="16">
        <f t="shared" si="15"/>
        <v>321.52499999999998</v>
      </c>
      <c r="L168" s="17">
        <f t="shared" si="16"/>
        <v>267.9375</v>
      </c>
      <c r="M168" s="18">
        <f t="shared" si="17"/>
        <v>214.35</v>
      </c>
      <c r="N168" s="3"/>
    </row>
    <row r="169" spans="1:14" ht="31.2" x14ac:dyDescent="0.3">
      <c r="A169" s="31">
        <v>169</v>
      </c>
      <c r="B169" s="5" t="str">
        <f>Compras!A169</f>
        <v>Juego De Bloques De Construcción De Tobogán De Bolas Para La Asamblea. 168pcs</v>
      </c>
      <c r="C169" s="5" t="s">
        <v>299</v>
      </c>
      <c r="D169" s="12" t="s">
        <v>301</v>
      </c>
      <c r="E169" s="15">
        <f>Compras!C169</f>
        <v>390.69</v>
      </c>
      <c r="F169" s="6">
        <f>Compras!D169</f>
        <v>0.57155289359850525</v>
      </c>
      <c r="G169" s="3">
        <f>Compras!B169</f>
        <v>1</v>
      </c>
      <c r="H169" s="15">
        <f>Compras!Q169</f>
        <v>167.39</v>
      </c>
      <c r="I169" s="3">
        <f>Compras!P169</f>
        <v>1</v>
      </c>
      <c r="J169" s="30" t="s">
        <v>363</v>
      </c>
      <c r="K169" s="16">
        <f t="shared" si="15"/>
        <v>351.35624999999999</v>
      </c>
      <c r="L169" s="17">
        <f t="shared" si="16"/>
        <v>292.796875</v>
      </c>
      <c r="M169" s="18">
        <f t="shared" si="17"/>
        <v>234.23749999999998</v>
      </c>
      <c r="N169" s="3"/>
    </row>
    <row r="170" spans="1:14" ht="31.2" x14ac:dyDescent="0.3">
      <c r="A170" s="31">
        <v>170</v>
      </c>
      <c r="B170" s="5" t="str">
        <f>Compras!A170</f>
        <v>Set Juego De Rodillos De Pista Ensamblados 340pcs</v>
      </c>
      <c r="C170" s="5" t="s">
        <v>299</v>
      </c>
      <c r="D170" s="12" t="s">
        <v>301</v>
      </c>
      <c r="E170" s="15">
        <f>Compras!C170</f>
        <v>450</v>
      </c>
      <c r="F170" s="6">
        <f>Compras!D170</f>
        <v>0.51608888888888893</v>
      </c>
      <c r="G170" s="3">
        <f>Compras!B170</f>
        <v>1</v>
      </c>
      <c r="H170" s="15">
        <f>Compras!Q170</f>
        <v>217.76</v>
      </c>
      <c r="I170" s="3">
        <f>Compras!P170</f>
        <v>1</v>
      </c>
      <c r="J170" s="30" t="s">
        <v>363</v>
      </c>
      <c r="K170" s="16">
        <f t="shared" si="15"/>
        <v>445.79999999999995</v>
      </c>
      <c r="L170" s="17">
        <f t="shared" si="16"/>
        <v>371.5</v>
      </c>
      <c r="M170" s="18">
        <f t="shared" si="17"/>
        <v>297.2</v>
      </c>
      <c r="N170" s="3"/>
    </row>
    <row r="171" spans="1:14" ht="31.2" x14ac:dyDescent="0.3">
      <c r="A171" s="31">
        <v>171</v>
      </c>
      <c r="B171" s="5" t="str">
        <f>Compras!A171</f>
        <v>Juguetes De Ensamblaje Y Compatibles Con Bloques De Construcción, 514pcs</v>
      </c>
      <c r="C171" s="5" t="s">
        <v>299</v>
      </c>
      <c r="D171" s="12" t="s">
        <v>301</v>
      </c>
      <c r="E171" s="15">
        <f>Compras!C171</f>
        <v>490.98</v>
      </c>
      <c r="F171" s="6">
        <f>Compras!D171</f>
        <v>9.9983706057273275E-2</v>
      </c>
      <c r="G171" s="3">
        <f>Compras!B171</f>
        <v>1</v>
      </c>
      <c r="H171" s="15">
        <f>Compras!Q171</f>
        <v>441.89</v>
      </c>
      <c r="I171" s="3">
        <f>Compras!P171</f>
        <v>1</v>
      </c>
      <c r="J171" s="30" t="s">
        <v>363</v>
      </c>
      <c r="K171" s="16">
        <f t="shared" si="15"/>
        <v>758.39212499999996</v>
      </c>
      <c r="L171" s="17">
        <f t="shared" si="16"/>
        <v>778.34981249999998</v>
      </c>
      <c r="M171" s="18">
        <f t="shared" si="17"/>
        <v>798.3075</v>
      </c>
      <c r="N171" s="3"/>
    </row>
    <row r="172" spans="1:14" ht="46.8" x14ac:dyDescent="0.3">
      <c r="A172" s="31">
        <v>172</v>
      </c>
      <c r="B172" s="5" t="str">
        <f>Compras!A172</f>
        <v>Disney Princess Q Ver, juego de 9 unidades Figura de Blancanieves, Aurora, Ariel, Bella, Jasmine</v>
      </c>
      <c r="C172" s="5" t="s">
        <v>313</v>
      </c>
      <c r="D172" s="12" t="s">
        <v>306</v>
      </c>
      <c r="E172" s="15">
        <f>Compras!C172</f>
        <v>161.87</v>
      </c>
      <c r="F172" s="6">
        <f>Compras!D172</f>
        <v>1.0811144745783654E-2</v>
      </c>
      <c r="G172" s="3">
        <f>Compras!B172</f>
        <v>1</v>
      </c>
      <c r="H172" s="15">
        <f>Compras!Q172</f>
        <v>160.15</v>
      </c>
      <c r="I172" s="3">
        <f>Compras!P172</f>
        <v>9</v>
      </c>
      <c r="J172" s="29" t="s">
        <v>363</v>
      </c>
      <c r="K172" s="16">
        <f t="shared" si="15"/>
        <v>98.245486111111106</v>
      </c>
      <c r="L172" s="17">
        <f t="shared" si="16"/>
        <v>77.192881944444437</v>
      </c>
      <c r="M172" s="18">
        <f t="shared" si="17"/>
        <v>56.140277777777776</v>
      </c>
      <c r="N172" s="3"/>
    </row>
    <row r="173" spans="1:14" ht="46.8" x14ac:dyDescent="0.3">
      <c r="A173" s="31">
        <v>173</v>
      </c>
      <c r="B173" s="5" t="str">
        <f>Compras!A173</f>
        <v>Disney Princess Q Ver, juego de 9 unidades Figura de Blancanieves, Aurora, Ariel, Bella, Jasmine</v>
      </c>
      <c r="C173" s="5" t="s">
        <v>313</v>
      </c>
      <c r="D173" s="12" t="s">
        <v>306</v>
      </c>
      <c r="E173" s="15">
        <f>Compras!C173</f>
        <v>399.45</v>
      </c>
      <c r="F173" s="6">
        <f>Compras!D173</f>
        <v>0.65845537614219551</v>
      </c>
      <c r="G173" s="3">
        <f>Compras!B173</f>
        <v>1</v>
      </c>
      <c r="H173" s="15">
        <f>Compras!Q173</f>
        <v>136.46</v>
      </c>
      <c r="I173" s="3">
        <f>Compras!P173</f>
        <v>9</v>
      </c>
      <c r="J173" s="29" t="s">
        <v>363</v>
      </c>
      <c r="K173" s="16">
        <f t="shared" si="15"/>
        <v>76.91736111111112</v>
      </c>
      <c r="L173" s="17">
        <f t="shared" si="16"/>
        <v>60.435069444444451</v>
      </c>
      <c r="M173" s="18">
        <f t="shared" si="17"/>
        <v>43.952777777777783</v>
      </c>
      <c r="N173" s="3"/>
    </row>
    <row r="174" spans="1:14" ht="31.2" x14ac:dyDescent="0.3">
      <c r="A174" s="31">
        <v>174</v>
      </c>
      <c r="B174" s="5" t="str">
        <f>Compras!A174</f>
        <v>Princesa Blancanieves, Cenicienta, campana, Ariel, 6 unidades</v>
      </c>
      <c r="C174" s="5" t="s">
        <v>313</v>
      </c>
      <c r="D174" s="12" t="s">
        <v>306</v>
      </c>
      <c r="E174" s="15">
        <f>Compras!C174</f>
        <v>376.51</v>
      </c>
      <c r="F174" s="6">
        <f>Compras!D174</f>
        <v>0.65854824573052506</v>
      </c>
      <c r="G174" s="3">
        <f>Compras!B174</f>
        <v>2</v>
      </c>
      <c r="H174" s="15">
        <f>Compras!Q174</f>
        <v>128.57499999999999</v>
      </c>
      <c r="I174" s="3">
        <f>Compras!P174</f>
        <v>6</v>
      </c>
      <c r="J174" s="29" t="s">
        <v>363</v>
      </c>
      <c r="K174" s="16">
        <f t="shared" si="15"/>
        <v>90.626302083333329</v>
      </c>
      <c r="L174" s="17">
        <f t="shared" si="16"/>
        <v>71.206380208333329</v>
      </c>
      <c r="M174" s="18">
        <f t="shared" si="17"/>
        <v>51.786458333333329</v>
      </c>
      <c r="N174" s="3"/>
    </row>
    <row r="175" spans="1:14" ht="31.2" x14ac:dyDescent="0.3">
      <c r="A175" s="31">
        <v>175</v>
      </c>
      <c r="B175" s="5" t="str">
        <f>Compras!A175</f>
        <v>Villanas -  Maléfica para niños, 3 unidades por Set</v>
      </c>
      <c r="C175" s="5" t="s">
        <v>313</v>
      </c>
      <c r="D175" s="12" t="s">
        <v>306</v>
      </c>
      <c r="E175" s="15">
        <f>Compras!C175</f>
        <v>234.82</v>
      </c>
      <c r="F175" s="6">
        <f>Compras!D175</f>
        <v>0.65841921471765619</v>
      </c>
      <c r="G175" s="3">
        <f>Compras!B175</f>
        <v>2</v>
      </c>
      <c r="H175" s="15">
        <f>Compras!Q175</f>
        <v>80.209999999999994</v>
      </c>
      <c r="I175" s="3">
        <f>Compras!P175</f>
        <v>3</v>
      </c>
      <c r="J175" s="29" t="s">
        <v>363</v>
      </c>
      <c r="K175" s="16">
        <f t="shared" si="15"/>
        <v>102.23645833333333</v>
      </c>
      <c r="L175" s="17">
        <f t="shared" si="16"/>
        <v>80.328645833333326</v>
      </c>
      <c r="M175" s="18">
        <f t="shared" si="17"/>
        <v>58.420833333333334</v>
      </c>
      <c r="N175" s="3"/>
    </row>
    <row r="176" spans="1:14" ht="31.2" x14ac:dyDescent="0.3">
      <c r="A176" s="31">
        <v>176</v>
      </c>
      <c r="B176" s="5" t="str">
        <f>Compras!A176</f>
        <v>Princesas Blancanieves, Ariel, Bella, Rapunzel, sirena, 8 unidades</v>
      </c>
      <c r="C176" s="5" t="s">
        <v>313</v>
      </c>
      <c r="D176" s="12" t="s">
        <v>306</v>
      </c>
      <c r="E176" s="15">
        <f>Compras!C176</f>
        <v>296.83999999999997</v>
      </c>
      <c r="F176" s="6">
        <f>Compras!D176</f>
        <v>0.6584692090014822</v>
      </c>
      <c r="G176" s="3">
        <f>Compras!B176</f>
        <v>2</v>
      </c>
      <c r="H176" s="15">
        <f>Compras!Q176</f>
        <v>101.38</v>
      </c>
      <c r="I176" s="3">
        <f>Compras!P176</f>
        <v>8</v>
      </c>
      <c r="J176" s="29" t="s">
        <v>363</v>
      </c>
      <c r="K176" s="16">
        <f t="shared" si="15"/>
        <v>71.471093750000009</v>
      </c>
      <c r="L176" s="17">
        <f t="shared" si="16"/>
        <v>56.155859375000006</v>
      </c>
      <c r="M176" s="18">
        <f t="shared" si="17"/>
        <v>40.840625000000003</v>
      </c>
      <c r="N176" s="3"/>
    </row>
    <row r="177" spans="1:14" x14ac:dyDescent="0.3">
      <c r="A177" s="31">
        <v>177</v>
      </c>
      <c r="B177" s="5" t="str">
        <f>Compras!A177</f>
        <v>Peluche de Mario Gato, muñeco de Anime 25cm</v>
      </c>
      <c r="C177" s="5" t="s">
        <v>329</v>
      </c>
      <c r="D177" s="12" t="s">
        <v>306</v>
      </c>
      <c r="E177" s="15">
        <f>Compras!C177</f>
        <v>166.51</v>
      </c>
      <c r="F177" s="6">
        <f>Compras!D177</f>
        <v>4.2039517146116668E-3</v>
      </c>
      <c r="G177" s="3">
        <f>Compras!B177</f>
        <v>1</v>
      </c>
      <c r="H177" s="15">
        <f>Compras!Q177</f>
        <v>165.85</v>
      </c>
      <c r="I177" s="3">
        <f>Compras!P177</f>
        <v>1</v>
      </c>
      <c r="J177" s="29" t="s">
        <v>363</v>
      </c>
      <c r="K177" s="16">
        <f t="shared" si="15"/>
        <v>315.23750000000001</v>
      </c>
      <c r="L177" s="17">
        <f t="shared" si="16"/>
        <v>315.23750000000001</v>
      </c>
      <c r="M177" s="18">
        <f t="shared" si="17"/>
        <v>315.23750000000001</v>
      </c>
      <c r="N177" s="3"/>
    </row>
    <row r="178" spans="1:14" ht="31.2" x14ac:dyDescent="0.3">
      <c r="A178" s="31">
        <v>178</v>
      </c>
      <c r="B178" s="5" t="str">
        <f>Compras!A178</f>
        <v>Disney Alicia en el país de las Maravillas, niña Alicia</v>
      </c>
      <c r="C178" s="5" t="s">
        <v>313</v>
      </c>
      <c r="D178" s="12" t="s">
        <v>306</v>
      </c>
      <c r="E178" s="15">
        <f>Compras!C178</f>
        <v>187.37</v>
      </c>
      <c r="F178" s="6">
        <f>Compras!D178</f>
        <v>-0.65426695842450755</v>
      </c>
      <c r="G178" s="3">
        <f>Compras!B178</f>
        <v>1</v>
      </c>
      <c r="H178" s="15">
        <f>Compras!Q178</f>
        <v>309.96999999999997</v>
      </c>
      <c r="I178" s="3">
        <f>Compras!P178</f>
        <v>1</v>
      </c>
      <c r="J178" s="29" t="s">
        <v>363</v>
      </c>
      <c r="K178" s="16">
        <f t="shared" si="15"/>
        <v>412.46249999999998</v>
      </c>
      <c r="L178" s="17">
        <f t="shared" si="16"/>
        <v>412.46249999999998</v>
      </c>
      <c r="M178" s="18">
        <f t="shared" si="17"/>
        <v>412.46249999999998</v>
      </c>
      <c r="N178" s="3"/>
    </row>
    <row r="179" spans="1:14" ht="31.2" x14ac:dyDescent="0.3">
      <c r="A179" s="31">
        <v>179</v>
      </c>
      <c r="B179" s="5" t="str">
        <f>Compras!A179</f>
        <v>Disney Alicia en el país de las Maravillas, niña Ariel</v>
      </c>
      <c r="C179" s="5" t="s">
        <v>313</v>
      </c>
      <c r="D179" s="12" t="s">
        <v>306</v>
      </c>
      <c r="E179" s="15">
        <f>Compras!C179</f>
        <v>167.68</v>
      </c>
      <c r="F179" s="6">
        <f>Compras!D179</f>
        <v>-1.9739980916030547E-2</v>
      </c>
      <c r="G179" s="3">
        <f>Compras!B179</f>
        <v>1</v>
      </c>
      <c r="H179" s="15">
        <f>Compras!Q179</f>
        <v>171</v>
      </c>
      <c r="I179" s="3">
        <f>Compras!P179</f>
        <v>1</v>
      </c>
      <c r="J179" s="29" t="s">
        <v>363</v>
      </c>
      <c r="K179" s="16">
        <f t="shared" si="15"/>
        <v>308.03749999999997</v>
      </c>
      <c r="L179" s="17">
        <f t="shared" si="16"/>
        <v>316.14374999999995</v>
      </c>
      <c r="M179" s="18">
        <f t="shared" si="17"/>
        <v>324.25</v>
      </c>
      <c r="N179" s="3"/>
    </row>
    <row r="180" spans="1:14" ht="31.2" x14ac:dyDescent="0.3">
      <c r="A180" s="31">
        <v>180</v>
      </c>
      <c r="B180" s="5" t="str">
        <f>Compras!A180</f>
        <v>Disney Alicia en el país de las Maravillas, niña Tinkerbell</v>
      </c>
      <c r="C180" s="5" t="s">
        <v>313</v>
      </c>
      <c r="D180" s="12" t="s">
        <v>306</v>
      </c>
      <c r="E180" s="15">
        <f>Compras!C180</f>
        <v>180.53</v>
      </c>
      <c r="F180" s="6">
        <f>Compras!D180</f>
        <v>-0.37927214313410518</v>
      </c>
      <c r="G180" s="3">
        <f>Compras!B180</f>
        <v>1</v>
      </c>
      <c r="H180" s="15">
        <f>Compras!Q180</f>
        <v>249.01</v>
      </c>
      <c r="I180" s="3">
        <f>Compras!P180</f>
        <v>1</v>
      </c>
      <c r="J180" s="29" t="s">
        <v>363</v>
      </c>
      <c r="K180" s="16">
        <f t="shared" si="15"/>
        <v>398.51499999999999</v>
      </c>
      <c r="L180" s="17">
        <f t="shared" si="16"/>
        <v>398.51499999999999</v>
      </c>
      <c r="M180" s="18">
        <f t="shared" si="17"/>
        <v>398.51499999999999</v>
      </c>
      <c r="N180" s="3"/>
    </row>
    <row r="181" spans="1:14" ht="46.8" x14ac:dyDescent="0.3">
      <c r="A181" s="31">
        <v>181</v>
      </c>
      <c r="B181" s="5" t="str">
        <f>Compras!A181</f>
        <v>Ariel - Princesa Disney, Jasmine, Mulan, Ariel, Arale, Bella, Blancanieves, Elsa, Anna, Cenicienta, Sofía, Rapunzel</v>
      </c>
      <c r="C181" s="5" t="s">
        <v>313</v>
      </c>
      <c r="D181" s="12" t="s">
        <v>306</v>
      </c>
      <c r="E181" s="15">
        <f>Compras!C181</f>
        <v>236.32</v>
      </c>
      <c r="F181" s="6">
        <f>Compras!D181</f>
        <v>0.65847156398104278</v>
      </c>
      <c r="G181" s="3">
        <f>Compras!B181</f>
        <v>1</v>
      </c>
      <c r="H181" s="15">
        <f>Compras!Q181</f>
        <v>80.72</v>
      </c>
      <c r="I181" s="3">
        <f>Compras!P181</f>
        <v>1</v>
      </c>
      <c r="J181" s="29" t="s">
        <v>363</v>
      </c>
      <c r="K181" s="16">
        <f t="shared" si="15"/>
        <v>220.32500000000002</v>
      </c>
      <c r="L181" s="17">
        <f t="shared" si="16"/>
        <v>173.11250000000001</v>
      </c>
      <c r="M181" s="18">
        <f t="shared" si="17"/>
        <v>125.9</v>
      </c>
      <c r="N181"/>
    </row>
    <row r="182" spans="1:14" ht="46.8" x14ac:dyDescent="0.3">
      <c r="A182" s="31">
        <v>182</v>
      </c>
      <c r="B182" s="5" t="str">
        <f>Compras!A182</f>
        <v>Elsa - Princesa Disney, Jasmine, Mulan, Ariel, Arale, Bella, Blancanieves, Elsa, Anna, Cenicienta, Sofía, Rapunzel</v>
      </c>
      <c r="C182" s="5" t="s">
        <v>313</v>
      </c>
      <c r="D182" s="12" t="s">
        <v>306</v>
      </c>
      <c r="E182" s="15">
        <f>Compras!C182</f>
        <v>199.07</v>
      </c>
      <c r="F182" s="6">
        <f>Compras!D182</f>
        <v>0.65836138041894809</v>
      </c>
      <c r="G182" s="3">
        <f>Compras!B182</f>
        <v>2</v>
      </c>
      <c r="H182" s="15">
        <f>Compras!Q182</f>
        <v>68.02000000000001</v>
      </c>
      <c r="I182" s="3">
        <f>Compras!P182</f>
        <v>1</v>
      </c>
      <c r="J182" s="29" t="s">
        <v>363</v>
      </c>
      <c r="K182" s="16">
        <f t="shared" si="15"/>
        <v>192.54375000000002</v>
      </c>
      <c r="L182" s="17">
        <f t="shared" si="16"/>
        <v>151.28437500000001</v>
      </c>
      <c r="M182" s="18">
        <f t="shared" si="17"/>
        <v>110.02500000000001</v>
      </c>
      <c r="N182" s="3"/>
    </row>
    <row r="183" spans="1:14" ht="31.2" x14ac:dyDescent="0.3">
      <c r="A183" s="31">
        <v>183</v>
      </c>
      <c r="B183" s="5" t="str">
        <f>Compras!A183</f>
        <v>Hot Wheels Mario Kart, Paquete de 4 autos - Yoshi azul</v>
      </c>
      <c r="C183" s="5" t="s">
        <v>330</v>
      </c>
      <c r="D183" s="12" t="s">
        <v>331</v>
      </c>
      <c r="E183" s="15">
        <f>Compras!C183</f>
        <v>584.87</v>
      </c>
      <c r="F183" s="6">
        <f>Compras!D183</f>
        <v>0.28360148409048164</v>
      </c>
      <c r="G183" s="3">
        <f>Compras!B183</f>
        <v>1</v>
      </c>
      <c r="H183" s="15">
        <f>Compras!Q183</f>
        <v>419</v>
      </c>
      <c r="I183" s="3">
        <f>Compras!P183</f>
        <v>1</v>
      </c>
      <c r="J183" s="30" t="s">
        <v>363</v>
      </c>
      <c r="K183" s="16">
        <f t="shared" si="15"/>
        <v>548.75</v>
      </c>
      <c r="L183" s="17">
        <f t="shared" si="16"/>
        <v>548.75</v>
      </c>
      <c r="M183" s="18">
        <f t="shared" si="17"/>
        <v>548.75</v>
      </c>
      <c r="N183" s="3"/>
    </row>
    <row r="184" spans="1:14" ht="31.2" x14ac:dyDescent="0.3">
      <c r="A184" s="31">
        <v>184</v>
      </c>
      <c r="B184" s="5" t="str">
        <f>Compras!A184</f>
        <v>Hot Wheels Mario Kart Track Set Assortment 4 Different Tracks - BOO</v>
      </c>
      <c r="C184" s="5" t="s">
        <v>330</v>
      </c>
      <c r="D184" s="12" t="s">
        <v>332</v>
      </c>
      <c r="E184" s="15">
        <f>Compras!C184</f>
        <v>500.51</v>
      </c>
      <c r="F184" s="6">
        <f>Compras!D184</f>
        <v>0.23278256178697729</v>
      </c>
      <c r="G184" s="3">
        <f>Compras!B184</f>
        <v>1</v>
      </c>
      <c r="H184" s="15">
        <f>Compras!Q184</f>
        <v>384</v>
      </c>
      <c r="I184" s="3">
        <f>Compras!P184</f>
        <v>1</v>
      </c>
      <c r="J184" s="30" t="s">
        <v>363</v>
      </c>
      <c r="K184" s="16">
        <f t="shared" si="15"/>
        <v>505</v>
      </c>
      <c r="L184" s="17">
        <f t="shared" si="16"/>
        <v>505</v>
      </c>
      <c r="M184" s="18">
        <f t="shared" si="17"/>
        <v>505</v>
      </c>
      <c r="N184" s="3"/>
    </row>
    <row r="185" spans="1:14" x14ac:dyDescent="0.3">
      <c r="A185" s="31">
        <v>185</v>
      </c>
      <c r="B185" s="5" t="str">
        <f>Compras!A185</f>
        <v>Hot Wheels Mario Kart Chain Chomp Set</v>
      </c>
      <c r="C185" s="5" t="s">
        <v>330</v>
      </c>
      <c r="D185" s="12" t="s">
        <v>332</v>
      </c>
      <c r="E185" s="15">
        <f>Compras!C185</f>
        <v>624.04999999999995</v>
      </c>
      <c r="F185" s="6">
        <f>Compras!D185</f>
        <v>0.38466469032930051</v>
      </c>
      <c r="G185" s="3">
        <f>Compras!B185</f>
        <v>1</v>
      </c>
      <c r="H185" s="15">
        <f>Compras!Q185</f>
        <v>384</v>
      </c>
      <c r="I185" s="3">
        <f>Compras!P185</f>
        <v>1</v>
      </c>
      <c r="J185" s="30" t="s">
        <v>363</v>
      </c>
      <c r="K185" s="16">
        <f t="shared" si="15"/>
        <v>505</v>
      </c>
      <c r="L185" s="17">
        <f t="shared" si="16"/>
        <v>505</v>
      </c>
      <c r="M185" s="18">
        <f t="shared" si="17"/>
        <v>505</v>
      </c>
      <c r="N185"/>
    </row>
    <row r="186" spans="1:14" x14ac:dyDescent="0.3">
      <c r="A186" s="31">
        <v>186</v>
      </c>
      <c r="B186" s="5" t="str">
        <f>Compras!A186</f>
        <v>Hot Wheels Mario Kart Pista Picuda</v>
      </c>
      <c r="C186" s="5" t="s">
        <v>330</v>
      </c>
      <c r="D186" s="12" t="s">
        <v>332</v>
      </c>
      <c r="E186" s="15">
        <f>Compras!C186</f>
        <v>478.99</v>
      </c>
      <c r="F186" s="6">
        <f>Compras!D186</f>
        <v>0.19831311718407479</v>
      </c>
      <c r="G186" s="3">
        <f>Compras!B186</f>
        <v>1</v>
      </c>
      <c r="H186" s="15">
        <f>Compras!Q186</f>
        <v>384</v>
      </c>
      <c r="I186" s="3">
        <f>Compras!P186</f>
        <v>1</v>
      </c>
      <c r="J186" s="30" t="s">
        <v>363</v>
      </c>
      <c r="K186" s="16">
        <f t="shared" si="15"/>
        <v>570.94999999999993</v>
      </c>
      <c r="L186" s="17">
        <f t="shared" si="16"/>
        <v>585.97499999999991</v>
      </c>
      <c r="M186" s="18">
        <f t="shared" si="17"/>
        <v>601</v>
      </c>
      <c r="N186"/>
    </row>
    <row r="187" spans="1:14" x14ac:dyDescent="0.3">
      <c r="A187" s="31">
        <v>187</v>
      </c>
      <c r="B187" s="5" t="str">
        <f>Compras!A187</f>
        <v>Hot Wheels Mario Kart Set Piraña</v>
      </c>
      <c r="C187" s="5" t="s">
        <v>330</v>
      </c>
      <c r="D187" s="12" t="s">
        <v>332</v>
      </c>
      <c r="E187" s="15">
        <f>Compras!C187</f>
        <v>629</v>
      </c>
      <c r="F187" s="6">
        <f>Compras!D187</f>
        <v>0.38950715421303655</v>
      </c>
      <c r="G187" s="3">
        <f>Compras!B187</f>
        <v>1</v>
      </c>
      <c r="H187" s="15">
        <f>Compras!Q187</f>
        <v>384</v>
      </c>
      <c r="I187" s="3">
        <f>Compras!P187</f>
        <v>1</v>
      </c>
      <c r="J187" s="30" t="s">
        <v>363</v>
      </c>
      <c r="K187" s="16">
        <f t="shared" si="15"/>
        <v>505</v>
      </c>
      <c r="L187" s="17">
        <f t="shared" si="16"/>
        <v>505</v>
      </c>
      <c r="M187" s="18">
        <f t="shared" si="17"/>
        <v>505</v>
      </c>
      <c r="N187"/>
    </row>
    <row r="188" spans="1:14" x14ac:dyDescent="0.3">
      <c r="A188" s="31">
        <v>188</v>
      </c>
      <c r="B188" s="5" t="str">
        <f>Compras!A188</f>
        <v>Peluche de Cerdito 25cm</v>
      </c>
      <c r="C188" s="5" t="s">
        <v>321</v>
      </c>
      <c r="D188" s="12" t="s">
        <v>303</v>
      </c>
      <c r="E188" s="15">
        <f>Compras!C188</f>
        <v>355.92</v>
      </c>
      <c r="F188" s="6">
        <f>Compras!D188</f>
        <v>0.72786019330186558</v>
      </c>
      <c r="G188" s="3">
        <f>Compras!B188</f>
        <v>1</v>
      </c>
      <c r="H188" s="15">
        <f>Compras!Q188</f>
        <v>96.86</v>
      </c>
      <c r="I188" s="3">
        <f>Compras!P188</f>
        <v>1</v>
      </c>
      <c r="J188" s="30" t="s">
        <v>363</v>
      </c>
      <c r="K188" s="16">
        <f t="shared" si="15"/>
        <v>255.63124999999997</v>
      </c>
      <c r="L188" s="17">
        <f t="shared" si="16"/>
        <v>200.85312499999998</v>
      </c>
      <c r="M188" s="18">
        <f t="shared" si="17"/>
        <v>146.07499999999999</v>
      </c>
      <c r="N188"/>
    </row>
    <row r="189" spans="1:14" x14ac:dyDescent="0.3">
      <c r="A189" s="31">
        <v>189</v>
      </c>
      <c r="B189" s="5" t="str">
        <f>Compras!A189</f>
        <v>Juguetes De Empuje Con Luces, Pato</v>
      </c>
      <c r="C189" s="5" t="s">
        <v>321</v>
      </c>
      <c r="D189" s="12" t="s">
        <v>324</v>
      </c>
      <c r="E189" s="15">
        <f>Compras!C189</f>
        <v>278</v>
      </c>
      <c r="F189" s="6">
        <f>Compras!D189</f>
        <v>0.67953237410071954</v>
      </c>
      <c r="G189" s="3">
        <f>Compras!B189</f>
        <v>1</v>
      </c>
      <c r="H189" s="15">
        <f>Compras!Q189</f>
        <v>89.09</v>
      </c>
      <c r="I189" s="3">
        <f>Compras!P189</f>
        <v>1</v>
      </c>
      <c r="J189" s="30" t="s">
        <v>363</v>
      </c>
      <c r="K189" s="16">
        <f t="shared" si="15"/>
        <v>238.63437500000003</v>
      </c>
      <c r="L189" s="17">
        <f t="shared" si="16"/>
        <v>187.49843750000002</v>
      </c>
      <c r="M189" s="18">
        <f t="shared" si="17"/>
        <v>136.36250000000001</v>
      </c>
      <c r="N189"/>
    </row>
    <row r="190" spans="1:14" ht="31.2" x14ac:dyDescent="0.3">
      <c r="A190" s="31">
        <v>190</v>
      </c>
      <c r="B190" s="5" t="str">
        <f>Compras!A190</f>
        <v>Sanrio Kuromi Cinnamonroll Moon LED Light Kawaii 3D, Melody</v>
      </c>
      <c r="C190" s="5" t="s">
        <v>346</v>
      </c>
      <c r="D190" s="12" t="s">
        <v>341</v>
      </c>
      <c r="E190" s="15">
        <f>Compras!C190</f>
        <v>474.49</v>
      </c>
      <c r="F190" s="6">
        <f>Compras!D190</f>
        <v>0.71866635756285691</v>
      </c>
      <c r="G190" s="3">
        <f>Compras!B190</f>
        <v>1</v>
      </c>
      <c r="H190" s="15">
        <f>Compras!Q190</f>
        <v>133.49</v>
      </c>
      <c r="I190" s="3">
        <f>Compras!P190</f>
        <v>1</v>
      </c>
      <c r="J190" s="30" t="s">
        <v>363</v>
      </c>
      <c r="K190" s="16">
        <f t="shared" si="15"/>
        <v>287.79375000000005</v>
      </c>
      <c r="L190" s="17">
        <f t="shared" si="16"/>
        <v>239.82812500000003</v>
      </c>
      <c r="M190" s="18">
        <f t="shared" si="17"/>
        <v>191.86250000000001</v>
      </c>
      <c r="N190"/>
    </row>
  </sheetData>
  <autoFilter ref="A1:M184" xr:uid="{00000000-0009-0000-0000-000001000000}">
    <sortState xmlns:xlrd2="http://schemas.microsoft.com/office/spreadsheetml/2017/richdata2" ref="A2:M190">
      <sortCondition ref="A1:A184"/>
    </sortState>
  </autoFilter>
  <hyperlinks>
    <hyperlink ref="J16" r:id="rId1" xr:uid="{616D3BC1-C7E4-413D-9520-22A618AFBCCF}"/>
    <hyperlink ref="J17" r:id="rId2" xr:uid="{A425B22F-EE11-4790-996A-86458CC3F6DB}"/>
    <hyperlink ref="J18" r:id="rId3" xr:uid="{FD5C0F99-E8F7-493A-8B4D-8995C1867FEF}"/>
    <hyperlink ref="J19" r:id="rId4" xr:uid="{CD1111E6-1BA7-4B4B-BCC5-71F4A2B5C1FF}"/>
    <hyperlink ref="J20" r:id="rId5" xr:uid="{F6921681-D6BE-4F8D-AA43-71DF334CAAB3}"/>
    <hyperlink ref="J21" r:id="rId6" xr:uid="{4320A293-F79F-4597-A305-F976131ABD2D}"/>
    <hyperlink ref="J22" r:id="rId7" xr:uid="{34FE296D-A535-4453-81BB-F60A68308557}"/>
    <hyperlink ref="J67" r:id="rId8" xr:uid="{01FD9213-FC73-472A-B5EB-6251D6F5696C}"/>
    <hyperlink ref="J68" r:id="rId9" xr:uid="{8832D266-EE23-45A3-BB8E-4C5D336A4F90}"/>
    <hyperlink ref="J69" r:id="rId10" xr:uid="{4D9E816C-DCE7-49A7-AC5C-FE3B62B8EA3F}"/>
    <hyperlink ref="J70" r:id="rId11" xr:uid="{54BE8D98-4459-4B39-A2B5-8165F7DB86B9}"/>
    <hyperlink ref="J71" r:id="rId12" xr:uid="{1288B9DA-A107-4212-8D9E-F66D097D7E13}"/>
    <hyperlink ref="J72" r:id="rId13" xr:uid="{C2C99B72-3B81-474F-928F-1A9D2FBF2FE4}"/>
    <hyperlink ref="J73" r:id="rId14" xr:uid="{7F3096D1-766C-4B46-8190-34BD2B55DF7D}"/>
    <hyperlink ref="J74" r:id="rId15" xr:uid="{3FE19C19-8401-432A-B2FD-4D54FBB13961}"/>
    <hyperlink ref="J75" r:id="rId16" xr:uid="{4A09D781-5EE2-440A-BD40-A39A2F28138B}"/>
    <hyperlink ref="J76" r:id="rId17" xr:uid="{9A4A6DD8-5AF0-42E5-BE64-6F00BFBE1781}"/>
    <hyperlink ref="J77" r:id="rId18" xr:uid="{F581C61A-38C2-4CEF-BCA5-ED0C8761AA69}"/>
    <hyperlink ref="J78" r:id="rId19" xr:uid="{CC5BA523-9D94-48B0-B6AC-C921344076D9}"/>
    <hyperlink ref="J79" r:id="rId20" xr:uid="{741C018A-5862-4F4A-B3C5-769865A72474}"/>
    <hyperlink ref="J164" r:id="rId21" xr:uid="{AFA12AF6-244F-4895-8321-C0D9FB67A5B4}"/>
    <hyperlink ref="J165" r:id="rId22" xr:uid="{2189759D-0E80-4611-8642-A41D7B50E849}"/>
    <hyperlink ref="J166" r:id="rId23" xr:uid="{905BF19D-194F-44A5-9E55-FA2AEE04A006}"/>
    <hyperlink ref="J167" r:id="rId24" xr:uid="{A406FA04-E351-46EB-90EB-6EAEBFD6B35B}"/>
    <hyperlink ref="J168" r:id="rId25" xr:uid="{4B38662E-5265-461C-91A6-41C2F2099023}"/>
    <hyperlink ref="J169" r:id="rId26" xr:uid="{3D2B949E-9A73-42E3-9B57-5DEE8059492B}"/>
    <hyperlink ref="J170" r:id="rId27" xr:uid="{CE85244A-05E3-4B60-B91B-024387F626D5}"/>
    <hyperlink ref="J171" r:id="rId28" xr:uid="{F62D2E79-E4EB-40AC-8DA9-0EBD3E2DF097}"/>
    <hyperlink ref="J183" r:id="rId29" xr:uid="{A213749E-43BD-4F41-B009-7B60D6724E64}"/>
    <hyperlink ref="J185" r:id="rId30" xr:uid="{BB453F5C-CBBE-4817-8AD5-CFB815E66572}"/>
    <hyperlink ref="J184" r:id="rId31" xr:uid="{BD95EE52-2217-46F0-A529-65E8E639ACDF}"/>
    <hyperlink ref="J186" r:id="rId32" xr:uid="{340909D7-FF55-4A64-9F03-B6DD35626DB8}"/>
    <hyperlink ref="J187" r:id="rId33" xr:uid="{0AC39EA2-8B21-4295-891B-302536C55F8E}"/>
    <hyperlink ref="J189" r:id="rId34" xr:uid="{0541B007-57FE-4E4F-B6CB-E4C93F2CB0A6}"/>
    <hyperlink ref="J190" r:id="rId35" xr:uid="{D63652D3-DEB6-45E1-8469-A33FE3AAC1D5}"/>
    <hyperlink ref="J188" r:id="rId36" xr:uid="{4C097146-222C-4FED-91A3-C1690D9C1409}"/>
    <hyperlink ref="J36" r:id="rId37" xr:uid="{791A5A25-999A-47C8-BC1C-1CE05FE8586D}"/>
    <hyperlink ref="J37" r:id="rId38" xr:uid="{FA6DC901-7882-461A-9621-9D73C338F661}"/>
    <hyperlink ref="J6" r:id="rId39" xr:uid="{18AAF7E4-A16F-4039-985E-73F9DAFEA4BB}"/>
    <hyperlink ref="J7" r:id="rId40" xr:uid="{E2EFC4D2-57F4-44A2-94D7-DEDB0EFDCC79}"/>
    <hyperlink ref="J8" r:id="rId41" xr:uid="{338F24EB-0C3E-4EC6-98C7-0721C6FDCEF4}"/>
    <hyperlink ref="J9" r:id="rId42" xr:uid="{6300619D-B690-46F3-B4E7-A1BC545D075A}"/>
    <hyperlink ref="J26" r:id="rId43" xr:uid="{D52D6040-FA20-4DB1-B899-70095BDF1AAA}"/>
    <hyperlink ref="J28" r:id="rId44" xr:uid="{D6FF6A79-22A8-4B77-90AB-19DC6385AA00}"/>
    <hyperlink ref="J2" r:id="rId45" xr:uid="{83ED9752-BD85-403F-9903-87581534B70D}"/>
    <hyperlink ref="J3" r:id="rId46" xr:uid="{208F4D89-C90A-4517-8149-879091FA998D}"/>
    <hyperlink ref="J4" r:id="rId47" xr:uid="{B616DA99-034A-4051-BE89-F8ABBD203C32}"/>
    <hyperlink ref="J5" r:id="rId48" xr:uid="{8A443E5E-D7EF-493E-872F-DD93B15F5383}"/>
    <hyperlink ref="J35" r:id="rId49" xr:uid="{BF4F870C-E647-45B4-84D4-85708A14CB84}"/>
    <hyperlink ref="J29" r:id="rId50" xr:uid="{08C2CE36-A86F-4FE4-995C-E8F6867721DF}"/>
    <hyperlink ref="J31" r:id="rId51" xr:uid="{7E3BD4D4-131D-4DF8-B077-0AC36FEE136B}"/>
    <hyperlink ref="J30" r:id="rId52" xr:uid="{C759B770-C04B-44C3-A9FE-3EA8AD3E0253}"/>
    <hyperlink ref="J32" r:id="rId53" xr:uid="{B558C1F2-180C-4C46-AC72-0AAD7942C695}"/>
    <hyperlink ref="J33" r:id="rId54" xr:uid="{A8B2B152-0CF7-4CC6-9DB6-0334DD27879B}"/>
    <hyperlink ref="J34" r:id="rId55" xr:uid="{9EF628FD-1F80-419C-ACEA-D9DFB5E8AE07}"/>
    <hyperlink ref="J24" r:id="rId56" xr:uid="{DC2E975C-0598-4BD1-AD44-BAEF485CCBAC}"/>
    <hyperlink ref="J25" r:id="rId57" xr:uid="{5A1370B1-268C-4ABF-8442-1E74600EA1A0}"/>
    <hyperlink ref="J12" r:id="rId58" xr:uid="{A68CEB58-F68D-4364-9321-A6640DEB614F}"/>
    <hyperlink ref="J13" r:id="rId59" xr:uid="{CF43C386-391E-4CAD-BE5C-1B22BAFF9452}"/>
    <hyperlink ref="J23" r:id="rId60" xr:uid="{9C61888C-A4DE-4FB6-A241-7C11D1DA7BEA}"/>
    <hyperlink ref="J44" r:id="rId61" xr:uid="{A99B9377-69B4-4E22-BF26-91BEFE494E24}"/>
    <hyperlink ref="J51" r:id="rId62" xr:uid="{8DA16A72-EB4E-4929-B7A9-BA90BA9C9279}"/>
    <hyperlink ref="J42" r:id="rId63" xr:uid="{6D5F5671-C3A2-41D7-9919-E2A20DAB7037}"/>
    <hyperlink ref="J58" r:id="rId64" xr:uid="{78F855F5-02E4-46B5-9B64-96BB68439A59}"/>
    <hyperlink ref="J62" r:id="rId65" xr:uid="{B7E9E742-59E6-4C02-99C6-28155D0DC5AB}"/>
    <hyperlink ref="J63" r:id="rId66" xr:uid="{EE4496B0-2B54-4DC3-A8D6-DB142D23DA9C}"/>
    <hyperlink ref="J64" r:id="rId67" xr:uid="{B3434624-AF2F-4141-A6B6-FEE05FDC015B}"/>
    <hyperlink ref="J61" r:id="rId68" xr:uid="{49F64104-4DBB-4BEE-AAB7-229CE5A0A406}"/>
    <hyperlink ref="J60" r:id="rId69" xr:uid="{6636B4C5-8F7D-45ED-9D00-FE9BA22758C2}"/>
    <hyperlink ref="J59" r:id="rId70" xr:uid="{9401D382-48E3-4E2D-B603-3BFB2FC7C8E0}"/>
    <hyperlink ref="J46" r:id="rId71" xr:uid="{29A9394B-91FF-4B97-9CE1-6E260E557574}"/>
    <hyperlink ref="J43" r:id="rId72" xr:uid="{278AECA9-D6AF-45C7-8174-63D03C37897D}"/>
    <hyperlink ref="J53" r:id="rId73" xr:uid="{F7E21EBA-64CF-4E81-AEA5-BC051DF37182}"/>
    <hyperlink ref="J54" r:id="rId74" xr:uid="{1276948B-93BC-4470-B122-DEC025C27BE6}"/>
    <hyperlink ref="J49" r:id="rId75" xr:uid="{C85BB474-80EC-4384-824E-4B12C177C014}"/>
    <hyperlink ref="J45" r:id="rId76" xr:uid="{05AFBE9C-1EF1-4A21-A73E-BEA1A961C305}"/>
    <hyperlink ref="J56" r:id="rId77" xr:uid="{09AC96F6-BE78-4CD2-8EA7-2F00D366FC4D}"/>
    <hyperlink ref="J57" r:id="rId78" xr:uid="{6D531692-AB01-491D-B77E-D22E7FB99D3E}"/>
    <hyperlink ref="J55" r:id="rId79" xr:uid="{7A8A8921-2561-4448-89ED-FC6615FC15D4}"/>
    <hyperlink ref="J65" r:id="rId80" xr:uid="{68398E50-E2B5-4FC0-9CB8-B22CE3279924}"/>
    <hyperlink ref="J66" r:id="rId81" xr:uid="{0ED57CB3-230F-4392-ADE1-2AB3D649AFA5}"/>
    <hyperlink ref="J38" r:id="rId82" xr:uid="{14919D98-B0B6-49BE-BFF3-5B8D310AB982}"/>
    <hyperlink ref="J39" r:id="rId83" xr:uid="{B50FF32E-2B6B-4358-88C9-B00B15F37DA4}"/>
    <hyperlink ref="J80" r:id="rId84" xr:uid="{C0006D2A-CFDF-4B70-96EC-A551E7B0597E}"/>
    <hyperlink ref="J81" r:id="rId85" xr:uid="{F6D3D2F3-7EFA-4482-A5F5-AA8C6CC680A1}"/>
    <hyperlink ref="J82" r:id="rId86" xr:uid="{C6FFA105-9A5D-4A07-8695-EA12E4291E72}"/>
    <hyperlink ref="J83" r:id="rId87" xr:uid="{3E35CCB5-5479-4E84-8E29-EA2971065537}"/>
    <hyperlink ref="J85" r:id="rId88" xr:uid="{20969008-D13D-41BD-8712-A9FD2B413016}"/>
    <hyperlink ref="J84" r:id="rId89" xr:uid="{E232F8DA-4EFA-4BE4-8E0F-2AA38F58F752}"/>
    <hyperlink ref="J86" r:id="rId90" xr:uid="{DCE6B05A-61DD-4446-ABFB-4DD7A6949E0C}"/>
    <hyperlink ref="J87" r:id="rId91" xr:uid="{8452F928-57A2-4175-A44C-D1FB5FAAEAA2}"/>
    <hyperlink ref="J88" r:id="rId92" xr:uid="{FBFB069E-D2F9-423C-BCBE-CF010210824E}"/>
    <hyperlink ref="J89" r:id="rId93" xr:uid="{81961D44-18F9-49CD-8341-6901FF6CB33E}"/>
    <hyperlink ref="J90" r:id="rId94" xr:uid="{192662D0-CEFD-4166-8574-B914228A0146}"/>
    <hyperlink ref="J92" r:id="rId95" xr:uid="{C90E8C19-948A-4CC4-8C63-ED0BD33B06EA}"/>
    <hyperlink ref="J93" r:id="rId96" xr:uid="{DA541AF2-83B2-4AD4-A9B0-57453B46C387}"/>
    <hyperlink ref="J95" r:id="rId97" xr:uid="{779219A2-B3CB-427E-A403-C366AD1C7198}"/>
    <hyperlink ref="J94" r:id="rId98" xr:uid="{7104CFCC-1CD9-424F-B999-56C527155430}"/>
    <hyperlink ref="J96" r:id="rId99" xr:uid="{0BAB9E16-DA2F-41C1-A160-55FEB04AB4FF}"/>
    <hyperlink ref="J104" r:id="rId100" xr:uid="{DE51D47A-1DAA-43EA-A5FC-620CC5C1B8B9}"/>
    <hyperlink ref="J102" r:id="rId101" xr:uid="{625F8748-C85C-4DB9-871B-DB2431304158}"/>
    <hyperlink ref="J103" r:id="rId102" xr:uid="{0D63C3ED-26E8-404B-98A3-4C657E607D07}"/>
    <hyperlink ref="J108" r:id="rId103" xr:uid="{A63D4346-8D76-494C-AE5A-FCD5EB88E2DA}"/>
    <hyperlink ref="J109" r:id="rId104" xr:uid="{D329CA67-C1AD-4D45-BE3E-345D2FFA2A79}"/>
    <hyperlink ref="J110" r:id="rId105" xr:uid="{A49E9041-D2DA-4456-875C-32016296ED59}"/>
    <hyperlink ref="J111" r:id="rId106" xr:uid="{CA32C86A-C356-473C-BD14-65BAC1425AC7}"/>
    <hyperlink ref="J129" r:id="rId107" xr:uid="{AED86A6E-BD66-4BC5-80E5-D005399D43D5}"/>
    <hyperlink ref="J115" r:id="rId108" xr:uid="{6D89E2B9-4DF8-4A6C-987B-CC9209F5D07A}"/>
    <hyperlink ref="J123" r:id="rId109" xr:uid="{0579149F-7936-41B2-9163-280545710EFA}"/>
    <hyperlink ref="J124" r:id="rId110" xr:uid="{AD0929B4-E9BE-4588-84DC-E013B0535DF1}"/>
    <hyperlink ref="J125" r:id="rId111" xr:uid="{C3A3D1D7-8014-491E-A87E-00970BE89F9A}"/>
    <hyperlink ref="J139" r:id="rId112" xr:uid="{61A6C485-BC94-4289-867D-561046E0967C}"/>
    <hyperlink ref="J140" r:id="rId113" xr:uid="{597103EF-8DC5-4986-8DE1-D40F79C47610}"/>
    <hyperlink ref="J141" r:id="rId114" xr:uid="{FBC711A6-276F-4EEA-93B6-1EA3EDC77BC3}"/>
    <hyperlink ref="J119" r:id="rId115" xr:uid="{DCEC14E1-7864-4F98-8694-5ED95116BC41}"/>
    <hyperlink ref="J114" r:id="rId116" xr:uid="{0D16C55E-2E82-4CA0-BF2F-FDC9321D00E9}"/>
    <hyperlink ref="J117" r:id="rId117" xr:uid="{F0B3BB94-388A-42ED-A501-7F16FEA47C90}"/>
    <hyperlink ref="J126" r:id="rId118" xr:uid="{28374437-F585-4418-A03F-A84C34D2ECC5}"/>
    <hyperlink ref="J112" r:id="rId119" xr:uid="{2A72E76B-95BF-4355-BAB9-43DD836F38D9}"/>
    <hyperlink ref="J113" r:id="rId120" xr:uid="{6EED5332-21C6-4D9F-82F5-E86DED192124}"/>
    <hyperlink ref="J127" r:id="rId121" xr:uid="{29F59ABB-D1FA-4AD2-8FCC-90BF7C1C4A3A}"/>
    <hyperlink ref="J128" r:id="rId122" xr:uid="{DCAC6709-05AB-4DBE-8C49-5448A13AE65C}"/>
    <hyperlink ref="J121" r:id="rId123" xr:uid="{17734D5A-3DE4-4136-B1E7-459286EB06E3}"/>
    <hyperlink ref="J149" r:id="rId124" xr:uid="{F21A2C85-C8E6-485E-B909-4B588E0ABCD9}"/>
    <hyperlink ref="J150" r:id="rId125" xr:uid="{24B3E6B0-E78C-4F2D-960C-16C96824B101}"/>
    <hyperlink ref="J151" r:id="rId126" xr:uid="{807FCDC2-35C6-4834-8FF6-566F5D32CECD}"/>
    <hyperlink ref="J152" r:id="rId127" xr:uid="{8A54F279-2C25-4B5D-9F53-210DC27FE8A1}"/>
    <hyperlink ref="J163" r:id="rId128" xr:uid="{9CBD86EF-F726-4494-B88A-6F8FC9365C90}"/>
    <hyperlink ref="J159" r:id="rId129" xr:uid="{32CE31C1-49A7-47B4-AE12-7F4C6556729D}"/>
    <hyperlink ref="J160" r:id="rId130" xr:uid="{3810787A-3864-4C29-9346-57CB03C4B80E}"/>
    <hyperlink ref="J122" r:id="rId131" xr:uid="{B4EADA38-0819-416E-804E-2CA13EBF7717}"/>
    <hyperlink ref="J158" r:id="rId132" xr:uid="{45375ECF-8125-4EAC-B0F8-FC5C42A04DCE}"/>
    <hyperlink ref="J157" r:id="rId133" xr:uid="{B6DC2466-63DC-4FE2-B916-E7C716B2966C}"/>
    <hyperlink ref="J148" r:id="rId134" xr:uid="{832D4CAC-C75D-4E83-9F37-E242D08DA5DC}"/>
    <hyperlink ref="J156" r:id="rId135" xr:uid="{EE2EB99E-7FC3-4DFA-A3B5-86B4932918F9}"/>
    <hyperlink ref="J153" r:id="rId136" xr:uid="{FA49B8B3-49E4-4D1A-91E3-EA9E4915DDDC}"/>
    <hyperlink ref="J154" r:id="rId137" xr:uid="{D431D634-1A18-414E-9B97-BB67370F1663}"/>
    <hyperlink ref="J155" r:id="rId138" xr:uid="{DCF185E3-61CD-479A-8E1B-41058642D2F2}"/>
    <hyperlink ref="J142" r:id="rId139" xr:uid="{54E5C5FD-5709-4870-BFE6-01FBB8F17B81}"/>
    <hyperlink ref="J143" r:id="rId140" xr:uid="{11F95541-123B-4AD9-AE64-9E449C67661B}"/>
    <hyperlink ref="J162" r:id="rId141" xr:uid="{F901CB75-5848-4F51-BDEB-F143879506EC}"/>
    <hyperlink ref="J161" r:id="rId142" xr:uid="{73758B73-AB1B-499A-9CC2-0A08F47C117E}"/>
    <hyperlink ref="J120" r:id="rId143" xr:uid="{532CAE63-2C0E-4C05-A8C8-29450A147371}"/>
    <hyperlink ref="J130" r:id="rId144" xr:uid="{85228349-8C63-4FF9-99E1-E69C2D52D813}"/>
    <hyperlink ref="J100" r:id="rId145" xr:uid="{9D2AABA2-8AF9-4C27-8A1E-3612FF3F7B9E}"/>
    <hyperlink ref="J105" r:id="rId146" xr:uid="{027AD513-DA9A-435A-B4D1-D20C88CE6874}"/>
    <hyperlink ref="J106" r:id="rId147" xr:uid="{D94A9707-0DEB-43F3-958F-EB157ED70C19}"/>
    <hyperlink ref="J144" r:id="rId148" xr:uid="{79697657-6770-457C-B62C-4823D90E3265}"/>
    <hyperlink ref="J146" r:id="rId149" xr:uid="{550B8332-C0F8-4B5F-B0D3-D4373BC2C954}"/>
    <hyperlink ref="J147" r:id="rId150" xr:uid="{57852C13-AE0B-4692-982A-4A38A2E7CCC9}"/>
    <hyperlink ref="J145" r:id="rId151" xr:uid="{140EC90A-0BBE-46E4-8F7D-B62B5A59F5C1}"/>
    <hyperlink ref="J50" r:id="rId152" xr:uid="{6CB9C559-99FE-4A26-A6C5-68850946B442}"/>
    <hyperlink ref="J107" r:id="rId153" xr:uid="{40D6EC83-6007-4CBB-817F-9C27C8352C81}"/>
  </hyperlinks>
  <pageMargins left="0.7" right="0.7" top="0.75" bottom="0.75" header="0.3" footer="0.3"/>
  <pageSetup orientation="portrait" horizontalDpi="0" verticalDpi="0"/>
  <picture r:id="rId1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Tlachino</dc:creator>
  <cp:lastModifiedBy>Marco Tlachino Macuitl</cp:lastModifiedBy>
  <dcterms:created xsi:type="dcterms:W3CDTF">2024-02-03T04:25:51Z</dcterms:created>
  <dcterms:modified xsi:type="dcterms:W3CDTF">2025-02-23T05:26:21Z</dcterms:modified>
</cp:coreProperties>
</file>