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ctures\LOVELY TOYS\DOCS\"/>
    </mc:Choice>
  </mc:AlternateContent>
  <xr:revisionPtr revIDLastSave="0" documentId="13_ncr:1_{8BFE0DEF-F515-4CD6-9058-4219526643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ras" sheetId="2" r:id="rId1"/>
    <sheet name="Precios" sheetId="3" r:id="rId2"/>
  </sheets>
  <definedNames>
    <definedName name="_xlnm._FilterDatabase" localSheetId="1" hidden="1">Precios!$A$1:$M$111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2" l="1"/>
  <c r="S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2" i="2"/>
  <c r="B113" i="3"/>
  <c r="E113" i="3"/>
  <c r="G113" i="3"/>
  <c r="I113" i="3"/>
  <c r="B114" i="3"/>
  <c r="E114" i="3"/>
  <c r="G114" i="3"/>
  <c r="I114" i="3"/>
  <c r="B115" i="3"/>
  <c r="E115" i="3"/>
  <c r="G115" i="3"/>
  <c r="I115" i="3"/>
  <c r="B116" i="3"/>
  <c r="E116" i="3"/>
  <c r="G116" i="3"/>
  <c r="I116" i="3"/>
  <c r="B117" i="3"/>
  <c r="E117" i="3"/>
  <c r="G117" i="3"/>
  <c r="I117" i="3"/>
  <c r="B118" i="3"/>
  <c r="E118" i="3"/>
  <c r="G118" i="3"/>
  <c r="I118" i="3"/>
  <c r="B119" i="3"/>
  <c r="E119" i="3"/>
  <c r="F119" i="3"/>
  <c r="G119" i="3"/>
  <c r="I119" i="3"/>
  <c r="F114" i="2"/>
  <c r="D114" i="2" s="1"/>
  <c r="F114" i="3" s="1"/>
  <c r="F115" i="2"/>
  <c r="F116" i="2"/>
  <c r="G116" i="2" s="1"/>
  <c r="F117" i="2"/>
  <c r="G117" i="2" s="1"/>
  <c r="F118" i="2"/>
  <c r="D118" i="2" s="1"/>
  <c r="F118" i="3" s="1"/>
  <c r="F119" i="2"/>
  <c r="D119" i="2" s="1"/>
  <c r="N115" i="2"/>
  <c r="O115" i="2" s="1"/>
  <c r="N114" i="2"/>
  <c r="O114" i="2" s="1"/>
  <c r="O116" i="2"/>
  <c r="O117" i="2"/>
  <c r="O118" i="2"/>
  <c r="Q118" i="2" s="1"/>
  <c r="H118" i="3" s="1"/>
  <c r="O119" i="2"/>
  <c r="O113" i="2"/>
  <c r="F113" i="2"/>
  <c r="G113" i="2" s="1"/>
  <c r="G118" i="2"/>
  <c r="G115" i="2"/>
  <c r="D115" i="2"/>
  <c r="F115" i="3" s="1"/>
  <c r="G114" i="2"/>
  <c r="B10" i="3"/>
  <c r="E10" i="3"/>
  <c r="G10" i="3"/>
  <c r="I10" i="3"/>
  <c r="B11" i="3"/>
  <c r="E11" i="3"/>
  <c r="G11" i="3"/>
  <c r="I11" i="3"/>
  <c r="B12" i="3"/>
  <c r="E12" i="3"/>
  <c r="G12" i="3"/>
  <c r="I12" i="3"/>
  <c r="B13" i="3"/>
  <c r="E13" i="3"/>
  <c r="G13" i="3"/>
  <c r="I13" i="3"/>
  <c r="B14" i="3"/>
  <c r="E14" i="3"/>
  <c r="G14" i="3"/>
  <c r="I14" i="3"/>
  <c r="N14" i="2"/>
  <c r="O14" i="2" s="1"/>
  <c r="N13" i="2"/>
  <c r="O13" i="2" s="1"/>
  <c r="O12" i="2"/>
  <c r="N11" i="2"/>
  <c r="O11" i="2" s="1"/>
  <c r="Q11" i="2" s="1"/>
  <c r="H11" i="3" s="1"/>
  <c r="N10" i="2"/>
  <c r="O10" i="2" s="1"/>
  <c r="F11" i="2"/>
  <c r="D11" i="2" s="1"/>
  <c r="F11" i="3" s="1"/>
  <c r="F12" i="2"/>
  <c r="Q12" i="2" s="1"/>
  <c r="H12" i="3" s="1"/>
  <c r="F13" i="2"/>
  <c r="G13" i="2" s="1"/>
  <c r="F14" i="2"/>
  <c r="G14" i="2" s="1"/>
  <c r="F10" i="2"/>
  <c r="G10" i="2"/>
  <c r="D10" i="2"/>
  <c r="F10" i="3" s="1"/>
  <c r="M12" i="3" l="1"/>
  <c r="K12" i="3" s="1"/>
  <c r="L12" i="3" s="1"/>
  <c r="M11" i="3"/>
  <c r="K11" i="3" s="1"/>
  <c r="L11" i="3" s="1"/>
  <c r="D116" i="2"/>
  <c r="F116" i="3" s="1"/>
  <c r="G11" i="2"/>
  <c r="Q114" i="2"/>
  <c r="H114" i="3" s="1"/>
  <c r="Q117" i="2"/>
  <c r="H117" i="3" s="1"/>
  <c r="M117" i="3" s="1"/>
  <c r="K117" i="3" s="1"/>
  <c r="L117" i="3" s="1"/>
  <c r="Q115" i="2"/>
  <c r="H115" i="3" s="1"/>
  <c r="M115" i="3" s="1"/>
  <c r="K115" i="3" s="1"/>
  <c r="L115" i="3" s="1"/>
  <c r="Q116" i="2"/>
  <c r="H116" i="3" s="1"/>
  <c r="D12" i="2"/>
  <c r="F12" i="3" s="1"/>
  <c r="D13" i="2"/>
  <c r="F13" i="3" s="1"/>
  <c r="M118" i="3"/>
  <c r="K118" i="3" s="1"/>
  <c r="L118" i="3" s="1"/>
  <c r="M114" i="3"/>
  <c r="K114" i="3" s="1"/>
  <c r="L114" i="3" s="1"/>
  <c r="M116" i="3"/>
  <c r="K116" i="3" s="1"/>
  <c r="L116" i="3" s="1"/>
  <c r="D113" i="2"/>
  <c r="F113" i="3" s="1"/>
  <c r="Q113" i="2"/>
  <c r="H113" i="3" s="1"/>
  <c r="M113" i="3" s="1"/>
  <c r="K113" i="3" s="1"/>
  <c r="L113" i="3" s="1"/>
  <c r="D117" i="2"/>
  <c r="F117" i="3" s="1"/>
  <c r="Q10" i="2"/>
  <c r="H10" i="3" s="1"/>
  <c r="M10" i="3" s="1"/>
  <c r="K10" i="3" s="1"/>
  <c r="L10" i="3" s="1"/>
  <c r="Q119" i="2"/>
  <c r="H119" i="3" s="1"/>
  <c r="M119" i="3" s="1"/>
  <c r="K119" i="3" s="1"/>
  <c r="L119" i="3" s="1"/>
  <c r="G119" i="2"/>
  <c r="Q13" i="2"/>
  <c r="H13" i="3" s="1"/>
  <c r="M13" i="3" s="1"/>
  <c r="K13" i="3" s="1"/>
  <c r="L13" i="3" s="1"/>
  <c r="G12" i="2"/>
  <c r="Q14" i="2"/>
  <c r="H14" i="3" s="1"/>
  <c r="M14" i="3" s="1"/>
  <c r="K14" i="3" s="1"/>
  <c r="L14" i="3" s="1"/>
  <c r="D14" i="2"/>
  <c r="F14" i="3" s="1"/>
  <c r="B112" i="3" l="1"/>
  <c r="E112" i="3"/>
  <c r="G112" i="3"/>
  <c r="I112" i="3"/>
  <c r="O112" i="2"/>
  <c r="Q112" i="2" s="1"/>
  <c r="H112" i="3" s="1"/>
  <c r="G112" i="2"/>
  <c r="D112" i="2"/>
  <c r="F112" i="3" s="1"/>
  <c r="B33" i="3"/>
  <c r="E33" i="3"/>
  <c r="G33" i="3"/>
  <c r="I33" i="3"/>
  <c r="O33" i="2"/>
  <c r="O32" i="2"/>
  <c r="I33" i="2"/>
  <c r="I32" i="2"/>
  <c r="G32" i="2"/>
  <c r="D32" i="2"/>
  <c r="O28" i="2"/>
  <c r="Q28" i="2" s="1"/>
  <c r="H28" i="3" s="1"/>
  <c r="O29" i="2"/>
  <c r="Q29" i="2" s="1"/>
  <c r="H29" i="3" s="1"/>
  <c r="O27" i="2"/>
  <c r="Q27" i="2" s="1"/>
  <c r="H27" i="3" s="1"/>
  <c r="B26" i="3"/>
  <c r="E26" i="3"/>
  <c r="G26" i="3"/>
  <c r="I26" i="3"/>
  <c r="B27" i="3"/>
  <c r="E27" i="3"/>
  <c r="G27" i="3"/>
  <c r="I27" i="3"/>
  <c r="B28" i="3"/>
  <c r="E28" i="3"/>
  <c r="G28" i="3"/>
  <c r="I28" i="3"/>
  <c r="B29" i="3"/>
  <c r="E29" i="3"/>
  <c r="G29" i="3"/>
  <c r="I29" i="3"/>
  <c r="B30" i="3"/>
  <c r="E30" i="3"/>
  <c r="G30" i="3"/>
  <c r="I30" i="3"/>
  <c r="B31" i="3"/>
  <c r="E31" i="3"/>
  <c r="G31" i="3"/>
  <c r="I31" i="3"/>
  <c r="B32" i="3"/>
  <c r="E32" i="3"/>
  <c r="G32" i="3"/>
  <c r="I32" i="3"/>
  <c r="G33" i="2"/>
  <c r="D33" i="2"/>
  <c r="F32" i="3" s="1"/>
  <c r="Q31" i="2"/>
  <c r="H31" i="3" s="1"/>
  <c r="G31" i="2"/>
  <c r="D31" i="2"/>
  <c r="F31" i="3" s="1"/>
  <c r="Q30" i="2"/>
  <c r="H30" i="3" s="1"/>
  <c r="G30" i="2"/>
  <c r="D30" i="2"/>
  <c r="F30" i="3" s="1"/>
  <c r="G29" i="2"/>
  <c r="D29" i="2"/>
  <c r="F29" i="3" s="1"/>
  <c r="G28" i="2"/>
  <c r="D28" i="2"/>
  <c r="F28" i="3" s="1"/>
  <c r="G27" i="2"/>
  <c r="D27" i="2"/>
  <c r="F27" i="3" s="1"/>
  <c r="Q26" i="2"/>
  <c r="H26" i="3" s="1"/>
  <c r="G26" i="2"/>
  <c r="D26" i="2"/>
  <c r="F26" i="3" s="1"/>
  <c r="B15" i="3"/>
  <c r="E15" i="3"/>
  <c r="G15" i="3"/>
  <c r="I15" i="3"/>
  <c r="B16" i="3"/>
  <c r="E16" i="3"/>
  <c r="G16" i="3"/>
  <c r="I16" i="3"/>
  <c r="B17" i="3"/>
  <c r="E17" i="3"/>
  <c r="G17" i="3"/>
  <c r="I17" i="3"/>
  <c r="B18" i="3"/>
  <c r="E18" i="3"/>
  <c r="G18" i="3"/>
  <c r="I18" i="3"/>
  <c r="B19" i="3"/>
  <c r="E19" i="3"/>
  <c r="G19" i="3"/>
  <c r="I19" i="3"/>
  <c r="B20" i="3"/>
  <c r="E20" i="3"/>
  <c r="G20" i="3"/>
  <c r="I20" i="3"/>
  <c r="B21" i="3"/>
  <c r="E21" i="3"/>
  <c r="G21" i="3"/>
  <c r="I21" i="3"/>
  <c r="B22" i="3"/>
  <c r="E22" i="3"/>
  <c r="G22" i="3"/>
  <c r="I22" i="3"/>
  <c r="B23" i="3"/>
  <c r="E23" i="3"/>
  <c r="G23" i="3"/>
  <c r="I23" i="3"/>
  <c r="B24" i="3"/>
  <c r="E24" i="3"/>
  <c r="G24" i="3"/>
  <c r="I24" i="3"/>
  <c r="B25" i="3"/>
  <c r="E25" i="3"/>
  <c r="G25" i="3"/>
  <c r="I25" i="3"/>
  <c r="B34" i="3"/>
  <c r="E34" i="3"/>
  <c r="G34" i="3"/>
  <c r="I34" i="3"/>
  <c r="Q25" i="2"/>
  <c r="H25" i="3" s="1"/>
  <c r="G25" i="2"/>
  <c r="D25" i="2"/>
  <c r="F25" i="3" s="1"/>
  <c r="Q24" i="2"/>
  <c r="H24" i="3" s="1"/>
  <c r="G24" i="2"/>
  <c r="D24" i="2"/>
  <c r="F24" i="3" s="1"/>
  <c r="O23" i="2"/>
  <c r="Q23" i="2" s="1"/>
  <c r="H23" i="3" s="1"/>
  <c r="G23" i="2"/>
  <c r="D23" i="2"/>
  <c r="F23" i="3" s="1"/>
  <c r="O22" i="2"/>
  <c r="Q22" i="2" s="1"/>
  <c r="H22" i="3" s="1"/>
  <c r="G22" i="2"/>
  <c r="D22" i="2"/>
  <c r="F22" i="3" s="1"/>
  <c r="O21" i="2"/>
  <c r="I21" i="2"/>
  <c r="G21" i="2"/>
  <c r="D21" i="2"/>
  <c r="F21" i="3" s="1"/>
  <c r="O20" i="2"/>
  <c r="I20" i="2"/>
  <c r="G20" i="2"/>
  <c r="D20" i="2"/>
  <c r="F20" i="3" s="1"/>
  <c r="O19" i="2"/>
  <c r="I19" i="2"/>
  <c r="G19" i="2"/>
  <c r="D19" i="2"/>
  <c r="F19" i="3" s="1"/>
  <c r="O18" i="2"/>
  <c r="I18" i="2"/>
  <c r="G18" i="2"/>
  <c r="D18" i="2"/>
  <c r="F18" i="3" s="1"/>
  <c r="O17" i="2"/>
  <c r="I17" i="2"/>
  <c r="G17" i="2"/>
  <c r="D17" i="2"/>
  <c r="F17" i="3" s="1"/>
  <c r="O16" i="2"/>
  <c r="I16" i="2"/>
  <c r="G16" i="2"/>
  <c r="D16" i="2"/>
  <c r="F16" i="3" s="1"/>
  <c r="O15" i="2"/>
  <c r="I15" i="2"/>
  <c r="G15" i="2"/>
  <c r="D15" i="2"/>
  <c r="F15" i="3" s="1"/>
  <c r="Q34" i="2"/>
  <c r="H34" i="3" s="1"/>
  <c r="G34" i="2"/>
  <c r="D34" i="2"/>
  <c r="F34" i="3" s="1"/>
  <c r="Q33" i="2" l="1"/>
  <c r="Q15" i="2"/>
  <c r="H15" i="3" s="1"/>
  <c r="Q32" i="2"/>
  <c r="H32" i="3"/>
  <c r="H33" i="3"/>
  <c r="M33" i="3" s="1"/>
  <c r="K33" i="3" s="1"/>
  <c r="L33" i="3" s="1"/>
  <c r="M29" i="3"/>
  <c r="K29" i="3" s="1"/>
  <c r="L29" i="3" s="1"/>
  <c r="F33" i="3"/>
  <c r="M112" i="3"/>
  <c r="K112" i="3" s="1"/>
  <c r="L112" i="3" s="1"/>
  <c r="M15" i="3"/>
  <c r="K15" i="3" s="1"/>
  <c r="L15" i="3" s="1"/>
  <c r="M32" i="3"/>
  <c r="K32" i="3" s="1"/>
  <c r="L32" i="3" s="1"/>
  <c r="M27" i="3"/>
  <c r="K27" i="3" s="1"/>
  <c r="L27" i="3" s="1"/>
  <c r="Q18" i="2"/>
  <c r="H18" i="3" s="1"/>
  <c r="M18" i="3" s="1"/>
  <c r="K18" i="3" s="1"/>
  <c r="L18" i="3" s="1"/>
  <c r="M31" i="3"/>
  <c r="K31" i="3" s="1"/>
  <c r="L31" i="3" s="1"/>
  <c r="M30" i="3"/>
  <c r="K30" i="3" s="1"/>
  <c r="L30" i="3" s="1"/>
  <c r="M28" i="3"/>
  <c r="K28" i="3" s="1"/>
  <c r="L28" i="3" s="1"/>
  <c r="M26" i="3"/>
  <c r="K26" i="3" s="1"/>
  <c r="L26" i="3" s="1"/>
  <c r="M23" i="3"/>
  <c r="K23" i="3" s="1"/>
  <c r="L23" i="3" s="1"/>
  <c r="Q19" i="2"/>
  <c r="H19" i="3" s="1"/>
  <c r="M19" i="3" s="1"/>
  <c r="K19" i="3" s="1"/>
  <c r="L19" i="3" s="1"/>
  <c r="Q16" i="2"/>
  <c r="H16" i="3" s="1"/>
  <c r="M16" i="3" s="1"/>
  <c r="K16" i="3" s="1"/>
  <c r="L16" i="3" s="1"/>
  <c r="Q17" i="2"/>
  <c r="H17" i="3" s="1"/>
  <c r="M17" i="3" s="1"/>
  <c r="K17" i="3" s="1"/>
  <c r="L17" i="3" s="1"/>
  <c r="M22" i="3"/>
  <c r="K22" i="3" s="1"/>
  <c r="L22" i="3" s="1"/>
  <c r="M34" i="3"/>
  <c r="K34" i="3" s="1"/>
  <c r="L34" i="3" s="1"/>
  <c r="M24" i="3"/>
  <c r="K24" i="3" s="1"/>
  <c r="L24" i="3" s="1"/>
  <c r="Q20" i="2"/>
  <c r="H20" i="3" s="1"/>
  <c r="M20" i="3" s="1"/>
  <c r="K20" i="3" s="1"/>
  <c r="L20" i="3" s="1"/>
  <c r="M25" i="3"/>
  <c r="K25" i="3" s="1"/>
  <c r="L25" i="3" s="1"/>
  <c r="Q21" i="2"/>
  <c r="H21" i="3" s="1"/>
  <c r="M21" i="3" s="1"/>
  <c r="K21" i="3" s="1"/>
  <c r="L21" i="3" s="1"/>
  <c r="I8" i="2" l="1"/>
  <c r="Q8" i="2" s="1"/>
  <c r="H8" i="3" s="1"/>
  <c r="I7" i="2"/>
  <c r="Q7" i="2" s="1"/>
  <c r="H7" i="3" s="1"/>
  <c r="I6" i="2"/>
  <c r="Q6" i="2" s="1"/>
  <c r="H6" i="3" s="1"/>
  <c r="I5" i="2"/>
  <c r="Q5" i="2" s="1"/>
  <c r="H5" i="3" s="1"/>
  <c r="I4" i="2"/>
  <c r="Q4" i="2" s="1"/>
  <c r="H4" i="3" s="1"/>
  <c r="I3" i="2"/>
  <c r="Q3" i="2" s="1"/>
  <c r="H3" i="3" s="1"/>
  <c r="I2" i="2"/>
  <c r="Q2" i="2" s="1"/>
  <c r="H2" i="3" s="1"/>
  <c r="Q9" i="2"/>
  <c r="H9" i="3" s="1"/>
  <c r="G9" i="2"/>
  <c r="D9" i="2"/>
  <c r="F9" i="3" s="1"/>
  <c r="G8" i="2"/>
  <c r="D8" i="2"/>
  <c r="F8" i="3" s="1"/>
  <c r="G7" i="2"/>
  <c r="D7" i="2"/>
  <c r="F7" i="3" s="1"/>
  <c r="G6" i="2"/>
  <c r="D6" i="2"/>
  <c r="F6" i="3" s="1"/>
  <c r="G5" i="2"/>
  <c r="D5" i="2"/>
  <c r="F5" i="3" s="1"/>
  <c r="G4" i="2"/>
  <c r="D4" i="2"/>
  <c r="F4" i="3" s="1"/>
  <c r="G3" i="2"/>
  <c r="D3" i="2"/>
  <c r="F3" i="3" s="1"/>
  <c r="B3" i="3"/>
  <c r="E3" i="3"/>
  <c r="G3" i="3"/>
  <c r="I3" i="3"/>
  <c r="B4" i="3"/>
  <c r="E4" i="3"/>
  <c r="G4" i="3"/>
  <c r="I4" i="3"/>
  <c r="B5" i="3"/>
  <c r="E5" i="3"/>
  <c r="G5" i="3"/>
  <c r="I5" i="3"/>
  <c r="B6" i="3"/>
  <c r="E6" i="3"/>
  <c r="G6" i="3"/>
  <c r="I6" i="3"/>
  <c r="B7" i="3"/>
  <c r="E7" i="3"/>
  <c r="G7" i="3"/>
  <c r="I7" i="3"/>
  <c r="B8" i="3"/>
  <c r="E8" i="3"/>
  <c r="G8" i="3"/>
  <c r="I8" i="3"/>
  <c r="B9" i="3"/>
  <c r="E9" i="3"/>
  <c r="G9" i="3"/>
  <c r="I9" i="3"/>
  <c r="B35" i="3"/>
  <c r="E35" i="3"/>
  <c r="G35" i="3"/>
  <c r="I35" i="3"/>
  <c r="Q35" i="2"/>
  <c r="H35" i="3" s="1"/>
  <c r="G35" i="2"/>
  <c r="D35" i="2"/>
  <c r="F35" i="3" s="1"/>
  <c r="B37" i="3"/>
  <c r="E37" i="3"/>
  <c r="G37" i="3"/>
  <c r="I37" i="3"/>
  <c r="Q37" i="2"/>
  <c r="H37" i="3" s="1"/>
  <c r="G37" i="2"/>
  <c r="D37" i="2"/>
  <c r="F37" i="3" s="1"/>
  <c r="Q36" i="2"/>
  <c r="H36" i="3" s="1"/>
  <c r="G36" i="2"/>
  <c r="D36" i="2"/>
  <c r="F36" i="3" s="1"/>
  <c r="G2" i="2"/>
  <c r="D2" i="2"/>
  <c r="F2" i="3" s="1"/>
  <c r="B2" i="3"/>
  <c r="E2" i="3"/>
  <c r="G2" i="3"/>
  <c r="I2" i="3"/>
  <c r="B36" i="3"/>
  <c r="E36" i="3"/>
  <c r="G36" i="3"/>
  <c r="I36" i="3"/>
  <c r="M9" i="3" l="1"/>
  <c r="K9" i="3" s="1"/>
  <c r="L9" i="3" s="1"/>
  <c r="M35" i="3"/>
  <c r="K35" i="3" s="1"/>
  <c r="L35" i="3" s="1"/>
  <c r="M7" i="3"/>
  <c r="K7" i="3" s="1"/>
  <c r="L7" i="3" s="1"/>
  <c r="M6" i="3"/>
  <c r="K6" i="3" s="1"/>
  <c r="L6" i="3" s="1"/>
  <c r="M5" i="3"/>
  <c r="K5" i="3" s="1"/>
  <c r="L5" i="3" s="1"/>
  <c r="M3" i="3"/>
  <c r="K3" i="3" s="1"/>
  <c r="L3" i="3" s="1"/>
  <c r="M2" i="3"/>
  <c r="K2" i="3" s="1"/>
  <c r="L2" i="3" s="1"/>
  <c r="M8" i="3"/>
  <c r="K8" i="3" s="1"/>
  <c r="L8" i="3" s="1"/>
  <c r="M4" i="3"/>
  <c r="K4" i="3" s="1"/>
  <c r="L4" i="3" s="1"/>
  <c r="M37" i="3"/>
  <c r="K37" i="3" s="1"/>
  <c r="L37" i="3" s="1"/>
  <c r="M36" i="3"/>
  <c r="K36" i="3" s="1"/>
  <c r="L36" i="3" s="1"/>
  <c r="O111" i="2"/>
  <c r="Q111" i="2" s="1"/>
  <c r="G111" i="2"/>
  <c r="D111" i="2"/>
  <c r="E40" i="3" l="1"/>
  <c r="G40" i="3"/>
  <c r="I40" i="3"/>
  <c r="E41" i="3"/>
  <c r="G41" i="3"/>
  <c r="I41" i="3"/>
  <c r="E42" i="3"/>
  <c r="G42" i="3"/>
  <c r="I42" i="3"/>
  <c r="E43" i="3"/>
  <c r="G43" i="3"/>
  <c r="I43" i="3"/>
  <c r="E44" i="3"/>
  <c r="G44" i="3"/>
  <c r="I44" i="3"/>
  <c r="E45" i="3"/>
  <c r="G45" i="3"/>
  <c r="I45" i="3"/>
  <c r="E46" i="3"/>
  <c r="G46" i="3"/>
  <c r="I46" i="3"/>
  <c r="E47" i="3"/>
  <c r="G47" i="3"/>
  <c r="I47" i="3"/>
  <c r="E48" i="3"/>
  <c r="G48" i="3"/>
  <c r="I48" i="3"/>
  <c r="E49" i="3"/>
  <c r="G49" i="3"/>
  <c r="I49" i="3"/>
  <c r="E50" i="3"/>
  <c r="G50" i="3"/>
  <c r="I50" i="3"/>
  <c r="E51" i="3"/>
  <c r="G51" i="3"/>
  <c r="I51" i="3"/>
  <c r="E52" i="3"/>
  <c r="G52" i="3"/>
  <c r="I52" i="3"/>
  <c r="E53" i="3"/>
  <c r="G53" i="3"/>
  <c r="I53" i="3"/>
  <c r="E54" i="3"/>
  <c r="G54" i="3"/>
  <c r="I54" i="3"/>
  <c r="E55" i="3"/>
  <c r="G55" i="3"/>
  <c r="I55" i="3"/>
  <c r="E56" i="3"/>
  <c r="G56" i="3"/>
  <c r="I56" i="3"/>
  <c r="E57" i="3"/>
  <c r="G57" i="3"/>
  <c r="I57" i="3"/>
  <c r="E58" i="3"/>
  <c r="G58" i="3"/>
  <c r="I58" i="3"/>
  <c r="E59" i="3"/>
  <c r="G59" i="3"/>
  <c r="I59" i="3"/>
  <c r="E60" i="3"/>
  <c r="G60" i="3"/>
  <c r="I60" i="3"/>
  <c r="E61" i="3"/>
  <c r="G61" i="3"/>
  <c r="I61" i="3"/>
  <c r="E62" i="3"/>
  <c r="G62" i="3"/>
  <c r="I62" i="3"/>
  <c r="E63" i="3"/>
  <c r="G63" i="3"/>
  <c r="I63" i="3"/>
  <c r="E64" i="3"/>
  <c r="G64" i="3"/>
  <c r="I64" i="3"/>
  <c r="E65" i="3"/>
  <c r="G65" i="3"/>
  <c r="I65" i="3"/>
  <c r="E66" i="3"/>
  <c r="G66" i="3"/>
  <c r="I66" i="3"/>
  <c r="E67" i="3"/>
  <c r="G67" i="3"/>
  <c r="I67" i="3"/>
  <c r="E68" i="3"/>
  <c r="G68" i="3"/>
  <c r="I68" i="3"/>
  <c r="E69" i="3"/>
  <c r="G69" i="3"/>
  <c r="I69" i="3"/>
  <c r="E70" i="3"/>
  <c r="G70" i="3"/>
  <c r="I70" i="3"/>
  <c r="E71" i="3"/>
  <c r="G71" i="3"/>
  <c r="I71" i="3"/>
  <c r="E72" i="3"/>
  <c r="G72" i="3"/>
  <c r="I72" i="3"/>
  <c r="E73" i="3"/>
  <c r="G73" i="3"/>
  <c r="I73" i="3"/>
  <c r="E74" i="3"/>
  <c r="G74" i="3"/>
  <c r="I74" i="3"/>
  <c r="E75" i="3"/>
  <c r="G75" i="3"/>
  <c r="I75" i="3"/>
  <c r="E76" i="3"/>
  <c r="G76" i="3"/>
  <c r="I76" i="3"/>
  <c r="E77" i="3"/>
  <c r="G77" i="3"/>
  <c r="I77" i="3"/>
  <c r="E78" i="3"/>
  <c r="G78" i="3"/>
  <c r="I78" i="3"/>
  <c r="E79" i="3"/>
  <c r="G79" i="3"/>
  <c r="I79" i="3"/>
  <c r="E80" i="3"/>
  <c r="G80" i="3"/>
  <c r="I80" i="3"/>
  <c r="E81" i="3"/>
  <c r="G81" i="3"/>
  <c r="I81" i="3"/>
  <c r="E82" i="3"/>
  <c r="G82" i="3"/>
  <c r="I82" i="3"/>
  <c r="E83" i="3"/>
  <c r="G83" i="3"/>
  <c r="I83" i="3"/>
  <c r="E84" i="3"/>
  <c r="G84" i="3"/>
  <c r="I84" i="3"/>
  <c r="E85" i="3"/>
  <c r="G85" i="3"/>
  <c r="I85" i="3"/>
  <c r="E86" i="3"/>
  <c r="G86" i="3"/>
  <c r="I86" i="3"/>
  <c r="E87" i="3"/>
  <c r="G87" i="3"/>
  <c r="I87" i="3"/>
  <c r="E88" i="3"/>
  <c r="G88" i="3"/>
  <c r="I88" i="3"/>
  <c r="E89" i="3"/>
  <c r="G89" i="3"/>
  <c r="I89" i="3"/>
  <c r="E90" i="3"/>
  <c r="G90" i="3"/>
  <c r="I90" i="3"/>
  <c r="E91" i="3"/>
  <c r="G91" i="3"/>
  <c r="I91" i="3"/>
  <c r="E92" i="3"/>
  <c r="G92" i="3"/>
  <c r="I92" i="3"/>
  <c r="E93" i="3"/>
  <c r="G93" i="3"/>
  <c r="I93" i="3"/>
  <c r="E94" i="3"/>
  <c r="G94" i="3"/>
  <c r="I94" i="3"/>
  <c r="E95" i="3"/>
  <c r="G95" i="3"/>
  <c r="I95" i="3"/>
  <c r="E96" i="3"/>
  <c r="G96" i="3"/>
  <c r="I96" i="3"/>
  <c r="E97" i="3"/>
  <c r="G97" i="3"/>
  <c r="I97" i="3"/>
  <c r="E98" i="3"/>
  <c r="G98" i="3"/>
  <c r="I98" i="3"/>
  <c r="E99" i="3"/>
  <c r="G99" i="3"/>
  <c r="I99" i="3"/>
  <c r="E100" i="3"/>
  <c r="G100" i="3"/>
  <c r="I100" i="3"/>
  <c r="E101" i="3"/>
  <c r="G101" i="3"/>
  <c r="I101" i="3"/>
  <c r="E102" i="3"/>
  <c r="G102" i="3"/>
  <c r="I102" i="3"/>
  <c r="E103" i="3"/>
  <c r="G103" i="3"/>
  <c r="I103" i="3"/>
  <c r="E104" i="3"/>
  <c r="G104" i="3"/>
  <c r="I104" i="3"/>
  <c r="E105" i="3"/>
  <c r="G105" i="3"/>
  <c r="I105" i="3"/>
  <c r="E106" i="3"/>
  <c r="G106" i="3"/>
  <c r="I106" i="3"/>
  <c r="E107" i="3"/>
  <c r="G107" i="3"/>
  <c r="I107" i="3"/>
  <c r="E108" i="3"/>
  <c r="G108" i="3"/>
  <c r="I108" i="3"/>
  <c r="E109" i="3"/>
  <c r="G109" i="3"/>
  <c r="I109" i="3"/>
  <c r="E110" i="3"/>
  <c r="G110" i="3"/>
  <c r="I110" i="3"/>
  <c r="E111" i="3"/>
  <c r="F111" i="3"/>
  <c r="G111" i="3"/>
  <c r="H111" i="3"/>
  <c r="I111" i="3"/>
  <c r="G39" i="3"/>
  <c r="I39" i="3"/>
  <c r="I38" i="3"/>
  <c r="G38" i="3"/>
  <c r="E39" i="3"/>
  <c r="E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39" i="3"/>
  <c r="B38" i="3"/>
  <c r="M111" i="3" l="1"/>
  <c r="K111" i="3" s="1"/>
  <c r="L111" i="3" s="1"/>
  <c r="Q110" i="2" l="1"/>
  <c r="H110" i="3" s="1"/>
  <c r="M110" i="3" s="1"/>
  <c r="K110" i="3" s="1"/>
  <c r="L110" i="3" s="1"/>
  <c r="G110" i="2"/>
  <c r="D110" i="2"/>
  <c r="F110" i="3" s="1"/>
  <c r="Q109" i="2"/>
  <c r="H109" i="3" s="1"/>
  <c r="M109" i="3" s="1"/>
  <c r="K109" i="3" s="1"/>
  <c r="L109" i="3" s="1"/>
  <c r="G109" i="2"/>
  <c r="D109" i="2"/>
  <c r="F109" i="3" s="1"/>
  <c r="O108" i="2"/>
  <c r="Q108" i="2" s="1"/>
  <c r="H108" i="3" s="1"/>
  <c r="M108" i="3" s="1"/>
  <c r="K108" i="3" s="1"/>
  <c r="L108" i="3" s="1"/>
  <c r="G108" i="2"/>
  <c r="D108" i="2"/>
  <c r="F108" i="3" s="1"/>
  <c r="O107" i="2"/>
  <c r="Q107" i="2" s="1"/>
  <c r="H107" i="3" s="1"/>
  <c r="M107" i="3" s="1"/>
  <c r="K107" i="3" s="1"/>
  <c r="L107" i="3" s="1"/>
  <c r="G107" i="2"/>
  <c r="D107" i="2"/>
  <c r="F107" i="3" s="1"/>
  <c r="O106" i="2"/>
  <c r="Q106" i="2" s="1"/>
  <c r="H106" i="3" s="1"/>
  <c r="M106" i="3" s="1"/>
  <c r="K106" i="3" s="1"/>
  <c r="L106" i="3" s="1"/>
  <c r="G106" i="2"/>
  <c r="D106" i="2"/>
  <c r="F106" i="3" s="1"/>
  <c r="O105" i="2"/>
  <c r="Q105" i="2" s="1"/>
  <c r="H105" i="3" s="1"/>
  <c r="M105" i="3" s="1"/>
  <c r="K105" i="3" s="1"/>
  <c r="L105" i="3" s="1"/>
  <c r="G105" i="2"/>
  <c r="D105" i="2"/>
  <c r="F105" i="3" s="1"/>
  <c r="Q104" i="2"/>
  <c r="H104" i="3" s="1"/>
  <c r="M104" i="3" s="1"/>
  <c r="K104" i="3" s="1"/>
  <c r="L104" i="3" s="1"/>
  <c r="G104" i="2"/>
  <c r="D104" i="2"/>
  <c r="F104" i="3" s="1"/>
  <c r="Q103" i="2"/>
  <c r="H103" i="3" s="1"/>
  <c r="M103" i="3" s="1"/>
  <c r="K103" i="3" s="1"/>
  <c r="L103" i="3" s="1"/>
  <c r="G103" i="2"/>
  <c r="D103" i="2"/>
  <c r="F103" i="3" s="1"/>
  <c r="O102" i="2"/>
  <c r="I102" i="2"/>
  <c r="G102" i="2"/>
  <c r="D102" i="2"/>
  <c r="F102" i="3" s="1"/>
  <c r="O101" i="2"/>
  <c r="I101" i="2"/>
  <c r="G101" i="2"/>
  <c r="D101" i="2"/>
  <c r="F101" i="3" s="1"/>
  <c r="Q100" i="2"/>
  <c r="H100" i="3" s="1"/>
  <c r="M100" i="3" s="1"/>
  <c r="K100" i="3" s="1"/>
  <c r="L100" i="3" s="1"/>
  <c r="G100" i="2"/>
  <c r="D100" i="2"/>
  <c r="F100" i="3" s="1"/>
  <c r="Q99" i="2"/>
  <c r="H99" i="3" s="1"/>
  <c r="M99" i="3" s="1"/>
  <c r="K99" i="3" s="1"/>
  <c r="L99" i="3" s="1"/>
  <c r="G99" i="2"/>
  <c r="D99" i="2"/>
  <c r="F99" i="3" s="1"/>
  <c r="O98" i="2"/>
  <c r="Q98" i="2" s="1"/>
  <c r="H98" i="3" s="1"/>
  <c r="M98" i="3" s="1"/>
  <c r="K98" i="3" s="1"/>
  <c r="L98" i="3" s="1"/>
  <c r="G98" i="2"/>
  <c r="D98" i="2"/>
  <c r="F98" i="3" s="1"/>
  <c r="Q97" i="2"/>
  <c r="H97" i="3" s="1"/>
  <c r="M97" i="3" s="1"/>
  <c r="K97" i="3" s="1"/>
  <c r="L97" i="3" s="1"/>
  <c r="G97" i="2"/>
  <c r="D97" i="2"/>
  <c r="F97" i="3" s="1"/>
  <c r="O96" i="2"/>
  <c r="Q96" i="2" s="1"/>
  <c r="H96" i="3" s="1"/>
  <c r="M96" i="3" s="1"/>
  <c r="K96" i="3" s="1"/>
  <c r="L96" i="3" s="1"/>
  <c r="G96" i="2"/>
  <c r="D96" i="2"/>
  <c r="F96" i="3" s="1"/>
  <c r="O95" i="2"/>
  <c r="Q95" i="2" s="1"/>
  <c r="H95" i="3" s="1"/>
  <c r="M95" i="3" s="1"/>
  <c r="K95" i="3" s="1"/>
  <c r="L95" i="3" s="1"/>
  <c r="G95" i="2"/>
  <c r="D95" i="2"/>
  <c r="F95" i="3" s="1"/>
  <c r="O94" i="2"/>
  <c r="Q94" i="2" s="1"/>
  <c r="H94" i="3" s="1"/>
  <c r="M94" i="3" s="1"/>
  <c r="K94" i="3" s="1"/>
  <c r="L94" i="3" s="1"/>
  <c r="G94" i="2"/>
  <c r="D94" i="2"/>
  <c r="F94" i="3" s="1"/>
  <c r="O93" i="2"/>
  <c r="Q93" i="2" s="1"/>
  <c r="H93" i="3" s="1"/>
  <c r="M93" i="3" s="1"/>
  <c r="K93" i="3" s="1"/>
  <c r="L93" i="3" s="1"/>
  <c r="G93" i="2"/>
  <c r="D93" i="2"/>
  <c r="F93" i="3" s="1"/>
  <c r="O92" i="2"/>
  <c r="I92" i="2"/>
  <c r="G92" i="2"/>
  <c r="D92" i="2"/>
  <c r="F92" i="3" s="1"/>
  <c r="O91" i="2"/>
  <c r="I91" i="2"/>
  <c r="G91" i="2"/>
  <c r="D91" i="2"/>
  <c r="F91" i="3" s="1"/>
  <c r="O90" i="2"/>
  <c r="Q90" i="2" s="1"/>
  <c r="H90" i="3" s="1"/>
  <c r="M90" i="3" s="1"/>
  <c r="K90" i="3" s="1"/>
  <c r="L90" i="3" s="1"/>
  <c r="G90" i="2"/>
  <c r="D90" i="2"/>
  <c r="F90" i="3" s="1"/>
  <c r="O89" i="2"/>
  <c r="Q89" i="2" s="1"/>
  <c r="H89" i="3" s="1"/>
  <c r="M89" i="3" s="1"/>
  <c r="K89" i="3" s="1"/>
  <c r="L89" i="3" s="1"/>
  <c r="G89" i="2"/>
  <c r="D89" i="2"/>
  <c r="F89" i="3" s="1"/>
  <c r="Q88" i="2"/>
  <c r="H88" i="3" s="1"/>
  <c r="M88" i="3" s="1"/>
  <c r="K88" i="3" s="1"/>
  <c r="L88" i="3" s="1"/>
  <c r="G88" i="2"/>
  <c r="D88" i="2"/>
  <c r="F88" i="3" s="1"/>
  <c r="O87" i="2"/>
  <c r="Q87" i="2" s="1"/>
  <c r="H87" i="3" s="1"/>
  <c r="M87" i="3" s="1"/>
  <c r="K87" i="3" s="1"/>
  <c r="L87" i="3" s="1"/>
  <c r="G87" i="2"/>
  <c r="D87" i="2"/>
  <c r="F87" i="3" s="1"/>
  <c r="O86" i="2"/>
  <c r="I86" i="2"/>
  <c r="G86" i="2"/>
  <c r="D86" i="2"/>
  <c r="F86" i="3" s="1"/>
  <c r="O85" i="2"/>
  <c r="I85" i="2"/>
  <c r="G85" i="2"/>
  <c r="D85" i="2"/>
  <c r="F85" i="3" s="1"/>
  <c r="Q84" i="2"/>
  <c r="H84" i="3" s="1"/>
  <c r="M84" i="3" s="1"/>
  <c r="K84" i="3" s="1"/>
  <c r="L84" i="3" s="1"/>
  <c r="G84" i="2"/>
  <c r="D84" i="2"/>
  <c r="F84" i="3" s="1"/>
  <c r="I83" i="2"/>
  <c r="Q83" i="2" s="1"/>
  <c r="H83" i="3" s="1"/>
  <c r="M83" i="3" s="1"/>
  <c r="K83" i="3" s="1"/>
  <c r="L83" i="3" s="1"/>
  <c r="G83" i="2"/>
  <c r="D83" i="2"/>
  <c r="F83" i="3" s="1"/>
  <c r="I82" i="2"/>
  <c r="Q82" i="2" s="1"/>
  <c r="H82" i="3" s="1"/>
  <c r="M82" i="3" s="1"/>
  <c r="K82" i="3" s="1"/>
  <c r="L82" i="3" s="1"/>
  <c r="G82" i="2"/>
  <c r="D82" i="2"/>
  <c r="F82" i="3" s="1"/>
  <c r="I81" i="2"/>
  <c r="Q81" i="2" s="1"/>
  <c r="H81" i="3" s="1"/>
  <c r="M81" i="3" s="1"/>
  <c r="K81" i="3" s="1"/>
  <c r="L81" i="3" s="1"/>
  <c r="G81" i="2"/>
  <c r="D81" i="2"/>
  <c r="F81" i="3" s="1"/>
  <c r="I80" i="2"/>
  <c r="Q80" i="2" s="1"/>
  <c r="H80" i="3" s="1"/>
  <c r="M80" i="3" s="1"/>
  <c r="K80" i="3" s="1"/>
  <c r="L80" i="3" s="1"/>
  <c r="G80" i="2"/>
  <c r="D80" i="2"/>
  <c r="F80" i="3" s="1"/>
  <c r="I79" i="2"/>
  <c r="Q79" i="2" s="1"/>
  <c r="H79" i="3" s="1"/>
  <c r="M79" i="3" s="1"/>
  <c r="K79" i="3" s="1"/>
  <c r="L79" i="3" s="1"/>
  <c r="G79" i="2"/>
  <c r="D79" i="2"/>
  <c r="F79" i="3" s="1"/>
  <c r="I78" i="2"/>
  <c r="Q78" i="2" s="1"/>
  <c r="H78" i="3" s="1"/>
  <c r="M78" i="3" s="1"/>
  <c r="K78" i="3" s="1"/>
  <c r="L78" i="3" s="1"/>
  <c r="G78" i="2"/>
  <c r="D78" i="2"/>
  <c r="F78" i="3" s="1"/>
  <c r="I77" i="2"/>
  <c r="Q77" i="2" s="1"/>
  <c r="H77" i="3" s="1"/>
  <c r="M77" i="3" s="1"/>
  <c r="K77" i="3" s="1"/>
  <c r="L77" i="3" s="1"/>
  <c r="G77" i="2"/>
  <c r="D77" i="2"/>
  <c r="F77" i="3" s="1"/>
  <c r="I76" i="2"/>
  <c r="Q76" i="2" s="1"/>
  <c r="H76" i="3" s="1"/>
  <c r="M76" i="3" s="1"/>
  <c r="K76" i="3" s="1"/>
  <c r="L76" i="3" s="1"/>
  <c r="G76" i="2"/>
  <c r="D76" i="2"/>
  <c r="F76" i="3" s="1"/>
  <c r="Q75" i="2"/>
  <c r="H75" i="3" s="1"/>
  <c r="M75" i="3" s="1"/>
  <c r="K75" i="3" s="1"/>
  <c r="L75" i="3" s="1"/>
  <c r="G75" i="2"/>
  <c r="D75" i="2"/>
  <c r="F75" i="3" s="1"/>
  <c r="I74" i="2"/>
  <c r="Q74" i="2" s="1"/>
  <c r="H74" i="3" s="1"/>
  <c r="M74" i="3" s="1"/>
  <c r="K74" i="3" s="1"/>
  <c r="L74" i="3" s="1"/>
  <c r="G74" i="2"/>
  <c r="D74" i="2"/>
  <c r="F74" i="3" s="1"/>
  <c r="I73" i="2"/>
  <c r="Q73" i="2" s="1"/>
  <c r="H73" i="3" s="1"/>
  <c r="M73" i="3" s="1"/>
  <c r="K73" i="3" s="1"/>
  <c r="L73" i="3" s="1"/>
  <c r="G73" i="2"/>
  <c r="D73" i="2"/>
  <c r="F73" i="3" s="1"/>
  <c r="I72" i="2"/>
  <c r="Q72" i="2" s="1"/>
  <c r="H72" i="3" s="1"/>
  <c r="M72" i="3" s="1"/>
  <c r="K72" i="3" s="1"/>
  <c r="L72" i="3" s="1"/>
  <c r="G72" i="2"/>
  <c r="D72" i="2"/>
  <c r="F72" i="3" s="1"/>
  <c r="I71" i="2"/>
  <c r="Q71" i="2" s="1"/>
  <c r="H71" i="3" s="1"/>
  <c r="M71" i="3" s="1"/>
  <c r="K71" i="3" s="1"/>
  <c r="L71" i="3" s="1"/>
  <c r="G71" i="2"/>
  <c r="D71" i="2"/>
  <c r="F71" i="3" s="1"/>
  <c r="I70" i="2"/>
  <c r="Q70" i="2" s="1"/>
  <c r="H70" i="3" s="1"/>
  <c r="M70" i="3" s="1"/>
  <c r="K70" i="3" s="1"/>
  <c r="L70" i="3" s="1"/>
  <c r="G70" i="2"/>
  <c r="D70" i="2"/>
  <c r="F70" i="3" s="1"/>
  <c r="I69" i="2"/>
  <c r="Q69" i="2" s="1"/>
  <c r="H69" i="3" s="1"/>
  <c r="M69" i="3" s="1"/>
  <c r="K69" i="3" s="1"/>
  <c r="L69" i="3" s="1"/>
  <c r="G69" i="2"/>
  <c r="D69" i="2"/>
  <c r="F69" i="3" s="1"/>
  <c r="I68" i="2"/>
  <c r="Q68" i="2" s="1"/>
  <c r="H68" i="3" s="1"/>
  <c r="M68" i="3" s="1"/>
  <c r="K68" i="3" s="1"/>
  <c r="L68" i="3" s="1"/>
  <c r="G68" i="2"/>
  <c r="D68" i="2"/>
  <c r="F68" i="3" s="1"/>
  <c r="I67" i="2"/>
  <c r="Q67" i="2" s="1"/>
  <c r="H67" i="3" s="1"/>
  <c r="M67" i="3" s="1"/>
  <c r="K67" i="3" s="1"/>
  <c r="L67" i="3" s="1"/>
  <c r="G67" i="2"/>
  <c r="D67" i="2"/>
  <c r="F67" i="3" s="1"/>
  <c r="I66" i="2"/>
  <c r="Q66" i="2" s="1"/>
  <c r="H66" i="3" s="1"/>
  <c r="M66" i="3" s="1"/>
  <c r="K66" i="3" s="1"/>
  <c r="L66" i="3" s="1"/>
  <c r="G66" i="2"/>
  <c r="D66" i="2"/>
  <c r="F66" i="3" s="1"/>
  <c r="I65" i="2"/>
  <c r="Q65" i="2" s="1"/>
  <c r="H65" i="3" s="1"/>
  <c r="M65" i="3" s="1"/>
  <c r="K65" i="3" s="1"/>
  <c r="L65" i="3" s="1"/>
  <c r="G65" i="2"/>
  <c r="D65" i="2"/>
  <c r="F65" i="3" s="1"/>
  <c r="Q64" i="2"/>
  <c r="H64" i="3" s="1"/>
  <c r="M64" i="3" s="1"/>
  <c r="K64" i="3" s="1"/>
  <c r="L64" i="3" s="1"/>
  <c r="G64" i="2"/>
  <c r="D64" i="2"/>
  <c r="F64" i="3" s="1"/>
  <c r="Q63" i="2"/>
  <c r="H63" i="3" s="1"/>
  <c r="M63" i="3" s="1"/>
  <c r="K63" i="3" s="1"/>
  <c r="L63" i="3" s="1"/>
  <c r="G63" i="2"/>
  <c r="D63" i="2"/>
  <c r="F63" i="3" s="1"/>
  <c r="Q62" i="2"/>
  <c r="H62" i="3" s="1"/>
  <c r="M62" i="3" s="1"/>
  <c r="K62" i="3" s="1"/>
  <c r="L62" i="3" s="1"/>
  <c r="G62" i="2"/>
  <c r="D62" i="2"/>
  <c r="F62" i="3" s="1"/>
  <c r="Q61" i="2"/>
  <c r="H61" i="3" s="1"/>
  <c r="M61" i="3" s="1"/>
  <c r="K61" i="3" s="1"/>
  <c r="L61" i="3" s="1"/>
  <c r="G61" i="2"/>
  <c r="D61" i="2"/>
  <c r="F61" i="3" s="1"/>
  <c r="Q60" i="2"/>
  <c r="H60" i="3" s="1"/>
  <c r="M60" i="3" s="1"/>
  <c r="K60" i="3" s="1"/>
  <c r="L60" i="3" s="1"/>
  <c r="G60" i="2"/>
  <c r="D60" i="2"/>
  <c r="F60" i="3" s="1"/>
  <c r="O59" i="2"/>
  <c r="I59" i="2"/>
  <c r="G59" i="2"/>
  <c r="D59" i="2"/>
  <c r="F59" i="3" s="1"/>
  <c r="O58" i="2"/>
  <c r="I58" i="2"/>
  <c r="G58" i="2"/>
  <c r="D58" i="2"/>
  <c r="F58" i="3" s="1"/>
  <c r="Q57" i="2"/>
  <c r="H57" i="3" s="1"/>
  <c r="M57" i="3" s="1"/>
  <c r="K57" i="3" s="1"/>
  <c r="L57" i="3" s="1"/>
  <c r="G57" i="2"/>
  <c r="D57" i="2"/>
  <c r="F57" i="3" s="1"/>
  <c r="O56" i="2"/>
  <c r="I56" i="2"/>
  <c r="G56" i="2"/>
  <c r="D56" i="2"/>
  <c r="F56" i="3" s="1"/>
  <c r="O55" i="2"/>
  <c r="I55" i="2"/>
  <c r="G55" i="2"/>
  <c r="D55" i="2"/>
  <c r="F55" i="3" s="1"/>
  <c r="Q54" i="2"/>
  <c r="H54" i="3" s="1"/>
  <c r="M54" i="3" s="1"/>
  <c r="K54" i="3" s="1"/>
  <c r="L54" i="3" s="1"/>
  <c r="G54" i="2"/>
  <c r="D54" i="2"/>
  <c r="F54" i="3" s="1"/>
  <c r="O53" i="2"/>
  <c r="I53" i="2"/>
  <c r="G53" i="2"/>
  <c r="D53" i="2"/>
  <c r="F53" i="3" s="1"/>
  <c r="O52" i="2"/>
  <c r="I52" i="2"/>
  <c r="G52" i="2"/>
  <c r="D52" i="2"/>
  <c r="F52" i="3" s="1"/>
  <c r="O51" i="2"/>
  <c r="I51" i="2"/>
  <c r="G51" i="2"/>
  <c r="D51" i="2"/>
  <c r="F51" i="3" s="1"/>
  <c r="O50" i="2"/>
  <c r="I50" i="2"/>
  <c r="G50" i="2"/>
  <c r="D50" i="2"/>
  <c r="F50" i="3" s="1"/>
  <c r="O49" i="2"/>
  <c r="I49" i="2"/>
  <c r="G49" i="2"/>
  <c r="D49" i="2"/>
  <c r="F49" i="3" s="1"/>
  <c r="O48" i="2"/>
  <c r="I48" i="2"/>
  <c r="G48" i="2"/>
  <c r="D48" i="2"/>
  <c r="F48" i="3" s="1"/>
  <c r="O47" i="2"/>
  <c r="I47" i="2"/>
  <c r="G47" i="2"/>
  <c r="D47" i="2"/>
  <c r="F47" i="3" s="1"/>
  <c r="Q46" i="2"/>
  <c r="H46" i="3" s="1"/>
  <c r="M46" i="3" s="1"/>
  <c r="K46" i="3" s="1"/>
  <c r="L46" i="3" s="1"/>
  <c r="G46" i="2"/>
  <c r="D46" i="2"/>
  <c r="F46" i="3" s="1"/>
  <c r="Q45" i="2"/>
  <c r="H45" i="3" s="1"/>
  <c r="M45" i="3" s="1"/>
  <c r="K45" i="3" s="1"/>
  <c r="L45" i="3" s="1"/>
  <c r="G45" i="2"/>
  <c r="D45" i="2"/>
  <c r="F45" i="3" s="1"/>
  <c r="Q44" i="2"/>
  <c r="H44" i="3" s="1"/>
  <c r="M44" i="3" s="1"/>
  <c r="K44" i="3" s="1"/>
  <c r="L44" i="3" s="1"/>
  <c r="G44" i="2"/>
  <c r="D44" i="2"/>
  <c r="F44" i="3" s="1"/>
  <c r="O43" i="2"/>
  <c r="I43" i="2"/>
  <c r="G43" i="2"/>
  <c r="D43" i="2"/>
  <c r="F43" i="3" s="1"/>
  <c r="O42" i="2"/>
  <c r="I42" i="2"/>
  <c r="G42" i="2"/>
  <c r="D42" i="2"/>
  <c r="F42" i="3" s="1"/>
  <c r="I41" i="2"/>
  <c r="Q41" i="2" s="1"/>
  <c r="H41" i="3" s="1"/>
  <c r="M41" i="3" s="1"/>
  <c r="K41" i="3" s="1"/>
  <c r="L41" i="3" s="1"/>
  <c r="G41" i="2"/>
  <c r="D41" i="2"/>
  <c r="F41" i="3" s="1"/>
  <c r="I40" i="2"/>
  <c r="Q40" i="2" s="1"/>
  <c r="H40" i="3" s="1"/>
  <c r="M40" i="3" s="1"/>
  <c r="K40" i="3" s="1"/>
  <c r="L40" i="3" s="1"/>
  <c r="G40" i="2"/>
  <c r="D40" i="2"/>
  <c r="F40" i="3" s="1"/>
  <c r="Q39" i="2"/>
  <c r="H39" i="3" s="1"/>
  <c r="M39" i="3" s="1"/>
  <c r="K39" i="3" s="1"/>
  <c r="L39" i="3" s="1"/>
  <c r="G39" i="2"/>
  <c r="D39" i="2"/>
  <c r="F39" i="3" s="1"/>
  <c r="Q38" i="2"/>
  <c r="H38" i="3" s="1"/>
  <c r="M38" i="3" s="1"/>
  <c r="K38" i="3" s="1"/>
  <c r="L38" i="3" s="1"/>
  <c r="G38" i="2"/>
  <c r="D38" i="2"/>
  <c r="F38" i="3" s="1"/>
  <c r="Q92" i="2" l="1"/>
  <c r="H92" i="3" s="1"/>
  <c r="M92" i="3" s="1"/>
  <c r="K92" i="3" s="1"/>
  <c r="L92" i="3" s="1"/>
  <c r="Q91" i="2"/>
  <c r="H91" i="3" s="1"/>
  <c r="M91" i="3" s="1"/>
  <c r="K91" i="3" s="1"/>
  <c r="L91" i="3" s="1"/>
  <c r="Q86" i="2"/>
  <c r="H86" i="3" s="1"/>
  <c r="M86" i="3" s="1"/>
  <c r="K86" i="3" s="1"/>
  <c r="L86" i="3" s="1"/>
  <c r="Q47" i="2"/>
  <c r="H47" i="3" s="1"/>
  <c r="M47" i="3" s="1"/>
  <c r="K47" i="3" s="1"/>
  <c r="L47" i="3" s="1"/>
  <c r="Q102" i="2"/>
  <c r="H102" i="3" s="1"/>
  <c r="M102" i="3" s="1"/>
  <c r="K102" i="3" s="1"/>
  <c r="L102" i="3" s="1"/>
  <c r="Q48" i="2"/>
  <c r="H48" i="3" s="1"/>
  <c r="M48" i="3" s="1"/>
  <c r="K48" i="3" s="1"/>
  <c r="L48" i="3" s="1"/>
  <c r="Q58" i="2"/>
  <c r="H58" i="3" s="1"/>
  <c r="M58" i="3" s="1"/>
  <c r="K58" i="3" s="1"/>
  <c r="L58" i="3" s="1"/>
  <c r="Q49" i="2"/>
  <c r="H49" i="3" s="1"/>
  <c r="M49" i="3" s="1"/>
  <c r="K49" i="3" s="1"/>
  <c r="L49" i="3" s="1"/>
  <c r="Q59" i="2"/>
  <c r="H59" i="3" s="1"/>
  <c r="M59" i="3" s="1"/>
  <c r="K59" i="3" s="1"/>
  <c r="L59" i="3" s="1"/>
  <c r="Q52" i="2"/>
  <c r="H52" i="3" s="1"/>
  <c r="M52" i="3" s="1"/>
  <c r="K52" i="3" s="1"/>
  <c r="L52" i="3" s="1"/>
  <c r="Q56" i="2"/>
  <c r="H56" i="3" s="1"/>
  <c r="M56" i="3" s="1"/>
  <c r="K56" i="3" s="1"/>
  <c r="L56" i="3" s="1"/>
  <c r="Q51" i="2"/>
  <c r="H51" i="3" s="1"/>
  <c r="M51" i="3" s="1"/>
  <c r="K51" i="3" s="1"/>
  <c r="L51" i="3" s="1"/>
  <c r="Q43" i="2"/>
  <c r="H43" i="3" s="1"/>
  <c r="M43" i="3" s="1"/>
  <c r="K43" i="3" s="1"/>
  <c r="L43" i="3" s="1"/>
  <c r="Q50" i="2"/>
  <c r="H50" i="3" s="1"/>
  <c r="M50" i="3" s="1"/>
  <c r="K50" i="3" s="1"/>
  <c r="L50" i="3" s="1"/>
  <c r="Q55" i="2"/>
  <c r="H55" i="3" s="1"/>
  <c r="M55" i="3" s="1"/>
  <c r="K55" i="3" s="1"/>
  <c r="L55" i="3" s="1"/>
  <c r="Q53" i="2"/>
  <c r="H53" i="3" s="1"/>
  <c r="M53" i="3" s="1"/>
  <c r="K53" i="3" s="1"/>
  <c r="L53" i="3" s="1"/>
  <c r="Q85" i="2"/>
  <c r="H85" i="3" s="1"/>
  <c r="M85" i="3" s="1"/>
  <c r="K85" i="3" s="1"/>
  <c r="L85" i="3" s="1"/>
  <c r="Q101" i="2"/>
  <c r="H101" i="3" s="1"/>
  <c r="M101" i="3" s="1"/>
  <c r="K101" i="3" s="1"/>
  <c r="L101" i="3" s="1"/>
  <c r="Q42" i="2"/>
  <c r="H42" i="3" s="1"/>
  <c r="M42" i="3" s="1"/>
  <c r="K42" i="3" s="1"/>
  <c r="L42" i="3" s="1"/>
</calcChain>
</file>

<file path=xl/sharedStrings.xml><?xml version="1.0" encoding="utf-8"?>
<sst xmlns="http://schemas.openxmlformats.org/spreadsheetml/2006/main" count="582" uniqueCount="258">
  <si>
    <t>Descripción</t>
  </si>
  <si>
    <t>Cant</t>
  </si>
  <si>
    <t>Precio</t>
  </si>
  <si>
    <t>% Desc</t>
  </si>
  <si>
    <t>C. Unit US</t>
  </si>
  <si>
    <t>C. Unit</t>
  </si>
  <si>
    <t>Total Cmpr</t>
  </si>
  <si>
    <t>Env US</t>
  </si>
  <si>
    <t>Envio</t>
  </si>
  <si>
    <t>Fch Cmpr</t>
  </si>
  <si>
    <t>Fch Entrga</t>
  </si>
  <si>
    <t>Euro</t>
  </si>
  <si>
    <t>Dólar</t>
  </si>
  <si>
    <t>Dsc US</t>
  </si>
  <si>
    <t>Desct</t>
  </si>
  <si>
    <t>Pzs</t>
  </si>
  <si>
    <t>Costo Final</t>
  </si>
  <si>
    <t>Liga</t>
  </si>
  <si>
    <t>TOTAL DESC</t>
  </si>
  <si>
    <t>TOTAL CMPRS</t>
  </si>
  <si>
    <t>Almohada de muñeca de aguacate Kawaii 30cm</t>
  </si>
  <si>
    <t>https://es.aliexpress.com/item/1005006071860328.html?spm=a2g0o.order_detail.order_detail_item.2.404239d3pXmA9H&amp;gatewayAdapt=glo2esp</t>
  </si>
  <si>
    <t>Peluche de pingüino Kawaii - Flor 25cm</t>
  </si>
  <si>
    <t>https://es.aliexpress.com/item/1005005261897152.html?spm=a2g0o.order_detail.order_detail_item.2.735b39d3vpY36b&amp;gatewayAdapt=glo2esp</t>
  </si>
  <si>
    <t>Peluche de Pingüino Kawaii, Dinosaurio 25cm</t>
  </si>
  <si>
    <t>https://es.aliexpress.com/item/1005005061630692.html?spm=a2g0o.order_detail.order_detail_item.2.6d5739d3WRqCF4&amp;gatewayAdapt=glo2esp</t>
  </si>
  <si>
    <t>Peluche de Pingüino Kawaii, Abeja 25cm</t>
  </si>
  <si>
    <t>Disney Stitch - muñeco de peluche de Lilo &amp; Stitch 25cm Rosa</t>
  </si>
  <si>
    <t>https://es.aliexpress.com/item/1005005041951502.html?spm=a2g0o.order_detail.order_detail_item.2.7a3d39d39Xd3IL&amp;gatewayAdapt=glo2esp</t>
  </si>
  <si>
    <t>Disney - muñecos de peluche de Lilo y Stitch 30cm</t>
  </si>
  <si>
    <t>https://es.aliexpress.com/item/1005005921077256.html?spm=a2g0o.order_detail.order_detail_item.4.7a3d39d39Xd3IL&amp;gatewayAdapt=glo2esp</t>
  </si>
  <si>
    <t>Peluche INS Angel Little Flying Pig, ojos cerrados</t>
  </si>
  <si>
    <t>https://es.aliexpress.com/item/1005005482812451.html?spm=a2g0o.order_detail.order_detail_item.2.2c7239d3xQTMQl&amp;gatewayAdapt=glo2esp</t>
  </si>
  <si>
    <t>Peluche INS Angel Little Flying Pig, ojos abiertos</t>
  </si>
  <si>
    <t>https://es.aliexpress.com/item/1005005651290256.html?spm=a2g0o.order_detail.order_detail_item.2.7a9e39d3HanFm3&amp;gatewayAdapt=glo2esp</t>
  </si>
  <si>
    <t>Peluches cerdito conejo rosa, animales de 9.8 pulgadas/25cm</t>
  </si>
  <si>
    <t>https://es.aliexpress.com/item/1005005798324499.html?spm=a2g0o.order_detail.order_detail_item.2.64c439d3YJF4XH&amp;gatewayAdapt=glo2esp</t>
  </si>
  <si>
    <t>Peluches cerdito ranita, animales de 9.8 pulgadas/25cm</t>
  </si>
  <si>
    <t>Muñeco de dinosaurio unicornio blando Kawaii 30cm</t>
  </si>
  <si>
    <t>https://es.aliexpress.com/item/1005005974038738.html?spm=a2g0o.order_detail.order_detail_item.2.24d739d3B4Da95&amp;gatewayAdapt=glo2esp</t>
  </si>
  <si>
    <t>Muñeco de dinosaurio morado blando Kawaii 30cm</t>
  </si>
  <si>
    <t>Muñeco Piguino Abejita blando Kawaii 30cm</t>
  </si>
  <si>
    <t>Muñeco Piguino Tiburon blando Kawaii 30cm</t>
  </si>
  <si>
    <t>Muñeco Piguino Ranita blando Kawaii 30cm</t>
  </si>
  <si>
    <t>https://es.aliexpress.com/item/1005005065806005.html?spm=a2g0o.order_detail.order_detail_item.2.4d2a39d3nrdAZD&amp;gatewayAdapt=glo2esp</t>
  </si>
  <si>
    <t>HK Rosa -Sanrio-juguetes de peluche de Hello Kitty Kuromi Melody Cinnamoroll 20cm</t>
  </si>
  <si>
    <t>https://es.aliexpress.com/item/1005006044053466.html?spm=a2g0o.order_detail.order_detail_item.2.4c3d39d3XkFxQ1&amp;gatewayAdapt=glo2esp</t>
  </si>
  <si>
    <t>HK Azul -Sanrio-juguetes de peluche de Hello Kitty Kuromi Melody Cinnamoroll 20cm</t>
  </si>
  <si>
    <t>Peluche Panda Rojo, pelo esponjoso 23cm</t>
  </si>
  <si>
    <t>https://es.aliexpress.com/item/1005005854562666.html?spm=a2g0o.order_detail.order_detail_item.2.415939d3LEOktc&amp;gatewayAdapt=glo2esp</t>
  </si>
  <si>
    <t>https://es.aliexpress.com/item/1005005941979335.html?spm=a2g0o.order_detail.order_detail_item.2.9a0339d3xaGjrW&amp;gatewayAdapt=glo2esp</t>
  </si>
  <si>
    <t>Peluche Spiderman - TY Beanie Iron Miles Spider, 15cm</t>
  </si>
  <si>
    <t>https://es.aliexpress.com/item/1005006129641856.html?spm=a2g0o.order_detail.order_detail_item.3.259f39d30XTnvQ&amp;gatewayAdapt=glo2esp</t>
  </si>
  <si>
    <t>Peluche de Dinosaurio y Leon suave, 23cm, hipopótamo...</t>
  </si>
  <si>
    <t>https://es.aliexpress.com/item/1005004103662710.html?spm=a2g0o.order_detail.order_detail_item.3.295d39d3x0a8oH&amp;gatewayAdapt=glo2esp</t>
  </si>
  <si>
    <t>Peluche de Los Vengadores de Marvels, Baby Yoda 20cm</t>
  </si>
  <si>
    <t>https://es.aliexpress.com/item/1005006026183954.html?spm=a2g0o.order_detail.order_detail_item.2.1bce39d3akVPAq&amp;gatewayAdapt=glo2esp</t>
  </si>
  <si>
    <t>Peluche de Los Vengadores de Marvels, Spider Negro 32cm</t>
  </si>
  <si>
    <t>Disney-muñecos de peluche de Lilo y Stitch, azul, rosa, 12cm</t>
  </si>
  <si>
    <t>https://es.aliexpress.com/item/1005005451151305.html?spm=a2g0o.order_detail.order_detail_item.2.69ff39d3gMLfvE&amp;gatewayAdapt=glo2esp</t>
  </si>
  <si>
    <t>https://es.aliexpress.com/item/1005005842568892.html?spm=a2g0o.order_detail.order_detail_item.2.638539d38qPx13&amp;gatewayAdapt=glo2esp</t>
  </si>
  <si>
    <t>Llaveros Anime Naruto, Kakashi</t>
  </si>
  <si>
    <t>https://es.aliexpress.com/item/1005005780196822.html?spm=a2g0o.order_detail.order_detail_item.4.638539d38qPx13&amp;gatewayAdapt=glo2esp</t>
  </si>
  <si>
    <t>Llaveros Anime Naruto, Naruto</t>
  </si>
  <si>
    <t>Llaveros Anime Naruto, Naruto Sabio</t>
  </si>
  <si>
    <t>Baby Yoda-muñeco de peluche de 18cm</t>
  </si>
  <si>
    <t>https://es.aliexpress.com/item/1005005291721194.html?spm=a2g0o.order_detail.order_detail_item.2.7e3139d32Fp8oi&amp;gatewayAdapt=glo2esp</t>
  </si>
  <si>
    <t>Baby Yoda-muñeco de peluche de 28cm</t>
  </si>
  <si>
    <t>Peluches originales de One Piece - Chopper 25cm</t>
  </si>
  <si>
    <t>https://es.aliexpress.com/item/1005005646323470.html?spm=a2g0o.order_detail.order_detail_item.2.723b39d3B7kuja&amp;gatewayAdapt=glo2esp</t>
  </si>
  <si>
    <t>Peluches originales de One Piece - Zoro 25cm</t>
  </si>
  <si>
    <t>Peluche de Naruto, 20CM, Itachi</t>
  </si>
  <si>
    <t>https://es.aliexpress.com/item/1005005861116198.html?spm=a2g0o.order_detail.order_detail_item.2.30de39d37yczm3&amp;gatewayAdapt=glo2esp</t>
  </si>
  <si>
    <t>https://es.aliexpress.com/item/1005006213868120.html?spm=a2g0o.order_detail.order_detail_item.2.2c1039d3mG5V6m&amp;gatewayAdapt=glo2esp</t>
  </si>
  <si>
    <t>Disney Marvel-muñeco de peluche de Spiderman, Mini 27cm</t>
  </si>
  <si>
    <t>https://es.aliexpress.com/item/1005005948151283.html?spm=a2g0o.order_detail.order_detail_item.3.78ae39d3ik3fyG&amp;gatewayAdapt=glo2esp</t>
  </si>
  <si>
    <t>Disney Marvel-muñeco de peluche de Spiderman, Negro 32cm</t>
  </si>
  <si>
    <t>Disney Marvel-muñeco de peluche de Spiderman, Sgirl 32cm</t>
  </si>
  <si>
    <t>Peluche de Los Vengadores de Marvel, Spiderman 27cm</t>
  </si>
  <si>
    <t>https://es.aliexpress.com/item/1005005941979335.html?spm=a2g0o.order_detail.order_detail_item.11.78ae39d3ik3fyG&amp;gatewayAdapt=glo2esp</t>
  </si>
  <si>
    <t>Peluche de Los Vengadores de Marvel, Baby Yoda 20cm</t>
  </si>
  <si>
    <t>Peluche de circo Digita, Niña Joker 30cm</t>
  </si>
  <si>
    <t>https://es.aliexpress.com/item/1005005197424072.html?spm=a2g0o.order_detail.order_detail_item.2.621339d3Rkq0rB&amp;gatewayAdapt=glo2esp</t>
  </si>
  <si>
    <t>Peluche Circo Digita, Niña Joker 30cm</t>
  </si>
  <si>
    <t>https://es.aliexpress.com/item/1005006452262321.html?spm=a2g0o.order_detail.order_detail_item.2.70a139d3qnXU5A&amp;gatewayAdapt=glo2esp</t>
  </si>
  <si>
    <t>Peluche Circo Digita, Muñeca fea 30cm</t>
  </si>
  <si>
    <t>Peluche Spiderman - TY Beanie Iron Miles Spider Guaidians of thr Galaxy Movie 6 ", 15cm</t>
  </si>
  <si>
    <t>https://es.aliexpress.com/item/1005006129641856.html?spm=a2g0o.order_detail.order_detail_item.3.52aa39d3l8mDP7&amp;gatewayAdapt=glo2esp</t>
  </si>
  <si>
    <t>Accesorios de pista de plástico, Thomas, Cruz, Curvas</t>
  </si>
  <si>
    <t>https://es.aliexpress.com/item/1005005239291541.html?spm=a2g0o.order_detail.order_detail_item.3.28c339d3wKsDs0&amp;gatewayAdapt=glo2esp</t>
  </si>
  <si>
    <t xml:space="preserve">Figura de acción de PVC de Ken Master Hoshi Ryu </t>
  </si>
  <si>
    <t>https://es.aliexpress.com/item/1005006065132852.html?spm=a2g0o.order_detail.order_detail_item.2.4eef39d3LvztUb&amp;gatewayAdapt=glo2esp</t>
  </si>
  <si>
    <t>Figuras de acción de Disney, Mickey Minne, boda, 2 unidades por Set</t>
  </si>
  <si>
    <t>https://es.aliexpress.com/item/1005003902388696.html?spm=a2g0o.order_detail.order_detail_item.3.706c39d36tB7Gi&amp;gatewayAdapt=glo2esp</t>
  </si>
  <si>
    <t xml:space="preserve">Peluche Super Bros boda, Mario </t>
  </si>
  <si>
    <t>https://es.aliexpress.com/item/1005005808733460.html?spm=a2g0o.order_detail.order_detail_item.3.74ab39d3FxvbfR&amp;gatewayAdapt=glo2esp</t>
  </si>
  <si>
    <t>Figuras de acción de Mario Bros para niños, 35 estilos, Mario boda</t>
  </si>
  <si>
    <t>https://es.aliexpress.com/item/1005002552449678.html?spm=a2g0o.order_detail.order_detail_item.6.74ab39d3FxvbfR&amp;gatewayAdapt=glo2esp</t>
  </si>
  <si>
    <t>Peluche de Digital Circus - Muñeca Fea</t>
  </si>
  <si>
    <t>https://es.aliexpress.com/item/1005006196222838.html?spm=a2g0o.order_detail.order_detail_item.2.73ef39d3FV9Efs&amp;gatewayAdapt=glo2esp</t>
  </si>
  <si>
    <t>Kirby as Cupid vinilo figura de acción juguetes, 12cm</t>
  </si>
  <si>
    <t>https://es.aliexpress.com/item/1005006106388061.html?spm=a2g0o.order_detail.order_detail_item.2.3d2239d3Xp0esF&amp;gatewayAdapt=glo2esp</t>
  </si>
  <si>
    <t>Figuras de acción de Kirby, Set 8 fig</t>
  </si>
  <si>
    <t>https://es.aliexpress.com/item/1005006198353213.html?spm=a2g0o.order_detail.order_detail_item.2.2a4139d3RDBT66&amp;gatewayAdapt=glo2esp</t>
  </si>
  <si>
    <t>Lámpara LED de escritorio, luces de lectura, 3 colores, regulable, Rosa</t>
  </si>
  <si>
    <t>https://es.aliexpress.com/item/1005005529965471.html?spm=a2g0o.order_detail.order_detail_item.2.5a0e39d33HXqqQ&amp;gatewayAdapt=glo2esp</t>
  </si>
  <si>
    <t>Lote de 2 figuras de acción de Disney, Mickey Mouse, Boda</t>
  </si>
  <si>
    <t>https://es.aliexpress.com/item/1005005407455410.html?spm=a2g0o.order_detail.order_detail_item.2.101c39d31K9gOk&amp;gatewayAdapt=glo2esp</t>
  </si>
  <si>
    <t>Demon Slayer sentado muñeca fantasma Tanjiro Nidouzi Inosuke Zenizu, Pilares</t>
  </si>
  <si>
    <t>https://es.aliexpress.com/item/1005005492846040.html?spm=a2g0o.order_detail.order_detail_item.2.762f39d3l0Of6a&amp;gatewayAdapt=glo2esp</t>
  </si>
  <si>
    <t>Figura de Anime de Harry Potter, 3 pcs</t>
  </si>
  <si>
    <t>https://es.aliexpress.com/item/1005006176794447.html?spm=a2g0o.order_detail.order_detail_item.2.309139d3p4jU6W&amp;gatewayAdapt=glo2esp</t>
  </si>
  <si>
    <t>Llavero colgante de Stitch, Azul y Lila</t>
  </si>
  <si>
    <t>https://es.aliexpress.com/item/1005006015840222.html?spm=a2g0o.order_detail.order_detail_item.2.4eee39d3tMT4T6&amp;gatewayAdapt=glo2esp</t>
  </si>
  <si>
    <t>Sanrio Kuromi-muñeco de peluche Melody, banda para el pelo</t>
  </si>
  <si>
    <t>https://es.aliexpress.com/item/1005005528337734.html?spm=a2g0o.order_detail.order_detail_item.2.160639d3InKyUb&amp;gatewayAdapt=glo2esp</t>
  </si>
  <si>
    <t>Sanrio Kuromi-muñeco de peluche Melody, banda para el pelo, Diadema</t>
  </si>
  <si>
    <t>Bolsa de cosméticos de felpa Kirby de estrella</t>
  </si>
  <si>
    <t>https://es.aliexpress.com/item/1005005666216831.html?spm=a2g0o.order_detail.order_detail_item.2.774539d3N3NvfZ&amp;gatewayAdapt=glo2esp</t>
  </si>
  <si>
    <t>Sailor Moon, Tsukino Usagi, Sailor Venus, Mercury Mars, Júpiter, figuras de PVC, juguetes, Set 6 unids</t>
  </si>
  <si>
    <t>https://es.aliexpress.com/item/1005003614274019.html?spm=a2g0o.order_detail.order_detail_item.3.4d0039d3bAqJbY&amp;gatewayAdapt=glo2esp</t>
  </si>
  <si>
    <t>Tarjetero de Mickey de Disney para mujer, Ariel Sirenita</t>
  </si>
  <si>
    <t>https://es.aliexpress.com/item/1005006100401665.html?spm=a2g0o.order_detail.order_detail_item.2.b08939d3nUzre3&amp;gatewayAdapt=glo2esp</t>
  </si>
  <si>
    <t>Figura de Anime One Piece Zoro Luffy Sanji, 13 estilos, Luffy</t>
  </si>
  <si>
    <t>https://es.aliexpress.com/item/1005005738192700.html?spm=a2g0o.order_detail.order_detail_item.2.1a5439d3DR6FUi&amp;gatewayAdapt=glo2esp</t>
  </si>
  <si>
    <t>Figura de Anime One Piece Zoro Luffy Sanji, 13 estilos, Sanji</t>
  </si>
  <si>
    <t>Figura de Anime One Piece Zoro Luffy Sanji, 13 estilos, Zoro</t>
  </si>
  <si>
    <t>Bluey juguete de peluche Bingoed, Bluey y Bingo</t>
  </si>
  <si>
    <t>https://es.aliexpress.com/item/1005006422215876.html?spm=a2g0o.order_detail.order_detail_item.6.5ce539d3AjGDkN&amp;gatewayAdapt=glo2esp</t>
  </si>
  <si>
    <t>Princesa Disney, figuras, Jasmine, Mulan - Ariel</t>
  </si>
  <si>
    <t>https://es.aliexpress.com/item/1005006115646269.html?spm=a2g0o.order_detail.order_detail_item.2.435239d3sFPVLH&amp;gatewayAdapt=glo2esp</t>
  </si>
  <si>
    <t>No</t>
  </si>
  <si>
    <t>Marca</t>
  </si>
  <si>
    <t>Categoria</t>
  </si>
  <si>
    <t>P. Tienda</t>
  </si>
  <si>
    <t>% Desc Cmpr</t>
  </si>
  <si>
    <t>P. Venta</t>
  </si>
  <si>
    <t>P. Oferta</t>
  </si>
  <si>
    <t>Calc</t>
  </si>
  <si>
    <t>Kawaii</t>
  </si>
  <si>
    <t>Peluche</t>
  </si>
  <si>
    <t>Disney</t>
  </si>
  <si>
    <t>SANRIO</t>
  </si>
  <si>
    <t>Hello Kitty</t>
  </si>
  <si>
    <t>MARVEL</t>
  </si>
  <si>
    <t>Star Wars</t>
  </si>
  <si>
    <t>Daemon Slayer</t>
  </si>
  <si>
    <t>Naruto</t>
  </si>
  <si>
    <t>One Piece</t>
  </si>
  <si>
    <t>Digital Circus</t>
  </si>
  <si>
    <t>Trackmaster</t>
  </si>
  <si>
    <t>Pista</t>
  </si>
  <si>
    <t>Figura</t>
  </si>
  <si>
    <t>Mario Bros</t>
  </si>
  <si>
    <t>Kirby</t>
  </si>
  <si>
    <t>LED</t>
  </si>
  <si>
    <t>Lampara</t>
  </si>
  <si>
    <t>Harry Potter</t>
  </si>
  <si>
    <t>Llavero</t>
  </si>
  <si>
    <t>Banda cabello</t>
  </si>
  <si>
    <t>Diadema</t>
  </si>
  <si>
    <t>Bolsa</t>
  </si>
  <si>
    <t>Sailor Moon</t>
  </si>
  <si>
    <t>Bluey</t>
  </si>
  <si>
    <t>Lámpara LED de escritorio, luces de lectura, 3 colores - Rosa</t>
  </si>
  <si>
    <t>Peluche Kuromi Kawaii Sanrio, muñeco de Hello Kitty, My Melody, Kuromi pijama</t>
  </si>
  <si>
    <t xml:space="preserve">Street Fighter </t>
  </si>
  <si>
    <t>Cerdito</t>
  </si>
  <si>
    <t>Preview</t>
  </si>
  <si>
    <t>Peluche om nom Kawaii 20cm</t>
  </si>
  <si>
    <t>Peluche de Los Vengadores de Marvel - Stich 20 cm</t>
  </si>
  <si>
    <t>Peluche de Los Vengadores de Marvel - Stich Rosa 20 cm</t>
  </si>
  <si>
    <t>Llavero de Demon Slayer Kimetsu No Yaiba Blade of Ghost - Nezuko</t>
  </si>
  <si>
    <t>Llavero de Demon Slayer Kimetsu No Yaiba Blade of Ghost - Tanjiro</t>
  </si>
  <si>
    <t>Llavero de Demon Slayer Kimetsu No Yaiba Blade of Ghost - Cochino</t>
  </si>
  <si>
    <t>Llavero de Disney, Mickey Mouse, Lilo &amp; Stitch, Rosa y Lila</t>
  </si>
  <si>
    <t>Llavero de Disney, Mickey Mouse, Lilo &amp; Stitch, Guitarra</t>
  </si>
  <si>
    <t>Llavero de Disney, Mickey Mouse, Lilo &amp; Stitch, Corazon</t>
  </si>
  <si>
    <t>Máquina de juego de empuje de velocidad para niños - Oso</t>
  </si>
  <si>
    <t>Soporte de exhibición acrílico de 1 pieza para 6 figuras</t>
  </si>
  <si>
    <t>https://www.temu.com/goods.html?_bg_fs=1&amp;goods_id=601099522921734&amp;sku_id=17592244045856&amp;_x_chat_msg_id=1703629735259007&amp;_x_vst_scene=adg&amp;_x_ads_sub_channel=search&amp;_x_ads_channel=google&amp;_x_ads_account=8530898794&amp;_x_ads_set=20148831258&amp;_x_ads_id=149277209476&amp;_x_ads_creative_id=658974233225&amp;_x_ns_source=g&amp;_x_ns_gclid=CjwKCAiAs6-sBhBmEiwA1Nl8s5Wz62FIZ1ikQ3GfxrG_CIp_t47qNDKc50sCdWiBpk-eSz5xjzFgTxoCBCgQAvD_BwE&amp;_x_ns_placement=&amp;_x_ns_match_type=e&amp;_x_ns_ad_position=&amp;_x_ns_product_id=&amp;_x_ns_target=&amp;_x_ns_devicemodel=&amp;_x_ns_wbraid=CjgKCAiAkKqsBhAsEigAdX-AUTh5hsiv93DFEMsZgUI3isrig3oCKEUMFRmj5Oqn6DSzg9X5GgJpBw&amp;_x_ns_gbraid=0AAAAAo4mICHvTqR2oKSSYwfX7lyycUfaw&amp;_x_ns_keyword=temu&amp;_x_ns_targetid=kwd-4583699489&amp;_x_sessn_id=t5jrxj2drs&amp;refer_page_name=bgt_order_detail&amp;refer_page_id=10045_1722566576160_l54qu899j9&amp;refer_page_sn=10045</t>
  </si>
  <si>
    <t>https://www.temu.com/goods.html?_bg_fs=1&amp;goods_id=601099524738697&amp;sku_id=17592252564012&amp;_x_chat_msg_id=1703629735259007&amp;_x_vst_scene=adg&amp;_x_ads_sub_channel=search&amp;_x_ads_channel=google&amp;_x_ads_account=8530898794&amp;_x_ads_set=20148831258&amp;_x_ads_id=149277209476&amp;_x_ads_creative_id=658974233225&amp;_x_ns_source=g&amp;_x_ns_gclid=CjwKCAiAs6-sBhBmEiwA1Nl8s5Wz62FIZ1ikQ3GfxrG_CIp_t47qNDKc50sCdWiBpk-eSz5xjzFgTxoCBCgQAvD_BwE&amp;_x_ns_placement=&amp;_x_ns_match_type=e&amp;_x_ns_ad_position=&amp;_x_ns_product_id=&amp;_x_ns_target=&amp;_x_ns_devicemodel=&amp;_x_ns_wbraid=CjgKCAiAkKqsBhAsEigAdX-AUTh5hsiv93DFEMsZgUI3isrig3oCKEUMFRmj5Oqn6DSzg9X5GgJpBw&amp;_x_ns_gbraid=0AAAAAo4mICHvTqR2oKSSYwfX7lyycUfaw&amp;_x_ns_keyword=temu&amp;_x_ns_targetid=kwd-4583699489&amp;_x_sessn_id=t5jrxj2drs&amp;refer_page_name=bgt_order_detail&amp;refer_page_id=10045_1722566610325_ye6gs9xelb&amp;refer_page_sn=10045</t>
  </si>
  <si>
    <t>Estuche de exhibición de alta gama, tipo vitrina, 3 niveles</t>
  </si>
  <si>
    <t>https://www.temu.com/goods.html?_bg_fs=1&amp;goods_id=601099530491482&amp;sku_id=17592276789398&amp;_x_chat_msg_id=1703629735259007&amp;_x_vst_scene=adg&amp;_x_ads_sub_channel=search&amp;_x_ads_channel=google&amp;_x_ads_account=8530898794&amp;_x_ads_set=20148831258&amp;_x_ads_id=149277209476&amp;_x_ads_creative_id=658974233225&amp;_x_ns_source=g&amp;_x_ns_gclid=CjwKCAiAs6-sBhBmEiwA1Nl8s5Wz62FIZ1ikQ3GfxrG_CIp_t47qNDKc50sCdWiBpk-eSz5xjzFgTxoCBCgQAvD_BwE&amp;_x_ns_placement=&amp;_x_ns_match_type=e&amp;_x_ns_ad_position=&amp;_x_ns_product_id=&amp;_x_ns_target=&amp;_x_ns_devicemodel=&amp;_x_ns_wbraid=CjgKCAiAkKqsBhAsEigAdX-AUTh5hsiv93DFEMsZgUI3isrig3oCKEUMFRmj5Oqn6DSzg9X5GgJpBw&amp;_x_ns_gbraid=0AAAAAo4mICHvTqR2oKSSYwfX7lyycUfaw&amp;_x_ns_keyword=temu&amp;_x_ns_targetid=kwd-4583699489&amp;_x_sessn_id=t5jrxj2drs&amp;refer_page_name=bgt_order_detail&amp;refer_page_id=10045_1722568758699_s4lqwl2lah&amp;refer_page_sn=10045</t>
  </si>
  <si>
    <t>Exhibidor</t>
  </si>
  <si>
    <t>Soporte</t>
  </si>
  <si>
    <t>Vitrina</t>
  </si>
  <si>
    <t>Pop It</t>
  </si>
  <si>
    <t>Funko Pop-figura de acción de Disney Alicia en el país de las Maravillas, con frasco de galletas</t>
  </si>
  <si>
    <t>Princesa Disney, juguetes de ojos grandes, Elsa</t>
  </si>
  <si>
    <t>Funko Pop-figura de acción de Disney Alicia en el país de las Maravillas, Tinker Bell</t>
  </si>
  <si>
    <t>Figuras de PVC de la princesa Disney, juguetes de ojos grandes,  Ariel, vestido</t>
  </si>
  <si>
    <t>Funko Pop-figura de acción de Disney Alicia en el país de las Maravillas, Ariel, sirenita</t>
  </si>
  <si>
    <t>Q posket - Figuras de acción de maléfica para niños, villanas</t>
  </si>
  <si>
    <t>https://es.aliexpress.com/item/1005006125310275.html?spm=a2g0o.order_detail.order_detail_item.2.486139d3FL1hEj&amp;gatewayAdapt=glo2esp</t>
  </si>
  <si>
    <t>Disney - Figuras de acción de la princesa Blancanieves, Ariel, Bella, Rapunzel, sirena</t>
  </si>
  <si>
    <t>Disney Princess Series Gem Flower Carriage caja ciega coleccionable - Bella</t>
  </si>
  <si>
    <t>Set Figuras</t>
  </si>
  <si>
    <t>Kuromi-juguete de peluche de Lolita para niñas, vestido de princesa Ragdoll</t>
  </si>
  <si>
    <t>https://es.aliexpress.com/item/1005005801924308.html?spm=a2g0o.order_detail.order_detail_item.2.3f2c39d3Q2f3jK&amp;gatewayAdapt=glo2esp</t>
  </si>
  <si>
    <t>Sanrio Sakura Melody Kuromi Cinnamoroll HelloKitty</t>
  </si>
  <si>
    <t>https://es.aliexpress.com/item/1005006146669485.html?spm=a2g0o.order_detail.order_detail_item.2.6f3339d3uR0cpt&amp;gatewayAdapt=glo2esp</t>
  </si>
  <si>
    <t>Sanrio-juguetes de peluche de Hello Kitty - Corazon rojo</t>
  </si>
  <si>
    <t>https://es.aliexpress.com/item/1005006321847900.html?spm=a2g0o.order_detail.order_detail_item.4.686f39d3loavMQ&amp;gatewayAdapt=glo2esp</t>
  </si>
  <si>
    <t>Sanrio-juguetes de peluche de Hello Kitty - Kuromy osito morado</t>
  </si>
  <si>
    <t>Sanrio Peluche de Hello Kitty Helado, peluche de Bob Esponja</t>
  </si>
  <si>
    <t>https://es.aliexpress.com/item/1005006237299358.html?spm=a2g0o.order_detail.order_detail_item.6.686f39d3loavMQ&amp;gatewayAdapt=glo2esp</t>
  </si>
  <si>
    <t>Peluche de 25cm con diseño de perro de Jade Sanrio Kuromi, HK</t>
  </si>
  <si>
    <t>https://es.aliexpress.com/item/1005006110085543.html?spm=a2g0o.order_detail.order_detail_item.2.628539d30TV77P&amp;gatewayAdapt=glo2esp</t>
  </si>
  <si>
    <t>Peluche de 25cm con diseño de perro de Jade Sanrio Kuromi, Osito</t>
  </si>
  <si>
    <t>Disney-llavero de peluche de la Universidad de monstruos, Mike</t>
  </si>
  <si>
    <t>https://es.aliexpress.com/item/1005006224932261.html?spm=a2g0o.order_detail.order_detail_item.2.6acf39d3QvFjRm&amp;gatewayAdapt=glo2esp</t>
  </si>
  <si>
    <t>Disney-llavero de peluche de la Universidad de monstruos, Sullivan</t>
  </si>
  <si>
    <t>Sanrio Kuromi Melody Love Series - Kuromi corazon morado</t>
  </si>
  <si>
    <t>https://es.aliexpress.com/item/1005005565362342.html?spm=a2g0o.order_detail.order_detail_item.2.ef2f39d3Q4i6BC&amp;gatewayAdapt=glo2esp</t>
  </si>
  <si>
    <t>Disney Stitch-muñeco de peluche de Lilo &amp; Stitch Original</t>
  </si>
  <si>
    <t>https://es.aliexpress.com/item/1005006314027082.html?spm=a2g0o.order_detail.order_detail_item.2.6f4239d3R7FOs7&amp;gatewayAdapt=glo2esp</t>
  </si>
  <si>
    <t>https://es.aliexpress.com/item/1005005885784149.html?spm=a2g0o.order_detail.order_detail_item.2.599e39d3CjxrsH&amp;gatewayAdapt=glo2esp</t>
  </si>
  <si>
    <t>Peluche cerdo globo corazon, 20-30cm</t>
  </si>
  <si>
    <t>https://es.aliexpress.com/item/1005006368335620.html?spm=a2g0o.order_detail.order_detail_item.2.386939d39hu3EC&amp;gatewayAdapt=glo2esp</t>
  </si>
  <si>
    <t>Sanrio - peluche de Hello Kitty, Kawaii Kuromi Melody Cinnamoroll, fresita</t>
  </si>
  <si>
    <t>Sanrio - peluche de Hello Kitty, Kawaii Kuromi Melody, corazon</t>
  </si>
  <si>
    <t>Sanrio - peluche de Hello Kitty, Kawaii Kuromi Melody Cinnamoroll corazon</t>
  </si>
  <si>
    <t>https://es.aliexpress.com/item/1005005253778486.html?spm=a2g0o.order_detail.order_detail_item.2.70a539d3txo1h1&amp;gatewayAdapt=glo2esp</t>
  </si>
  <si>
    <t>Peluches de pingüino Kawaii de 25cm, pingüino encantador, flores</t>
  </si>
  <si>
    <t>https://es.aliexpress.com/item/1005006294110639.html?spm=a2g0o.order_detail.order_detail_item.2.719d39d36YTcPH&amp;gatewayAdapt=glo2esp</t>
  </si>
  <si>
    <t>Sanrio-muñeco de Hello Kitty Plus de 25Cm, abrazando el corazón</t>
  </si>
  <si>
    <t>https://es.aliexpress.com/item/1005006065659410.html?spm=a2g0o.order_detail.order_detail_item.2.79c939d3V88vq5&amp;gatewayAdapt=glo2esp</t>
  </si>
  <si>
    <t>Sanrio - Sanriod Kawaii Kuromi Mymelody Cinnamorol, muñeco de peluche suave, Kuromi, 25cm</t>
  </si>
  <si>
    <t>Sanrio - Sanriod Kawaii Kuromi Mymelody Cinnamorol, muñeco de peluche suave, HK, 25cm</t>
  </si>
  <si>
    <t>https://es.aliexpress.com/item/1005006129641856.html?spm=a2g0o.order_detail.order_detail_item.2.20bb39d3EHtPsD&amp;gatewayAdapt=glo2esp</t>
  </si>
  <si>
    <t>TY Beanie Iron Miles Spider Guaidians of thr Galaxy Movie, Spiderman 15cm</t>
  </si>
  <si>
    <t>https://es.aliexpress.com/item/1005006104298842.html?spm=a2g0o.order_detail.order_detail_item.2.3bf539d3u2BSPq&amp;gatewayAdapt=glo2esp</t>
  </si>
  <si>
    <t>Bolsas de felpa Kawaii Sanrio Cinnamoroll Melody Kuromi Hello Kitty,con peluche transparente</t>
  </si>
  <si>
    <t>https://es.aliexpress.com/item/1005005528337734.html?spm=a2g0o.order_detail.order_detail_item.4.3bf539d3u2BSPq&amp;gatewayAdapt=glo2esp</t>
  </si>
  <si>
    <t>https://es.aliexpress.com/item/1005006285480029.html?spm=a2g0o.order_detail.order_detail_item.2.46b539d3CGRufF&amp;gatewayAdapt=glo2esp</t>
  </si>
  <si>
    <t>Sanrio-máquina de juego de burbujas de empuje rápido para niños, Hello Kitty, Kuromi Pop</t>
  </si>
  <si>
    <t>https://es.aliexpress.com/item/1005005414363620.html?spm=a2g0o.order_detail.order_detail_item.2.484339d3UGz4sc&amp;gatewayAdapt=glo2esp</t>
  </si>
  <si>
    <t>Cartera corta multifuncional, billetera pequeña delgada de diseño de marca, One Piece</t>
  </si>
  <si>
    <t>Cartera</t>
  </si>
  <si>
    <t>Sanrio Kuromi Melody muñeco de peluche lavado de cara maquillaje, diadema Kuromi</t>
  </si>
  <si>
    <t>https://es.aliexpress.com/item/1005006029225423.html?spm=a2g0o.order_detail.order_detail_item.2.2c6f39d3fitkJV&amp;gatewayAdapt=glo2esp</t>
  </si>
  <si>
    <t>https://es.aliexpress.com/item/1005006093156807.html?spm=a2g0o.order_detail.order_detail_item.2.ee1939d3iUoAgg&amp;gatewayAdapt=glo2esp</t>
  </si>
  <si>
    <t>LLavero de Anime Sailor Moon para hombres y mujeres, colgante de bolsa de muñeca, SM azul</t>
  </si>
  <si>
    <t>LLavero de Anime Sailor Moon para hombres y mujeres, colgante de bolsa de muñeca, SM princesa</t>
  </si>
  <si>
    <t>https://es.aliexpress.com/item/1005005981447392.html?spm=a2g0o.order_detail.order_detail_item.2.4f6139d3kCwhYn&amp;gatewayAdapt=glo2esp</t>
  </si>
  <si>
    <t>Diadema divertida Sanrio Kuromi My Melody Cinnamoroll, lindo Anime, accesorios para el cabello</t>
  </si>
  <si>
    <t>https://es.aliexpress.com/item/1005005528337734.html?spm=a2g0o.order_detail.order_detail_item.2.749939d35tRgWd&amp;gatewayAdapt=glo2esp</t>
  </si>
  <si>
    <t>Sanrio Kuromi Melody muñeco de peluche lavado de cara maquillaje diadema Kuromi</t>
  </si>
  <si>
    <t>https://es.aliexpress.com/item/1005006055818071.html?spm=a2g0o.order_detail.order_detail_item.2.b38e39d3VOGCDh&amp;gatewayAdapt=glo2esp</t>
  </si>
  <si>
    <t>Paraguas de doble uso con dibujos animados para niños, sombrilla pequeña, SM</t>
  </si>
  <si>
    <t>Sombrero de pescador de Anime con bordado de dibujos animados, gorro de Naroto, Akatsuki</t>
  </si>
  <si>
    <t>Pokemon</t>
  </si>
  <si>
    <t>Sombrero</t>
  </si>
  <si>
    <t>Paraguas</t>
  </si>
  <si>
    <t>Sombrero de pescador con estampado de Pikachu</t>
  </si>
  <si>
    <t>Cmpr Final</t>
  </si>
  <si>
    <t>Llvro Peluche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</si>
</sst>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dd\-mm\-yy;@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left" vertical="center"/>
    </xf>
    <xf numFmtId="9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0" fontId="2" fillId="0" borderId="0" xfId="2" applyAlignment="1">
      <alignment horizontal="left" vertical="center"/>
    </xf>
    <xf numFmtId="44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left" vertical="center"/>
    </xf>
    <xf numFmtId="6" fontId="6" fillId="0" borderId="0" xfId="0" applyNumberFormat="1" applyFont="1" applyAlignment="1">
      <alignment horizontal="left" vertical="center"/>
    </xf>
    <xf numFmtId="6" fontId="7" fillId="0" borderId="0" xfId="0" applyNumberFormat="1" applyFont="1" applyAlignment="1">
      <alignment horizontal="center" vertical="center"/>
    </xf>
    <xf numFmtId="6" fontId="8" fillId="0" borderId="0" xfId="0" applyNumberFormat="1" applyFont="1" applyAlignment="1">
      <alignment horizontal="right" vertical="center"/>
    </xf>
    <xf numFmtId="44" fontId="1" fillId="0" borderId="0" xfId="1" applyFont="1" applyAlignment="1">
      <alignment horizontal="center" vertical="center"/>
    </xf>
    <xf numFmtId="0" fontId="9" fillId="0" borderId="0" xfId="0" applyFont="1"/>
    <xf numFmtId="164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6" fontId="2" fillId="2" borderId="0" xfId="2" applyNumberFormat="1" applyFill="1" applyAlignment="1">
      <alignment horizontal="center" vertical="center"/>
    </xf>
    <xf numFmtId="6" fontId="2" fillId="0" borderId="0" xfId="2" applyNumberForma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44" fontId="4" fillId="0" borderId="0" xfId="1" applyFont="1" applyAlignment="1">
      <alignment horizontal="left" vertical="center"/>
    </xf>
    <xf numFmtId="44" fontId="10" fillId="0" borderId="0" xfId="1" applyFont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s.aliexpress.com/item/1005005197424072.html?spm=a2g0o.order_detail.order_detail_item.2.621339d3Rkq0rB&amp;gatewayAdapt=glo2esp" TargetMode="External"/><Relationship Id="rId21" Type="http://schemas.openxmlformats.org/officeDocument/2006/relationships/hyperlink" Target="https://es.aliexpress.com/item/1005005646323470.html?spm=a2g0o.order_detail.order_detail_item.2.723b39d3B7kuja&amp;gatewayAdapt=glo2esp" TargetMode="External"/><Relationship Id="rId42" Type="http://schemas.openxmlformats.org/officeDocument/2006/relationships/hyperlink" Target="https://es.aliexpress.com/item/1005005528337734.html?spm=a2g0o.order_detail.order_detail_item.2.160639d3InKyUb&amp;gatewayAdapt=glo2esp" TargetMode="External"/><Relationship Id="rId47" Type="http://schemas.openxmlformats.org/officeDocument/2006/relationships/hyperlink" Target="https://es.aliexpress.com/item/1005006115646269.html?spm=a2g0o.order_detail.order_detail_item.2.435239d3sFPVLH&amp;gatewayAdapt=glo2esp" TargetMode="External"/><Relationship Id="rId63" Type="http://schemas.openxmlformats.org/officeDocument/2006/relationships/hyperlink" Target="https://es.aliexpress.com/item/1005005414363620.html?spm=a2g0o.order_detail.order_detail_item.2.484339d3UGz4sc&amp;gatewayAdapt=glo2esp" TargetMode="External"/><Relationship Id="rId68" Type="http://schemas.openxmlformats.org/officeDocument/2006/relationships/hyperlink" Target="https://es.aliexpress.com/item/1005006055818071.html?spm=a2g0o.order_detail.order_detail_item.2.b38e39d3VOGCDh&amp;gatewayAdapt=glo2esp" TargetMode="External"/><Relationship Id="rId7" Type="http://schemas.openxmlformats.org/officeDocument/2006/relationships/hyperlink" Target="https://es.aliexpress.com/item/1005005482812451.html?spm=a2g0o.order_detail.order_detail_item.2.2c7239d3xQTMQl&amp;gatewayAdapt=glo2esp" TargetMode="External"/><Relationship Id="rId2" Type="http://schemas.openxmlformats.org/officeDocument/2006/relationships/hyperlink" Target="https://es.aliexpress.com/item/1005005041951502.html?spm=a2g0o.order_detail.order_detail_item.2.7a3d39d39Xd3IL&amp;gatewayAdapt=glo2esp" TargetMode="External"/><Relationship Id="rId16" Type="http://schemas.openxmlformats.org/officeDocument/2006/relationships/hyperlink" Target="https://es.aliexpress.com/item/1005006026183954.html?spm=a2g0o.order_detail.order_detail_item.2.1bce39d3akVPAq&amp;gatewayAdapt=glo2esp" TargetMode="External"/><Relationship Id="rId29" Type="http://schemas.openxmlformats.org/officeDocument/2006/relationships/hyperlink" Target="https://es.aliexpress.com/item/1005005239291541.html?spm=a2g0o.order_detail.order_detail_item.3.28c339d3wKsDs0&amp;gatewayAdapt=glo2esp" TargetMode="External"/><Relationship Id="rId11" Type="http://schemas.openxmlformats.org/officeDocument/2006/relationships/hyperlink" Target="https://es.aliexpress.com/item/1005006044053466.html?spm=a2g0o.order_detail.order_detail_item.2.4c3d39d3XkFxQ1&amp;gatewayAdapt=glo2esp" TargetMode="External"/><Relationship Id="rId24" Type="http://schemas.openxmlformats.org/officeDocument/2006/relationships/hyperlink" Target="https://es.aliexpress.com/item/1005005948151283.html?spm=a2g0o.order_detail.order_detail_item.3.78ae39d3ik3fyG&amp;gatewayAdapt=glo2esp" TargetMode="External"/><Relationship Id="rId32" Type="http://schemas.openxmlformats.org/officeDocument/2006/relationships/hyperlink" Target="https://es.aliexpress.com/item/1005005808733460.html?spm=a2g0o.order_detail.order_detail_item.3.74ab39d3FxvbfR&amp;gatewayAdapt=glo2esp" TargetMode="External"/><Relationship Id="rId37" Type="http://schemas.openxmlformats.org/officeDocument/2006/relationships/hyperlink" Target="https://es.aliexpress.com/item/1005005529965471.html?spm=a2g0o.order_detail.order_detail_item.2.5a0e39d33HXqqQ&amp;gatewayAdapt=glo2esp" TargetMode="External"/><Relationship Id="rId40" Type="http://schemas.openxmlformats.org/officeDocument/2006/relationships/hyperlink" Target="https://es.aliexpress.com/item/1005006176794447.html?spm=a2g0o.order_detail.order_detail_item.2.309139d3p4jU6W&amp;gatewayAdapt=glo2esp" TargetMode="External"/><Relationship Id="rId45" Type="http://schemas.openxmlformats.org/officeDocument/2006/relationships/hyperlink" Target="https://es.aliexpress.com/item/1005006100401665.html?spm=a2g0o.order_detail.order_detail_item.2.b08939d3nUzre3&amp;gatewayAdapt=glo2esp" TargetMode="External"/><Relationship Id="rId53" Type="http://schemas.openxmlformats.org/officeDocument/2006/relationships/hyperlink" Target="https://es.aliexpress.com/item/1005006125310275.html?spm=a2g0o.order_detail.order_detail_item.2.486139d3FL1hEj&amp;gatewayAdapt=glo2esp" TargetMode="External"/><Relationship Id="rId58" Type="http://schemas.openxmlformats.org/officeDocument/2006/relationships/hyperlink" Target="https://es.aliexpress.com/item/1005006065659410.html?spm=a2g0o.order_detail.order_detail_item.2.79c939d3V88vq5&amp;gatewayAdapt=glo2esp" TargetMode="External"/><Relationship Id="rId66" Type="http://schemas.openxmlformats.org/officeDocument/2006/relationships/hyperlink" Target="https://es.aliexpress.com/item/1005005981447392.html?spm=a2g0o.order_detail.order_detail_item.2.4f6139d3kCwhYn&amp;gatewayAdapt=glo2esp" TargetMode="External"/><Relationship Id="rId5" Type="http://schemas.openxmlformats.org/officeDocument/2006/relationships/hyperlink" Target="https://es.aliexpress.com/item/1005005061630692.html?spm=a2g0o.order_detail.order_detail_item.2.6d5739d3WRqCF4&amp;gatewayAdapt=glo2esp" TargetMode="External"/><Relationship Id="rId61" Type="http://schemas.openxmlformats.org/officeDocument/2006/relationships/hyperlink" Target="https://es.aliexpress.com/item/1005005528337734.html?spm=a2g0o.order_detail.order_detail_item.4.3bf539d3u2BSPq&amp;gatewayAdapt=glo2esp" TargetMode="External"/><Relationship Id="rId19" Type="http://schemas.openxmlformats.org/officeDocument/2006/relationships/hyperlink" Target="https://es.aliexpress.com/item/1005005780196822.html?spm=a2g0o.order_detail.order_detail_item.4.638539d38qPx13&amp;gatewayAdapt=glo2esp" TargetMode="External"/><Relationship Id="rId14" Type="http://schemas.openxmlformats.org/officeDocument/2006/relationships/hyperlink" Target="https://es.aliexpress.com/item/1005006129641856.html?spm=a2g0o.order_detail.order_detail_item.3.259f39d30XTnvQ&amp;gatewayAdapt=glo2esp" TargetMode="External"/><Relationship Id="rId22" Type="http://schemas.openxmlformats.org/officeDocument/2006/relationships/hyperlink" Target="https://es.aliexpress.com/item/1005005861116198.html?spm=a2g0o.order_detail.order_detail_item.2.30de39d37yczm3&amp;gatewayAdapt=glo2esp" TargetMode="External"/><Relationship Id="rId27" Type="http://schemas.openxmlformats.org/officeDocument/2006/relationships/hyperlink" Target="https://es.aliexpress.com/item/1005006452262321.html?spm=a2g0o.order_detail.order_detail_item.2.70a139d3qnXU5A&amp;gatewayAdapt=glo2esp" TargetMode="External"/><Relationship Id="rId30" Type="http://schemas.openxmlformats.org/officeDocument/2006/relationships/hyperlink" Target="https://es.aliexpress.com/item/1005006065132852.html?spm=a2g0o.order_detail.order_detail_item.2.4eef39d3LvztUb&amp;gatewayAdapt=glo2esp" TargetMode="External"/><Relationship Id="rId35" Type="http://schemas.openxmlformats.org/officeDocument/2006/relationships/hyperlink" Target="https://es.aliexpress.com/item/1005006106388061.html?spm=a2g0o.order_detail.order_detail_item.2.3d2239d3Xp0esF&amp;gatewayAdapt=glo2esp" TargetMode="External"/><Relationship Id="rId43" Type="http://schemas.openxmlformats.org/officeDocument/2006/relationships/hyperlink" Target="https://es.aliexpress.com/item/1005005666216831.html?spm=a2g0o.order_detail.order_detail_item.2.774539d3N3NvfZ&amp;gatewayAdapt=glo2esp" TargetMode="External"/><Relationship Id="rId48" Type="http://schemas.openxmlformats.org/officeDocument/2006/relationships/hyperlink" Target="https://es.aliexpress.com/item/1005006422215876.html?spm=a2g0o.order_detail.order_detail_item.6.5ce539d3AjGDkN&amp;gatewayAdapt=glo2esp" TargetMode="External"/><Relationship Id="rId56" Type="http://schemas.openxmlformats.org/officeDocument/2006/relationships/hyperlink" Target="https://es.aliexpress.com/item/1005005253778486.html?spm=a2g0o.order_detail.order_detail_item.2.70a539d3txo1h1&amp;gatewayAdapt=glo2esp" TargetMode="External"/><Relationship Id="rId64" Type="http://schemas.openxmlformats.org/officeDocument/2006/relationships/hyperlink" Target="https://es.aliexpress.com/item/1005006029225423.html?spm=a2g0o.order_detail.order_detail_item.2.2c6f39d3fitkJV&amp;gatewayAdapt=glo2esp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es.aliexpress.com/item/1005005651290256.html?spm=a2g0o.order_detail.order_detail_item.2.7a9e39d3HanFm3&amp;gatewayAdapt=glo2esp" TargetMode="External"/><Relationship Id="rId51" Type="http://schemas.openxmlformats.org/officeDocument/2006/relationships/hyperlink" Target="https://es.aliexpress.com/item/1005006071860328.html?spm=a2g0o.order_detail.order_detail_item.2.404239d3pXmA9H&amp;gatewayAdapt=glo2esp" TargetMode="External"/><Relationship Id="rId3" Type="http://schemas.openxmlformats.org/officeDocument/2006/relationships/hyperlink" Target="https://es.aliexpress.com/item/1005005974038738.html?spm=a2g0o.order_detail.order_detail_item.2.24d739d3B4Da95&amp;gatewayAdapt=glo2esp" TargetMode="External"/><Relationship Id="rId12" Type="http://schemas.openxmlformats.org/officeDocument/2006/relationships/hyperlink" Target="https://es.aliexpress.com/item/1005005854562666.html?spm=a2g0o.order_detail.order_detail_item.2.415939d3LEOktc&amp;gatewayAdapt=glo2esp" TargetMode="External"/><Relationship Id="rId17" Type="http://schemas.openxmlformats.org/officeDocument/2006/relationships/hyperlink" Target="https://es.aliexpress.com/item/1005005451151305.html?spm=a2g0o.order_detail.order_detail_item.2.69ff39d3gMLfvE&amp;gatewayAdapt=glo2esp" TargetMode="External"/><Relationship Id="rId25" Type="http://schemas.openxmlformats.org/officeDocument/2006/relationships/hyperlink" Target="https://es.aliexpress.com/item/1005005941979335.html?spm=a2g0o.order_detail.order_detail_item.11.78ae39d3ik3fyG&amp;gatewayAdapt=glo2esp" TargetMode="External"/><Relationship Id="rId33" Type="http://schemas.openxmlformats.org/officeDocument/2006/relationships/hyperlink" Target="https://es.aliexpress.com/item/1005002552449678.html?spm=a2g0o.order_detail.order_detail_item.6.74ab39d3FxvbfR&amp;gatewayAdapt=glo2esp" TargetMode="External"/><Relationship Id="rId38" Type="http://schemas.openxmlformats.org/officeDocument/2006/relationships/hyperlink" Target="https://es.aliexpress.com/item/1005005407455410.html?spm=a2g0o.order_detail.order_detail_item.2.101c39d31K9gOk&amp;gatewayAdapt=glo2esp" TargetMode="External"/><Relationship Id="rId46" Type="http://schemas.openxmlformats.org/officeDocument/2006/relationships/hyperlink" Target="https://es.aliexpress.com/item/1005005738192700.html?spm=a2g0o.order_detail.order_detail_item.2.1a5439d3DR6FUi&amp;gatewayAdapt=glo2esp" TargetMode="External"/><Relationship Id="rId59" Type="http://schemas.openxmlformats.org/officeDocument/2006/relationships/hyperlink" Target="https://es.aliexpress.com/item/1005006129641856.html?spm=a2g0o.order_detail.order_detail_item.2.20bb39d3EHtPsD&amp;gatewayAdapt=glo2esp" TargetMode="External"/><Relationship Id="rId67" Type="http://schemas.openxmlformats.org/officeDocument/2006/relationships/hyperlink" Target="https://es.aliexpress.com/item/1005005528337734.html?spm=a2g0o.order_detail.order_detail_item.2.749939d35tRgWd&amp;gatewayAdapt=glo2esp" TargetMode="External"/><Relationship Id="rId20" Type="http://schemas.openxmlformats.org/officeDocument/2006/relationships/hyperlink" Target="https://es.aliexpress.com/item/1005005291721194.html?spm=a2g0o.order_detail.order_detail_item.2.7e3139d32Fp8oi&amp;gatewayAdapt=glo2esp" TargetMode="External"/><Relationship Id="rId41" Type="http://schemas.openxmlformats.org/officeDocument/2006/relationships/hyperlink" Target="https://es.aliexpress.com/item/1005006015840222.html?spm=a2g0o.order_detail.order_detail_item.2.4eee39d3tMT4T6&amp;gatewayAdapt=glo2esp" TargetMode="External"/><Relationship Id="rId54" Type="http://schemas.openxmlformats.org/officeDocument/2006/relationships/hyperlink" Target="https://es.aliexpress.com/item/1005005885784149.html?spm=a2g0o.order_detail.order_detail_item.2.599e39d3CjxrsH&amp;gatewayAdapt=glo2esp" TargetMode="External"/><Relationship Id="rId62" Type="http://schemas.openxmlformats.org/officeDocument/2006/relationships/hyperlink" Target="https://es.aliexpress.com/item/1005006285480029.html?spm=a2g0o.order_detail.order_detail_item.2.46b539d3CGRufF&amp;gatewayAdapt=glo2esp" TargetMode="External"/><Relationship Id="rId70" Type="http://schemas.openxmlformats.org/officeDocument/2006/relationships/image" Target="../media/image1.png"/><Relationship Id="rId1" Type="http://schemas.openxmlformats.org/officeDocument/2006/relationships/hyperlink" Target="https://es.aliexpress.com/item/1005006071860328.html?spm=a2g0o.order_detail.order_detail_item.2.404239d3pXmA9H&amp;gatewayAdapt=glo2esp" TargetMode="External"/><Relationship Id="rId6" Type="http://schemas.openxmlformats.org/officeDocument/2006/relationships/hyperlink" Target="https://es.aliexpress.com/item/1005005921077256.html?spm=a2g0o.order_detail.order_detail_item.4.7a3d39d39Xd3IL&amp;gatewayAdapt=glo2esp" TargetMode="External"/><Relationship Id="rId15" Type="http://schemas.openxmlformats.org/officeDocument/2006/relationships/hyperlink" Target="https://es.aliexpress.com/item/1005004103662710.html?spm=a2g0o.order_detail.order_detail_item.3.295d39d3x0a8oH&amp;gatewayAdapt=glo2esp" TargetMode="External"/><Relationship Id="rId23" Type="http://schemas.openxmlformats.org/officeDocument/2006/relationships/hyperlink" Target="https://es.aliexpress.com/item/1005006213868120.html?spm=a2g0o.order_detail.order_detail_item.2.2c1039d3mG5V6m&amp;gatewayAdapt=glo2esp" TargetMode="External"/><Relationship Id="rId28" Type="http://schemas.openxmlformats.org/officeDocument/2006/relationships/hyperlink" Target="https://es.aliexpress.com/item/1005006129641856.html?spm=a2g0o.order_detail.order_detail_item.3.52aa39d3l8mDP7&amp;gatewayAdapt=glo2esp" TargetMode="External"/><Relationship Id="rId36" Type="http://schemas.openxmlformats.org/officeDocument/2006/relationships/hyperlink" Target="https://es.aliexpress.com/item/1005006198353213.html?spm=a2g0o.order_detail.order_detail_item.2.2a4139d3RDBT66&amp;gatewayAdapt=glo2esp" TargetMode="External"/><Relationship Id="rId49" Type="http://schemas.openxmlformats.org/officeDocument/2006/relationships/hyperlink" Target="https://es.aliexpress.com/item/1005006115646269.html?spm=a2g0o.order_detail.order_detail_item.2.435239d3sFPVLH&amp;gatewayAdapt=glo2esp" TargetMode="External"/><Relationship Id="rId57" Type="http://schemas.openxmlformats.org/officeDocument/2006/relationships/hyperlink" Target="https://es.aliexpress.com/item/1005006294110639.html?spm=a2g0o.order_detail.order_detail_item.2.719d39d36YTcPH&amp;gatewayAdapt=glo2esp" TargetMode="External"/><Relationship Id="rId10" Type="http://schemas.openxmlformats.org/officeDocument/2006/relationships/hyperlink" Target="https://es.aliexpress.com/item/1005005065806005.html?spm=a2g0o.order_detail.order_detail_item.2.4d2a39d3nrdAZD&amp;gatewayAdapt=glo2esp" TargetMode="External"/><Relationship Id="rId31" Type="http://schemas.openxmlformats.org/officeDocument/2006/relationships/hyperlink" Target="https://es.aliexpress.com/item/1005003902388696.html?spm=a2g0o.order_detail.order_detail_item.3.706c39d36tB7Gi&amp;gatewayAdapt=glo2esp" TargetMode="External"/><Relationship Id="rId44" Type="http://schemas.openxmlformats.org/officeDocument/2006/relationships/hyperlink" Target="https://es.aliexpress.com/item/1005003614274019.html?spm=a2g0o.order_detail.order_detail_item.3.4d0039d3bAqJbY&amp;gatewayAdapt=glo2esp" TargetMode="External"/><Relationship Id="rId52" Type="http://schemas.openxmlformats.org/officeDocument/2006/relationships/hyperlink" Target="https://es.aliexpress.com/item/1005006071860328.html?spm=a2g0o.order_detail.order_detail_item.2.404239d3pXmA9H&amp;gatewayAdapt=glo2esp" TargetMode="External"/><Relationship Id="rId60" Type="http://schemas.openxmlformats.org/officeDocument/2006/relationships/hyperlink" Target="https://es.aliexpress.com/item/1005006104298842.html?spm=a2g0o.order_detail.order_detail_item.2.3bf539d3u2BSPq&amp;gatewayAdapt=glo2esp" TargetMode="External"/><Relationship Id="rId65" Type="http://schemas.openxmlformats.org/officeDocument/2006/relationships/hyperlink" Target="https://es.aliexpress.com/item/1005006093156807.html?spm=a2g0o.order_detail.order_detail_item.2.ee1939d3iUoAgg&amp;gatewayAdapt=glo2esp" TargetMode="External"/><Relationship Id="rId4" Type="http://schemas.openxmlformats.org/officeDocument/2006/relationships/hyperlink" Target="https://es.aliexpress.com/item/1005005261897152.html?spm=a2g0o.order_detail.order_detail_item.2.735b39d3vpY36b&amp;gatewayAdapt=glo2esp" TargetMode="External"/><Relationship Id="rId9" Type="http://schemas.openxmlformats.org/officeDocument/2006/relationships/hyperlink" Target="https://es.aliexpress.com/item/1005005798324499.html?spm=a2g0o.order_detail.order_detail_item.2.64c439d3YJF4XH&amp;gatewayAdapt=glo2esp" TargetMode="External"/><Relationship Id="rId13" Type="http://schemas.openxmlformats.org/officeDocument/2006/relationships/hyperlink" Target="https://es.aliexpress.com/item/1005005941979335.html?spm=a2g0o.order_detail.order_detail_item.2.9a0339d3xaGjrW&amp;gatewayAdapt=glo2esp" TargetMode="External"/><Relationship Id="rId18" Type="http://schemas.openxmlformats.org/officeDocument/2006/relationships/hyperlink" Target="https://es.aliexpress.com/item/1005005842568892.html?spm=a2g0o.order_detail.order_detail_item.2.638539d38qPx13&amp;gatewayAdapt=glo2esp" TargetMode="External"/><Relationship Id="rId39" Type="http://schemas.openxmlformats.org/officeDocument/2006/relationships/hyperlink" Target="https://es.aliexpress.com/item/1005005492846040.html?spm=a2g0o.order_detail.order_detail_item.2.762f39d3l0Of6a&amp;gatewayAdapt=glo2esp" TargetMode="External"/><Relationship Id="rId34" Type="http://schemas.openxmlformats.org/officeDocument/2006/relationships/hyperlink" Target="https://es.aliexpress.com/item/1005006196222838.html?spm=a2g0o.order_detail.order_detail_item.2.73ef39d3FV9Efs&amp;gatewayAdapt=glo2esp" TargetMode="External"/><Relationship Id="rId50" Type="http://schemas.openxmlformats.org/officeDocument/2006/relationships/hyperlink" Target="https://es.aliexpress.com/item/1005006071860328.html?spm=a2g0o.order_detail.order_detail_item.2.404239d3pXmA9H&amp;gatewayAdapt=glo2esp" TargetMode="External"/><Relationship Id="rId55" Type="http://schemas.openxmlformats.org/officeDocument/2006/relationships/hyperlink" Target="https://es.aliexpress.com/item/1005006368335620.html?spm=a2g0o.order_detail.order_detail_item.2.386939d39hu3EC&amp;gatewayAdapt=glo2esp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3414V9EJnKJfQFSV5ymfGsaX1KXxRtDS/view?usp=drive_link" TargetMode="External"/><Relationship Id="rId21" Type="http://schemas.openxmlformats.org/officeDocument/2006/relationships/hyperlink" Target="https://drive.google.com/file/d/12svI5Oh2LbiN98IgpB8dkKawEfymGct2/view?usp=drive_link" TargetMode="External"/><Relationship Id="rId42" Type="http://schemas.openxmlformats.org/officeDocument/2006/relationships/hyperlink" Target="https://drive.google.com/file/d/13vszS5j0kZ0YsSaxBb5q9gdbcP_s1jVT/view?usp=drive_link" TargetMode="External"/><Relationship Id="rId47" Type="http://schemas.openxmlformats.org/officeDocument/2006/relationships/hyperlink" Target="https://drive.google.com/file/d/14ohRNC7pXA6MPHyxc2kLDIFPBxtTpe8S/view?usp=drive_link" TargetMode="External"/><Relationship Id="rId63" Type="http://schemas.openxmlformats.org/officeDocument/2006/relationships/hyperlink" Target="https://drive.google.com/file/d/13lFlq7Eow-skgPIykgCml1gmNqWvLuoT/view?usp=drive_link" TargetMode="External"/><Relationship Id="rId68" Type="http://schemas.openxmlformats.org/officeDocument/2006/relationships/hyperlink" Target="https://drive.google.com/file/d/16eUTY6wCJzqUf1G0OIpqK7Z54NHiIJv7/view?usp=drive_link" TargetMode="External"/><Relationship Id="rId84" Type="http://schemas.openxmlformats.org/officeDocument/2006/relationships/hyperlink" Target="https://drive.google.com/file/d/1SG5STrN6nlyTVVWSkQxY2BJbGdfUlhQU/view?usp=drive_link" TargetMode="External"/><Relationship Id="rId89" Type="http://schemas.openxmlformats.org/officeDocument/2006/relationships/hyperlink" Target="https://drive.google.com/file/d/16JWELQO9pYz17D9NN4v5KasPQID20yRp/view?usp=drive_link" TargetMode="External"/><Relationship Id="rId16" Type="http://schemas.openxmlformats.org/officeDocument/2006/relationships/hyperlink" Target="https://drive.google.com/file/d/12ci1OHIlDEkTGghOEMh6NWqPdV7nIyPd/view?usp=drive_link" TargetMode="External"/><Relationship Id="rId107" Type="http://schemas.openxmlformats.org/officeDocument/2006/relationships/hyperlink" Target="https://drive.google.com/file/d/16ZEhRn3n6dlbRHy9dGuDYVXGQlISz93f/view?usp=drive_link" TargetMode="External"/><Relationship Id="rId11" Type="http://schemas.openxmlformats.org/officeDocument/2006/relationships/hyperlink" Target="https://drive.google.com/file/d/1234sgCHMi8LTPnxpLs4LGiSNPDdkpMYk/view?usp=drive_link" TargetMode="External"/><Relationship Id="rId32" Type="http://schemas.openxmlformats.org/officeDocument/2006/relationships/hyperlink" Target="https://drive.google.com/file/d/13EOQ_YfpdtX1LsYu94AP6noh46E7Rup-/view?usp=drive_link" TargetMode="External"/><Relationship Id="rId37" Type="http://schemas.openxmlformats.org/officeDocument/2006/relationships/hyperlink" Target="https://drive.google.com/file/d/147XeaKVG823dNsfVj532Lwc-caZqzans/view?usp=drive_link" TargetMode="External"/><Relationship Id="rId53" Type="http://schemas.openxmlformats.org/officeDocument/2006/relationships/hyperlink" Target="https://drive.google.com/file/d/15OSj2bUIi3CZTw-L2GbE031V7pT4itRN/view?usp=drive_link" TargetMode="External"/><Relationship Id="rId58" Type="http://schemas.openxmlformats.org/officeDocument/2006/relationships/hyperlink" Target="https://drive.google.com/file/d/15hZOtCpfEMVPOo0CZdVCLKbXCQfuG2NO/view?usp=drive_link" TargetMode="External"/><Relationship Id="rId74" Type="http://schemas.openxmlformats.org/officeDocument/2006/relationships/hyperlink" Target="https://drive.google.com/file/d/16g6JELhIhoe-H-89sRRNDZEEMw338yys/view?usp=drive_link" TargetMode="External"/><Relationship Id="rId79" Type="http://schemas.openxmlformats.org/officeDocument/2006/relationships/hyperlink" Target="https://drive.google.com/file/d/16fRgjE70WzQsppUIms9mZfsgx4L1P7Ob/view?usp=drive_link" TargetMode="External"/><Relationship Id="rId102" Type="http://schemas.openxmlformats.org/officeDocument/2006/relationships/hyperlink" Target="https://drive.google.com/file/d/1LSoKwUyaAosXIga7ccBFME6piOROaqN4/view?usp=drive_link" TargetMode="External"/><Relationship Id="rId5" Type="http://schemas.openxmlformats.org/officeDocument/2006/relationships/hyperlink" Target="https://drive.google.com/file/d/11cJcuvM3-f5yXWDW4h3Eq9l7rPHBOiyL/view?usp=drive_link" TargetMode="External"/><Relationship Id="rId90" Type="http://schemas.openxmlformats.org/officeDocument/2006/relationships/hyperlink" Target="https://drive.google.com/file/d/1uIirgz1SXUZb0fCWCpZV3ovHD8yvqQLW/view?usp=drive_link" TargetMode="External"/><Relationship Id="rId95" Type="http://schemas.openxmlformats.org/officeDocument/2006/relationships/hyperlink" Target="https://drive.google.com/file/d/15GWYOOjpFYAI3xGunA3vf2Mu7rTpfkJR/view?usp=drive_link" TargetMode="External"/><Relationship Id="rId22" Type="http://schemas.openxmlformats.org/officeDocument/2006/relationships/hyperlink" Target="https://drive.google.com/file/d/12y-Ev5fzI_JANKFQy2NpHpP9oc4sHZYp/view?usp=drive_link" TargetMode="External"/><Relationship Id="rId27" Type="http://schemas.openxmlformats.org/officeDocument/2006/relationships/hyperlink" Target="https://drive.google.com/file/d/13Bm8VGigBZJPbR39SVctjndtiT-RekfA/view?usp=drive_link" TargetMode="External"/><Relationship Id="rId43" Type="http://schemas.openxmlformats.org/officeDocument/2006/relationships/hyperlink" Target="https://drive.google.com/file/d/13414V9EJnKJfQFSV5ymfGsaX1KXxRtDS/view?usp=drive_link" TargetMode="External"/><Relationship Id="rId48" Type="http://schemas.openxmlformats.org/officeDocument/2006/relationships/hyperlink" Target="https://drive.google.com/file/d/14ohRNC7pXA6MPHyxc2kLDIFPBxtTpe8S/view?usp=drive_link" TargetMode="External"/><Relationship Id="rId64" Type="http://schemas.openxmlformats.org/officeDocument/2006/relationships/hyperlink" Target="https://drive.google.com/file/d/16YFeofqZyekI2wT3coyCIJQhS3FP5R45/view?usp=drive_link" TargetMode="External"/><Relationship Id="rId69" Type="http://schemas.openxmlformats.org/officeDocument/2006/relationships/hyperlink" Target="https://drive.google.com/file/d/16CPv3O0w200uD11H8fyXJxwbLCNDhyVj/view?usp=drive_link" TargetMode="External"/><Relationship Id="rId80" Type="http://schemas.openxmlformats.org/officeDocument/2006/relationships/hyperlink" Target="https://drive.google.com/file/d/1QJ2LLZdHmVoI6aRx5eCDVZA-1f-d4LgI/view?usp=drive_link" TargetMode="External"/><Relationship Id="rId85" Type="http://schemas.openxmlformats.org/officeDocument/2006/relationships/hyperlink" Target="https://drive.google.com/file/d/1EYYJ4DZzSsXSnU748qGHcLBUo9ipT-yQ/view?usp=drive_link" TargetMode="External"/><Relationship Id="rId12" Type="http://schemas.openxmlformats.org/officeDocument/2006/relationships/hyperlink" Target="https://drive.google.com/file/d/128240NXtDa-diNWEhYZif4keX4tM_wP9/view?usp=drive_link" TargetMode="External"/><Relationship Id="rId17" Type="http://schemas.openxmlformats.org/officeDocument/2006/relationships/hyperlink" Target="https://drive.google.com/file/d/12Yg6pB339pzUWtF9IAwA3l0QexYSu49A/view?usp=drive_link" TargetMode="External"/><Relationship Id="rId33" Type="http://schemas.openxmlformats.org/officeDocument/2006/relationships/hyperlink" Target="https://drive.google.com/file/d/13EOQ_YfpdtX1LsYu94AP6noh46E7Rup-/view?usp=drive_link" TargetMode="External"/><Relationship Id="rId38" Type="http://schemas.openxmlformats.org/officeDocument/2006/relationships/hyperlink" Target="https://drive.google.com/file/d/142a-oH1WgyA4K2V1I8Nr0UPJ38ujk8tW/view?usp=drive_link" TargetMode="External"/><Relationship Id="rId59" Type="http://schemas.openxmlformats.org/officeDocument/2006/relationships/hyperlink" Target="https://drive.google.com/file/d/160xiK-FpUrS8TsrBY0zKJIhoEKCQ_N12/view?usp=drive_link" TargetMode="External"/><Relationship Id="rId103" Type="http://schemas.openxmlformats.org/officeDocument/2006/relationships/hyperlink" Target="https://drive.google.com/file/d/1ZcQ631R36G2ajWQ-g74yccDNpHF0e1Z4/view?usp=drive_link" TargetMode="External"/><Relationship Id="rId108" Type="http://schemas.openxmlformats.org/officeDocument/2006/relationships/image" Target="../media/image1.png"/><Relationship Id="rId20" Type="http://schemas.openxmlformats.org/officeDocument/2006/relationships/hyperlink" Target="https://drive.google.com/file/d/12oDOJPiwyRaQiNA9Id_BevGDpwudfKzN/view?usp=drive_link" TargetMode="External"/><Relationship Id="rId41" Type="http://schemas.openxmlformats.org/officeDocument/2006/relationships/hyperlink" Target="https://drive.google.com/file/d/13hzzWYpXbv85KuDZ5A3xI2tIIYZv-0fF/view?usp=drive_link" TargetMode="External"/><Relationship Id="rId54" Type="http://schemas.openxmlformats.org/officeDocument/2006/relationships/hyperlink" Target="https://drive.google.com/file/d/15aGF3quMEjg6YCT4hrnUGSTVhdbzhzKl/view?usp=drive_link" TargetMode="External"/><Relationship Id="rId62" Type="http://schemas.openxmlformats.org/officeDocument/2006/relationships/hyperlink" Target="https://drive.google.com/file/d/16VvH0nFs0DFk7dAywU3ad4FuusnphoBE/view?usp=drive_link" TargetMode="External"/><Relationship Id="rId70" Type="http://schemas.openxmlformats.org/officeDocument/2006/relationships/hyperlink" Target="https://drive.google.com/file/d/16CPv3O0w200uD11H8fyXJxwbLCNDhyVj/view?usp=drive_link" TargetMode="External"/><Relationship Id="rId75" Type="http://schemas.openxmlformats.org/officeDocument/2006/relationships/hyperlink" Target="https://drive.google.com/file/d/1jmTbcCH0XWmNrvGzOHY_8PWKIRv2M6c_/view?usp=drive_link" TargetMode="External"/><Relationship Id="rId83" Type="http://schemas.openxmlformats.org/officeDocument/2006/relationships/hyperlink" Target="https://drive.google.com/file/d/10bpAC7xN288f85NwFX7V9u47tKITm4xj/view?usp=drive_link" TargetMode="External"/><Relationship Id="rId88" Type="http://schemas.openxmlformats.org/officeDocument/2006/relationships/hyperlink" Target="https://drive.google.com/file/d/1yBs-pYQEnck1IF3ugeqMt0tQSoc0whgY/view?usp=drive_link" TargetMode="External"/><Relationship Id="rId91" Type="http://schemas.openxmlformats.org/officeDocument/2006/relationships/hyperlink" Target="https://drive.google.com/file/d/12aa-CtcS4hdKVlOprynMMRiwm_yzYBus/view?usp=drive_link" TargetMode="External"/><Relationship Id="rId96" Type="http://schemas.openxmlformats.org/officeDocument/2006/relationships/hyperlink" Target="https://drive.google.com/file/d/15GWYOOjpFYAI3xGunA3vf2Mu7rTpfkJR/view?usp=drive_link" TargetMode="External"/><Relationship Id="rId1" Type="http://schemas.openxmlformats.org/officeDocument/2006/relationships/hyperlink" Target="https://drive.google.com/file/d/111RvGzDfrzOyqOQzFeMaMYR6KoC43ShE/view?usp=drive_link" TargetMode="External"/><Relationship Id="rId6" Type="http://schemas.openxmlformats.org/officeDocument/2006/relationships/hyperlink" Target="https://drive.google.com/file/d/11bT9yhb5diOmnoZgLF3M063M3PBK5BZw/view?usp=drive_link" TargetMode="External"/><Relationship Id="rId15" Type="http://schemas.openxmlformats.org/officeDocument/2006/relationships/hyperlink" Target="https://drive.google.com/file/d/11QlPL93hsBWrBTjf3KzojRleiYFawsdU/view?usp=drive_link" TargetMode="External"/><Relationship Id="rId23" Type="http://schemas.openxmlformats.org/officeDocument/2006/relationships/hyperlink" Target="https://drive.google.com/file/d/12zSzwQYpGzNF8nV-p0Oo8EYlcz7hGFCU/view?usp=drive_link" TargetMode="External"/><Relationship Id="rId28" Type="http://schemas.openxmlformats.org/officeDocument/2006/relationships/hyperlink" Target="https://drive.google.com/file/d/13XqbTSDtHrsbAyZdvPV2MmrGkH4zyMFP/view?usp=drive_link" TargetMode="External"/><Relationship Id="rId36" Type="http://schemas.openxmlformats.org/officeDocument/2006/relationships/hyperlink" Target="https://drive.google.com/file/d/14CQg5VjUKCEe7klvSnU_RKlkYgEeYBfs/view?usp=drive_link" TargetMode="External"/><Relationship Id="rId49" Type="http://schemas.openxmlformats.org/officeDocument/2006/relationships/hyperlink" Target="https://drive.google.com/file/d/14bHW9bfJmSVTMx0yb4J-Np-jj5E_TUpF/view?usp=drive_link" TargetMode="External"/><Relationship Id="rId57" Type="http://schemas.openxmlformats.org/officeDocument/2006/relationships/hyperlink" Target="https://drive.google.com/file/d/15gdGlWy-d_CE39zlFs5ULaPLzdgrWtV4/view?usp=drive_link" TargetMode="External"/><Relationship Id="rId106" Type="http://schemas.openxmlformats.org/officeDocument/2006/relationships/hyperlink" Target="https://drive.google.com/file/d/1vcRGg5EvftRJmrwEjfQ1p9pH2YFEFFNp/view?usp=drive_link" TargetMode="External"/><Relationship Id="rId10" Type="http://schemas.openxmlformats.org/officeDocument/2006/relationships/hyperlink" Target="https://drive.google.com/file/d/125aOkAy-cX2NLXmzoSLyarvSVIUvTWM8/view?usp=drive_link" TargetMode="External"/><Relationship Id="rId31" Type="http://schemas.openxmlformats.org/officeDocument/2006/relationships/hyperlink" Target="https://drive.google.com/file/d/13EOQ_YfpdtX1LsYu94AP6noh46E7Rup-/view?usp=drive_link" TargetMode="External"/><Relationship Id="rId44" Type="http://schemas.openxmlformats.org/officeDocument/2006/relationships/hyperlink" Target="https://drive.google.com/file/d/134a1slP7cV35cR8enmwURWfW4KhBvA62/view?usp=drive_link" TargetMode="External"/><Relationship Id="rId52" Type="http://schemas.openxmlformats.org/officeDocument/2006/relationships/hyperlink" Target="https://drive.google.com/file/d/15AeOupL6idu_ZXCv16CoRXWdlohX-d9F/view?usp=drive_link" TargetMode="External"/><Relationship Id="rId60" Type="http://schemas.openxmlformats.org/officeDocument/2006/relationships/hyperlink" Target="https://drive.google.com/file/d/1651BrAjdja0Ss6fq-eQpvON0JQ5v4z_H/view?usp=drive_link" TargetMode="External"/><Relationship Id="rId65" Type="http://schemas.openxmlformats.org/officeDocument/2006/relationships/hyperlink" Target="https://drive.google.com/file/d/16ZEhRn3n6dlbRHy9dGuDYVXGQlISz93f/view?usp=drive_link" TargetMode="External"/><Relationship Id="rId73" Type="http://schemas.openxmlformats.org/officeDocument/2006/relationships/hyperlink" Target="https://drive.google.com/file/d/16fRgjE70WzQsppUIms9mZfsgx4L1P7Ob/view?usp=drive_link" TargetMode="External"/><Relationship Id="rId78" Type="http://schemas.openxmlformats.org/officeDocument/2006/relationships/hyperlink" Target="https://drive.google.com/file/d/1gcKi2AP2WwoifZoJBEs2hdGlPH7xP5xE/view?usp=drive_link" TargetMode="External"/><Relationship Id="rId81" Type="http://schemas.openxmlformats.org/officeDocument/2006/relationships/hyperlink" Target="https://drive.google.com/file/d/10Xg-jBtqtD2ygfNh8ceWSTeVUYB27-uI/view?usp=drive_link" TargetMode="External"/><Relationship Id="rId86" Type="http://schemas.openxmlformats.org/officeDocument/2006/relationships/hyperlink" Target="https://drive.google.com/file/d/11reIyIKg5ipjU4iEBig6P9307vog8wvO/view?usp=drive_link" TargetMode="External"/><Relationship Id="rId94" Type="http://schemas.openxmlformats.org/officeDocument/2006/relationships/hyperlink" Target="https://drive.google.com/file/d/16VMC6JKmLcGzwre7B38AbY6xNeXrMle8/view?usp=drive_link" TargetMode="External"/><Relationship Id="rId99" Type="http://schemas.openxmlformats.org/officeDocument/2006/relationships/hyperlink" Target="https://drive.google.com/file/d/19flrEm5a-KdSopHj_dlFEX9QkPgmf5Oa/view?usp=drive_link" TargetMode="External"/><Relationship Id="rId101" Type="http://schemas.openxmlformats.org/officeDocument/2006/relationships/hyperlink" Target="https://drive.google.com/file/d/16ZEhRn3n6dlbRHy9dGuDYVXGQlISz93f/view?usp=drive_link" TargetMode="External"/><Relationship Id="rId4" Type="http://schemas.openxmlformats.org/officeDocument/2006/relationships/hyperlink" Target="https://drive.google.com/file/d/11QlPL93hsBWrBTjf3KzojRleiYFawsdU/view?usp=drive_link" TargetMode="External"/><Relationship Id="rId9" Type="http://schemas.openxmlformats.org/officeDocument/2006/relationships/hyperlink" Target="https://drive.google.com/file/d/10faCxTStkAp5-9ULIk_PmrmD_mJz3mB6/view?usp=drive_link" TargetMode="External"/><Relationship Id="rId13" Type="http://schemas.openxmlformats.org/officeDocument/2006/relationships/hyperlink" Target="https://drive.google.com/file/d/12L_B1I66_Tg8WGyLOlNkn0xutg74jQvv/view?usp=drive_link" TargetMode="External"/><Relationship Id="rId18" Type="http://schemas.openxmlformats.org/officeDocument/2006/relationships/hyperlink" Target="https://drive.google.com/file/d/12mokFxlXqKDABmWg1kE12Bza3yDF5Exj/view?usp=drive_link" TargetMode="External"/><Relationship Id="rId39" Type="http://schemas.openxmlformats.org/officeDocument/2006/relationships/hyperlink" Target="https://drive.google.com/file/d/13lFlq7Eow-skgPIykgCml1gmNqWvLuoT/view?usp=drive_link" TargetMode="External"/><Relationship Id="rId34" Type="http://schemas.openxmlformats.org/officeDocument/2006/relationships/hyperlink" Target="https://drive.google.com/file/d/13c4JpuuCpVT9wNnsuvZ_VykwcH5gFoJv/view?usp=drive_link" TargetMode="External"/><Relationship Id="rId50" Type="http://schemas.openxmlformats.org/officeDocument/2006/relationships/hyperlink" Target="https://drive.google.com/file/d/12zSzwQYpGzNF8nV-p0Oo8EYlcz7hGFCU/view?usp=drive_link" TargetMode="External"/><Relationship Id="rId55" Type="http://schemas.openxmlformats.org/officeDocument/2006/relationships/hyperlink" Target="https://drive.google.com/file/d/15c8BmQ8KYClCAPG1WxBnDgNarXurIjpm/view?usp=drive_link" TargetMode="External"/><Relationship Id="rId76" Type="http://schemas.openxmlformats.org/officeDocument/2006/relationships/hyperlink" Target="https://drive.google.com/file/d/1yySIl0gXQT-i8SWDy0F5nRYH_opMCoch/view?usp=drive_link" TargetMode="External"/><Relationship Id="rId97" Type="http://schemas.openxmlformats.org/officeDocument/2006/relationships/hyperlink" Target="https://drive.google.com/file/d/1kMgA4V7uAQ2z3ADXpgZTaLxmxJ620rb7/view?usp=drive_link" TargetMode="External"/><Relationship Id="rId104" Type="http://schemas.openxmlformats.org/officeDocument/2006/relationships/hyperlink" Target="https://drive.google.com/file/d/1xo7vIT8UqUN0UATWQSQeqsirt1CpszzP/view?usp=drive_link" TargetMode="External"/><Relationship Id="rId7" Type="http://schemas.openxmlformats.org/officeDocument/2006/relationships/hyperlink" Target="https://drive.google.com/file/d/11h6HCDFD93Iq-FnqomhJQbc_0v4gQ9jg/view?usp=drive_link" TargetMode="External"/><Relationship Id="rId71" Type="http://schemas.openxmlformats.org/officeDocument/2006/relationships/hyperlink" Target="https://drive.google.com/file/d/16CPv3O0w200uD11H8fyXJxwbLCNDhyVj/view?usp=drive_link" TargetMode="External"/><Relationship Id="rId92" Type="http://schemas.openxmlformats.org/officeDocument/2006/relationships/hyperlink" Target="https://drive.google.com/file/d/1A-UI8bYk3tBgrR6Gyb6Jt2r_AW63I3or/view?usp=drive_link" TargetMode="External"/><Relationship Id="rId2" Type="http://schemas.openxmlformats.org/officeDocument/2006/relationships/hyperlink" Target="https://drive.google.com/file/d/11Sb2sWYEma9B2z4e8ebA5rczNPgbO7bX/view?usp=drive_link" TargetMode="External"/><Relationship Id="rId29" Type="http://schemas.openxmlformats.org/officeDocument/2006/relationships/hyperlink" Target="https://drive.google.com/file/d/13XqbTSDtHrsbAyZdvPV2MmrGkH4zyMFP/view?usp=drive_link" TargetMode="External"/><Relationship Id="rId24" Type="http://schemas.openxmlformats.org/officeDocument/2006/relationships/hyperlink" Target="https://drive.google.com/file/d/12yUQyCQE-68iTPe6-v0YQyEvXAgFhQtV/view?usp=drive_link" TargetMode="External"/><Relationship Id="rId40" Type="http://schemas.openxmlformats.org/officeDocument/2006/relationships/hyperlink" Target="https://drive.google.com/file/d/13hzzWYpXbv85KuDZ5A3xI2tIIYZv-0fF/view?usp=drive_link" TargetMode="External"/><Relationship Id="rId45" Type="http://schemas.openxmlformats.org/officeDocument/2006/relationships/hyperlink" Target="https://drive.google.com/file/d/13c4JpuuCpVT9wNnsuvZ_VykwcH5gFoJv/view?usp=drive_link" TargetMode="External"/><Relationship Id="rId66" Type="http://schemas.openxmlformats.org/officeDocument/2006/relationships/hyperlink" Target="https://drive.google.com/file/d/16ZHfCzFUTqTLdAg7aOAZD4skquFk2mo-/view?usp=drive_link" TargetMode="External"/><Relationship Id="rId87" Type="http://schemas.openxmlformats.org/officeDocument/2006/relationships/hyperlink" Target="https://drive.google.com/file/d/1NVx4cTVDodihQ6B1Gc-rMyKNFbCgwtb_/view?usp=drive_link" TargetMode="External"/><Relationship Id="rId61" Type="http://schemas.openxmlformats.org/officeDocument/2006/relationships/hyperlink" Target="https://drive.google.com/file/d/16JxhRgY1rZ-aQkgfuaj3RRkqEzrIxhHX/view?usp=drive_link" TargetMode="External"/><Relationship Id="rId82" Type="http://schemas.openxmlformats.org/officeDocument/2006/relationships/hyperlink" Target="https://drive.google.com/file/d/10Xg-jBtqtD2ygfNh8ceWSTeVUYB27-uI/view?usp=drive_link" TargetMode="External"/><Relationship Id="rId19" Type="http://schemas.openxmlformats.org/officeDocument/2006/relationships/hyperlink" Target="https://drive.google.com/file/d/12mokFxlXqKDABmWg1kE12Bza3yDF5Exj/view?usp=drive_link" TargetMode="External"/><Relationship Id="rId14" Type="http://schemas.openxmlformats.org/officeDocument/2006/relationships/hyperlink" Target="https://drive.google.com/file/d/11QlPL93hsBWrBTjf3KzojRleiYFawsdU/view?usp=drive_link" TargetMode="External"/><Relationship Id="rId30" Type="http://schemas.openxmlformats.org/officeDocument/2006/relationships/hyperlink" Target="https://drive.google.com/file/d/13XqbTSDtHrsbAyZdvPV2MmrGkH4zyMFP/view?usp=drive_link" TargetMode="External"/><Relationship Id="rId35" Type="http://schemas.openxmlformats.org/officeDocument/2006/relationships/hyperlink" Target="https://drive.google.com/file/d/13c4JpuuCpVT9wNnsuvZ_VykwcH5gFoJv/view?usp=drive_link" TargetMode="External"/><Relationship Id="rId56" Type="http://schemas.openxmlformats.org/officeDocument/2006/relationships/hyperlink" Target="https://drive.google.com/file/d/14sdffZaQaAPHIKMqD-dViIIlmOyHJ9r3/view?usp=drive_link" TargetMode="External"/><Relationship Id="rId77" Type="http://schemas.openxmlformats.org/officeDocument/2006/relationships/hyperlink" Target="https://drive.google.com/file/d/17Y0BKZBJ_a7xQLXYuMYdsNuXPYHm8iTC/view?usp=drive_link" TargetMode="External"/><Relationship Id="rId100" Type="http://schemas.openxmlformats.org/officeDocument/2006/relationships/hyperlink" Target="https://drive.google.com/file/d/115xj0fbjQR3UVP5Xbp16PZ5OdEca4Ubg/view?usp=drive_link" TargetMode="External"/><Relationship Id="rId105" Type="http://schemas.openxmlformats.org/officeDocument/2006/relationships/hyperlink" Target="https://drive.google.com/file/d/1vcRGg5EvftRJmrwEjfQ1p9pH2YFEFFNp/view?usp=drive_link" TargetMode="External"/><Relationship Id="rId8" Type="http://schemas.openxmlformats.org/officeDocument/2006/relationships/hyperlink" Target="https://drive.google.com/file/d/11pGIw3iYLjpRxmVLJZxwkKpuLxmt0Vc8/view?usp=drive_link" TargetMode="External"/><Relationship Id="rId51" Type="http://schemas.openxmlformats.org/officeDocument/2006/relationships/hyperlink" Target="https://drive.google.com/file/d/1567T5xgMNTgr28mVQ8q-e7Og9-5Wg_h6/view?usp=drive_link" TargetMode="External"/><Relationship Id="rId72" Type="http://schemas.openxmlformats.org/officeDocument/2006/relationships/hyperlink" Target="https://drive.google.com/file/d/160xiK-FpUrS8TsrBY0zKJIhoEKCQ_N12/view?usp=drive_link" TargetMode="External"/><Relationship Id="rId93" Type="http://schemas.openxmlformats.org/officeDocument/2006/relationships/hyperlink" Target="https://drive.google.com/file/d/11Sb2sWYEma9B2z4e8ebA5rczNPgbO7bX/view?usp=drive_link" TargetMode="External"/><Relationship Id="rId98" Type="http://schemas.openxmlformats.org/officeDocument/2006/relationships/hyperlink" Target="https://drive.google.com/file/d/1gcKi2AP2WwoifZoJBEs2hdGlPH7xP5xE/view?usp=drive_link" TargetMode="External"/><Relationship Id="rId3" Type="http://schemas.openxmlformats.org/officeDocument/2006/relationships/hyperlink" Target="https://drive.google.com/file/d/11QlPL93hsBWrBTjf3KzojRleiYFawsdU/view?usp=drive_link" TargetMode="External"/><Relationship Id="rId25" Type="http://schemas.openxmlformats.org/officeDocument/2006/relationships/hyperlink" Target="https://drive.google.com/file/d/135O8zs7zAPwtT1SDe8Hpu3ZM7YgoD8n7/view?usp=drive_link" TargetMode="External"/><Relationship Id="rId46" Type="http://schemas.openxmlformats.org/officeDocument/2006/relationships/hyperlink" Target="https://drive.google.com/file/d/132Fs_n5MzBViHDrIcatEZoXgj0hiIaLE/view?usp=drive_link" TargetMode="External"/><Relationship Id="rId67" Type="http://schemas.openxmlformats.org/officeDocument/2006/relationships/hyperlink" Target="https://drive.google.com/file/d/166IgJ6s9smorN4_uCC0cn7byg9hB8k0G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9"/>
  <sheetViews>
    <sheetView tabSelected="1" topLeftCell="B1" zoomScaleNormal="100" workbookViewId="0">
      <pane ySplit="1" topLeftCell="A2" activePane="bottomLeft" state="frozen"/>
      <selection pane="bottomLeft" activeCell="U2" sqref="U2"/>
    </sheetView>
  </sheetViews>
  <sheetFormatPr baseColWidth="10" defaultColWidth="10.69921875" defaultRowHeight="15.6" x14ac:dyDescent="0.3"/>
  <cols>
    <col min="1" max="1" width="33.69921875" style="19" customWidth="1"/>
    <col min="2" max="2" width="4.296875" style="19" bestFit="1" customWidth="1"/>
    <col min="3" max="3" width="8.59765625" style="19" bestFit="1" customWidth="1"/>
    <col min="4" max="4" width="6.09765625" style="19" bestFit="1" customWidth="1"/>
    <col min="5" max="5" width="8.296875" style="19" bestFit="1" customWidth="1"/>
    <col min="6" max="6" width="8.59765625" style="19" bestFit="1" customWidth="1"/>
    <col min="7" max="7" width="9.19921875" style="19" bestFit="1" customWidth="1"/>
    <col min="8" max="8" width="5.8984375" style="19" bestFit="1" customWidth="1"/>
    <col min="9" max="9" width="8.3984375" style="19" bestFit="1" customWidth="1"/>
    <col min="10" max="10" width="8.09765625" style="19" bestFit="1" customWidth="1"/>
    <col min="11" max="11" width="8.69921875" style="19" bestFit="1" customWidth="1"/>
    <col min="12" max="12" width="4.296875" style="19" bestFit="1" customWidth="1"/>
    <col min="13" max="13" width="7.59765625" style="19" bestFit="1" customWidth="1"/>
    <col min="14" max="14" width="6.59765625" style="19" bestFit="1" customWidth="1"/>
    <col min="15" max="15" width="7" style="19" bestFit="1" customWidth="1"/>
    <col min="16" max="16" width="4.3984375" style="19" bestFit="1" customWidth="1"/>
    <col min="17" max="17" width="9.19921875" style="19" bestFit="1" customWidth="1"/>
    <col min="18" max="18" width="10.69921875" style="19"/>
    <col min="19" max="19" width="10.19921875" style="19" bestFit="1" customWidth="1"/>
    <col min="20" max="20" width="10.19921875" style="19" customWidth="1"/>
    <col min="21" max="21" width="11.796875" style="19" bestFit="1" customWidth="1"/>
    <col min="22" max="16384" width="10.69921875" style="19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256</v>
      </c>
      <c r="U1" s="1" t="s">
        <v>19</v>
      </c>
    </row>
    <row r="2" spans="1:21" ht="46.8" x14ac:dyDescent="0.3">
      <c r="A2" s="3" t="s">
        <v>188</v>
      </c>
      <c r="B2" s="4">
        <v>1</v>
      </c>
      <c r="C2" s="5">
        <v>125</v>
      </c>
      <c r="D2" s="6">
        <f t="shared" ref="D2:D38" si="0">(((C2-F2)*100)/C2)/100</f>
        <v>0.48808000000000001</v>
      </c>
      <c r="E2" s="7">
        <v>0</v>
      </c>
      <c r="F2" s="7">
        <v>63.99</v>
      </c>
      <c r="G2" s="8">
        <f t="shared" ref="G2" si="1">B2*F2</f>
        <v>63.99</v>
      </c>
      <c r="H2" s="7">
        <v>0</v>
      </c>
      <c r="I2" s="7">
        <f>0.06/6</f>
        <v>0.01</v>
      </c>
      <c r="J2" s="20">
        <v>45312</v>
      </c>
      <c r="K2" s="20">
        <v>45358</v>
      </c>
      <c r="L2" s="5"/>
      <c r="M2" s="7">
        <v>17.04</v>
      </c>
      <c r="N2" s="5"/>
      <c r="O2" s="9">
        <v>0</v>
      </c>
      <c r="P2" s="4">
        <v>1</v>
      </c>
      <c r="Q2" s="8">
        <f t="shared" ref="Q2" si="2">F2+(I2/B2)-(O2/B2)</f>
        <v>64</v>
      </c>
      <c r="R2" s="10"/>
      <c r="S2" s="9">
        <f>SUM(O2:O125)</f>
        <v>285.60480000000001</v>
      </c>
      <c r="T2" s="8">
        <f>B2*Q2</f>
        <v>64</v>
      </c>
      <c r="U2" s="11">
        <f>SUM(T2:T125)</f>
        <v>10627.132833333333</v>
      </c>
    </row>
    <row r="3" spans="1:21" ht="31.2" x14ac:dyDescent="0.3">
      <c r="A3" s="3" t="s">
        <v>189</v>
      </c>
      <c r="B3" s="4">
        <v>2</v>
      </c>
      <c r="C3" s="5">
        <v>130</v>
      </c>
      <c r="D3" s="6">
        <f t="shared" si="0"/>
        <v>0.47684615384615375</v>
      </c>
      <c r="E3" s="7">
        <v>0</v>
      </c>
      <c r="F3" s="7">
        <v>68.010000000000005</v>
      </c>
      <c r="G3" s="8">
        <f t="shared" ref="G3:G9" si="3">B3*F3</f>
        <v>136.02000000000001</v>
      </c>
      <c r="H3" s="7">
        <v>0</v>
      </c>
      <c r="I3" s="7">
        <f>0.06/6</f>
        <v>0.01</v>
      </c>
      <c r="J3" s="20">
        <v>45312</v>
      </c>
      <c r="K3" s="20">
        <v>45358</v>
      </c>
      <c r="L3" s="5"/>
      <c r="M3" s="7">
        <v>17.04</v>
      </c>
      <c r="N3" s="5"/>
      <c r="O3" s="9">
        <v>0</v>
      </c>
      <c r="P3" s="4">
        <v>1</v>
      </c>
      <c r="Q3" s="8">
        <f t="shared" ref="Q3:Q9" si="4">F3+(I3/B3)-(O3/B3)</f>
        <v>68.015000000000001</v>
      </c>
      <c r="R3" s="10"/>
      <c r="S3" s="9"/>
      <c r="T3" s="8">
        <f t="shared" ref="T3:T66" si="5">B3*Q3</f>
        <v>136.03</v>
      </c>
      <c r="U3" s="11"/>
    </row>
    <row r="4" spans="1:21" ht="46.8" x14ac:dyDescent="0.3">
      <c r="A4" s="3" t="s">
        <v>192</v>
      </c>
      <c r="B4" s="4">
        <v>1</v>
      </c>
      <c r="C4" s="5">
        <v>120</v>
      </c>
      <c r="D4" s="6">
        <f t="shared" si="0"/>
        <v>0.52283333333333326</v>
      </c>
      <c r="E4" s="7">
        <v>0</v>
      </c>
      <c r="F4" s="7">
        <v>57.26</v>
      </c>
      <c r="G4" s="8">
        <f t="shared" si="3"/>
        <v>57.26</v>
      </c>
      <c r="H4" s="7">
        <v>0</v>
      </c>
      <c r="I4" s="7">
        <f>0.06/6</f>
        <v>0.01</v>
      </c>
      <c r="J4" s="20">
        <v>45312</v>
      </c>
      <c r="K4" s="20">
        <v>45358</v>
      </c>
      <c r="L4" s="5"/>
      <c r="M4" s="7">
        <v>17.04</v>
      </c>
      <c r="N4" s="5"/>
      <c r="O4" s="9">
        <v>0</v>
      </c>
      <c r="P4" s="4">
        <v>1</v>
      </c>
      <c r="Q4" s="8">
        <f t="shared" si="4"/>
        <v>57.269999999999996</v>
      </c>
      <c r="R4" s="10"/>
      <c r="S4" s="9"/>
      <c r="T4" s="8">
        <f t="shared" si="5"/>
        <v>57.269999999999996</v>
      </c>
      <c r="U4" s="11"/>
    </row>
    <row r="5" spans="1:21" ht="46.8" x14ac:dyDescent="0.3">
      <c r="A5" s="3" t="s">
        <v>190</v>
      </c>
      <c r="B5" s="4">
        <v>1</v>
      </c>
      <c r="C5" s="5">
        <v>120</v>
      </c>
      <c r="D5" s="6">
        <f t="shared" si="0"/>
        <v>0.48616666666666669</v>
      </c>
      <c r="E5" s="7">
        <v>0</v>
      </c>
      <c r="F5" s="7">
        <v>61.66</v>
      </c>
      <c r="G5" s="8">
        <f t="shared" si="3"/>
        <v>61.66</v>
      </c>
      <c r="H5" s="7">
        <v>0</v>
      </c>
      <c r="I5" s="7">
        <f>0.06/6</f>
        <v>0.01</v>
      </c>
      <c r="J5" s="20">
        <v>45312</v>
      </c>
      <c r="K5" s="20">
        <v>45358</v>
      </c>
      <c r="L5" s="5"/>
      <c r="M5" s="7">
        <v>17.04</v>
      </c>
      <c r="N5" s="5"/>
      <c r="O5" s="9">
        <v>0</v>
      </c>
      <c r="P5" s="4">
        <v>1</v>
      </c>
      <c r="Q5" s="8">
        <f t="shared" si="4"/>
        <v>61.669999999999995</v>
      </c>
      <c r="R5" s="10"/>
      <c r="S5" s="9"/>
      <c r="T5" s="8">
        <f t="shared" si="5"/>
        <v>61.669999999999995</v>
      </c>
      <c r="U5" s="11"/>
    </row>
    <row r="6" spans="1:21" ht="46.8" x14ac:dyDescent="0.3">
      <c r="A6" s="3" t="s">
        <v>191</v>
      </c>
      <c r="B6" s="4">
        <v>1</v>
      </c>
      <c r="C6" s="5">
        <v>160</v>
      </c>
      <c r="D6" s="6">
        <f t="shared" si="0"/>
        <v>0.49556250000000007</v>
      </c>
      <c r="E6" s="7">
        <v>0</v>
      </c>
      <c r="F6" s="7">
        <v>80.709999999999994</v>
      </c>
      <c r="G6" s="8">
        <f t="shared" si="3"/>
        <v>80.709999999999994</v>
      </c>
      <c r="H6" s="7">
        <v>0</v>
      </c>
      <c r="I6" s="7">
        <f>0.06/6</f>
        <v>0.01</v>
      </c>
      <c r="J6" s="20">
        <v>45312</v>
      </c>
      <c r="K6" s="20">
        <v>45358</v>
      </c>
      <c r="L6" s="5"/>
      <c r="M6" s="7">
        <v>17.04</v>
      </c>
      <c r="N6" s="5"/>
      <c r="O6" s="9">
        <v>0</v>
      </c>
      <c r="P6" s="4">
        <v>1</v>
      </c>
      <c r="Q6" s="8">
        <f t="shared" si="4"/>
        <v>80.72</v>
      </c>
      <c r="R6" s="10"/>
      <c r="S6" s="9"/>
      <c r="T6" s="8">
        <f t="shared" si="5"/>
        <v>80.72</v>
      </c>
      <c r="U6" s="11"/>
    </row>
    <row r="7" spans="1:21" ht="31.2" x14ac:dyDescent="0.3">
      <c r="A7" s="3" t="s">
        <v>193</v>
      </c>
      <c r="B7" s="4">
        <v>2</v>
      </c>
      <c r="C7" s="5">
        <v>508.42</v>
      </c>
      <c r="D7" s="6">
        <f t="shared" si="0"/>
        <v>0.84223673340938587</v>
      </c>
      <c r="E7" s="7">
        <v>0</v>
      </c>
      <c r="F7" s="7">
        <v>80.209999999999994</v>
      </c>
      <c r="G7" s="8">
        <f t="shared" si="3"/>
        <v>160.41999999999999</v>
      </c>
      <c r="H7" s="7">
        <v>0</v>
      </c>
      <c r="I7" s="7">
        <f>0.02/2</f>
        <v>0.01</v>
      </c>
      <c r="J7" s="20">
        <v>45312</v>
      </c>
      <c r="K7" s="20">
        <v>45358</v>
      </c>
      <c r="L7" s="5"/>
      <c r="M7" s="7">
        <v>17.04</v>
      </c>
      <c r="N7" s="5"/>
      <c r="O7" s="9">
        <v>0</v>
      </c>
      <c r="P7" s="4">
        <v>3</v>
      </c>
      <c r="Q7" s="8">
        <f t="shared" si="4"/>
        <v>80.214999999999989</v>
      </c>
      <c r="R7" s="10" t="s">
        <v>194</v>
      </c>
      <c r="S7" s="9"/>
      <c r="T7" s="8">
        <f t="shared" si="5"/>
        <v>160.42999999999998</v>
      </c>
      <c r="U7" s="11"/>
    </row>
    <row r="8" spans="1:21" ht="46.8" x14ac:dyDescent="0.3">
      <c r="A8" s="3" t="s">
        <v>195</v>
      </c>
      <c r="B8" s="4">
        <v>2</v>
      </c>
      <c r="C8" s="5">
        <v>270</v>
      </c>
      <c r="D8" s="6">
        <f t="shared" si="0"/>
        <v>0.62451851851851847</v>
      </c>
      <c r="E8" s="7">
        <v>0</v>
      </c>
      <c r="F8" s="7">
        <v>101.38</v>
      </c>
      <c r="G8" s="8">
        <f t="shared" si="3"/>
        <v>202.76</v>
      </c>
      <c r="H8" s="7">
        <v>0</v>
      </c>
      <c r="I8" s="7">
        <f>0.02/2</f>
        <v>0.01</v>
      </c>
      <c r="J8" s="20">
        <v>45312</v>
      </c>
      <c r="K8" s="20">
        <v>45358</v>
      </c>
      <c r="L8" s="5"/>
      <c r="M8" s="7">
        <v>17.04</v>
      </c>
      <c r="N8" s="5"/>
      <c r="O8" s="9">
        <v>0</v>
      </c>
      <c r="P8" s="4">
        <v>8</v>
      </c>
      <c r="Q8" s="8">
        <f t="shared" si="4"/>
        <v>101.38499999999999</v>
      </c>
      <c r="R8" s="10"/>
      <c r="S8" s="9"/>
      <c r="T8" s="8">
        <f t="shared" si="5"/>
        <v>202.76999999999998</v>
      </c>
      <c r="U8" s="11"/>
    </row>
    <row r="9" spans="1:21" ht="46.8" x14ac:dyDescent="0.3">
      <c r="A9" s="3" t="s">
        <v>196</v>
      </c>
      <c r="B9" s="4">
        <v>1</v>
      </c>
      <c r="C9" s="5">
        <v>350</v>
      </c>
      <c r="D9" s="6">
        <f t="shared" si="0"/>
        <v>0.59882857142857138</v>
      </c>
      <c r="E9" s="7">
        <v>0</v>
      </c>
      <c r="F9" s="7">
        <v>140.41</v>
      </c>
      <c r="G9" s="8">
        <f t="shared" si="3"/>
        <v>140.41</v>
      </c>
      <c r="H9" s="7">
        <v>0</v>
      </c>
      <c r="I9" s="7">
        <v>0.01</v>
      </c>
      <c r="J9" s="20">
        <v>45312</v>
      </c>
      <c r="K9" s="20">
        <v>45358</v>
      </c>
      <c r="L9" s="5"/>
      <c r="M9" s="7">
        <v>17.04</v>
      </c>
      <c r="N9" s="5"/>
      <c r="O9" s="9">
        <v>0</v>
      </c>
      <c r="P9" s="4">
        <v>1</v>
      </c>
      <c r="Q9" s="8">
        <f t="shared" si="4"/>
        <v>140.41999999999999</v>
      </c>
      <c r="R9" s="10"/>
      <c r="S9" s="9"/>
      <c r="T9" s="8">
        <f t="shared" si="5"/>
        <v>140.41999999999999</v>
      </c>
      <c r="U9" s="11"/>
    </row>
    <row r="10" spans="1:21" ht="46.8" x14ac:dyDescent="0.3">
      <c r="A10" s="3" t="s">
        <v>233</v>
      </c>
      <c r="B10" s="4">
        <v>1</v>
      </c>
      <c r="C10" s="5">
        <v>335.88</v>
      </c>
      <c r="D10" s="6">
        <f t="shared" ref="D10" si="6">(((C10-F10)*100)/C10)/100</f>
        <v>0.74886179587948076</v>
      </c>
      <c r="E10" s="7">
        <v>4.93</v>
      </c>
      <c r="F10" s="7">
        <f>E10*M10</f>
        <v>84.352299999999985</v>
      </c>
      <c r="G10" s="8">
        <f t="shared" ref="G10" si="7">B10*F10</f>
        <v>84.352299999999985</v>
      </c>
      <c r="H10" s="7">
        <v>0</v>
      </c>
      <c r="I10" s="7">
        <v>0.01</v>
      </c>
      <c r="J10" s="20">
        <v>45312</v>
      </c>
      <c r="K10" s="20">
        <v>45361</v>
      </c>
      <c r="L10" s="5"/>
      <c r="M10" s="26">
        <v>17.11</v>
      </c>
      <c r="N10" s="5">
        <f>0.13/2</f>
        <v>6.5000000000000002E-2</v>
      </c>
      <c r="O10" s="9">
        <f>N10*M10</f>
        <v>1.11215</v>
      </c>
      <c r="P10" s="4">
        <v>1</v>
      </c>
      <c r="Q10" s="8">
        <f t="shared" ref="Q10" si="8">F10+(I10/B10)-(O10/B10)</f>
        <v>83.250149999999991</v>
      </c>
      <c r="R10" s="10" t="s">
        <v>232</v>
      </c>
      <c r="S10" s="9"/>
      <c r="T10" s="8">
        <f t="shared" si="5"/>
        <v>83.250149999999991</v>
      </c>
      <c r="U10" s="11"/>
    </row>
    <row r="11" spans="1:21" ht="46.8" x14ac:dyDescent="0.3">
      <c r="A11" s="3" t="s">
        <v>240</v>
      </c>
      <c r="B11" s="4">
        <v>1</v>
      </c>
      <c r="C11" s="5">
        <v>122.39</v>
      </c>
      <c r="D11" s="6">
        <f t="shared" ref="D11:D14" si="9">(((C11-F11)*100)/C11)/100</f>
        <v>0.76513767464662152</v>
      </c>
      <c r="E11" s="7">
        <v>1.68</v>
      </c>
      <c r="F11" s="7">
        <f t="shared" ref="F11:F14" si="10">E11*M11</f>
        <v>28.744799999999998</v>
      </c>
      <c r="G11" s="8">
        <f t="shared" ref="G11:G14" si="11">B11*F11</f>
        <v>28.744799999999998</v>
      </c>
      <c r="H11" s="7">
        <v>0</v>
      </c>
      <c r="I11" s="7">
        <v>0.01</v>
      </c>
      <c r="J11" s="20">
        <v>45312</v>
      </c>
      <c r="K11" s="20">
        <v>45358</v>
      </c>
      <c r="L11" s="5"/>
      <c r="M11" s="26">
        <v>17.11</v>
      </c>
      <c r="N11" s="5">
        <f>0.13/2</f>
        <v>6.5000000000000002E-2</v>
      </c>
      <c r="O11" s="9">
        <f>N11*M11</f>
        <v>1.11215</v>
      </c>
      <c r="P11" s="4">
        <v>1</v>
      </c>
      <c r="Q11" s="8">
        <f t="shared" ref="Q11:Q14" si="12">F11+(I11/B11)-(O11/B11)</f>
        <v>27.64265</v>
      </c>
      <c r="R11" s="10" t="s">
        <v>234</v>
      </c>
      <c r="S11" s="9"/>
      <c r="T11" s="8">
        <f t="shared" si="5"/>
        <v>27.64265</v>
      </c>
      <c r="U11" s="11"/>
    </row>
    <row r="12" spans="1:21" ht="46.8" x14ac:dyDescent="0.3">
      <c r="A12" s="3" t="s">
        <v>236</v>
      </c>
      <c r="B12" s="4">
        <v>2</v>
      </c>
      <c r="C12" s="5">
        <v>286.62</v>
      </c>
      <c r="D12" s="6">
        <f t="shared" si="9"/>
        <v>0.7086846695973763</v>
      </c>
      <c r="E12" s="7">
        <v>4.88</v>
      </c>
      <c r="F12" s="7">
        <f t="shared" si="10"/>
        <v>83.496799999999993</v>
      </c>
      <c r="G12" s="8">
        <f t="shared" si="11"/>
        <v>166.99359999999999</v>
      </c>
      <c r="H12" s="7">
        <v>0</v>
      </c>
      <c r="I12" s="7">
        <v>0.01</v>
      </c>
      <c r="J12" s="20">
        <v>45312</v>
      </c>
      <c r="K12" s="20">
        <v>45358</v>
      </c>
      <c r="L12" s="5"/>
      <c r="M12" s="26">
        <v>17.11</v>
      </c>
      <c r="N12" s="5">
        <v>0.2</v>
      </c>
      <c r="O12" s="9">
        <f t="shared" ref="O12:O14" si="13">N12*M12</f>
        <v>3.4220000000000002</v>
      </c>
      <c r="P12" s="4">
        <v>1</v>
      </c>
      <c r="Q12" s="8">
        <f t="shared" si="12"/>
        <v>81.79079999999999</v>
      </c>
      <c r="R12" s="10" t="s">
        <v>235</v>
      </c>
      <c r="S12" s="9"/>
      <c r="T12" s="8">
        <f t="shared" si="5"/>
        <v>163.58159999999998</v>
      </c>
      <c r="U12" s="11"/>
    </row>
    <row r="13" spans="1:21" ht="46.8" x14ac:dyDescent="0.3">
      <c r="A13" s="3" t="s">
        <v>238</v>
      </c>
      <c r="B13" s="4">
        <v>2</v>
      </c>
      <c r="C13" s="5">
        <v>150</v>
      </c>
      <c r="D13" s="6">
        <f t="shared" si="9"/>
        <v>0.6395493333333333</v>
      </c>
      <c r="E13" s="7">
        <v>3.16</v>
      </c>
      <c r="F13" s="7">
        <f t="shared" si="10"/>
        <v>54.067599999999999</v>
      </c>
      <c r="G13" s="8">
        <f t="shared" si="11"/>
        <v>108.1352</v>
      </c>
      <c r="H13" s="7">
        <v>0</v>
      </c>
      <c r="I13" s="7">
        <v>0.01</v>
      </c>
      <c r="J13" s="20">
        <v>45312</v>
      </c>
      <c r="K13" s="20">
        <v>45358</v>
      </c>
      <c r="L13" s="5"/>
      <c r="M13" s="26">
        <v>17.11</v>
      </c>
      <c r="N13" s="5">
        <f>0.25/2</f>
        <v>0.125</v>
      </c>
      <c r="O13" s="9">
        <f t="shared" si="13"/>
        <v>2.1387499999999999</v>
      </c>
      <c r="P13" s="4">
        <v>1</v>
      </c>
      <c r="Q13" s="8">
        <f t="shared" si="12"/>
        <v>53.003225</v>
      </c>
      <c r="R13" s="10" t="s">
        <v>237</v>
      </c>
      <c r="S13" s="9"/>
      <c r="T13" s="8">
        <f t="shared" si="5"/>
        <v>106.00645</v>
      </c>
      <c r="U13" s="11"/>
    </row>
    <row r="14" spans="1:21" ht="46.8" x14ac:dyDescent="0.3">
      <c r="A14" s="3" t="s">
        <v>238</v>
      </c>
      <c r="B14" s="4">
        <v>2</v>
      </c>
      <c r="C14" s="5">
        <v>150</v>
      </c>
      <c r="D14" s="6">
        <f t="shared" si="9"/>
        <v>0.63726800000000006</v>
      </c>
      <c r="E14" s="7">
        <v>3.18</v>
      </c>
      <c r="F14" s="7">
        <f t="shared" si="10"/>
        <v>54.409800000000004</v>
      </c>
      <c r="G14" s="8">
        <f t="shared" si="11"/>
        <v>108.81960000000001</v>
      </c>
      <c r="H14" s="7">
        <v>0</v>
      </c>
      <c r="I14" s="7">
        <v>0.01</v>
      </c>
      <c r="J14" s="20">
        <v>45312</v>
      </c>
      <c r="K14" s="20">
        <v>45358</v>
      </c>
      <c r="L14" s="5"/>
      <c r="M14" s="26">
        <v>17.11</v>
      </c>
      <c r="N14" s="5">
        <f>0.25/2</f>
        <v>0.125</v>
      </c>
      <c r="O14" s="9">
        <f t="shared" si="13"/>
        <v>2.1387499999999999</v>
      </c>
      <c r="P14" s="4">
        <v>1</v>
      </c>
      <c r="Q14" s="8">
        <f t="shared" si="12"/>
        <v>53.345425000000006</v>
      </c>
      <c r="R14" s="10"/>
      <c r="S14" s="9"/>
      <c r="T14" s="8">
        <f t="shared" si="5"/>
        <v>106.69085000000001</v>
      </c>
      <c r="U14" s="11"/>
    </row>
    <row r="15" spans="1:21" ht="31.2" x14ac:dyDescent="0.3">
      <c r="A15" s="3" t="s">
        <v>200</v>
      </c>
      <c r="B15" s="4">
        <v>1</v>
      </c>
      <c r="C15" s="5">
        <v>283.95999999999998</v>
      </c>
      <c r="D15" s="6">
        <f t="shared" ref="D15:D34" si="14">(((C15-F15)*100)/C15)/100</f>
        <v>0.664318918157487</v>
      </c>
      <c r="E15" s="5">
        <v>0</v>
      </c>
      <c r="F15" s="5">
        <v>95.32</v>
      </c>
      <c r="G15" s="2">
        <f t="shared" ref="G15:G34" si="15">B15*F15</f>
        <v>95.32</v>
      </c>
      <c r="H15" s="5">
        <v>0</v>
      </c>
      <c r="I15" s="5">
        <f>0.02/2</f>
        <v>0.01</v>
      </c>
      <c r="J15" s="20">
        <v>45315</v>
      </c>
      <c r="K15" s="20">
        <v>45329</v>
      </c>
      <c r="L15" s="2"/>
      <c r="M15" s="5">
        <v>18.440000000000001</v>
      </c>
      <c r="N15" s="25"/>
      <c r="O15" s="25">
        <f>3.81/2</f>
        <v>1.905</v>
      </c>
      <c r="P15" s="4">
        <v>1</v>
      </c>
      <c r="Q15" s="2">
        <f t="shared" ref="Q15:Q34" si="16">F15+(I15/B15)-(O15/B15)</f>
        <v>93.424999999999997</v>
      </c>
      <c r="R15" s="10" t="s">
        <v>201</v>
      </c>
      <c r="S15" s="9"/>
      <c r="T15" s="8">
        <f t="shared" si="5"/>
        <v>93.424999999999997</v>
      </c>
      <c r="U15" s="11"/>
    </row>
    <row r="16" spans="1:21" ht="31.2" x14ac:dyDescent="0.3">
      <c r="A16" s="3" t="s">
        <v>200</v>
      </c>
      <c r="B16" s="4">
        <v>1</v>
      </c>
      <c r="C16" s="5">
        <v>284.64</v>
      </c>
      <c r="D16" s="6">
        <f t="shared" si="14"/>
        <v>0.66396149522203474</v>
      </c>
      <c r="E16" s="5">
        <v>0</v>
      </c>
      <c r="F16" s="5">
        <v>95.65</v>
      </c>
      <c r="G16" s="2">
        <f t="shared" si="15"/>
        <v>95.65</v>
      </c>
      <c r="H16" s="5">
        <v>0</v>
      </c>
      <c r="I16" s="5">
        <f>0.02/2</f>
        <v>0.01</v>
      </c>
      <c r="J16" s="20">
        <v>45315</v>
      </c>
      <c r="K16" s="20">
        <v>45329</v>
      </c>
      <c r="L16" s="2"/>
      <c r="M16" s="5">
        <v>18.440000000000001</v>
      </c>
      <c r="N16" s="25"/>
      <c r="O16" s="25">
        <f>3.81/2</f>
        <v>1.905</v>
      </c>
      <c r="P16" s="4">
        <v>1</v>
      </c>
      <c r="Q16" s="2">
        <f t="shared" si="16"/>
        <v>93.75500000000001</v>
      </c>
      <c r="R16" s="10"/>
      <c r="S16" s="9"/>
      <c r="T16" s="8">
        <f t="shared" si="5"/>
        <v>93.75500000000001</v>
      </c>
      <c r="U16" s="11"/>
    </row>
    <row r="17" spans="1:21" ht="31.2" x14ac:dyDescent="0.3">
      <c r="A17" s="24" t="s">
        <v>202</v>
      </c>
      <c r="B17" s="4">
        <v>1</v>
      </c>
      <c r="C17" s="5">
        <v>293.51</v>
      </c>
      <c r="D17" s="6">
        <f t="shared" si="14"/>
        <v>0.66379339715852947</v>
      </c>
      <c r="E17" s="5">
        <v>0</v>
      </c>
      <c r="F17" s="5">
        <v>98.68</v>
      </c>
      <c r="G17" s="2">
        <f t="shared" si="15"/>
        <v>98.68</v>
      </c>
      <c r="H17" s="5">
        <v>0</v>
      </c>
      <c r="I17" s="5">
        <f>0.04/3</f>
        <v>1.3333333333333334E-2</v>
      </c>
      <c r="J17" s="20">
        <v>45315</v>
      </c>
      <c r="K17" s="20">
        <v>45328</v>
      </c>
      <c r="L17" s="2"/>
      <c r="M17" s="5">
        <v>18.440000000000001</v>
      </c>
      <c r="N17" s="25"/>
      <c r="O17" s="25">
        <f>7.8/3</f>
        <v>2.6</v>
      </c>
      <c r="P17" s="4">
        <v>1</v>
      </c>
      <c r="Q17" s="2">
        <f t="shared" si="16"/>
        <v>96.093333333333348</v>
      </c>
      <c r="R17" s="10" t="s">
        <v>203</v>
      </c>
      <c r="S17" s="9"/>
      <c r="T17" s="8">
        <f t="shared" si="5"/>
        <v>96.093333333333348</v>
      </c>
      <c r="U17" s="11"/>
    </row>
    <row r="18" spans="1:21" ht="31.2" x14ac:dyDescent="0.3">
      <c r="A18" s="24" t="s">
        <v>204</v>
      </c>
      <c r="B18" s="4">
        <v>1</v>
      </c>
      <c r="C18" s="5">
        <v>453.34</v>
      </c>
      <c r="D18" s="6">
        <f t="shared" si="14"/>
        <v>0.65789473684210531</v>
      </c>
      <c r="E18" s="5">
        <v>0</v>
      </c>
      <c r="F18" s="5">
        <v>155.09</v>
      </c>
      <c r="G18" s="2">
        <f t="shared" si="15"/>
        <v>155.09</v>
      </c>
      <c r="H18" s="5">
        <v>0</v>
      </c>
      <c r="I18" s="5">
        <f>0.04/3</f>
        <v>1.3333333333333334E-2</v>
      </c>
      <c r="J18" s="20">
        <v>45315</v>
      </c>
      <c r="K18" s="20">
        <v>45328</v>
      </c>
      <c r="L18" s="2"/>
      <c r="M18" s="5">
        <v>18.440000000000001</v>
      </c>
      <c r="N18" s="25"/>
      <c r="O18" s="25">
        <f>7.8/3</f>
        <v>2.6</v>
      </c>
      <c r="P18" s="4">
        <v>1</v>
      </c>
      <c r="Q18" s="2">
        <f t="shared" si="16"/>
        <v>152.50333333333333</v>
      </c>
      <c r="R18" s="10"/>
      <c r="S18" s="9"/>
      <c r="T18" s="8">
        <f t="shared" si="5"/>
        <v>152.50333333333333</v>
      </c>
      <c r="U18" s="11"/>
    </row>
    <row r="19" spans="1:21" ht="31.2" x14ac:dyDescent="0.3">
      <c r="A19" s="24" t="s">
        <v>205</v>
      </c>
      <c r="B19" s="4">
        <v>1</v>
      </c>
      <c r="C19" s="5">
        <v>396.85</v>
      </c>
      <c r="D19" s="6">
        <f t="shared" si="14"/>
        <v>0.65757843013733153</v>
      </c>
      <c r="E19" s="5">
        <v>0</v>
      </c>
      <c r="F19" s="5">
        <v>135.88999999999999</v>
      </c>
      <c r="G19" s="2">
        <f t="shared" si="15"/>
        <v>135.88999999999999</v>
      </c>
      <c r="H19" s="5">
        <v>0</v>
      </c>
      <c r="I19" s="5">
        <f>0.04/3</f>
        <v>1.3333333333333334E-2</v>
      </c>
      <c r="J19" s="20">
        <v>45315</v>
      </c>
      <c r="K19" s="20">
        <v>45328</v>
      </c>
      <c r="L19" s="2"/>
      <c r="M19" s="5">
        <v>18.440000000000001</v>
      </c>
      <c r="N19" s="25"/>
      <c r="O19" s="25">
        <f>7.8/3</f>
        <v>2.6</v>
      </c>
      <c r="P19" s="4">
        <v>1</v>
      </c>
      <c r="Q19" s="2">
        <f t="shared" si="16"/>
        <v>133.30333333333331</v>
      </c>
      <c r="R19" s="10" t="s">
        <v>206</v>
      </c>
      <c r="S19" s="9"/>
      <c r="T19" s="8">
        <f t="shared" si="5"/>
        <v>133.30333333333331</v>
      </c>
      <c r="U19" s="11"/>
    </row>
    <row r="20" spans="1:21" ht="31.2" x14ac:dyDescent="0.3">
      <c r="A20" s="3" t="s">
        <v>207</v>
      </c>
      <c r="B20" s="4">
        <v>1</v>
      </c>
      <c r="C20" s="5">
        <v>111.43</v>
      </c>
      <c r="D20" s="6">
        <f t="shared" si="14"/>
        <v>0.50246791707798621</v>
      </c>
      <c r="E20" s="5">
        <v>0</v>
      </c>
      <c r="F20" s="5">
        <v>55.44</v>
      </c>
      <c r="G20" s="2">
        <f t="shared" si="15"/>
        <v>55.44</v>
      </c>
      <c r="H20" s="5">
        <v>0</v>
      </c>
      <c r="I20" s="5">
        <f>0.01/2</f>
        <v>5.0000000000000001E-3</v>
      </c>
      <c r="J20" s="20">
        <v>45315</v>
      </c>
      <c r="K20" s="20">
        <v>45331</v>
      </c>
      <c r="L20" s="2"/>
      <c r="M20" s="5">
        <v>18.440000000000001</v>
      </c>
      <c r="N20" s="25"/>
      <c r="O20" s="25">
        <f>2.4/2</f>
        <v>1.2</v>
      </c>
      <c r="P20" s="4">
        <v>1</v>
      </c>
      <c r="Q20" s="2">
        <f t="shared" si="16"/>
        <v>54.244999999999997</v>
      </c>
      <c r="R20" s="10" t="s">
        <v>208</v>
      </c>
      <c r="S20" s="9"/>
      <c r="T20" s="8">
        <f t="shared" si="5"/>
        <v>54.244999999999997</v>
      </c>
      <c r="U20" s="11"/>
    </row>
    <row r="21" spans="1:21" ht="31.2" x14ac:dyDescent="0.3">
      <c r="A21" s="3" t="s">
        <v>209</v>
      </c>
      <c r="B21" s="4">
        <v>1</v>
      </c>
      <c r="C21" s="5">
        <v>126.77</v>
      </c>
      <c r="D21" s="6">
        <f t="shared" si="14"/>
        <v>0.49538534353553682</v>
      </c>
      <c r="E21" s="5">
        <v>0</v>
      </c>
      <c r="F21" s="5">
        <v>63.97</v>
      </c>
      <c r="G21" s="2">
        <f t="shared" si="15"/>
        <v>63.97</v>
      </c>
      <c r="H21" s="5">
        <v>0</v>
      </c>
      <c r="I21" s="5">
        <f>0.01/2</f>
        <v>5.0000000000000001E-3</v>
      </c>
      <c r="J21" s="20">
        <v>45315</v>
      </c>
      <c r="K21" s="20">
        <v>45331</v>
      </c>
      <c r="L21" s="2"/>
      <c r="M21" s="5">
        <v>18.440000000000001</v>
      </c>
      <c r="N21" s="25"/>
      <c r="O21" s="25">
        <f>2.4/2</f>
        <v>1.2</v>
      </c>
      <c r="P21" s="4">
        <v>1</v>
      </c>
      <c r="Q21" s="2">
        <f t="shared" si="16"/>
        <v>62.774999999999999</v>
      </c>
      <c r="R21" s="10"/>
      <c r="S21" s="9"/>
      <c r="T21" s="8">
        <f t="shared" si="5"/>
        <v>62.774999999999999</v>
      </c>
      <c r="U21" s="11"/>
    </row>
    <row r="22" spans="1:21" ht="31.2" x14ac:dyDescent="0.3">
      <c r="A22" s="3" t="s">
        <v>210</v>
      </c>
      <c r="B22" s="4">
        <v>1</v>
      </c>
      <c r="C22" s="5">
        <v>78.19</v>
      </c>
      <c r="D22" s="6">
        <f t="shared" si="14"/>
        <v>0.47013684614400825</v>
      </c>
      <c r="E22" s="5">
        <v>0</v>
      </c>
      <c r="F22" s="5">
        <v>41.43</v>
      </c>
      <c r="G22" s="2">
        <f t="shared" si="15"/>
        <v>41.43</v>
      </c>
      <c r="H22" s="5">
        <v>0</v>
      </c>
      <c r="I22" s="5">
        <v>0</v>
      </c>
      <c r="J22" s="20">
        <v>45315</v>
      </c>
      <c r="K22" s="20">
        <v>45329</v>
      </c>
      <c r="L22" s="2"/>
      <c r="M22" s="5">
        <v>18.440000000000001</v>
      </c>
      <c r="N22" s="25"/>
      <c r="O22" s="25">
        <f>1.71/2</f>
        <v>0.85499999999999998</v>
      </c>
      <c r="P22" s="4">
        <v>1</v>
      </c>
      <c r="Q22" s="2">
        <f t="shared" si="16"/>
        <v>40.575000000000003</v>
      </c>
      <c r="R22" s="10" t="s">
        <v>211</v>
      </c>
      <c r="S22" s="9"/>
      <c r="T22" s="8">
        <f t="shared" si="5"/>
        <v>40.575000000000003</v>
      </c>
      <c r="U22" s="11"/>
    </row>
    <row r="23" spans="1:21" ht="31.2" x14ac:dyDescent="0.3">
      <c r="A23" s="3" t="s">
        <v>212</v>
      </c>
      <c r="B23" s="4">
        <v>1</v>
      </c>
      <c r="C23" s="5">
        <v>83.43</v>
      </c>
      <c r="D23" s="6">
        <f t="shared" si="14"/>
        <v>0.46733788804986226</v>
      </c>
      <c r="E23" s="5">
        <v>0</v>
      </c>
      <c r="F23" s="5">
        <v>44.44</v>
      </c>
      <c r="G23" s="2">
        <f t="shared" si="15"/>
        <v>44.44</v>
      </c>
      <c r="H23" s="5">
        <v>0</v>
      </c>
      <c r="I23" s="5">
        <v>0</v>
      </c>
      <c r="J23" s="20">
        <v>45315</v>
      </c>
      <c r="K23" s="20">
        <v>45329</v>
      </c>
      <c r="L23" s="2"/>
      <c r="M23" s="5">
        <v>18.440000000000001</v>
      </c>
      <c r="N23" s="25"/>
      <c r="O23" s="25">
        <f>1.71/2</f>
        <v>0.85499999999999998</v>
      </c>
      <c r="P23" s="4">
        <v>1</v>
      </c>
      <c r="Q23" s="2">
        <f t="shared" si="16"/>
        <v>43.585000000000001</v>
      </c>
      <c r="R23" s="10"/>
      <c r="S23" s="9"/>
      <c r="T23" s="8">
        <f t="shared" si="5"/>
        <v>43.585000000000001</v>
      </c>
      <c r="U23" s="11"/>
    </row>
    <row r="24" spans="1:21" ht="31.2" x14ac:dyDescent="0.3">
      <c r="A24" s="3" t="s">
        <v>213</v>
      </c>
      <c r="B24" s="4">
        <v>1</v>
      </c>
      <c r="C24" s="5">
        <v>397.32</v>
      </c>
      <c r="D24" s="6">
        <f t="shared" si="14"/>
        <v>0.67826940501359101</v>
      </c>
      <c r="E24" s="5">
        <v>0</v>
      </c>
      <c r="F24" s="5">
        <v>127.83</v>
      </c>
      <c r="G24" s="2">
        <f t="shared" si="15"/>
        <v>127.83</v>
      </c>
      <c r="H24" s="5">
        <v>0</v>
      </c>
      <c r="I24" s="5">
        <v>0.02</v>
      </c>
      <c r="J24" s="20">
        <v>45315</v>
      </c>
      <c r="K24" s="20">
        <v>45329</v>
      </c>
      <c r="L24" s="2"/>
      <c r="M24" s="5">
        <v>18.440000000000001</v>
      </c>
      <c r="N24" s="25"/>
      <c r="O24" s="25">
        <v>2.57</v>
      </c>
      <c r="P24" s="4">
        <v>1</v>
      </c>
      <c r="Q24" s="2">
        <f t="shared" si="16"/>
        <v>125.28</v>
      </c>
      <c r="R24" s="10" t="s">
        <v>214</v>
      </c>
      <c r="S24" s="9"/>
      <c r="T24" s="8">
        <f t="shared" si="5"/>
        <v>125.28</v>
      </c>
      <c r="U24" s="11"/>
    </row>
    <row r="25" spans="1:21" ht="31.2" x14ac:dyDescent="0.3">
      <c r="A25" s="3" t="s">
        <v>215</v>
      </c>
      <c r="B25" s="4">
        <v>1</v>
      </c>
      <c r="C25" s="5">
        <v>787.01</v>
      </c>
      <c r="D25" s="6">
        <f t="shared" si="14"/>
        <v>0.7475508570412065</v>
      </c>
      <c r="E25" s="5">
        <v>0</v>
      </c>
      <c r="F25" s="5">
        <v>198.68</v>
      </c>
      <c r="G25" s="2">
        <f t="shared" si="15"/>
        <v>198.68</v>
      </c>
      <c r="H25" s="5">
        <v>0</v>
      </c>
      <c r="I25" s="5">
        <v>0</v>
      </c>
      <c r="J25" s="20">
        <v>45315</v>
      </c>
      <c r="K25" s="20">
        <v>45329</v>
      </c>
      <c r="L25" s="2"/>
      <c r="M25" s="5">
        <v>18.440000000000001</v>
      </c>
      <c r="N25" s="25"/>
      <c r="O25" s="25"/>
      <c r="P25" s="4">
        <v>1</v>
      </c>
      <c r="Q25" s="2">
        <f t="shared" si="16"/>
        <v>198.68</v>
      </c>
      <c r="R25" s="10" t="s">
        <v>216</v>
      </c>
      <c r="S25" s="9"/>
      <c r="T25" s="8">
        <f t="shared" si="5"/>
        <v>198.68</v>
      </c>
      <c r="U25" s="11"/>
    </row>
    <row r="26" spans="1:21" x14ac:dyDescent="0.3">
      <c r="A26" s="3" t="s">
        <v>218</v>
      </c>
      <c r="B26" s="4">
        <v>1</v>
      </c>
      <c r="C26" s="5">
        <v>183.78</v>
      </c>
      <c r="D26" s="6">
        <f t="shared" si="14"/>
        <v>0.5681793448688649</v>
      </c>
      <c r="E26" s="5">
        <v>0</v>
      </c>
      <c r="F26" s="5">
        <v>79.36</v>
      </c>
      <c r="G26" s="2">
        <f t="shared" si="15"/>
        <v>79.36</v>
      </c>
      <c r="H26" s="5">
        <v>0</v>
      </c>
      <c r="I26" s="5">
        <v>0.02</v>
      </c>
      <c r="J26" s="20">
        <v>45316</v>
      </c>
      <c r="K26" s="20">
        <v>45332</v>
      </c>
      <c r="L26" s="2"/>
      <c r="M26" s="5">
        <v>18.440000000000001</v>
      </c>
      <c r="N26" s="25"/>
      <c r="O26" s="25">
        <v>1.59</v>
      </c>
      <c r="P26" s="4">
        <v>1</v>
      </c>
      <c r="Q26" s="2">
        <f t="shared" si="16"/>
        <v>77.789999999999992</v>
      </c>
      <c r="R26" s="10" t="s">
        <v>217</v>
      </c>
      <c r="S26" s="9"/>
      <c r="T26" s="8">
        <f t="shared" si="5"/>
        <v>77.789999999999992</v>
      </c>
      <c r="U26" s="11"/>
    </row>
    <row r="27" spans="1:21" ht="31.2" x14ac:dyDescent="0.3">
      <c r="A27" s="3" t="s">
        <v>220</v>
      </c>
      <c r="B27" s="4">
        <v>1</v>
      </c>
      <c r="C27" s="5">
        <v>92.66</v>
      </c>
      <c r="D27" s="6">
        <f t="shared" si="14"/>
        <v>0.2428232246924239</v>
      </c>
      <c r="E27" s="5">
        <v>0</v>
      </c>
      <c r="F27" s="5">
        <v>70.16</v>
      </c>
      <c r="G27" s="2">
        <f t="shared" si="15"/>
        <v>70.16</v>
      </c>
      <c r="H27" s="5">
        <v>0</v>
      </c>
      <c r="I27" s="5">
        <v>0</v>
      </c>
      <c r="J27" s="20">
        <v>45316</v>
      </c>
      <c r="K27" s="20">
        <v>45332</v>
      </c>
      <c r="L27" s="2"/>
      <c r="M27" s="5">
        <v>18.440000000000001</v>
      </c>
      <c r="N27" s="25"/>
      <c r="O27" s="25">
        <f>5.96/4</f>
        <v>1.49</v>
      </c>
      <c r="P27" s="4">
        <v>1</v>
      </c>
      <c r="Q27" s="2">
        <f t="shared" si="16"/>
        <v>68.67</v>
      </c>
      <c r="R27" s="10" t="s">
        <v>219</v>
      </c>
      <c r="S27" s="9"/>
      <c r="T27" s="8">
        <f t="shared" si="5"/>
        <v>68.67</v>
      </c>
      <c r="U27" s="11"/>
    </row>
    <row r="28" spans="1:21" ht="31.2" x14ac:dyDescent="0.3">
      <c r="A28" s="3" t="s">
        <v>221</v>
      </c>
      <c r="B28" s="4">
        <v>2</v>
      </c>
      <c r="C28" s="5">
        <v>92.05</v>
      </c>
      <c r="D28" s="6">
        <f t="shared" si="14"/>
        <v>0.18066268332428023</v>
      </c>
      <c r="E28" s="5">
        <v>0</v>
      </c>
      <c r="F28" s="5">
        <v>75.42</v>
      </c>
      <c r="G28" s="2">
        <f t="shared" si="15"/>
        <v>150.84</v>
      </c>
      <c r="H28" s="5">
        <v>0</v>
      </c>
      <c r="I28" s="5">
        <v>0</v>
      </c>
      <c r="J28" s="20">
        <v>45316</v>
      </c>
      <c r="K28" s="20">
        <v>45332</v>
      </c>
      <c r="L28" s="2"/>
      <c r="M28" s="5">
        <v>18.440000000000001</v>
      </c>
      <c r="N28" s="25"/>
      <c r="O28" s="25">
        <f>(5.96/4)*2</f>
        <v>2.98</v>
      </c>
      <c r="P28" s="4">
        <v>1</v>
      </c>
      <c r="Q28" s="2">
        <f t="shared" si="16"/>
        <v>73.930000000000007</v>
      </c>
      <c r="R28" s="10"/>
      <c r="S28" s="9"/>
      <c r="T28" s="8">
        <f t="shared" si="5"/>
        <v>147.86000000000001</v>
      </c>
      <c r="U28" s="11"/>
    </row>
    <row r="29" spans="1:21" ht="31.2" x14ac:dyDescent="0.3">
      <c r="A29" s="3" t="s">
        <v>222</v>
      </c>
      <c r="B29" s="4">
        <v>1</v>
      </c>
      <c r="C29" s="5">
        <v>94.72</v>
      </c>
      <c r="D29" s="6">
        <f t="shared" si="14"/>
        <v>0.20375844594594594</v>
      </c>
      <c r="E29" s="5">
        <v>0</v>
      </c>
      <c r="F29" s="5">
        <v>75.42</v>
      </c>
      <c r="G29" s="2">
        <f t="shared" si="15"/>
        <v>75.42</v>
      </c>
      <c r="H29" s="5">
        <v>0</v>
      </c>
      <c r="I29" s="5">
        <v>0</v>
      </c>
      <c r="J29" s="20">
        <v>45316</v>
      </c>
      <c r="K29" s="20">
        <v>45332</v>
      </c>
      <c r="L29" s="2"/>
      <c r="M29" s="5">
        <v>18.440000000000001</v>
      </c>
      <c r="N29" s="25"/>
      <c r="O29" s="25">
        <f>5.96/4</f>
        <v>1.49</v>
      </c>
      <c r="P29" s="4">
        <v>1</v>
      </c>
      <c r="Q29" s="2">
        <f t="shared" si="16"/>
        <v>73.930000000000007</v>
      </c>
      <c r="R29" s="10"/>
      <c r="S29" s="9"/>
      <c r="T29" s="8">
        <f t="shared" si="5"/>
        <v>73.930000000000007</v>
      </c>
      <c r="U29" s="11"/>
    </row>
    <row r="30" spans="1:21" ht="31.2" x14ac:dyDescent="0.3">
      <c r="A30" s="3" t="s">
        <v>224</v>
      </c>
      <c r="B30" s="4">
        <v>1</v>
      </c>
      <c r="C30" s="5">
        <v>218.49</v>
      </c>
      <c r="D30" s="6">
        <f t="shared" si="14"/>
        <v>0.57458007231452235</v>
      </c>
      <c r="E30" s="5">
        <v>0</v>
      </c>
      <c r="F30" s="5">
        <v>92.95</v>
      </c>
      <c r="G30" s="2">
        <f t="shared" si="15"/>
        <v>92.95</v>
      </c>
      <c r="H30" s="5">
        <v>0</v>
      </c>
      <c r="I30" s="5">
        <v>0.01</v>
      </c>
      <c r="J30" s="20">
        <v>45316</v>
      </c>
      <c r="K30" s="20">
        <v>45332</v>
      </c>
      <c r="L30" s="2"/>
      <c r="M30" s="5">
        <v>18.440000000000001</v>
      </c>
      <c r="N30" s="25"/>
      <c r="O30" s="25">
        <v>1.86</v>
      </c>
      <c r="P30" s="4">
        <v>1</v>
      </c>
      <c r="Q30" s="2">
        <f t="shared" si="16"/>
        <v>91.100000000000009</v>
      </c>
      <c r="R30" s="10" t="s">
        <v>223</v>
      </c>
      <c r="S30" s="9"/>
      <c r="T30" s="8">
        <f t="shared" si="5"/>
        <v>91.100000000000009</v>
      </c>
      <c r="U30" s="11"/>
    </row>
    <row r="31" spans="1:21" ht="31.2" x14ac:dyDescent="0.3">
      <c r="A31" s="3" t="s">
        <v>226</v>
      </c>
      <c r="B31" s="4">
        <v>1</v>
      </c>
      <c r="C31" s="5">
        <v>108.04</v>
      </c>
      <c r="D31" s="6">
        <f t="shared" si="14"/>
        <v>0.27591632728619031</v>
      </c>
      <c r="E31" s="5">
        <v>0</v>
      </c>
      <c r="F31" s="5">
        <v>78.23</v>
      </c>
      <c r="G31" s="2">
        <f t="shared" si="15"/>
        <v>78.23</v>
      </c>
      <c r="H31" s="5">
        <v>0</v>
      </c>
      <c r="I31" s="5">
        <v>0.08</v>
      </c>
      <c r="J31" s="20">
        <v>45316</v>
      </c>
      <c r="K31" s="20">
        <v>45332</v>
      </c>
      <c r="L31" s="2"/>
      <c r="M31" s="5">
        <v>18.440000000000001</v>
      </c>
      <c r="N31" s="25"/>
      <c r="O31" s="25"/>
      <c r="P31" s="4">
        <v>1</v>
      </c>
      <c r="Q31" s="2">
        <f t="shared" si="16"/>
        <v>78.31</v>
      </c>
      <c r="R31" s="10" t="s">
        <v>225</v>
      </c>
      <c r="S31" s="9"/>
      <c r="T31" s="8">
        <f t="shared" si="5"/>
        <v>78.31</v>
      </c>
      <c r="U31" s="11"/>
    </row>
    <row r="32" spans="1:21" ht="46.8" x14ac:dyDescent="0.3">
      <c r="A32" s="3" t="s">
        <v>228</v>
      </c>
      <c r="B32" s="4">
        <v>1</v>
      </c>
      <c r="C32" s="5">
        <v>161.25</v>
      </c>
      <c r="D32" s="6">
        <f t="shared" si="14"/>
        <v>0.60762790697674407</v>
      </c>
      <c r="E32" s="5">
        <v>0</v>
      </c>
      <c r="F32" s="5">
        <v>63.27</v>
      </c>
      <c r="G32" s="2">
        <f t="shared" si="15"/>
        <v>63.27</v>
      </c>
      <c r="H32" s="5">
        <v>0</v>
      </c>
      <c r="I32" s="5">
        <f>0.01/2</f>
        <v>5.0000000000000001E-3</v>
      </c>
      <c r="J32" s="20">
        <v>45316</v>
      </c>
      <c r="K32" s="20">
        <v>45332</v>
      </c>
      <c r="L32" s="2"/>
      <c r="M32" s="5">
        <v>18.440000000000001</v>
      </c>
      <c r="N32" s="25"/>
      <c r="O32" s="25">
        <f>2.32/2</f>
        <v>1.1599999999999999</v>
      </c>
      <c r="P32" s="4">
        <v>1</v>
      </c>
      <c r="Q32" s="2">
        <f t="shared" si="16"/>
        <v>62.115000000000009</v>
      </c>
      <c r="R32" s="10" t="s">
        <v>227</v>
      </c>
      <c r="S32" s="9"/>
      <c r="T32" s="8">
        <f t="shared" si="5"/>
        <v>62.115000000000009</v>
      </c>
      <c r="U32" s="11"/>
    </row>
    <row r="33" spans="1:21" ht="46.8" x14ac:dyDescent="0.3">
      <c r="A33" s="3" t="s">
        <v>229</v>
      </c>
      <c r="B33" s="4">
        <v>1</v>
      </c>
      <c r="C33" s="5">
        <v>137.78</v>
      </c>
      <c r="D33" s="6">
        <f t="shared" si="14"/>
        <v>0.61467556974887505</v>
      </c>
      <c r="E33" s="5">
        <v>0</v>
      </c>
      <c r="F33" s="5">
        <v>53.09</v>
      </c>
      <c r="G33" s="2">
        <f t="shared" si="15"/>
        <v>53.09</v>
      </c>
      <c r="H33" s="5">
        <v>0</v>
      </c>
      <c r="I33" s="5">
        <f>0.01/2</f>
        <v>5.0000000000000001E-3</v>
      </c>
      <c r="J33" s="20">
        <v>45316</v>
      </c>
      <c r="K33" s="20">
        <v>45332</v>
      </c>
      <c r="L33" s="2"/>
      <c r="M33" s="5">
        <v>18.440000000000001</v>
      </c>
      <c r="N33" s="25"/>
      <c r="O33" s="25">
        <f>2.32/2</f>
        <v>1.1599999999999999</v>
      </c>
      <c r="P33" s="4">
        <v>1</v>
      </c>
      <c r="Q33" s="2">
        <f t="shared" si="16"/>
        <v>51.935000000000009</v>
      </c>
      <c r="R33" s="10"/>
      <c r="S33" s="9"/>
      <c r="T33" s="8">
        <f t="shared" si="5"/>
        <v>51.935000000000009</v>
      </c>
      <c r="U33" s="11"/>
    </row>
    <row r="34" spans="1:21" ht="46.8" x14ac:dyDescent="0.3">
      <c r="A34" s="3" t="s">
        <v>198</v>
      </c>
      <c r="B34" s="4">
        <v>1</v>
      </c>
      <c r="C34" s="5">
        <v>72.09</v>
      </c>
      <c r="D34" s="6">
        <f t="shared" si="14"/>
        <v>4.6192259675405717E-2</v>
      </c>
      <c r="E34" s="5">
        <v>0</v>
      </c>
      <c r="F34" s="5">
        <v>68.760000000000005</v>
      </c>
      <c r="G34" s="2">
        <f t="shared" si="15"/>
        <v>68.760000000000005</v>
      </c>
      <c r="H34" s="5">
        <v>0</v>
      </c>
      <c r="I34" s="5">
        <v>0.02</v>
      </c>
      <c r="J34" s="20">
        <v>45317</v>
      </c>
      <c r="K34" s="20">
        <v>45331</v>
      </c>
      <c r="L34" s="2"/>
      <c r="M34" s="5">
        <v>18.440000000000001</v>
      </c>
      <c r="N34" s="25"/>
      <c r="O34" s="25"/>
      <c r="P34" s="4">
        <v>1</v>
      </c>
      <c r="Q34" s="2">
        <f t="shared" si="16"/>
        <v>68.78</v>
      </c>
      <c r="R34" s="10" t="s">
        <v>199</v>
      </c>
      <c r="S34" s="9"/>
      <c r="T34" s="8">
        <f t="shared" si="5"/>
        <v>68.78</v>
      </c>
      <c r="U34" s="11"/>
    </row>
    <row r="35" spans="1:21" ht="31.2" x14ac:dyDescent="0.3">
      <c r="A35" s="3" t="s">
        <v>178</v>
      </c>
      <c r="B35" s="4">
        <v>1</v>
      </c>
      <c r="C35" s="5">
        <v>155</v>
      </c>
      <c r="D35" s="6">
        <f t="shared" si="0"/>
        <v>0.33116129032258068</v>
      </c>
      <c r="E35" s="7">
        <v>0</v>
      </c>
      <c r="F35" s="7">
        <v>103.67</v>
      </c>
      <c r="G35" s="8">
        <f t="shared" ref="G35" si="17">B35*F35</f>
        <v>103.67</v>
      </c>
      <c r="H35" s="7">
        <v>0</v>
      </c>
      <c r="I35" s="7">
        <v>0</v>
      </c>
      <c r="J35" s="20">
        <v>45317</v>
      </c>
      <c r="K35" s="20">
        <v>45332</v>
      </c>
      <c r="L35" s="5"/>
      <c r="M35" s="7">
        <v>17.59</v>
      </c>
      <c r="N35" s="5"/>
      <c r="O35" s="9">
        <v>0.17</v>
      </c>
      <c r="P35" s="4">
        <v>1</v>
      </c>
      <c r="Q35" s="8">
        <f t="shared" ref="Q35" si="18">F35+(I35/B35)-(O35/B35)</f>
        <v>103.5</v>
      </c>
      <c r="R35" s="10" t="s">
        <v>181</v>
      </c>
      <c r="S35" s="9"/>
      <c r="T35" s="8">
        <f t="shared" si="5"/>
        <v>103.5</v>
      </c>
      <c r="U35" s="11"/>
    </row>
    <row r="36" spans="1:21" ht="31.2" x14ac:dyDescent="0.3">
      <c r="A36" s="3" t="s">
        <v>179</v>
      </c>
      <c r="B36" s="4">
        <v>1</v>
      </c>
      <c r="C36" s="5">
        <v>194.01</v>
      </c>
      <c r="D36" s="6">
        <f t="shared" si="0"/>
        <v>0.68759342301943194</v>
      </c>
      <c r="E36" s="7">
        <v>0</v>
      </c>
      <c r="F36" s="7">
        <v>60.61</v>
      </c>
      <c r="G36" s="8">
        <f t="shared" ref="G36" si="19">B36*F36</f>
        <v>60.61</v>
      </c>
      <c r="H36" s="7">
        <v>0</v>
      </c>
      <c r="I36" s="7">
        <v>0</v>
      </c>
      <c r="J36" s="20">
        <v>45317</v>
      </c>
      <c r="K36" s="20">
        <v>45332</v>
      </c>
      <c r="L36" s="5"/>
      <c r="M36" s="7">
        <v>17.59</v>
      </c>
      <c r="N36" s="5"/>
      <c r="O36" s="9">
        <v>0.17</v>
      </c>
      <c r="P36" s="4">
        <v>1</v>
      </c>
      <c r="Q36" s="8">
        <f t="shared" ref="Q36" si="20">F36+(I36/B36)-(O36/B36)</f>
        <v>60.44</v>
      </c>
      <c r="R36" s="10" t="s">
        <v>180</v>
      </c>
      <c r="S36" s="1"/>
      <c r="T36" s="8">
        <f t="shared" si="5"/>
        <v>60.44</v>
      </c>
      <c r="U36" s="1"/>
    </row>
    <row r="37" spans="1:21" ht="31.2" x14ac:dyDescent="0.3">
      <c r="A37" s="3" t="s">
        <v>182</v>
      </c>
      <c r="B37" s="4">
        <v>1</v>
      </c>
      <c r="C37" s="5">
        <v>714.78</v>
      </c>
      <c r="D37" s="6">
        <f t="shared" si="0"/>
        <v>0.31808388595092191</v>
      </c>
      <c r="E37" s="7">
        <v>0</v>
      </c>
      <c r="F37" s="7">
        <v>487.42</v>
      </c>
      <c r="G37" s="8">
        <f t="shared" ref="G37" si="21">B37*F37</f>
        <v>487.42</v>
      </c>
      <c r="H37" s="7">
        <v>0</v>
      </c>
      <c r="I37" s="7">
        <v>0</v>
      </c>
      <c r="J37" s="20">
        <v>45317</v>
      </c>
      <c r="K37" s="20">
        <v>45332</v>
      </c>
      <c r="L37" s="5"/>
      <c r="M37" s="7">
        <v>17.59</v>
      </c>
      <c r="N37" s="5"/>
      <c r="O37" s="9">
        <v>0.17</v>
      </c>
      <c r="P37" s="4">
        <v>1</v>
      </c>
      <c r="Q37" s="8">
        <f t="shared" ref="Q37" si="22">F37+(I37/B37)-(O37/B37)</f>
        <v>487.25</v>
      </c>
      <c r="R37" s="10" t="s">
        <v>183</v>
      </c>
      <c r="S37" s="1"/>
      <c r="T37" s="8">
        <f t="shared" si="5"/>
        <v>487.25</v>
      </c>
      <c r="U37" s="1"/>
    </row>
    <row r="38" spans="1:21" ht="31.2" x14ac:dyDescent="0.3">
      <c r="A38" s="3" t="s">
        <v>20</v>
      </c>
      <c r="B38" s="4">
        <v>2</v>
      </c>
      <c r="C38" s="5">
        <v>194.01</v>
      </c>
      <c r="D38" s="6">
        <f t="shared" si="0"/>
        <v>0.68759342301943194</v>
      </c>
      <c r="E38" s="7">
        <v>0</v>
      </c>
      <c r="F38" s="7">
        <v>60.61</v>
      </c>
      <c r="G38" s="8">
        <f t="shared" ref="G38:G56" si="23">B38*F38</f>
        <v>121.22</v>
      </c>
      <c r="H38" s="7">
        <v>0</v>
      </c>
      <c r="I38" s="7">
        <v>0</v>
      </c>
      <c r="J38" s="20">
        <v>45323</v>
      </c>
      <c r="K38" s="20">
        <v>45332</v>
      </c>
      <c r="L38" s="5"/>
      <c r="M38" s="7">
        <v>17.59</v>
      </c>
      <c r="N38" s="5"/>
      <c r="O38" s="9">
        <v>0.17</v>
      </c>
      <c r="P38" s="4">
        <v>1</v>
      </c>
      <c r="Q38" s="8">
        <f t="shared" ref="Q38:Q69" si="24">F38+(I38/B38)-(O38/B38)</f>
        <v>60.524999999999999</v>
      </c>
      <c r="R38" s="10" t="s">
        <v>21</v>
      </c>
      <c r="T38" s="8">
        <f t="shared" si="5"/>
        <v>121.05</v>
      </c>
    </row>
    <row r="39" spans="1:21" ht="31.2" x14ac:dyDescent="0.3">
      <c r="A39" s="3" t="s">
        <v>22</v>
      </c>
      <c r="B39" s="4">
        <v>2</v>
      </c>
      <c r="C39" s="5">
        <v>174</v>
      </c>
      <c r="D39" s="6">
        <f t="shared" ref="D39:D56" si="25">(((C39-F39)*100)/C39)/100</f>
        <v>0.51620689655172414</v>
      </c>
      <c r="E39" s="7">
        <v>0</v>
      </c>
      <c r="F39" s="7">
        <v>84.18</v>
      </c>
      <c r="G39" s="8">
        <f t="shared" si="23"/>
        <v>168.36</v>
      </c>
      <c r="H39" s="7">
        <v>0</v>
      </c>
      <c r="I39" s="7">
        <v>0.02</v>
      </c>
      <c r="J39" s="20">
        <v>45323</v>
      </c>
      <c r="K39" s="20">
        <v>45334</v>
      </c>
      <c r="L39" s="5"/>
      <c r="M39" s="7">
        <v>17.59</v>
      </c>
      <c r="N39" s="5"/>
      <c r="O39" s="9"/>
      <c r="P39" s="4">
        <v>1</v>
      </c>
      <c r="Q39" s="8">
        <f t="shared" si="24"/>
        <v>84.190000000000012</v>
      </c>
      <c r="R39" s="10" t="s">
        <v>23</v>
      </c>
      <c r="S39" s="12"/>
      <c r="T39" s="8">
        <f t="shared" si="5"/>
        <v>168.38000000000002</v>
      </c>
      <c r="U39" s="4"/>
    </row>
    <row r="40" spans="1:21" ht="31.2" x14ac:dyDescent="0.3">
      <c r="A40" s="3" t="s">
        <v>24</v>
      </c>
      <c r="B40" s="4">
        <v>1</v>
      </c>
      <c r="C40" s="5">
        <v>114.23</v>
      </c>
      <c r="D40" s="6">
        <f t="shared" si="25"/>
        <v>0.51623916659371449</v>
      </c>
      <c r="E40" s="7">
        <v>0</v>
      </c>
      <c r="F40" s="7">
        <v>55.26</v>
      </c>
      <c r="G40" s="8">
        <f t="shared" si="23"/>
        <v>55.26</v>
      </c>
      <c r="H40" s="7">
        <v>0</v>
      </c>
      <c r="I40" s="7">
        <f>0.02/2</f>
        <v>0.01</v>
      </c>
      <c r="J40" s="20">
        <v>45323</v>
      </c>
      <c r="K40" s="20">
        <v>45335</v>
      </c>
      <c r="L40" s="5"/>
      <c r="M40" s="7">
        <v>17.59</v>
      </c>
      <c r="N40" s="5"/>
      <c r="O40" s="9"/>
      <c r="P40" s="4">
        <v>1</v>
      </c>
      <c r="Q40" s="8">
        <f t="shared" si="24"/>
        <v>55.269999999999996</v>
      </c>
      <c r="R40" s="10" t="s">
        <v>25</v>
      </c>
      <c r="S40" s="12"/>
      <c r="T40" s="8">
        <f t="shared" si="5"/>
        <v>55.269999999999996</v>
      </c>
      <c r="U40" s="4"/>
    </row>
    <row r="41" spans="1:21" ht="31.2" x14ac:dyDescent="0.3">
      <c r="A41" s="3" t="s">
        <v>26</v>
      </c>
      <c r="B41" s="4">
        <v>1</v>
      </c>
      <c r="C41" s="5">
        <v>111.17</v>
      </c>
      <c r="D41" s="6">
        <f t="shared" si="25"/>
        <v>0.51614644238553564</v>
      </c>
      <c r="E41" s="7">
        <v>0</v>
      </c>
      <c r="F41" s="7">
        <v>53.79</v>
      </c>
      <c r="G41" s="8">
        <f t="shared" si="23"/>
        <v>53.79</v>
      </c>
      <c r="H41" s="7">
        <v>0</v>
      </c>
      <c r="I41" s="7">
        <f>0.02/2</f>
        <v>0.01</v>
      </c>
      <c r="J41" s="20">
        <v>45323</v>
      </c>
      <c r="K41" s="20">
        <v>45335</v>
      </c>
      <c r="L41" s="5"/>
      <c r="M41" s="7">
        <v>17.59</v>
      </c>
      <c r="N41" s="5"/>
      <c r="O41" s="9"/>
      <c r="P41" s="4">
        <v>1</v>
      </c>
      <c r="Q41" s="8">
        <f t="shared" si="24"/>
        <v>53.8</v>
      </c>
      <c r="R41" s="10"/>
      <c r="S41" s="12"/>
      <c r="T41" s="8">
        <f t="shared" si="5"/>
        <v>53.8</v>
      </c>
      <c r="U41" s="4"/>
    </row>
    <row r="42" spans="1:21" ht="31.2" x14ac:dyDescent="0.3">
      <c r="A42" s="3" t="s">
        <v>27</v>
      </c>
      <c r="B42" s="4">
        <v>1</v>
      </c>
      <c r="C42" s="5">
        <v>340.52</v>
      </c>
      <c r="D42" s="6">
        <f t="shared" si="25"/>
        <v>0.697638905203806</v>
      </c>
      <c r="E42" s="7">
        <v>0</v>
      </c>
      <c r="F42" s="7">
        <v>102.96</v>
      </c>
      <c r="G42" s="8">
        <f t="shared" si="23"/>
        <v>102.96</v>
      </c>
      <c r="H42" s="7">
        <v>0</v>
      </c>
      <c r="I42" s="7">
        <f>0.03/2</f>
        <v>1.4999999999999999E-2</v>
      </c>
      <c r="J42" s="20">
        <v>45323</v>
      </c>
      <c r="K42" s="20">
        <v>45345</v>
      </c>
      <c r="L42" s="5"/>
      <c r="M42" s="7">
        <v>17.59</v>
      </c>
      <c r="N42" s="5"/>
      <c r="O42" s="9">
        <f>4.45/2</f>
        <v>2.2250000000000001</v>
      </c>
      <c r="P42" s="4">
        <v>1</v>
      </c>
      <c r="Q42" s="8">
        <f t="shared" si="24"/>
        <v>100.75</v>
      </c>
      <c r="R42" s="10" t="s">
        <v>28</v>
      </c>
      <c r="S42" s="12"/>
      <c r="T42" s="8">
        <f t="shared" si="5"/>
        <v>100.75</v>
      </c>
      <c r="U42" s="4"/>
    </row>
    <row r="43" spans="1:21" ht="31.2" x14ac:dyDescent="0.3">
      <c r="A43" s="3" t="s">
        <v>29</v>
      </c>
      <c r="B43" s="4">
        <v>1</v>
      </c>
      <c r="C43" s="5">
        <v>406.84</v>
      </c>
      <c r="D43" s="6">
        <f t="shared" si="25"/>
        <v>0.70767377838953893</v>
      </c>
      <c r="E43" s="7">
        <v>0</v>
      </c>
      <c r="F43" s="7">
        <v>118.93</v>
      </c>
      <c r="G43" s="8">
        <f t="shared" si="23"/>
        <v>118.93</v>
      </c>
      <c r="H43" s="7">
        <v>0</v>
      </c>
      <c r="I43" s="7">
        <f>0.03/2</f>
        <v>1.4999999999999999E-2</v>
      </c>
      <c r="J43" s="20">
        <v>45323</v>
      </c>
      <c r="K43" s="20">
        <v>45345</v>
      </c>
      <c r="L43" s="5"/>
      <c r="M43" s="7">
        <v>17.59</v>
      </c>
      <c r="N43" s="5"/>
      <c r="O43" s="9">
        <f>4.45/2</f>
        <v>2.2250000000000001</v>
      </c>
      <c r="P43" s="4">
        <v>1</v>
      </c>
      <c r="Q43" s="8">
        <f t="shared" si="24"/>
        <v>116.72000000000001</v>
      </c>
      <c r="R43" s="10" t="s">
        <v>30</v>
      </c>
      <c r="S43" s="12"/>
      <c r="T43" s="8">
        <f t="shared" si="5"/>
        <v>116.72000000000001</v>
      </c>
      <c r="U43" s="4"/>
    </row>
    <row r="44" spans="1:21" ht="31.2" x14ac:dyDescent="0.3">
      <c r="A44" s="3" t="s">
        <v>31</v>
      </c>
      <c r="B44" s="4">
        <v>2</v>
      </c>
      <c r="C44" s="5">
        <v>108.43</v>
      </c>
      <c r="D44" s="6">
        <f t="shared" si="25"/>
        <v>0.51609333210366137</v>
      </c>
      <c r="E44" s="7">
        <v>0</v>
      </c>
      <c r="F44" s="7">
        <v>52.47</v>
      </c>
      <c r="G44" s="8">
        <f t="shared" si="23"/>
        <v>104.94</v>
      </c>
      <c r="H44" s="7">
        <v>0</v>
      </c>
      <c r="I44" s="7">
        <v>0</v>
      </c>
      <c r="J44" s="20">
        <v>45323</v>
      </c>
      <c r="K44" s="20">
        <v>45341</v>
      </c>
      <c r="L44" s="5"/>
      <c r="M44" s="7">
        <v>17.59</v>
      </c>
      <c r="N44" s="5"/>
      <c r="O44" s="9"/>
      <c r="P44" s="4">
        <v>1</v>
      </c>
      <c r="Q44" s="8">
        <f t="shared" si="24"/>
        <v>52.47</v>
      </c>
      <c r="R44" s="10" t="s">
        <v>32</v>
      </c>
      <c r="S44" s="12"/>
      <c r="T44" s="8">
        <f t="shared" si="5"/>
        <v>104.94</v>
      </c>
      <c r="U44" s="4"/>
    </row>
    <row r="45" spans="1:21" ht="31.2" x14ac:dyDescent="0.3">
      <c r="A45" s="3" t="s">
        <v>33</v>
      </c>
      <c r="B45" s="4">
        <v>2</v>
      </c>
      <c r="C45" s="5">
        <v>109.5</v>
      </c>
      <c r="D45" s="6">
        <f t="shared" si="25"/>
        <v>0.51607305936073056</v>
      </c>
      <c r="E45" s="7">
        <v>0</v>
      </c>
      <c r="F45" s="7">
        <v>52.99</v>
      </c>
      <c r="G45" s="8">
        <f t="shared" si="23"/>
        <v>105.98</v>
      </c>
      <c r="H45" s="7">
        <v>0</v>
      </c>
      <c r="I45" s="7">
        <v>0</v>
      </c>
      <c r="J45" s="20">
        <v>45323</v>
      </c>
      <c r="K45" s="20">
        <v>45341</v>
      </c>
      <c r="L45" s="5"/>
      <c r="M45" s="7">
        <v>17.59</v>
      </c>
      <c r="N45" s="5"/>
      <c r="O45" s="9"/>
      <c r="P45" s="4">
        <v>1</v>
      </c>
      <c r="Q45" s="8">
        <f t="shared" si="24"/>
        <v>52.99</v>
      </c>
      <c r="R45" s="10"/>
      <c r="S45" s="12"/>
      <c r="T45" s="8">
        <f t="shared" si="5"/>
        <v>105.98</v>
      </c>
      <c r="U45" s="4"/>
    </row>
    <row r="46" spans="1:21" ht="46.8" x14ac:dyDescent="0.3">
      <c r="A46" s="3" t="s">
        <v>165</v>
      </c>
      <c r="B46" s="4">
        <v>1</v>
      </c>
      <c r="C46" s="5">
        <v>105.42</v>
      </c>
      <c r="D46" s="6">
        <f t="shared" si="25"/>
        <v>0.68763043065831919</v>
      </c>
      <c r="E46" s="7">
        <v>0</v>
      </c>
      <c r="F46" s="7">
        <v>32.93</v>
      </c>
      <c r="G46" s="8">
        <f t="shared" si="23"/>
        <v>32.93</v>
      </c>
      <c r="H46" s="7">
        <v>0</v>
      </c>
      <c r="I46" s="7">
        <v>0.01</v>
      </c>
      <c r="J46" s="20">
        <v>45323</v>
      </c>
      <c r="K46" s="20">
        <v>45345</v>
      </c>
      <c r="L46" s="5"/>
      <c r="M46" s="7">
        <v>17.59</v>
      </c>
      <c r="N46" s="5"/>
      <c r="O46" s="9">
        <v>0.66</v>
      </c>
      <c r="P46" s="4">
        <v>1</v>
      </c>
      <c r="Q46" s="8">
        <f t="shared" si="24"/>
        <v>32.28</v>
      </c>
      <c r="R46" s="10" t="s">
        <v>34</v>
      </c>
      <c r="S46" s="12"/>
      <c r="T46" s="8">
        <f t="shared" si="5"/>
        <v>32.28</v>
      </c>
      <c r="U46" s="4"/>
    </row>
    <row r="47" spans="1:21" ht="31.2" x14ac:dyDescent="0.3">
      <c r="A47" s="3" t="s">
        <v>35</v>
      </c>
      <c r="B47" s="4">
        <v>1</v>
      </c>
      <c r="C47" s="5">
        <v>147.94</v>
      </c>
      <c r="D47" s="6">
        <f t="shared" si="25"/>
        <v>0.51608760308233059</v>
      </c>
      <c r="E47" s="7">
        <v>0</v>
      </c>
      <c r="F47" s="7">
        <v>71.59</v>
      </c>
      <c r="G47" s="8">
        <f t="shared" si="23"/>
        <v>71.59</v>
      </c>
      <c r="H47" s="7">
        <v>0</v>
      </c>
      <c r="I47" s="7">
        <f>0.02/2</f>
        <v>0.01</v>
      </c>
      <c r="J47" s="20">
        <v>45323</v>
      </c>
      <c r="K47" s="20">
        <v>45335</v>
      </c>
      <c r="L47" s="5"/>
      <c r="M47" s="7">
        <v>17.59</v>
      </c>
      <c r="N47" s="5"/>
      <c r="O47" s="9">
        <f>2.84/2</f>
        <v>1.42</v>
      </c>
      <c r="P47" s="4">
        <v>1</v>
      </c>
      <c r="Q47" s="8">
        <f t="shared" si="24"/>
        <v>70.180000000000007</v>
      </c>
      <c r="R47" s="10" t="s">
        <v>36</v>
      </c>
      <c r="S47" s="12"/>
      <c r="T47" s="8">
        <f t="shared" si="5"/>
        <v>70.180000000000007</v>
      </c>
      <c r="U47" s="4"/>
    </row>
    <row r="48" spans="1:21" ht="31.2" x14ac:dyDescent="0.3">
      <c r="A48" s="3" t="s">
        <v>37</v>
      </c>
      <c r="B48" s="4">
        <v>1</v>
      </c>
      <c r="C48" s="5">
        <v>145.86000000000001</v>
      </c>
      <c r="D48" s="6">
        <f t="shared" si="25"/>
        <v>0.51624845742492798</v>
      </c>
      <c r="E48" s="7">
        <v>0</v>
      </c>
      <c r="F48" s="7">
        <v>70.56</v>
      </c>
      <c r="G48" s="8">
        <f t="shared" si="23"/>
        <v>70.56</v>
      </c>
      <c r="H48" s="7">
        <v>0</v>
      </c>
      <c r="I48" s="7">
        <f>0.02/2</f>
        <v>0.01</v>
      </c>
      <c r="J48" s="20">
        <v>45323</v>
      </c>
      <c r="K48" s="20">
        <v>45335</v>
      </c>
      <c r="L48" s="5"/>
      <c r="M48" s="7">
        <v>17.59</v>
      </c>
      <c r="N48" s="5"/>
      <c r="O48" s="9">
        <f>2.84/2</f>
        <v>1.42</v>
      </c>
      <c r="P48" s="4">
        <v>1</v>
      </c>
      <c r="Q48" s="8">
        <f t="shared" si="24"/>
        <v>69.150000000000006</v>
      </c>
      <c r="R48" s="10"/>
      <c r="S48" s="12"/>
      <c r="T48" s="8">
        <f t="shared" si="5"/>
        <v>69.150000000000006</v>
      </c>
      <c r="U48" s="5"/>
    </row>
    <row r="49" spans="1:21" ht="31.2" x14ac:dyDescent="0.3">
      <c r="A49" s="3" t="s">
        <v>38</v>
      </c>
      <c r="B49" s="4">
        <v>1</v>
      </c>
      <c r="C49" s="5">
        <v>198.79</v>
      </c>
      <c r="D49" s="6">
        <f t="shared" si="25"/>
        <v>0.70763116856984754</v>
      </c>
      <c r="E49" s="7">
        <v>0</v>
      </c>
      <c r="F49" s="7">
        <v>58.12</v>
      </c>
      <c r="G49" s="8">
        <f t="shared" si="23"/>
        <v>58.12</v>
      </c>
      <c r="H49" s="7">
        <v>0</v>
      </c>
      <c r="I49" s="7">
        <f>0.03/5</f>
        <v>6.0000000000000001E-3</v>
      </c>
      <c r="J49" s="20">
        <v>45323</v>
      </c>
      <c r="K49" s="20">
        <v>45336</v>
      </c>
      <c r="L49" s="5"/>
      <c r="M49" s="7">
        <v>17.59</v>
      </c>
      <c r="N49" s="5"/>
      <c r="O49" s="9">
        <f>7.09/5</f>
        <v>1.4179999999999999</v>
      </c>
      <c r="P49" s="4">
        <v>1</v>
      </c>
      <c r="Q49" s="8">
        <f t="shared" si="24"/>
        <v>56.707999999999998</v>
      </c>
      <c r="R49" s="10" t="s">
        <v>39</v>
      </c>
      <c r="S49" s="12"/>
      <c r="T49" s="8">
        <f t="shared" si="5"/>
        <v>56.707999999999998</v>
      </c>
      <c r="U49" s="4"/>
    </row>
    <row r="50" spans="1:21" ht="31.2" x14ac:dyDescent="0.3">
      <c r="A50" s="3" t="s">
        <v>40</v>
      </c>
      <c r="B50" s="4">
        <v>1</v>
      </c>
      <c r="C50" s="5">
        <v>212.09</v>
      </c>
      <c r="D50" s="6">
        <f t="shared" si="25"/>
        <v>0.70776557121976524</v>
      </c>
      <c r="E50" s="7">
        <v>0</v>
      </c>
      <c r="F50" s="7">
        <v>61.98</v>
      </c>
      <c r="G50" s="8">
        <f t="shared" si="23"/>
        <v>61.98</v>
      </c>
      <c r="H50" s="7">
        <v>0</v>
      </c>
      <c r="I50" s="7">
        <f>0.03/5</f>
        <v>6.0000000000000001E-3</v>
      </c>
      <c r="J50" s="20">
        <v>45323</v>
      </c>
      <c r="K50" s="20">
        <v>45336</v>
      </c>
      <c r="L50" s="5"/>
      <c r="M50" s="7">
        <v>17.59</v>
      </c>
      <c r="N50" s="5"/>
      <c r="O50" s="9">
        <f>7.09/5</f>
        <v>1.4179999999999999</v>
      </c>
      <c r="P50" s="4">
        <v>1</v>
      </c>
      <c r="Q50" s="8">
        <f t="shared" si="24"/>
        <v>60.567999999999998</v>
      </c>
      <c r="R50" s="10"/>
      <c r="S50" s="12"/>
      <c r="T50" s="8">
        <f t="shared" si="5"/>
        <v>60.567999999999998</v>
      </c>
      <c r="U50" s="4"/>
    </row>
    <row r="51" spans="1:21" ht="31.2" x14ac:dyDescent="0.3">
      <c r="A51" s="3" t="s">
        <v>41</v>
      </c>
      <c r="B51" s="4">
        <v>1</v>
      </c>
      <c r="C51" s="5">
        <v>198.23</v>
      </c>
      <c r="D51" s="6">
        <f t="shared" si="25"/>
        <v>0.70766281592089986</v>
      </c>
      <c r="E51" s="7">
        <v>0</v>
      </c>
      <c r="F51" s="7">
        <v>57.95</v>
      </c>
      <c r="G51" s="8">
        <f t="shared" si="23"/>
        <v>57.95</v>
      </c>
      <c r="H51" s="7">
        <v>0</v>
      </c>
      <c r="I51" s="7">
        <f>0.03/5</f>
        <v>6.0000000000000001E-3</v>
      </c>
      <c r="J51" s="20">
        <v>45323</v>
      </c>
      <c r="K51" s="20">
        <v>45336</v>
      </c>
      <c r="L51" s="5"/>
      <c r="M51" s="7">
        <v>17.59</v>
      </c>
      <c r="N51" s="5"/>
      <c r="O51" s="9">
        <f>7.09/5</f>
        <v>1.4179999999999999</v>
      </c>
      <c r="P51" s="4">
        <v>1</v>
      </c>
      <c r="Q51" s="8">
        <f t="shared" si="24"/>
        <v>56.538000000000004</v>
      </c>
      <c r="R51" s="10"/>
      <c r="S51" s="12"/>
      <c r="T51" s="8">
        <f t="shared" si="5"/>
        <v>56.538000000000004</v>
      </c>
      <c r="U51" s="4"/>
    </row>
    <row r="52" spans="1:21" ht="31.2" x14ac:dyDescent="0.3">
      <c r="A52" s="3" t="s">
        <v>42</v>
      </c>
      <c r="B52" s="4">
        <v>1</v>
      </c>
      <c r="C52" s="5">
        <v>202.5</v>
      </c>
      <c r="D52" s="6">
        <f t="shared" si="25"/>
        <v>0.70770370370370372</v>
      </c>
      <c r="E52" s="7">
        <v>0</v>
      </c>
      <c r="F52" s="7">
        <v>59.19</v>
      </c>
      <c r="G52" s="8">
        <f t="shared" si="23"/>
        <v>59.19</v>
      </c>
      <c r="H52" s="7">
        <v>0</v>
      </c>
      <c r="I52" s="7">
        <f>0.03/5</f>
        <v>6.0000000000000001E-3</v>
      </c>
      <c r="J52" s="20">
        <v>45323</v>
      </c>
      <c r="K52" s="20">
        <v>45336</v>
      </c>
      <c r="L52" s="5"/>
      <c r="M52" s="7">
        <v>17.59</v>
      </c>
      <c r="N52" s="5"/>
      <c r="O52" s="9">
        <f>7.09/5</f>
        <v>1.4179999999999999</v>
      </c>
      <c r="P52" s="4">
        <v>1</v>
      </c>
      <c r="Q52" s="8">
        <f t="shared" si="24"/>
        <v>57.777999999999999</v>
      </c>
      <c r="R52" s="10"/>
      <c r="S52" s="12"/>
      <c r="T52" s="8">
        <f t="shared" si="5"/>
        <v>57.777999999999999</v>
      </c>
      <c r="U52" s="4"/>
    </row>
    <row r="53" spans="1:21" ht="31.2" x14ac:dyDescent="0.3">
      <c r="A53" s="3" t="s">
        <v>43</v>
      </c>
      <c r="B53" s="4">
        <v>1</v>
      </c>
      <c r="C53" s="5">
        <v>200.94</v>
      </c>
      <c r="D53" s="6">
        <f t="shared" si="25"/>
        <v>0.70772369861650253</v>
      </c>
      <c r="E53" s="7">
        <v>0</v>
      </c>
      <c r="F53" s="7">
        <v>58.73</v>
      </c>
      <c r="G53" s="8">
        <f t="shared" si="23"/>
        <v>58.73</v>
      </c>
      <c r="H53" s="7">
        <v>0</v>
      </c>
      <c r="I53" s="7">
        <f>0.03/5</f>
        <v>6.0000000000000001E-3</v>
      </c>
      <c r="J53" s="20">
        <v>45323</v>
      </c>
      <c r="K53" s="20">
        <v>45336</v>
      </c>
      <c r="L53" s="5"/>
      <c r="M53" s="7">
        <v>17.59</v>
      </c>
      <c r="N53" s="5"/>
      <c r="O53" s="9">
        <f>7.09/5</f>
        <v>1.4179999999999999</v>
      </c>
      <c r="P53" s="4">
        <v>1</v>
      </c>
      <c r="Q53" s="8">
        <f t="shared" si="24"/>
        <v>57.317999999999998</v>
      </c>
      <c r="R53" s="10"/>
      <c r="S53" s="12"/>
      <c r="T53" s="8">
        <f t="shared" si="5"/>
        <v>57.317999999999998</v>
      </c>
      <c r="U53" s="13"/>
    </row>
    <row r="54" spans="1:21" x14ac:dyDescent="0.3">
      <c r="A54" s="3" t="s">
        <v>169</v>
      </c>
      <c r="B54" s="4">
        <v>2</v>
      </c>
      <c r="C54" s="5">
        <v>96.69</v>
      </c>
      <c r="D54" s="6">
        <f t="shared" si="25"/>
        <v>0.51618574826765962</v>
      </c>
      <c r="E54" s="7">
        <v>0</v>
      </c>
      <c r="F54" s="7">
        <v>46.78</v>
      </c>
      <c r="G54" s="8">
        <f t="shared" si="23"/>
        <v>93.56</v>
      </c>
      <c r="H54" s="7">
        <v>0</v>
      </c>
      <c r="I54" s="7">
        <v>0.01</v>
      </c>
      <c r="J54" s="20">
        <v>45323</v>
      </c>
      <c r="K54" s="20">
        <v>45335</v>
      </c>
      <c r="L54" s="5"/>
      <c r="M54" s="7">
        <v>17.59</v>
      </c>
      <c r="N54" s="5"/>
      <c r="O54" s="9">
        <v>1.88</v>
      </c>
      <c r="P54" s="4">
        <v>1</v>
      </c>
      <c r="Q54" s="8">
        <f t="shared" si="24"/>
        <v>45.845000000000006</v>
      </c>
      <c r="R54" s="10" t="s">
        <v>44</v>
      </c>
      <c r="S54" s="12"/>
      <c r="T54" s="8">
        <f t="shared" si="5"/>
        <v>91.690000000000012</v>
      </c>
      <c r="U54" s="4"/>
    </row>
    <row r="55" spans="1:21" ht="46.8" x14ac:dyDescent="0.3">
      <c r="A55" s="3" t="s">
        <v>45</v>
      </c>
      <c r="B55" s="4">
        <v>1</v>
      </c>
      <c r="C55" s="5">
        <v>317.38</v>
      </c>
      <c r="D55" s="6">
        <f t="shared" si="25"/>
        <v>0.70773205621022117</v>
      </c>
      <c r="E55" s="7">
        <v>0</v>
      </c>
      <c r="F55" s="7">
        <v>92.76</v>
      </c>
      <c r="G55" s="8">
        <f t="shared" si="23"/>
        <v>92.76</v>
      </c>
      <c r="H55" s="7">
        <v>0</v>
      </c>
      <c r="I55" s="7">
        <f>0.01/2</f>
        <v>5.0000000000000001E-3</v>
      </c>
      <c r="J55" s="20">
        <v>45323</v>
      </c>
      <c r="K55" s="20">
        <v>45335</v>
      </c>
      <c r="L55" s="5"/>
      <c r="M55" s="7">
        <v>17.59</v>
      </c>
      <c r="N55" s="5"/>
      <c r="O55" s="9">
        <f>3.72/2</f>
        <v>1.86</v>
      </c>
      <c r="P55" s="4">
        <v>1</v>
      </c>
      <c r="Q55" s="8">
        <f t="shared" si="24"/>
        <v>90.905000000000001</v>
      </c>
      <c r="R55" s="10" t="s">
        <v>46</v>
      </c>
      <c r="S55" s="12"/>
      <c r="T55" s="8">
        <f t="shared" si="5"/>
        <v>90.905000000000001</v>
      </c>
      <c r="U55" s="4"/>
    </row>
    <row r="56" spans="1:21" ht="46.8" x14ac:dyDescent="0.3">
      <c r="A56" s="3" t="s">
        <v>47</v>
      </c>
      <c r="B56" s="4">
        <v>1</v>
      </c>
      <c r="C56" s="5">
        <v>317.89</v>
      </c>
      <c r="D56" s="6">
        <f t="shared" si="25"/>
        <v>0.70772908867847373</v>
      </c>
      <c r="E56" s="7">
        <v>0</v>
      </c>
      <c r="F56" s="7">
        <v>92.91</v>
      </c>
      <c r="G56" s="8">
        <f t="shared" si="23"/>
        <v>92.91</v>
      </c>
      <c r="H56" s="7">
        <v>0</v>
      </c>
      <c r="I56" s="7">
        <f>0.01/2</f>
        <v>5.0000000000000001E-3</v>
      </c>
      <c r="J56" s="20">
        <v>45323</v>
      </c>
      <c r="K56" s="20">
        <v>45335</v>
      </c>
      <c r="L56" s="5"/>
      <c r="M56" s="7">
        <v>17.59</v>
      </c>
      <c r="N56" s="5"/>
      <c r="O56" s="9">
        <f>3.72/2</f>
        <v>1.86</v>
      </c>
      <c r="P56" s="4">
        <v>1</v>
      </c>
      <c r="Q56" s="8">
        <f t="shared" si="24"/>
        <v>91.054999999999993</v>
      </c>
      <c r="R56" s="10"/>
      <c r="S56" s="12"/>
      <c r="T56" s="8">
        <f t="shared" si="5"/>
        <v>91.054999999999993</v>
      </c>
      <c r="U56" s="4"/>
    </row>
    <row r="57" spans="1:21" ht="31.2" x14ac:dyDescent="0.3">
      <c r="A57" s="3" t="s">
        <v>48</v>
      </c>
      <c r="B57" s="4">
        <v>2</v>
      </c>
      <c r="C57" s="7">
        <v>214.43</v>
      </c>
      <c r="D57" s="6">
        <f>(((C57-F57)*100)/C57)/100</f>
        <v>0.51620575479177366</v>
      </c>
      <c r="E57" s="7">
        <v>0</v>
      </c>
      <c r="F57" s="7">
        <v>103.74</v>
      </c>
      <c r="G57" s="8">
        <f>B57*F57</f>
        <v>207.48</v>
      </c>
      <c r="H57" s="7">
        <v>0</v>
      </c>
      <c r="I57" s="7">
        <v>0.02</v>
      </c>
      <c r="J57" s="20">
        <v>45323</v>
      </c>
      <c r="K57" s="20">
        <v>45332</v>
      </c>
      <c r="L57" s="8"/>
      <c r="M57" s="7">
        <v>17.079999999999998</v>
      </c>
      <c r="N57" s="7"/>
      <c r="O57" s="9">
        <v>4.16</v>
      </c>
      <c r="P57" s="4">
        <v>1</v>
      </c>
      <c r="Q57" s="8">
        <f t="shared" si="24"/>
        <v>101.67</v>
      </c>
      <c r="R57" s="10" t="s">
        <v>49</v>
      </c>
      <c r="S57" s="12"/>
      <c r="T57" s="8">
        <f t="shared" si="5"/>
        <v>203.34</v>
      </c>
      <c r="U57" s="4"/>
    </row>
    <row r="58" spans="1:21" ht="31.2" x14ac:dyDescent="0.3">
      <c r="A58" s="3" t="s">
        <v>170</v>
      </c>
      <c r="B58" s="4">
        <v>2</v>
      </c>
      <c r="C58" s="7">
        <v>116.53</v>
      </c>
      <c r="D58" s="6">
        <f t="shared" ref="D58:D110" si="26">(((C58-F58)*100)/C58)/100</f>
        <v>0.4960096112589033</v>
      </c>
      <c r="E58" s="7">
        <v>0</v>
      </c>
      <c r="F58" s="7">
        <v>58.73</v>
      </c>
      <c r="G58" s="8">
        <f>B58*F58</f>
        <v>117.46</v>
      </c>
      <c r="H58" s="7">
        <v>0</v>
      </c>
      <c r="I58" s="7">
        <f>0.03/4</f>
        <v>7.4999999999999997E-3</v>
      </c>
      <c r="J58" s="20">
        <v>45323</v>
      </c>
      <c r="K58" s="20">
        <v>45334</v>
      </c>
      <c r="L58" s="8"/>
      <c r="M58" s="7">
        <v>17.079999999999998</v>
      </c>
      <c r="N58" s="7"/>
      <c r="O58" s="9">
        <f>4.69/2</f>
        <v>2.3450000000000002</v>
      </c>
      <c r="P58" s="4">
        <v>1</v>
      </c>
      <c r="Q58" s="8">
        <f t="shared" si="24"/>
        <v>57.561249999999994</v>
      </c>
      <c r="R58" s="10" t="s">
        <v>50</v>
      </c>
      <c r="S58" s="12"/>
      <c r="T58" s="8">
        <f t="shared" si="5"/>
        <v>115.12249999999999</v>
      </c>
      <c r="U58" s="4"/>
    </row>
    <row r="59" spans="1:21" ht="31.2" x14ac:dyDescent="0.3">
      <c r="A59" s="3" t="s">
        <v>171</v>
      </c>
      <c r="B59" s="4">
        <v>2</v>
      </c>
      <c r="C59" s="7">
        <v>115.88</v>
      </c>
      <c r="D59" s="6">
        <f t="shared" si="26"/>
        <v>0.4961166724197445</v>
      </c>
      <c r="E59" s="7">
        <v>0</v>
      </c>
      <c r="F59" s="7">
        <v>58.39</v>
      </c>
      <c r="G59" s="8">
        <f>B59*F59</f>
        <v>116.78</v>
      </c>
      <c r="H59" s="7">
        <v>0</v>
      </c>
      <c r="I59" s="7">
        <f>0.03/4</f>
        <v>7.4999999999999997E-3</v>
      </c>
      <c r="J59" s="20">
        <v>45323</v>
      </c>
      <c r="K59" s="20">
        <v>45334</v>
      </c>
      <c r="L59" s="8"/>
      <c r="M59" s="7">
        <v>17.149999999999999</v>
      </c>
      <c r="N59" s="7"/>
      <c r="O59" s="9">
        <f>4.69/2</f>
        <v>2.3450000000000002</v>
      </c>
      <c r="P59" s="4">
        <v>1</v>
      </c>
      <c r="Q59" s="8">
        <f t="shared" si="24"/>
        <v>57.221249999999998</v>
      </c>
      <c r="R59" s="10"/>
      <c r="S59" s="12"/>
      <c r="T59" s="8">
        <f t="shared" si="5"/>
        <v>114.4425</v>
      </c>
      <c r="U59" s="4"/>
    </row>
    <row r="60" spans="1:21" ht="31.2" x14ac:dyDescent="0.3">
      <c r="A60" s="3" t="s">
        <v>51</v>
      </c>
      <c r="B60" s="4">
        <v>1</v>
      </c>
      <c r="C60" s="7">
        <v>90</v>
      </c>
      <c r="D60" s="6">
        <f t="shared" si="26"/>
        <v>1.7777777777777399E-3</v>
      </c>
      <c r="E60" s="7">
        <v>0</v>
      </c>
      <c r="F60" s="7">
        <v>89.84</v>
      </c>
      <c r="G60" s="8">
        <f>B60*F60</f>
        <v>89.84</v>
      </c>
      <c r="H60" s="7">
        <v>0</v>
      </c>
      <c r="I60" s="7">
        <v>0</v>
      </c>
      <c r="J60" s="20">
        <v>45323</v>
      </c>
      <c r="K60" s="20">
        <v>45334</v>
      </c>
      <c r="L60" s="8"/>
      <c r="M60" s="7">
        <v>17.149999999999999</v>
      </c>
      <c r="N60" s="7"/>
      <c r="O60" s="9"/>
      <c r="P60" s="4">
        <v>1</v>
      </c>
      <c r="Q60" s="8">
        <f t="shared" si="24"/>
        <v>89.84</v>
      </c>
      <c r="R60" s="10" t="s">
        <v>52</v>
      </c>
      <c r="S60" s="12"/>
      <c r="T60" s="8">
        <f t="shared" si="5"/>
        <v>89.84</v>
      </c>
      <c r="U60" s="4"/>
    </row>
    <row r="61" spans="1:21" ht="31.2" x14ac:dyDescent="0.3">
      <c r="A61" s="3" t="s">
        <v>53</v>
      </c>
      <c r="B61" s="4">
        <v>2</v>
      </c>
      <c r="C61" s="7">
        <v>104.78</v>
      </c>
      <c r="D61" s="6">
        <f t="shared" si="26"/>
        <v>0.14258446268371824</v>
      </c>
      <c r="E61" s="7">
        <v>0</v>
      </c>
      <c r="F61" s="7">
        <v>89.84</v>
      </c>
      <c r="G61" s="8">
        <f t="shared" ref="G61" si="27">B61*F61</f>
        <v>179.68</v>
      </c>
      <c r="H61" s="7">
        <v>0</v>
      </c>
      <c r="I61" s="7">
        <v>0</v>
      </c>
      <c r="J61" s="20">
        <v>45323</v>
      </c>
      <c r="K61" s="20">
        <v>45334</v>
      </c>
      <c r="L61" s="8"/>
      <c r="M61" s="7">
        <v>17.149999999999999</v>
      </c>
      <c r="N61" s="7"/>
      <c r="O61" s="9"/>
      <c r="P61" s="4">
        <v>1</v>
      </c>
      <c r="Q61" s="8">
        <f t="shared" si="24"/>
        <v>89.84</v>
      </c>
      <c r="R61" s="10" t="s">
        <v>54</v>
      </c>
      <c r="S61" s="12"/>
      <c r="T61" s="8">
        <f t="shared" si="5"/>
        <v>179.68</v>
      </c>
      <c r="U61" s="4"/>
    </row>
    <row r="62" spans="1:21" ht="31.2" x14ac:dyDescent="0.3">
      <c r="A62" s="3" t="s">
        <v>55</v>
      </c>
      <c r="B62" s="4">
        <v>1</v>
      </c>
      <c r="C62" s="7">
        <v>156.53</v>
      </c>
      <c r="D62" s="6">
        <f t="shared" si="26"/>
        <v>0.68619433974318023</v>
      </c>
      <c r="E62" s="7">
        <v>0</v>
      </c>
      <c r="F62" s="7">
        <v>49.12</v>
      </c>
      <c r="G62" s="8">
        <f>B62*F62</f>
        <v>49.12</v>
      </c>
      <c r="H62" s="7">
        <v>0</v>
      </c>
      <c r="I62" s="7">
        <v>0</v>
      </c>
      <c r="J62" s="20">
        <v>45323</v>
      </c>
      <c r="K62" s="20">
        <v>45335</v>
      </c>
      <c r="L62" s="8"/>
      <c r="M62" s="7">
        <v>17.149999999999999</v>
      </c>
      <c r="N62" s="7"/>
      <c r="O62" s="9"/>
      <c r="P62" s="4">
        <v>1</v>
      </c>
      <c r="Q62" s="8">
        <f t="shared" si="24"/>
        <v>49.12</v>
      </c>
      <c r="R62" s="10" t="s">
        <v>56</v>
      </c>
      <c r="S62" s="12"/>
      <c r="T62" s="8">
        <f t="shared" si="5"/>
        <v>49.12</v>
      </c>
      <c r="U62" s="4"/>
    </row>
    <row r="63" spans="1:21" ht="31.2" x14ac:dyDescent="0.3">
      <c r="A63" s="3" t="s">
        <v>57</v>
      </c>
      <c r="B63" s="4">
        <v>1</v>
      </c>
      <c r="C63" s="7">
        <v>188.48</v>
      </c>
      <c r="D63" s="6">
        <f t="shared" si="26"/>
        <v>0.59237054329371819</v>
      </c>
      <c r="E63" s="7">
        <v>0</v>
      </c>
      <c r="F63" s="7">
        <v>76.83</v>
      </c>
      <c r="G63" s="8">
        <f t="shared" ref="G63:G86" si="28">B63*F63</f>
        <v>76.83</v>
      </c>
      <c r="H63" s="7">
        <v>0</v>
      </c>
      <c r="I63" s="7">
        <v>0</v>
      </c>
      <c r="J63" s="20">
        <v>45323</v>
      </c>
      <c r="K63" s="20">
        <v>45335</v>
      </c>
      <c r="L63" s="8"/>
      <c r="M63" s="7">
        <v>17.149999999999999</v>
      </c>
      <c r="N63" s="7"/>
      <c r="O63" s="9"/>
      <c r="P63" s="4">
        <v>1</v>
      </c>
      <c r="Q63" s="8">
        <f t="shared" si="24"/>
        <v>76.83</v>
      </c>
      <c r="R63" s="10"/>
      <c r="S63" s="12"/>
      <c r="T63" s="8">
        <f t="shared" si="5"/>
        <v>76.83</v>
      </c>
      <c r="U63" s="4"/>
    </row>
    <row r="64" spans="1:21" ht="31.2" x14ac:dyDescent="0.3">
      <c r="A64" s="3" t="s">
        <v>58</v>
      </c>
      <c r="B64" s="4">
        <v>2</v>
      </c>
      <c r="C64" s="7">
        <v>49.65</v>
      </c>
      <c r="D64" s="6">
        <f t="shared" si="26"/>
        <v>-8.0563947633433761E-3</v>
      </c>
      <c r="E64" s="7">
        <v>0</v>
      </c>
      <c r="F64" s="7">
        <v>50.05</v>
      </c>
      <c r="G64" s="8">
        <f t="shared" si="28"/>
        <v>100.1</v>
      </c>
      <c r="H64" s="7">
        <v>0</v>
      </c>
      <c r="I64" s="7">
        <v>0</v>
      </c>
      <c r="J64" s="20">
        <v>45323</v>
      </c>
      <c r="K64" s="20">
        <v>45335</v>
      </c>
      <c r="L64" s="8"/>
      <c r="M64" s="7">
        <v>17.149999999999999</v>
      </c>
      <c r="N64" s="7"/>
      <c r="O64" s="9"/>
      <c r="P64" s="4">
        <v>1</v>
      </c>
      <c r="Q64" s="8">
        <f t="shared" si="24"/>
        <v>50.05</v>
      </c>
      <c r="R64" s="10" t="s">
        <v>59</v>
      </c>
      <c r="S64" s="12"/>
      <c r="T64" s="8">
        <f t="shared" si="5"/>
        <v>100.1</v>
      </c>
      <c r="U64" s="4"/>
    </row>
    <row r="65" spans="1:21" ht="31.2" x14ac:dyDescent="0.3">
      <c r="A65" s="3" t="s">
        <v>172</v>
      </c>
      <c r="B65" s="4">
        <v>1</v>
      </c>
      <c r="C65" s="7">
        <v>94.07</v>
      </c>
      <c r="D65" s="6">
        <f t="shared" si="26"/>
        <v>0.68757308387371097</v>
      </c>
      <c r="E65" s="7">
        <v>0</v>
      </c>
      <c r="F65" s="7">
        <v>29.39</v>
      </c>
      <c r="G65" s="8">
        <f t="shared" si="28"/>
        <v>29.39</v>
      </c>
      <c r="H65" s="7">
        <v>0</v>
      </c>
      <c r="I65" s="7">
        <f t="shared" ref="I65:I70" si="29">0.01/10</f>
        <v>1E-3</v>
      </c>
      <c r="J65" s="20">
        <v>45323</v>
      </c>
      <c r="K65" s="20">
        <v>45332</v>
      </c>
      <c r="L65" s="8"/>
      <c r="M65" s="7">
        <v>17.149999999999999</v>
      </c>
      <c r="N65" s="7"/>
      <c r="O65" s="9"/>
      <c r="P65" s="4">
        <v>1</v>
      </c>
      <c r="Q65" s="8">
        <f t="shared" si="24"/>
        <v>29.391000000000002</v>
      </c>
      <c r="R65" s="10" t="s">
        <v>60</v>
      </c>
      <c r="S65" s="4"/>
      <c r="T65" s="8">
        <f t="shared" si="5"/>
        <v>29.391000000000002</v>
      </c>
      <c r="U65" s="5"/>
    </row>
    <row r="66" spans="1:21" ht="31.2" x14ac:dyDescent="0.3">
      <c r="A66" s="3" t="s">
        <v>173</v>
      </c>
      <c r="B66" s="4">
        <v>2</v>
      </c>
      <c r="C66" s="7">
        <v>85.51</v>
      </c>
      <c r="D66" s="6">
        <f t="shared" si="26"/>
        <v>0.68740498187346499</v>
      </c>
      <c r="E66" s="7">
        <v>0</v>
      </c>
      <c r="F66" s="7">
        <v>26.73</v>
      </c>
      <c r="G66" s="8">
        <f t="shared" si="28"/>
        <v>53.46</v>
      </c>
      <c r="H66" s="7">
        <v>0</v>
      </c>
      <c r="I66" s="7">
        <f t="shared" si="29"/>
        <v>1E-3</v>
      </c>
      <c r="J66" s="20">
        <v>45323</v>
      </c>
      <c r="K66" s="20">
        <v>45332</v>
      </c>
      <c r="L66" s="8"/>
      <c r="M66" s="7">
        <v>17.03</v>
      </c>
      <c r="N66" s="7"/>
      <c r="O66" s="9"/>
      <c r="P66" s="4">
        <v>1</v>
      </c>
      <c r="Q66" s="8">
        <f t="shared" si="24"/>
        <v>26.730499999999999</v>
      </c>
      <c r="R66" s="12"/>
      <c r="S66" s="4"/>
      <c r="T66" s="8">
        <f t="shared" si="5"/>
        <v>53.460999999999999</v>
      </c>
      <c r="U66" s="5"/>
    </row>
    <row r="67" spans="1:21" ht="31.2" x14ac:dyDescent="0.3">
      <c r="A67" s="3" t="s">
        <v>174</v>
      </c>
      <c r="B67" s="4">
        <v>2</v>
      </c>
      <c r="C67" s="7">
        <v>88.73</v>
      </c>
      <c r="D67" s="6">
        <f t="shared" si="26"/>
        <v>0.68747886847740336</v>
      </c>
      <c r="E67" s="7">
        <v>0</v>
      </c>
      <c r="F67" s="7">
        <v>27.73</v>
      </c>
      <c r="G67" s="8">
        <f t="shared" si="28"/>
        <v>55.46</v>
      </c>
      <c r="H67" s="7">
        <v>0</v>
      </c>
      <c r="I67" s="7">
        <f t="shared" si="29"/>
        <v>1E-3</v>
      </c>
      <c r="J67" s="20">
        <v>45323</v>
      </c>
      <c r="K67" s="20">
        <v>45332</v>
      </c>
      <c r="L67" s="8"/>
      <c r="M67" s="7">
        <v>17.03</v>
      </c>
      <c r="N67" s="7"/>
      <c r="O67" s="9"/>
      <c r="P67" s="4">
        <v>1</v>
      </c>
      <c r="Q67" s="8">
        <f t="shared" si="24"/>
        <v>27.730499999999999</v>
      </c>
      <c r="R67" s="12"/>
      <c r="S67" s="4"/>
      <c r="T67" s="8">
        <f t="shared" ref="T67:T119" si="30">B67*Q67</f>
        <v>55.460999999999999</v>
      </c>
      <c r="U67" s="5"/>
    </row>
    <row r="68" spans="1:21" x14ac:dyDescent="0.3">
      <c r="A68" s="3" t="s">
        <v>61</v>
      </c>
      <c r="B68" s="4">
        <v>2</v>
      </c>
      <c r="C68" s="7">
        <v>79.900000000000006</v>
      </c>
      <c r="D68" s="6">
        <f t="shared" si="26"/>
        <v>0.68748435544430553</v>
      </c>
      <c r="E68" s="7">
        <v>0</v>
      </c>
      <c r="F68" s="7">
        <v>24.97</v>
      </c>
      <c r="G68" s="8">
        <f t="shared" si="28"/>
        <v>49.94</v>
      </c>
      <c r="H68" s="7">
        <v>0</v>
      </c>
      <c r="I68" s="7">
        <f t="shared" si="29"/>
        <v>1E-3</v>
      </c>
      <c r="J68" s="20">
        <v>45323</v>
      </c>
      <c r="K68" s="20">
        <v>45332</v>
      </c>
      <c r="L68" s="8"/>
      <c r="M68" s="7">
        <v>17.03</v>
      </c>
      <c r="N68" s="7"/>
      <c r="O68" s="9"/>
      <c r="P68" s="4">
        <v>1</v>
      </c>
      <c r="Q68" s="8">
        <f t="shared" si="24"/>
        <v>24.970499999999998</v>
      </c>
      <c r="R68" s="10" t="s">
        <v>62</v>
      </c>
      <c r="S68" s="4"/>
      <c r="T68" s="8">
        <f t="shared" si="30"/>
        <v>49.940999999999995</v>
      </c>
      <c r="U68" s="5"/>
    </row>
    <row r="69" spans="1:21" x14ac:dyDescent="0.3">
      <c r="A69" s="3" t="s">
        <v>63</v>
      </c>
      <c r="B69" s="4">
        <v>2</v>
      </c>
      <c r="C69" s="7">
        <v>82.55</v>
      </c>
      <c r="D69" s="6">
        <f t="shared" si="26"/>
        <v>0.68758328285887349</v>
      </c>
      <c r="E69" s="7">
        <v>0</v>
      </c>
      <c r="F69" s="7">
        <v>25.79</v>
      </c>
      <c r="G69" s="8">
        <f t="shared" si="28"/>
        <v>51.58</v>
      </c>
      <c r="H69" s="7">
        <v>0</v>
      </c>
      <c r="I69" s="7">
        <f t="shared" si="29"/>
        <v>1E-3</v>
      </c>
      <c r="J69" s="20">
        <v>45323</v>
      </c>
      <c r="K69" s="20">
        <v>45332</v>
      </c>
      <c r="L69" s="8"/>
      <c r="M69" s="7">
        <v>17.03</v>
      </c>
      <c r="N69" s="7"/>
      <c r="O69" s="9"/>
      <c r="P69" s="4">
        <v>1</v>
      </c>
      <c r="Q69" s="8">
        <f t="shared" si="24"/>
        <v>25.790499999999998</v>
      </c>
      <c r="R69" s="12"/>
      <c r="S69" s="4"/>
      <c r="T69" s="8">
        <f t="shared" si="30"/>
        <v>51.580999999999996</v>
      </c>
      <c r="U69" s="5"/>
    </row>
    <row r="70" spans="1:21" x14ac:dyDescent="0.3">
      <c r="A70" s="3" t="s">
        <v>64</v>
      </c>
      <c r="B70" s="4">
        <v>1</v>
      </c>
      <c r="C70" s="7">
        <v>89.36</v>
      </c>
      <c r="D70" s="6">
        <f t="shared" si="26"/>
        <v>0.68755595344673237</v>
      </c>
      <c r="E70" s="7">
        <v>0</v>
      </c>
      <c r="F70" s="7">
        <v>27.92</v>
      </c>
      <c r="G70" s="8">
        <f t="shared" si="28"/>
        <v>27.92</v>
      </c>
      <c r="H70" s="7">
        <v>0</v>
      </c>
      <c r="I70" s="7">
        <f t="shared" si="29"/>
        <v>1E-3</v>
      </c>
      <c r="J70" s="20">
        <v>45323</v>
      </c>
      <c r="K70" s="20">
        <v>45332</v>
      </c>
      <c r="L70" s="8"/>
      <c r="M70" s="7">
        <v>17.03</v>
      </c>
      <c r="N70" s="7"/>
      <c r="O70" s="9"/>
      <c r="P70" s="4">
        <v>1</v>
      </c>
      <c r="Q70" s="8">
        <f t="shared" ref="Q70:Q101" si="31">F70+(I70/B70)-(O70/B70)</f>
        <v>27.921000000000003</v>
      </c>
      <c r="R70" s="10"/>
      <c r="S70" s="4"/>
      <c r="T70" s="8">
        <f t="shared" si="30"/>
        <v>27.921000000000003</v>
      </c>
      <c r="U70" s="5"/>
    </row>
    <row r="71" spans="1:21" ht="31.2" x14ac:dyDescent="0.3">
      <c r="A71" s="3" t="s">
        <v>65</v>
      </c>
      <c r="B71" s="4">
        <v>1</v>
      </c>
      <c r="C71" s="7">
        <v>208.97</v>
      </c>
      <c r="D71" s="6">
        <f t="shared" si="26"/>
        <v>0.68746710054074756</v>
      </c>
      <c r="E71" s="7">
        <v>0</v>
      </c>
      <c r="F71" s="7">
        <v>65.31</v>
      </c>
      <c r="G71" s="8">
        <f t="shared" si="28"/>
        <v>65.31</v>
      </c>
      <c r="H71" s="7">
        <v>0</v>
      </c>
      <c r="I71" s="7">
        <f>0.02/2</f>
        <v>0.01</v>
      </c>
      <c r="J71" s="20">
        <v>45323</v>
      </c>
      <c r="K71" s="20">
        <v>45335</v>
      </c>
      <c r="L71" s="8"/>
      <c r="M71" s="7">
        <v>17.03</v>
      </c>
      <c r="N71" s="7"/>
      <c r="O71" s="9"/>
      <c r="P71" s="4">
        <v>1</v>
      </c>
      <c r="Q71" s="8">
        <f t="shared" si="31"/>
        <v>65.320000000000007</v>
      </c>
      <c r="R71" s="10" t="s">
        <v>66</v>
      </c>
      <c r="S71" s="4"/>
      <c r="T71" s="8">
        <f t="shared" si="30"/>
        <v>65.320000000000007</v>
      </c>
      <c r="U71" s="5"/>
    </row>
    <row r="72" spans="1:21" ht="31.2" x14ac:dyDescent="0.3">
      <c r="A72" s="3" t="s">
        <v>67</v>
      </c>
      <c r="B72" s="4">
        <v>1</v>
      </c>
      <c r="C72" s="7">
        <v>342.96</v>
      </c>
      <c r="D72" s="6">
        <f t="shared" si="26"/>
        <v>0.68754373687893633</v>
      </c>
      <c r="E72" s="7">
        <v>0</v>
      </c>
      <c r="F72" s="7">
        <v>107.16</v>
      </c>
      <c r="G72" s="8">
        <f t="shared" si="28"/>
        <v>107.16</v>
      </c>
      <c r="H72" s="7">
        <v>0</v>
      </c>
      <c r="I72" s="7">
        <f>0.02/2</f>
        <v>0.01</v>
      </c>
      <c r="J72" s="20">
        <v>45323</v>
      </c>
      <c r="K72" s="20">
        <v>45335</v>
      </c>
      <c r="L72" s="8"/>
      <c r="M72" s="7">
        <v>17.03</v>
      </c>
      <c r="N72" s="7"/>
      <c r="O72" s="9"/>
      <c r="P72" s="4">
        <v>1</v>
      </c>
      <c r="Q72" s="8">
        <f t="shared" si="31"/>
        <v>107.17</v>
      </c>
      <c r="R72" s="10"/>
      <c r="S72" s="4"/>
      <c r="T72" s="8">
        <f t="shared" si="30"/>
        <v>107.17</v>
      </c>
      <c r="U72" s="5"/>
    </row>
    <row r="73" spans="1:21" ht="31.2" x14ac:dyDescent="0.3">
      <c r="A73" s="3" t="s">
        <v>68</v>
      </c>
      <c r="B73" s="4">
        <v>1</v>
      </c>
      <c r="C73" s="7">
        <v>287.58999999999997</v>
      </c>
      <c r="D73" s="6">
        <f t="shared" si="26"/>
        <v>0.68757606314545006</v>
      </c>
      <c r="E73" s="7">
        <v>0</v>
      </c>
      <c r="F73" s="7">
        <v>89.85</v>
      </c>
      <c r="G73" s="8">
        <f t="shared" si="28"/>
        <v>89.85</v>
      </c>
      <c r="H73" s="7">
        <v>0</v>
      </c>
      <c r="I73" s="7">
        <f>0.02/3</f>
        <v>6.6666666666666671E-3</v>
      </c>
      <c r="J73" s="20">
        <v>45323</v>
      </c>
      <c r="K73" s="20">
        <v>45335</v>
      </c>
      <c r="L73" s="8"/>
      <c r="M73" s="7">
        <v>17.03</v>
      </c>
      <c r="N73" s="7"/>
      <c r="O73" s="9"/>
      <c r="P73" s="4">
        <v>1</v>
      </c>
      <c r="Q73" s="8">
        <f t="shared" si="31"/>
        <v>89.856666666666655</v>
      </c>
      <c r="R73" s="10" t="s">
        <v>69</v>
      </c>
      <c r="S73" s="4"/>
      <c r="T73" s="8">
        <f t="shared" si="30"/>
        <v>89.856666666666655</v>
      </c>
      <c r="U73" s="5"/>
    </row>
    <row r="74" spans="1:21" ht="31.2" x14ac:dyDescent="0.3">
      <c r="A74" s="3" t="s">
        <v>70</v>
      </c>
      <c r="B74" s="4">
        <v>2</v>
      </c>
      <c r="C74" s="7">
        <v>314.83</v>
      </c>
      <c r="D74" s="6">
        <f t="shared" si="26"/>
        <v>0.6875456595623034</v>
      </c>
      <c r="E74" s="7">
        <v>0</v>
      </c>
      <c r="F74" s="7">
        <v>98.37</v>
      </c>
      <c r="G74" s="8">
        <f t="shared" si="28"/>
        <v>196.74</v>
      </c>
      <c r="H74" s="7">
        <v>0</v>
      </c>
      <c r="I74" s="7">
        <f>0.02/3</f>
        <v>6.6666666666666671E-3</v>
      </c>
      <c r="J74" s="20">
        <v>45323</v>
      </c>
      <c r="K74" s="20">
        <v>45335</v>
      </c>
      <c r="L74" s="8"/>
      <c r="M74" s="7">
        <v>17.03</v>
      </c>
      <c r="N74" s="7"/>
      <c r="O74" s="9"/>
      <c r="P74" s="4">
        <v>1</v>
      </c>
      <c r="Q74" s="8">
        <f t="shared" si="31"/>
        <v>98.373333333333335</v>
      </c>
      <c r="R74" s="10"/>
      <c r="S74" s="4"/>
      <c r="T74" s="8">
        <f t="shared" si="30"/>
        <v>196.74666666666667</v>
      </c>
      <c r="U74" s="5"/>
    </row>
    <row r="75" spans="1:21" x14ac:dyDescent="0.3">
      <c r="A75" s="3" t="s">
        <v>71</v>
      </c>
      <c r="B75" s="4">
        <v>1</v>
      </c>
      <c r="C75" s="7">
        <v>72</v>
      </c>
      <c r="D75" s="6">
        <f t="shared" si="26"/>
        <v>7.7777777777778088E-3</v>
      </c>
      <c r="E75" s="7">
        <v>0</v>
      </c>
      <c r="F75" s="7">
        <v>71.44</v>
      </c>
      <c r="G75" s="8">
        <f t="shared" si="28"/>
        <v>71.44</v>
      </c>
      <c r="H75" s="7">
        <v>0</v>
      </c>
      <c r="I75" s="7">
        <v>0</v>
      </c>
      <c r="J75" s="20">
        <v>45323</v>
      </c>
      <c r="K75" s="20">
        <v>45332</v>
      </c>
      <c r="L75" s="8"/>
      <c r="M75" s="7">
        <v>17.03</v>
      </c>
      <c r="N75" s="7"/>
      <c r="O75" s="9"/>
      <c r="P75" s="4">
        <v>1</v>
      </c>
      <c r="Q75" s="8">
        <f t="shared" si="31"/>
        <v>71.44</v>
      </c>
      <c r="R75" s="10" t="s">
        <v>72</v>
      </c>
      <c r="S75" s="4"/>
      <c r="T75" s="8">
        <f t="shared" si="30"/>
        <v>71.44</v>
      </c>
      <c r="U75" s="5"/>
    </row>
    <row r="76" spans="1:21" ht="31.2" x14ac:dyDescent="0.3">
      <c r="A76" s="3" t="s">
        <v>175</v>
      </c>
      <c r="B76" s="4">
        <v>2</v>
      </c>
      <c r="C76" s="7">
        <v>86.23</v>
      </c>
      <c r="D76" s="6">
        <f t="shared" si="26"/>
        <v>0.68757972863272654</v>
      </c>
      <c r="E76" s="7">
        <v>0</v>
      </c>
      <c r="F76" s="7">
        <v>26.94</v>
      </c>
      <c r="G76" s="8">
        <f t="shared" si="28"/>
        <v>53.88</v>
      </c>
      <c r="H76" s="7">
        <v>0</v>
      </c>
      <c r="I76" s="7">
        <f>(0.02/4)*2</f>
        <v>0.01</v>
      </c>
      <c r="J76" s="20">
        <v>45323</v>
      </c>
      <c r="K76" s="20">
        <v>45332</v>
      </c>
      <c r="L76" s="8"/>
      <c r="M76" s="7">
        <v>17.03</v>
      </c>
      <c r="N76" s="7"/>
      <c r="O76" s="9"/>
      <c r="P76" s="4">
        <v>1</v>
      </c>
      <c r="Q76" s="8">
        <f t="shared" si="31"/>
        <v>26.945</v>
      </c>
      <c r="R76" s="10" t="s">
        <v>73</v>
      </c>
      <c r="S76" s="4"/>
      <c r="T76" s="8">
        <f t="shared" si="30"/>
        <v>53.89</v>
      </c>
      <c r="U76" s="5"/>
    </row>
    <row r="77" spans="1:21" ht="31.2" x14ac:dyDescent="0.3">
      <c r="A77" s="3" t="s">
        <v>176</v>
      </c>
      <c r="B77" s="4">
        <v>1</v>
      </c>
      <c r="C77" s="7">
        <v>91.42</v>
      </c>
      <c r="D77" s="6">
        <f t="shared" si="26"/>
        <v>0.68759571209800929</v>
      </c>
      <c r="E77" s="7">
        <v>0</v>
      </c>
      <c r="F77" s="7">
        <v>28.56</v>
      </c>
      <c r="G77" s="8">
        <f t="shared" si="28"/>
        <v>28.56</v>
      </c>
      <c r="H77" s="7">
        <v>0</v>
      </c>
      <c r="I77" s="7">
        <f>0.02/4</f>
        <v>5.0000000000000001E-3</v>
      </c>
      <c r="J77" s="20">
        <v>45323</v>
      </c>
      <c r="K77" s="20">
        <v>45332</v>
      </c>
      <c r="L77" s="8"/>
      <c r="M77" s="7">
        <v>17.03</v>
      </c>
      <c r="N77" s="7"/>
      <c r="O77" s="9"/>
      <c r="P77" s="4">
        <v>1</v>
      </c>
      <c r="Q77" s="8">
        <f t="shared" si="31"/>
        <v>28.564999999999998</v>
      </c>
      <c r="R77" s="10"/>
      <c r="S77" s="4"/>
      <c r="T77" s="8">
        <f t="shared" si="30"/>
        <v>28.564999999999998</v>
      </c>
      <c r="U77" s="5"/>
    </row>
    <row r="78" spans="1:21" ht="31.2" x14ac:dyDescent="0.3">
      <c r="A78" s="3" t="s">
        <v>177</v>
      </c>
      <c r="B78" s="4">
        <v>1</v>
      </c>
      <c r="C78" s="7">
        <v>93.15</v>
      </c>
      <c r="D78" s="6">
        <f t="shared" si="26"/>
        <v>0.68760064412238331</v>
      </c>
      <c r="E78" s="7">
        <v>0</v>
      </c>
      <c r="F78" s="7">
        <v>29.1</v>
      </c>
      <c r="G78" s="8">
        <f t="shared" si="28"/>
        <v>29.1</v>
      </c>
      <c r="H78" s="7">
        <v>0</v>
      </c>
      <c r="I78" s="7">
        <f>0.02/4</f>
        <v>5.0000000000000001E-3</v>
      </c>
      <c r="J78" s="20">
        <v>45323</v>
      </c>
      <c r="K78" s="20">
        <v>45332</v>
      </c>
      <c r="L78" s="8"/>
      <c r="M78" s="7">
        <v>17.03</v>
      </c>
      <c r="N78" s="7"/>
      <c r="O78" s="9"/>
      <c r="P78" s="4">
        <v>1</v>
      </c>
      <c r="Q78" s="8">
        <f t="shared" si="31"/>
        <v>29.105</v>
      </c>
      <c r="R78" s="10"/>
      <c r="S78" s="4"/>
      <c r="T78" s="8">
        <f t="shared" si="30"/>
        <v>29.105</v>
      </c>
      <c r="U78" s="5"/>
    </row>
    <row r="79" spans="1:21" ht="31.2" x14ac:dyDescent="0.3">
      <c r="A79" s="3" t="s">
        <v>74</v>
      </c>
      <c r="B79" s="4">
        <v>1</v>
      </c>
      <c r="C79" s="7">
        <v>107</v>
      </c>
      <c r="D79" s="6">
        <f t="shared" si="26"/>
        <v>0.49616822429906543</v>
      </c>
      <c r="E79" s="7">
        <v>0</v>
      </c>
      <c r="F79" s="7">
        <v>53.91</v>
      </c>
      <c r="G79" s="8">
        <f t="shared" si="28"/>
        <v>53.91</v>
      </c>
      <c r="H79" s="7">
        <v>0</v>
      </c>
      <c r="I79" s="7">
        <f>0.03/5</f>
        <v>6.0000000000000001E-3</v>
      </c>
      <c r="J79" s="20">
        <v>45323</v>
      </c>
      <c r="K79" s="20">
        <v>45334</v>
      </c>
      <c r="L79" s="8"/>
      <c r="M79" s="7">
        <v>17.03</v>
      </c>
      <c r="N79" s="7"/>
      <c r="O79" s="9"/>
      <c r="P79" s="4">
        <v>1</v>
      </c>
      <c r="Q79" s="8">
        <f t="shared" si="31"/>
        <v>53.915999999999997</v>
      </c>
      <c r="R79" s="10" t="s">
        <v>75</v>
      </c>
      <c r="S79" s="4"/>
      <c r="T79" s="8">
        <f t="shared" si="30"/>
        <v>53.915999999999997</v>
      </c>
      <c r="U79" s="5"/>
    </row>
    <row r="80" spans="1:21" ht="31.2" x14ac:dyDescent="0.3">
      <c r="A80" s="3" t="s">
        <v>76</v>
      </c>
      <c r="B80" s="4">
        <v>1</v>
      </c>
      <c r="C80" s="7">
        <v>118.23</v>
      </c>
      <c r="D80" s="6">
        <f t="shared" si="26"/>
        <v>0.49598240717246045</v>
      </c>
      <c r="E80" s="7">
        <v>0</v>
      </c>
      <c r="F80" s="7">
        <v>59.59</v>
      </c>
      <c r="G80" s="8">
        <f t="shared" si="28"/>
        <v>59.59</v>
      </c>
      <c r="H80" s="7">
        <v>0</v>
      </c>
      <c r="I80" s="7">
        <f>0.03/5</f>
        <v>6.0000000000000001E-3</v>
      </c>
      <c r="J80" s="20">
        <v>45323</v>
      </c>
      <c r="K80" s="20">
        <v>45334</v>
      </c>
      <c r="L80" s="8"/>
      <c r="M80" s="7">
        <v>17.03</v>
      </c>
      <c r="N80" s="7"/>
      <c r="O80" s="9"/>
      <c r="P80" s="4">
        <v>1</v>
      </c>
      <c r="Q80" s="8">
        <f t="shared" si="31"/>
        <v>59.596000000000004</v>
      </c>
      <c r="R80" s="10"/>
      <c r="S80" s="4"/>
      <c r="T80" s="8">
        <f t="shared" si="30"/>
        <v>59.596000000000004</v>
      </c>
      <c r="U80" s="5"/>
    </row>
    <row r="81" spans="1:21" ht="31.2" x14ac:dyDescent="0.3">
      <c r="A81" s="3" t="s">
        <v>77</v>
      </c>
      <c r="B81" s="4">
        <v>1</v>
      </c>
      <c r="C81" s="7">
        <v>126.18</v>
      </c>
      <c r="D81" s="6">
        <f t="shared" si="26"/>
        <v>0.49595815501664292</v>
      </c>
      <c r="E81" s="7">
        <v>0</v>
      </c>
      <c r="F81" s="7">
        <v>63.6</v>
      </c>
      <c r="G81" s="8">
        <f t="shared" si="28"/>
        <v>63.6</v>
      </c>
      <c r="H81" s="7">
        <v>0</v>
      </c>
      <c r="I81" s="7">
        <f>0.03/5</f>
        <v>6.0000000000000001E-3</v>
      </c>
      <c r="J81" s="20">
        <v>45323</v>
      </c>
      <c r="K81" s="20">
        <v>45334</v>
      </c>
      <c r="L81" s="8"/>
      <c r="M81" s="7">
        <v>17.03</v>
      </c>
      <c r="N81" s="7"/>
      <c r="O81" s="9"/>
      <c r="P81" s="4">
        <v>1</v>
      </c>
      <c r="Q81" s="8">
        <f t="shared" si="31"/>
        <v>63.606000000000002</v>
      </c>
      <c r="R81" s="10"/>
      <c r="S81" s="4"/>
      <c r="T81" s="8">
        <f t="shared" si="30"/>
        <v>63.606000000000002</v>
      </c>
      <c r="U81" s="5"/>
    </row>
    <row r="82" spans="1:21" ht="31.2" x14ac:dyDescent="0.3">
      <c r="A82" s="3" t="s">
        <v>78</v>
      </c>
      <c r="B82" s="4">
        <v>1</v>
      </c>
      <c r="C82" s="7">
        <v>118.23</v>
      </c>
      <c r="D82" s="6">
        <f t="shared" si="26"/>
        <v>0.49598240717246045</v>
      </c>
      <c r="E82" s="7">
        <v>0</v>
      </c>
      <c r="F82" s="7">
        <v>59.59</v>
      </c>
      <c r="G82" s="8">
        <f t="shared" si="28"/>
        <v>59.59</v>
      </c>
      <c r="H82" s="7">
        <v>0</v>
      </c>
      <c r="I82" s="7">
        <f>0.03/5</f>
        <v>6.0000000000000001E-3</v>
      </c>
      <c r="J82" s="20">
        <v>45323</v>
      </c>
      <c r="K82" s="20">
        <v>45334</v>
      </c>
      <c r="L82" s="8"/>
      <c r="M82" s="7">
        <v>17.03</v>
      </c>
      <c r="N82" s="7"/>
      <c r="O82" s="9"/>
      <c r="P82" s="4">
        <v>1</v>
      </c>
      <c r="Q82" s="8">
        <f t="shared" si="31"/>
        <v>59.596000000000004</v>
      </c>
      <c r="R82" s="10" t="s">
        <v>79</v>
      </c>
      <c r="S82" s="4"/>
      <c r="T82" s="8">
        <f t="shared" si="30"/>
        <v>59.596000000000004</v>
      </c>
      <c r="U82" s="5"/>
    </row>
    <row r="83" spans="1:21" ht="31.2" x14ac:dyDescent="0.3">
      <c r="A83" s="3" t="s">
        <v>80</v>
      </c>
      <c r="B83" s="4">
        <v>1</v>
      </c>
      <c r="C83" s="7">
        <v>107.58</v>
      </c>
      <c r="D83" s="6">
        <f t="shared" si="26"/>
        <v>0.49609592861126606</v>
      </c>
      <c r="E83" s="7">
        <v>0</v>
      </c>
      <c r="F83" s="7">
        <v>54.21</v>
      </c>
      <c r="G83" s="8">
        <f t="shared" si="28"/>
        <v>54.21</v>
      </c>
      <c r="H83" s="7">
        <v>0</v>
      </c>
      <c r="I83" s="7">
        <f>0.03/5</f>
        <v>6.0000000000000001E-3</v>
      </c>
      <c r="J83" s="20">
        <v>45323</v>
      </c>
      <c r="K83" s="20">
        <v>45334</v>
      </c>
      <c r="L83" s="8"/>
      <c r="M83" s="7">
        <v>17.03</v>
      </c>
      <c r="N83" s="7"/>
      <c r="O83" s="9"/>
      <c r="P83" s="4">
        <v>1</v>
      </c>
      <c r="Q83" s="8">
        <f t="shared" si="31"/>
        <v>54.216000000000001</v>
      </c>
      <c r="R83" s="10"/>
      <c r="S83" s="4"/>
      <c r="T83" s="8">
        <f t="shared" si="30"/>
        <v>54.216000000000001</v>
      </c>
      <c r="U83" s="5"/>
    </row>
    <row r="84" spans="1:21" ht="31.2" x14ac:dyDescent="0.3">
      <c r="A84" s="3" t="s">
        <v>81</v>
      </c>
      <c r="B84" s="4">
        <v>1</v>
      </c>
      <c r="C84" s="7">
        <v>61</v>
      </c>
      <c r="D84" s="6">
        <f t="shared" si="26"/>
        <v>1.6229508196721344E-2</v>
      </c>
      <c r="E84" s="7">
        <v>0</v>
      </c>
      <c r="F84" s="7">
        <v>60.01</v>
      </c>
      <c r="G84" s="8">
        <f t="shared" si="28"/>
        <v>60.01</v>
      </c>
      <c r="H84" s="7">
        <v>0</v>
      </c>
      <c r="I84" s="7">
        <v>0.06</v>
      </c>
      <c r="J84" s="20">
        <v>45323</v>
      </c>
      <c r="K84" s="20">
        <v>45338</v>
      </c>
      <c r="L84" s="8"/>
      <c r="M84" s="7">
        <v>17.03</v>
      </c>
      <c r="N84" s="7"/>
      <c r="O84" s="9">
        <v>3.83</v>
      </c>
      <c r="P84" s="4">
        <v>1</v>
      </c>
      <c r="Q84" s="8">
        <f t="shared" si="31"/>
        <v>56.24</v>
      </c>
      <c r="R84" s="10" t="s">
        <v>82</v>
      </c>
      <c r="S84" s="4"/>
      <c r="T84" s="8">
        <f t="shared" si="30"/>
        <v>56.24</v>
      </c>
      <c r="U84" s="5"/>
    </row>
    <row r="85" spans="1:21" x14ac:dyDescent="0.3">
      <c r="A85" s="3" t="s">
        <v>83</v>
      </c>
      <c r="B85" s="4">
        <v>1</v>
      </c>
      <c r="C85" s="7">
        <v>59</v>
      </c>
      <c r="D85" s="6">
        <f t="shared" si="26"/>
        <v>2.0338983050847024E-3</v>
      </c>
      <c r="E85" s="7">
        <v>0</v>
      </c>
      <c r="F85" s="7">
        <v>58.88</v>
      </c>
      <c r="G85" s="8">
        <f t="shared" si="28"/>
        <v>58.88</v>
      </c>
      <c r="H85" s="7">
        <v>0</v>
      </c>
      <c r="I85" s="7">
        <f>0.02/2</f>
        <v>0.01</v>
      </c>
      <c r="J85" s="20">
        <v>45323</v>
      </c>
      <c r="K85" s="20">
        <v>45338</v>
      </c>
      <c r="L85" s="8"/>
      <c r="M85" s="7">
        <v>16.91</v>
      </c>
      <c r="N85" s="7"/>
      <c r="O85" s="9">
        <f>(2.4+7.51)/2</f>
        <v>4.9550000000000001</v>
      </c>
      <c r="P85" s="4">
        <v>1</v>
      </c>
      <c r="Q85" s="8">
        <f t="shared" si="31"/>
        <v>53.935000000000002</v>
      </c>
      <c r="R85" s="10" t="s">
        <v>84</v>
      </c>
      <c r="S85" s="4"/>
      <c r="T85" s="8">
        <f t="shared" si="30"/>
        <v>53.935000000000002</v>
      </c>
      <c r="U85" s="5"/>
    </row>
    <row r="86" spans="1:21" x14ac:dyDescent="0.3">
      <c r="A86" s="3" t="s">
        <v>85</v>
      </c>
      <c r="B86" s="4">
        <v>1</v>
      </c>
      <c r="C86" s="7">
        <v>62</v>
      </c>
      <c r="D86" s="6">
        <f t="shared" si="26"/>
        <v>1.1774193548387046E-2</v>
      </c>
      <c r="E86" s="7">
        <v>0</v>
      </c>
      <c r="F86" s="7">
        <v>61.27</v>
      </c>
      <c r="G86" s="8">
        <f t="shared" si="28"/>
        <v>61.27</v>
      </c>
      <c r="H86" s="7">
        <v>0</v>
      </c>
      <c r="I86" s="7">
        <f>0.02/2</f>
        <v>0.01</v>
      </c>
      <c r="J86" s="20">
        <v>45323</v>
      </c>
      <c r="K86" s="20">
        <v>45338</v>
      </c>
      <c r="L86" s="8"/>
      <c r="M86" s="7">
        <v>16.91</v>
      </c>
      <c r="N86" s="7"/>
      <c r="O86" s="9">
        <f>(2.4+7.51)/2</f>
        <v>4.9550000000000001</v>
      </c>
      <c r="P86" s="4">
        <v>1</v>
      </c>
      <c r="Q86" s="8">
        <f t="shared" si="31"/>
        <v>56.325000000000003</v>
      </c>
      <c r="R86" s="10"/>
      <c r="S86" s="4"/>
      <c r="T86" s="8">
        <f t="shared" si="30"/>
        <v>56.325000000000003</v>
      </c>
      <c r="U86" s="5"/>
    </row>
    <row r="87" spans="1:21" ht="46.8" x14ac:dyDescent="0.3">
      <c r="A87" s="3" t="s">
        <v>86</v>
      </c>
      <c r="B87" s="4">
        <v>1</v>
      </c>
      <c r="C87" s="7">
        <v>90</v>
      </c>
      <c r="D87" s="6">
        <f t="shared" si="26"/>
        <v>1.7777777777777399E-3</v>
      </c>
      <c r="E87" s="7">
        <v>0</v>
      </c>
      <c r="F87" s="7">
        <v>89.84</v>
      </c>
      <c r="G87" s="8">
        <f>B87*F87</f>
        <v>89.84</v>
      </c>
      <c r="H87" s="7">
        <v>0</v>
      </c>
      <c r="I87" s="7">
        <v>0</v>
      </c>
      <c r="J87" s="20">
        <v>45323</v>
      </c>
      <c r="K87" s="20">
        <v>45337</v>
      </c>
      <c r="L87" s="8"/>
      <c r="M87" s="7">
        <v>17.03</v>
      </c>
      <c r="N87" s="7"/>
      <c r="O87" s="9">
        <f>1.75+5.62</f>
        <v>7.37</v>
      </c>
      <c r="P87" s="4">
        <v>1</v>
      </c>
      <c r="Q87" s="8">
        <f t="shared" si="31"/>
        <v>82.47</v>
      </c>
      <c r="R87" s="10" t="s">
        <v>87</v>
      </c>
      <c r="S87" s="4"/>
      <c r="T87" s="8">
        <f t="shared" si="30"/>
        <v>82.47</v>
      </c>
      <c r="U87" s="5"/>
    </row>
    <row r="88" spans="1:21" ht="31.2" x14ac:dyDescent="0.3">
      <c r="A88" s="3" t="s">
        <v>88</v>
      </c>
      <c r="B88" s="4">
        <v>2</v>
      </c>
      <c r="C88" s="7">
        <v>46.3</v>
      </c>
      <c r="D88" s="6">
        <f t="shared" si="26"/>
        <v>0.19287257019438445</v>
      </c>
      <c r="E88" s="7">
        <v>0</v>
      </c>
      <c r="F88" s="7">
        <v>37.369999999999997</v>
      </c>
      <c r="G88" s="8">
        <f>B88*F88</f>
        <v>74.739999999999995</v>
      </c>
      <c r="H88" s="7">
        <v>0</v>
      </c>
      <c r="I88" s="7">
        <v>51.06</v>
      </c>
      <c r="J88" s="20">
        <v>45323</v>
      </c>
      <c r="K88" s="20">
        <v>45337</v>
      </c>
      <c r="L88" s="8"/>
      <c r="M88" s="7">
        <v>17.03</v>
      </c>
      <c r="N88" s="7"/>
      <c r="O88" s="9">
        <v>4.76</v>
      </c>
      <c r="P88" s="4">
        <v>1</v>
      </c>
      <c r="Q88" s="8">
        <f t="shared" si="31"/>
        <v>60.519999999999996</v>
      </c>
      <c r="R88" s="10" t="s">
        <v>89</v>
      </c>
      <c r="S88" s="4"/>
      <c r="T88" s="8">
        <f t="shared" si="30"/>
        <v>121.03999999999999</v>
      </c>
      <c r="U88" s="5"/>
    </row>
    <row r="89" spans="1:21" ht="31.2" x14ac:dyDescent="0.3">
      <c r="A89" s="3" t="s">
        <v>90</v>
      </c>
      <c r="B89" s="4">
        <v>2</v>
      </c>
      <c r="C89" s="7">
        <v>43</v>
      </c>
      <c r="D89" s="6">
        <f t="shared" si="26"/>
        <v>2.3255813953483747E-4</v>
      </c>
      <c r="E89" s="7">
        <v>0</v>
      </c>
      <c r="F89" s="7">
        <v>42.99</v>
      </c>
      <c r="G89" s="8">
        <f>B89*F89</f>
        <v>85.98</v>
      </c>
      <c r="H89" s="7">
        <v>0</v>
      </c>
      <c r="I89" s="7">
        <v>7.0000000000000007E-2</v>
      </c>
      <c r="J89" s="20">
        <v>45323</v>
      </c>
      <c r="K89" s="20">
        <v>45341</v>
      </c>
      <c r="L89" s="8"/>
      <c r="M89" s="7">
        <v>17.03</v>
      </c>
      <c r="N89" s="7"/>
      <c r="O89" s="9">
        <f>1.75+5.38</f>
        <v>7.13</v>
      </c>
      <c r="P89" s="4">
        <v>1</v>
      </c>
      <c r="Q89" s="8">
        <f t="shared" si="31"/>
        <v>39.46</v>
      </c>
      <c r="R89" s="10" t="s">
        <v>91</v>
      </c>
      <c r="S89" s="4"/>
      <c r="T89" s="8">
        <f t="shared" si="30"/>
        <v>78.92</v>
      </c>
      <c r="U89" s="5"/>
    </row>
    <row r="90" spans="1:21" ht="31.2" x14ac:dyDescent="0.3">
      <c r="A90" s="3" t="s">
        <v>92</v>
      </c>
      <c r="B90" s="4">
        <v>1</v>
      </c>
      <c r="C90" s="7">
        <v>67.17</v>
      </c>
      <c r="D90" s="6">
        <f t="shared" si="26"/>
        <v>9.2898615453327407E-2</v>
      </c>
      <c r="E90" s="7">
        <v>0</v>
      </c>
      <c r="F90" s="7">
        <v>60.93</v>
      </c>
      <c r="G90" s="8">
        <f>B90*F90</f>
        <v>60.93</v>
      </c>
      <c r="H90" s="7">
        <v>0</v>
      </c>
      <c r="I90" s="7">
        <v>100.37</v>
      </c>
      <c r="J90" s="20">
        <v>45323</v>
      </c>
      <c r="K90" s="20">
        <v>45337</v>
      </c>
      <c r="L90" s="8"/>
      <c r="M90" s="7">
        <v>17.03</v>
      </c>
      <c r="N90" s="7"/>
      <c r="O90" s="9">
        <f>3.06+3.69</f>
        <v>6.75</v>
      </c>
      <c r="P90" s="4">
        <v>1</v>
      </c>
      <c r="Q90" s="8">
        <f t="shared" si="31"/>
        <v>154.55000000000001</v>
      </c>
      <c r="R90" s="10" t="s">
        <v>93</v>
      </c>
      <c r="S90" s="4"/>
      <c r="T90" s="8">
        <f t="shared" si="30"/>
        <v>154.55000000000001</v>
      </c>
      <c r="U90" s="5"/>
    </row>
    <row r="91" spans="1:21" x14ac:dyDescent="0.3">
      <c r="A91" s="3" t="s">
        <v>94</v>
      </c>
      <c r="B91" s="4">
        <v>1</v>
      </c>
      <c r="C91" s="7">
        <v>323.22000000000003</v>
      </c>
      <c r="D91" s="6">
        <f t="shared" si="26"/>
        <v>0.39527256976672243</v>
      </c>
      <c r="E91" s="7">
        <v>0</v>
      </c>
      <c r="F91" s="7">
        <v>195.46</v>
      </c>
      <c r="G91" s="8">
        <f t="shared" ref="G91:G93" si="32">B91*F91</f>
        <v>195.46</v>
      </c>
      <c r="H91" s="7">
        <v>0</v>
      </c>
      <c r="I91" s="7">
        <f>0.35/2</f>
        <v>0.17499999999999999</v>
      </c>
      <c r="J91" s="20">
        <v>45323</v>
      </c>
      <c r="K91" s="20">
        <v>45337</v>
      </c>
      <c r="L91" s="8"/>
      <c r="M91" s="7">
        <v>17.03</v>
      </c>
      <c r="N91" s="7"/>
      <c r="O91" s="9">
        <f>(10.53+16.21)/2</f>
        <v>13.370000000000001</v>
      </c>
      <c r="P91" s="4">
        <v>1</v>
      </c>
      <c r="Q91" s="8">
        <f t="shared" si="31"/>
        <v>182.26500000000001</v>
      </c>
      <c r="R91" s="10" t="s">
        <v>95</v>
      </c>
      <c r="S91" s="4"/>
      <c r="T91" s="8">
        <f t="shared" si="30"/>
        <v>182.26500000000001</v>
      </c>
      <c r="U91" s="5"/>
    </row>
    <row r="92" spans="1:21" ht="31.2" x14ac:dyDescent="0.3">
      <c r="A92" s="3" t="s">
        <v>96</v>
      </c>
      <c r="B92" s="4">
        <v>1</v>
      </c>
      <c r="C92" s="7">
        <v>77.28</v>
      </c>
      <c r="D92" s="6">
        <f t="shared" si="26"/>
        <v>0.10326086956521746</v>
      </c>
      <c r="E92" s="7">
        <v>0</v>
      </c>
      <c r="F92" s="7">
        <v>69.3</v>
      </c>
      <c r="G92" s="8">
        <f t="shared" si="32"/>
        <v>69.3</v>
      </c>
      <c r="H92" s="7">
        <v>0</v>
      </c>
      <c r="I92" s="7">
        <f>0.35/2</f>
        <v>0.17499999999999999</v>
      </c>
      <c r="J92" s="20">
        <v>45323</v>
      </c>
      <c r="K92" s="20">
        <v>45337</v>
      </c>
      <c r="L92" s="8"/>
      <c r="M92" s="7">
        <v>16.91</v>
      </c>
      <c r="N92" s="7"/>
      <c r="O92" s="9">
        <f>(10.53+16.21)/2</f>
        <v>13.370000000000001</v>
      </c>
      <c r="P92" s="4">
        <v>1</v>
      </c>
      <c r="Q92" s="8">
        <f t="shared" si="31"/>
        <v>56.10499999999999</v>
      </c>
      <c r="R92" s="10" t="s">
        <v>97</v>
      </c>
      <c r="S92" s="4"/>
      <c r="T92" s="8">
        <f t="shared" si="30"/>
        <v>56.10499999999999</v>
      </c>
      <c r="U92" s="5"/>
    </row>
    <row r="93" spans="1:21" x14ac:dyDescent="0.3">
      <c r="A93" s="3" t="s">
        <v>98</v>
      </c>
      <c r="B93" s="4">
        <v>1</v>
      </c>
      <c r="C93" s="7">
        <v>182.1</v>
      </c>
      <c r="D93" s="6">
        <f t="shared" si="26"/>
        <v>0.6875343218012081</v>
      </c>
      <c r="E93" s="7">
        <v>0</v>
      </c>
      <c r="F93" s="7">
        <v>56.9</v>
      </c>
      <c r="G93" s="8">
        <f t="shared" si="32"/>
        <v>56.9</v>
      </c>
      <c r="H93" s="7">
        <v>0</v>
      </c>
      <c r="I93" s="7">
        <v>0.02</v>
      </c>
      <c r="J93" s="20">
        <v>45323</v>
      </c>
      <c r="K93" s="20">
        <v>45335</v>
      </c>
      <c r="L93" s="8"/>
      <c r="M93" s="7">
        <v>17.03</v>
      </c>
      <c r="N93" s="7"/>
      <c r="O93" s="9">
        <f>1.15+3.55</f>
        <v>4.6999999999999993</v>
      </c>
      <c r="P93" s="4">
        <v>1</v>
      </c>
      <c r="Q93" s="8">
        <f t="shared" si="31"/>
        <v>52.22</v>
      </c>
      <c r="R93" s="10" t="s">
        <v>99</v>
      </c>
      <c r="S93" s="12"/>
      <c r="T93" s="8">
        <f t="shared" si="30"/>
        <v>52.22</v>
      </c>
      <c r="U93" s="5"/>
    </row>
    <row r="94" spans="1:21" ht="31.2" x14ac:dyDescent="0.3">
      <c r="A94" s="3" t="s">
        <v>100</v>
      </c>
      <c r="B94" s="4">
        <v>1</v>
      </c>
      <c r="C94" s="5">
        <v>190.95</v>
      </c>
      <c r="D94" s="6">
        <f t="shared" si="26"/>
        <v>0.68756218905472632</v>
      </c>
      <c r="E94" s="7">
        <v>0</v>
      </c>
      <c r="F94" s="7">
        <v>59.66</v>
      </c>
      <c r="G94" s="8">
        <f>B94*F94</f>
        <v>59.66</v>
      </c>
      <c r="H94" s="7">
        <v>0</v>
      </c>
      <c r="I94" s="7">
        <v>0.02</v>
      </c>
      <c r="J94" s="20">
        <v>45323</v>
      </c>
      <c r="K94" s="20">
        <v>45341</v>
      </c>
      <c r="L94" s="5"/>
      <c r="M94" s="7">
        <v>17.59</v>
      </c>
      <c r="N94" s="5"/>
      <c r="O94" s="9">
        <f>1.2+3.73</f>
        <v>4.93</v>
      </c>
      <c r="P94" s="4">
        <v>1</v>
      </c>
      <c r="Q94" s="8">
        <f t="shared" si="31"/>
        <v>54.75</v>
      </c>
      <c r="R94" s="10" t="s">
        <v>101</v>
      </c>
      <c r="S94" s="12"/>
      <c r="T94" s="8">
        <f t="shared" si="30"/>
        <v>54.75</v>
      </c>
      <c r="U94" s="5"/>
    </row>
    <row r="95" spans="1:21" x14ac:dyDescent="0.3">
      <c r="A95" s="3" t="s">
        <v>102</v>
      </c>
      <c r="B95" s="4">
        <v>1</v>
      </c>
      <c r="C95" s="5">
        <v>404.66</v>
      </c>
      <c r="D95" s="6">
        <f t="shared" si="26"/>
        <v>0.68756486927296989</v>
      </c>
      <c r="E95" s="7">
        <v>0</v>
      </c>
      <c r="F95" s="7">
        <v>126.43</v>
      </c>
      <c r="G95" s="8">
        <f>B95*F95</f>
        <v>126.43</v>
      </c>
      <c r="H95" s="7">
        <v>0</v>
      </c>
      <c r="I95" s="7">
        <v>0.02</v>
      </c>
      <c r="J95" s="20">
        <v>45323</v>
      </c>
      <c r="K95" s="20">
        <v>45335</v>
      </c>
      <c r="L95" s="5"/>
      <c r="M95" s="7">
        <v>17.59</v>
      </c>
      <c r="N95" s="5"/>
      <c r="O95" s="9">
        <f>2.52+7.9</f>
        <v>10.42</v>
      </c>
      <c r="P95" s="4">
        <v>8</v>
      </c>
      <c r="Q95" s="8">
        <f t="shared" si="31"/>
        <v>116.03</v>
      </c>
      <c r="R95" s="10" t="s">
        <v>103</v>
      </c>
      <c r="S95" s="12"/>
      <c r="T95" s="8">
        <f t="shared" si="30"/>
        <v>116.03</v>
      </c>
      <c r="U95" s="5"/>
    </row>
    <row r="96" spans="1:21" ht="31.2" x14ac:dyDescent="0.3">
      <c r="A96" s="3" t="s">
        <v>104</v>
      </c>
      <c r="B96" s="4">
        <v>2</v>
      </c>
      <c r="C96" s="5">
        <v>265.32</v>
      </c>
      <c r="D96" s="6">
        <f t="shared" si="26"/>
        <v>0.70771144278606968</v>
      </c>
      <c r="E96" s="7">
        <v>0</v>
      </c>
      <c r="F96" s="7">
        <v>77.55</v>
      </c>
      <c r="G96" s="8">
        <f>B96*F96</f>
        <v>155.1</v>
      </c>
      <c r="H96" s="7">
        <v>0</v>
      </c>
      <c r="I96" s="7">
        <v>0.02</v>
      </c>
      <c r="J96" s="20">
        <v>45323</v>
      </c>
      <c r="K96" s="20">
        <v>45338</v>
      </c>
      <c r="L96" s="5"/>
      <c r="M96" s="7">
        <v>17.59</v>
      </c>
      <c r="N96" s="5"/>
      <c r="O96" s="9">
        <f>3.11+9.69</f>
        <v>12.799999999999999</v>
      </c>
      <c r="P96" s="4">
        <v>1</v>
      </c>
      <c r="Q96" s="8">
        <f t="shared" si="31"/>
        <v>71.16</v>
      </c>
      <c r="R96" s="10" t="s">
        <v>105</v>
      </c>
      <c r="S96" s="12"/>
      <c r="T96" s="8">
        <f t="shared" si="30"/>
        <v>142.32</v>
      </c>
      <c r="U96" s="5"/>
    </row>
    <row r="97" spans="1:21" ht="31.2" x14ac:dyDescent="0.3">
      <c r="A97" s="3" t="s">
        <v>106</v>
      </c>
      <c r="B97" s="4">
        <v>1</v>
      </c>
      <c r="C97" s="5">
        <v>80.41</v>
      </c>
      <c r="D97" s="6">
        <f t="shared" si="26"/>
        <v>0.24499440368113415</v>
      </c>
      <c r="E97" s="7">
        <v>0</v>
      </c>
      <c r="F97" s="7">
        <v>60.71</v>
      </c>
      <c r="G97" s="8">
        <f t="shared" ref="G97:G110" si="33">B97*F97</f>
        <v>60.71</v>
      </c>
      <c r="H97" s="7">
        <v>0</v>
      </c>
      <c r="I97" s="7">
        <v>28.25</v>
      </c>
      <c r="J97" s="20">
        <v>45323</v>
      </c>
      <c r="K97" s="20">
        <v>45351</v>
      </c>
      <c r="L97" s="5"/>
      <c r="M97" s="7">
        <v>17.59</v>
      </c>
      <c r="N97" s="5"/>
      <c r="O97" s="9">
        <v>3.87</v>
      </c>
      <c r="P97" s="4">
        <v>1</v>
      </c>
      <c r="Q97" s="8">
        <f t="shared" si="31"/>
        <v>85.09</v>
      </c>
      <c r="R97" s="10" t="s">
        <v>107</v>
      </c>
      <c r="S97" s="12"/>
      <c r="T97" s="8">
        <f t="shared" si="30"/>
        <v>85.09</v>
      </c>
      <c r="U97" s="5"/>
    </row>
    <row r="98" spans="1:21" ht="46.8" x14ac:dyDescent="0.3">
      <c r="A98" s="3" t="s">
        <v>108</v>
      </c>
      <c r="B98" s="4">
        <v>1</v>
      </c>
      <c r="C98" s="5">
        <v>183.7</v>
      </c>
      <c r="D98" s="6">
        <f t="shared" si="26"/>
        <v>0.68747958628198147</v>
      </c>
      <c r="E98" s="7">
        <v>0</v>
      </c>
      <c r="F98" s="7">
        <v>57.41</v>
      </c>
      <c r="G98" s="8">
        <f t="shared" si="33"/>
        <v>57.41</v>
      </c>
      <c r="H98" s="7">
        <v>0</v>
      </c>
      <c r="I98" s="7">
        <v>0.01</v>
      </c>
      <c r="J98" s="20">
        <v>45323</v>
      </c>
      <c r="K98" s="20">
        <v>45338</v>
      </c>
      <c r="L98" s="5"/>
      <c r="M98" s="7">
        <v>17.59</v>
      </c>
      <c r="N98" s="5"/>
      <c r="O98" s="9">
        <f>1.15+3.59</f>
        <v>4.74</v>
      </c>
      <c r="P98" s="4">
        <v>5</v>
      </c>
      <c r="Q98" s="8">
        <f t="shared" si="31"/>
        <v>52.679999999999993</v>
      </c>
      <c r="R98" s="10" t="s">
        <v>109</v>
      </c>
      <c r="S98" s="12"/>
      <c r="T98" s="8">
        <f t="shared" si="30"/>
        <v>52.679999999999993</v>
      </c>
      <c r="U98" s="5"/>
    </row>
    <row r="99" spans="1:21" x14ac:dyDescent="0.3">
      <c r="A99" s="3" t="s">
        <v>110</v>
      </c>
      <c r="B99" s="4">
        <v>2</v>
      </c>
      <c r="C99" s="5">
        <v>175.28</v>
      </c>
      <c r="D99" s="6">
        <f t="shared" si="26"/>
        <v>0.54632587859424919</v>
      </c>
      <c r="E99" s="7">
        <v>0</v>
      </c>
      <c r="F99" s="7">
        <v>79.52</v>
      </c>
      <c r="G99" s="8">
        <f t="shared" si="33"/>
        <v>159.04</v>
      </c>
      <c r="H99" s="7">
        <v>0</v>
      </c>
      <c r="I99" s="7">
        <v>0.03</v>
      </c>
      <c r="J99" s="20">
        <v>45323</v>
      </c>
      <c r="K99" s="20">
        <v>45335</v>
      </c>
      <c r="L99" s="5"/>
      <c r="M99" s="7">
        <v>17.59</v>
      </c>
      <c r="N99" s="5"/>
      <c r="O99" s="9">
        <v>10.14</v>
      </c>
      <c r="P99" s="4">
        <v>1</v>
      </c>
      <c r="Q99" s="8">
        <f t="shared" si="31"/>
        <v>74.465000000000003</v>
      </c>
      <c r="R99" s="10" t="s">
        <v>111</v>
      </c>
      <c r="S99" s="12"/>
      <c r="T99" s="8">
        <f t="shared" si="30"/>
        <v>148.93</v>
      </c>
      <c r="U99" s="5"/>
    </row>
    <row r="100" spans="1:21" x14ac:dyDescent="0.3">
      <c r="A100" s="3" t="s">
        <v>112</v>
      </c>
      <c r="B100" s="4">
        <v>2</v>
      </c>
      <c r="C100" s="5">
        <v>67.36</v>
      </c>
      <c r="D100" s="6">
        <f t="shared" si="26"/>
        <v>0.46600356294536815</v>
      </c>
      <c r="E100" s="7">
        <v>0</v>
      </c>
      <c r="F100" s="7">
        <v>35.97</v>
      </c>
      <c r="G100" s="8">
        <f t="shared" si="33"/>
        <v>71.94</v>
      </c>
      <c r="H100" s="7">
        <v>0</v>
      </c>
      <c r="I100" s="7">
        <v>0</v>
      </c>
      <c r="J100" s="20">
        <v>45323</v>
      </c>
      <c r="K100" s="20">
        <v>45337</v>
      </c>
      <c r="L100" s="5"/>
      <c r="M100" s="7">
        <v>17.59</v>
      </c>
      <c r="N100" s="5"/>
      <c r="O100" s="9">
        <v>4.59</v>
      </c>
      <c r="P100" s="4">
        <v>1</v>
      </c>
      <c r="Q100" s="8">
        <f t="shared" si="31"/>
        <v>33.674999999999997</v>
      </c>
      <c r="R100" s="10" t="s">
        <v>113</v>
      </c>
      <c r="S100" s="12"/>
      <c r="T100" s="8">
        <f t="shared" si="30"/>
        <v>67.349999999999994</v>
      </c>
      <c r="U100" s="5"/>
    </row>
    <row r="101" spans="1:21" ht="31.2" x14ac:dyDescent="0.3">
      <c r="A101" s="3" t="s">
        <v>114</v>
      </c>
      <c r="B101" s="4">
        <v>2</v>
      </c>
      <c r="C101" s="5">
        <v>106.39</v>
      </c>
      <c r="D101" s="6">
        <f t="shared" si="26"/>
        <v>0.68747062693862204</v>
      </c>
      <c r="E101" s="7">
        <v>0</v>
      </c>
      <c r="F101" s="7">
        <v>33.25</v>
      </c>
      <c r="G101" s="8">
        <f t="shared" si="33"/>
        <v>66.5</v>
      </c>
      <c r="H101" s="7">
        <v>0</v>
      </c>
      <c r="I101" s="7">
        <f>(0.03/3)*2</f>
        <v>0.02</v>
      </c>
      <c r="J101" s="20">
        <v>45323</v>
      </c>
      <c r="K101" s="20">
        <v>45338</v>
      </c>
      <c r="L101" s="5"/>
      <c r="M101" s="7">
        <v>17.59</v>
      </c>
      <c r="N101" s="5"/>
      <c r="O101" s="9">
        <f>(5.93/3)*2</f>
        <v>3.9533333333333331</v>
      </c>
      <c r="P101" s="4">
        <v>1</v>
      </c>
      <c r="Q101" s="8">
        <f t="shared" si="31"/>
        <v>31.283333333333331</v>
      </c>
      <c r="R101" s="10" t="s">
        <v>115</v>
      </c>
      <c r="S101" s="12"/>
      <c r="T101" s="8">
        <f t="shared" si="30"/>
        <v>62.566666666666663</v>
      </c>
      <c r="U101" s="5"/>
    </row>
    <row r="102" spans="1:21" ht="31.2" x14ac:dyDescent="0.3">
      <c r="A102" s="3" t="s">
        <v>116</v>
      </c>
      <c r="B102" s="4">
        <v>1</v>
      </c>
      <c r="C102" s="5">
        <v>84.88</v>
      </c>
      <c r="D102" s="6">
        <f t="shared" si="26"/>
        <v>0.6874410933081998</v>
      </c>
      <c r="E102" s="7">
        <v>0</v>
      </c>
      <c r="F102" s="7">
        <v>26.53</v>
      </c>
      <c r="G102" s="8">
        <f t="shared" si="33"/>
        <v>26.53</v>
      </c>
      <c r="H102" s="7">
        <v>0</v>
      </c>
      <c r="I102" s="7">
        <f>0.03/3</f>
        <v>0.01</v>
      </c>
      <c r="J102" s="20">
        <v>45323</v>
      </c>
      <c r="K102" s="20">
        <v>45338</v>
      </c>
      <c r="L102" s="5"/>
      <c r="M102" s="7">
        <v>17.59</v>
      </c>
      <c r="N102" s="5"/>
      <c r="O102" s="9">
        <f>5.93/3</f>
        <v>1.9766666666666666</v>
      </c>
      <c r="P102" s="4">
        <v>1</v>
      </c>
      <c r="Q102" s="8">
        <f t="shared" ref="Q102:Q111" si="34">F102+(I102/B102)-(O102/B102)</f>
        <v>24.563333333333336</v>
      </c>
      <c r="R102" s="10"/>
      <c r="S102" s="12"/>
      <c r="T102" s="8">
        <f t="shared" si="30"/>
        <v>24.563333333333336</v>
      </c>
      <c r="U102" s="5"/>
    </row>
    <row r="103" spans="1:21" ht="31.2" x14ac:dyDescent="0.3">
      <c r="A103" s="3" t="s">
        <v>117</v>
      </c>
      <c r="B103" s="4">
        <v>1</v>
      </c>
      <c r="C103" s="5">
        <v>135.18</v>
      </c>
      <c r="D103" s="6">
        <f t="shared" si="26"/>
        <v>0.68745376534990388</v>
      </c>
      <c r="E103" s="7">
        <v>0</v>
      </c>
      <c r="F103" s="7">
        <v>42.25</v>
      </c>
      <c r="G103" s="8">
        <f t="shared" si="33"/>
        <v>42.25</v>
      </c>
      <c r="H103" s="7">
        <v>0</v>
      </c>
      <c r="I103" s="7">
        <v>0</v>
      </c>
      <c r="J103" s="20">
        <v>45323</v>
      </c>
      <c r="K103" s="20">
        <v>45338</v>
      </c>
      <c r="L103" s="5"/>
      <c r="M103" s="7">
        <v>17.59</v>
      </c>
      <c r="N103" s="5"/>
      <c r="O103" s="9">
        <v>2.69</v>
      </c>
      <c r="P103" s="4">
        <v>1</v>
      </c>
      <c r="Q103" s="8">
        <f t="shared" si="34"/>
        <v>39.56</v>
      </c>
      <c r="R103" s="10" t="s">
        <v>118</v>
      </c>
      <c r="S103" s="12"/>
      <c r="T103" s="8">
        <f t="shared" si="30"/>
        <v>39.56</v>
      </c>
      <c r="U103" s="5"/>
    </row>
    <row r="104" spans="1:21" ht="46.8" x14ac:dyDescent="0.3">
      <c r="A104" s="3" t="s">
        <v>119</v>
      </c>
      <c r="B104" s="4">
        <v>1</v>
      </c>
      <c r="C104" s="5">
        <v>228.02</v>
      </c>
      <c r="D104" s="6">
        <f t="shared" si="26"/>
        <v>0.18358038768529084</v>
      </c>
      <c r="E104" s="7">
        <v>0</v>
      </c>
      <c r="F104" s="7">
        <v>186.16</v>
      </c>
      <c r="G104" s="8">
        <f t="shared" si="33"/>
        <v>186.16</v>
      </c>
      <c r="H104" s="7">
        <v>0</v>
      </c>
      <c r="I104" s="7">
        <v>0</v>
      </c>
      <c r="J104" s="20">
        <v>45323</v>
      </c>
      <c r="K104" s="20">
        <v>45337</v>
      </c>
      <c r="L104" s="5"/>
      <c r="M104" s="7">
        <v>17.59</v>
      </c>
      <c r="N104" s="5"/>
      <c r="O104" s="9">
        <v>11.87</v>
      </c>
      <c r="P104" s="4">
        <v>1</v>
      </c>
      <c r="Q104" s="8">
        <f t="shared" si="34"/>
        <v>174.29</v>
      </c>
      <c r="R104" s="10" t="s">
        <v>120</v>
      </c>
      <c r="S104" s="12"/>
      <c r="T104" s="8">
        <f t="shared" si="30"/>
        <v>174.29</v>
      </c>
      <c r="U104" s="5"/>
    </row>
    <row r="105" spans="1:21" ht="31.2" x14ac:dyDescent="0.3">
      <c r="A105" s="3" t="s">
        <v>121</v>
      </c>
      <c r="B105" s="4">
        <v>3</v>
      </c>
      <c r="C105" s="5">
        <v>104.96</v>
      </c>
      <c r="D105" s="6">
        <f t="shared" si="26"/>
        <v>0.44502667682926822</v>
      </c>
      <c r="E105" s="7">
        <v>0</v>
      </c>
      <c r="F105" s="7">
        <v>58.25</v>
      </c>
      <c r="G105" s="8">
        <f t="shared" si="33"/>
        <v>174.75</v>
      </c>
      <c r="H105" s="7">
        <v>0</v>
      </c>
      <c r="I105" s="7">
        <v>0</v>
      </c>
      <c r="J105" s="20">
        <v>45323</v>
      </c>
      <c r="K105" s="20">
        <v>45354</v>
      </c>
      <c r="L105" s="5"/>
      <c r="M105" s="7">
        <v>17.59</v>
      </c>
      <c r="N105" s="5"/>
      <c r="O105" s="9">
        <f>8.77+10.57</f>
        <v>19.34</v>
      </c>
      <c r="P105" s="4">
        <v>1</v>
      </c>
      <c r="Q105" s="8">
        <f t="shared" si="34"/>
        <v>51.803333333333335</v>
      </c>
      <c r="R105" s="10" t="s">
        <v>122</v>
      </c>
      <c r="S105" s="12"/>
      <c r="T105" s="8">
        <f t="shared" si="30"/>
        <v>155.41</v>
      </c>
      <c r="U105" s="5"/>
    </row>
    <row r="106" spans="1:21" ht="31.2" x14ac:dyDescent="0.3">
      <c r="A106" s="3" t="s">
        <v>123</v>
      </c>
      <c r="B106" s="4">
        <v>1</v>
      </c>
      <c r="C106" s="5">
        <v>142.68</v>
      </c>
      <c r="D106" s="6">
        <f t="shared" si="26"/>
        <v>0.68762265208858997</v>
      </c>
      <c r="E106" s="7">
        <v>0</v>
      </c>
      <c r="F106" s="7">
        <v>44.57</v>
      </c>
      <c r="G106" s="8">
        <f t="shared" si="33"/>
        <v>44.57</v>
      </c>
      <c r="H106" s="18">
        <v>0</v>
      </c>
      <c r="I106" s="7">
        <v>0</v>
      </c>
      <c r="J106" s="20">
        <v>45323</v>
      </c>
      <c r="K106" s="20">
        <v>45338</v>
      </c>
      <c r="L106" s="5"/>
      <c r="M106" s="7">
        <v>17.59</v>
      </c>
      <c r="N106" s="5"/>
      <c r="O106" s="9">
        <f>(2.81+8.78)/3</f>
        <v>3.8633333333333333</v>
      </c>
      <c r="P106" s="4">
        <v>1</v>
      </c>
      <c r="Q106" s="8">
        <f t="shared" si="34"/>
        <v>40.706666666666663</v>
      </c>
      <c r="R106" s="10" t="s">
        <v>124</v>
      </c>
      <c r="S106" s="12"/>
      <c r="T106" s="8">
        <f t="shared" si="30"/>
        <v>40.706666666666663</v>
      </c>
      <c r="U106" s="5"/>
    </row>
    <row r="107" spans="1:21" ht="31.2" x14ac:dyDescent="0.3">
      <c r="A107" s="3" t="s">
        <v>125</v>
      </c>
      <c r="B107" s="4">
        <v>1</v>
      </c>
      <c r="C107" s="5">
        <v>149.97999999999999</v>
      </c>
      <c r="D107" s="6">
        <f t="shared" si="26"/>
        <v>0.68749166555540731</v>
      </c>
      <c r="E107" s="7">
        <v>0</v>
      </c>
      <c r="F107" s="7">
        <v>46.87</v>
      </c>
      <c r="G107" s="8">
        <f t="shared" si="33"/>
        <v>46.87</v>
      </c>
      <c r="H107" s="7">
        <v>0</v>
      </c>
      <c r="I107" s="7">
        <v>0</v>
      </c>
      <c r="J107" s="20">
        <v>45323</v>
      </c>
      <c r="K107" s="20">
        <v>45338</v>
      </c>
      <c r="L107" s="5"/>
      <c r="M107" s="7">
        <v>17.59</v>
      </c>
      <c r="N107" s="5"/>
      <c r="O107" s="9">
        <f>(2.81+8.78)/3</f>
        <v>3.8633333333333333</v>
      </c>
      <c r="P107" s="4">
        <v>1</v>
      </c>
      <c r="Q107" s="8">
        <f t="shared" si="34"/>
        <v>43.006666666666661</v>
      </c>
      <c r="R107" s="10"/>
      <c r="S107" s="12"/>
      <c r="T107" s="8">
        <f t="shared" si="30"/>
        <v>43.006666666666661</v>
      </c>
      <c r="U107" s="5"/>
    </row>
    <row r="108" spans="1:21" ht="31.2" x14ac:dyDescent="0.3">
      <c r="A108" s="3" t="s">
        <v>126</v>
      </c>
      <c r="B108" s="4">
        <v>1</v>
      </c>
      <c r="C108" s="5">
        <v>156.72</v>
      </c>
      <c r="D108" s="6">
        <f t="shared" si="26"/>
        <v>0.68753190403266973</v>
      </c>
      <c r="E108" s="7">
        <v>0</v>
      </c>
      <c r="F108" s="7">
        <v>48.97</v>
      </c>
      <c r="G108" s="8">
        <f t="shared" si="33"/>
        <v>48.97</v>
      </c>
      <c r="H108" s="7">
        <v>0</v>
      </c>
      <c r="I108" s="7">
        <v>0</v>
      </c>
      <c r="J108" s="20">
        <v>45323</v>
      </c>
      <c r="K108" s="20">
        <v>45338</v>
      </c>
      <c r="L108" s="5"/>
      <c r="M108" s="7">
        <v>17.59</v>
      </c>
      <c r="N108" s="5"/>
      <c r="O108" s="9">
        <f>(2.81+8.78)/3</f>
        <v>3.8633333333333333</v>
      </c>
      <c r="P108" s="4">
        <v>1</v>
      </c>
      <c r="Q108" s="8">
        <f t="shared" si="34"/>
        <v>45.106666666666669</v>
      </c>
      <c r="R108" s="10"/>
      <c r="S108" s="12"/>
      <c r="T108" s="8">
        <f t="shared" si="30"/>
        <v>45.106666666666669</v>
      </c>
      <c r="U108" s="5"/>
    </row>
    <row r="109" spans="1:21" ht="31.2" x14ac:dyDescent="0.3">
      <c r="A109" s="3" t="s">
        <v>127</v>
      </c>
      <c r="B109" s="4">
        <v>2</v>
      </c>
      <c r="C109" s="7">
        <v>148.47</v>
      </c>
      <c r="D109" s="6">
        <f t="shared" si="26"/>
        <v>0.39489459149996636</v>
      </c>
      <c r="E109" s="7">
        <v>0</v>
      </c>
      <c r="F109" s="7">
        <v>89.84</v>
      </c>
      <c r="G109" s="8">
        <f t="shared" si="33"/>
        <v>179.68</v>
      </c>
      <c r="H109" s="7">
        <v>0</v>
      </c>
      <c r="I109" s="7">
        <v>0</v>
      </c>
      <c r="J109" s="20">
        <v>45323</v>
      </c>
      <c r="K109" s="20">
        <v>45337</v>
      </c>
      <c r="L109" s="8"/>
      <c r="M109" s="7">
        <v>17.03</v>
      </c>
      <c r="N109" s="7"/>
      <c r="O109" s="9">
        <v>11.46</v>
      </c>
      <c r="P109" s="4">
        <v>1</v>
      </c>
      <c r="Q109" s="8">
        <f t="shared" si="34"/>
        <v>84.11</v>
      </c>
      <c r="R109" s="10" t="s">
        <v>128</v>
      </c>
      <c r="S109" s="4"/>
      <c r="T109" s="8">
        <f t="shared" si="30"/>
        <v>168.22</v>
      </c>
      <c r="U109" s="5"/>
    </row>
    <row r="110" spans="1:21" ht="31.2" x14ac:dyDescent="0.3">
      <c r="A110" s="3" t="s">
        <v>129</v>
      </c>
      <c r="B110" s="4">
        <v>1</v>
      </c>
      <c r="C110" s="7">
        <v>233.13</v>
      </c>
      <c r="D110" s="6">
        <f t="shared" si="26"/>
        <v>0.68755629906061</v>
      </c>
      <c r="E110" s="7">
        <v>0</v>
      </c>
      <c r="F110" s="7">
        <v>72.84</v>
      </c>
      <c r="G110" s="8">
        <f t="shared" si="33"/>
        <v>72.84</v>
      </c>
      <c r="H110" s="7">
        <v>0</v>
      </c>
      <c r="I110" s="7">
        <v>0.01</v>
      </c>
      <c r="J110" s="20">
        <v>45323</v>
      </c>
      <c r="K110" s="20">
        <v>45335</v>
      </c>
      <c r="L110" s="8"/>
      <c r="M110" s="7">
        <v>17.03</v>
      </c>
      <c r="N110" s="7"/>
      <c r="O110" s="9">
        <v>4.6399999999999997</v>
      </c>
      <c r="P110" s="4">
        <v>1</v>
      </c>
      <c r="Q110" s="8">
        <f t="shared" si="34"/>
        <v>68.210000000000008</v>
      </c>
      <c r="R110" s="10" t="s">
        <v>130</v>
      </c>
      <c r="S110" s="4"/>
      <c r="T110" s="8">
        <f t="shared" si="30"/>
        <v>68.210000000000008</v>
      </c>
      <c r="U110" s="5"/>
    </row>
    <row r="111" spans="1:21" ht="31.2" x14ac:dyDescent="0.3">
      <c r="A111" s="3" t="s">
        <v>164</v>
      </c>
      <c r="B111" s="4">
        <v>1</v>
      </c>
      <c r="C111" s="7">
        <v>236.72</v>
      </c>
      <c r="D111" s="6">
        <f t="shared" ref="D111" si="35">(((C111-F111)*100)/C111)/100</f>
        <v>0.67239776951672869</v>
      </c>
      <c r="E111" s="7">
        <v>0</v>
      </c>
      <c r="F111" s="7">
        <v>77.55</v>
      </c>
      <c r="G111" s="8">
        <f t="shared" ref="G111" si="36">B111*F111</f>
        <v>77.55</v>
      </c>
      <c r="H111" s="7">
        <v>0</v>
      </c>
      <c r="I111" s="7">
        <v>0.02</v>
      </c>
      <c r="J111" s="20">
        <v>45323</v>
      </c>
      <c r="K111" s="20">
        <v>45338</v>
      </c>
      <c r="L111" s="8"/>
      <c r="M111" s="7">
        <v>17.03</v>
      </c>
      <c r="N111" s="7"/>
      <c r="O111" s="9">
        <f>3.11+9.69</f>
        <v>12.799999999999999</v>
      </c>
      <c r="P111" s="4">
        <v>1</v>
      </c>
      <c r="Q111" s="8">
        <f t="shared" si="34"/>
        <v>64.77</v>
      </c>
      <c r="R111" s="10" t="s">
        <v>130</v>
      </c>
      <c r="S111" s="4"/>
      <c r="T111" s="8">
        <f t="shared" si="30"/>
        <v>64.77</v>
      </c>
      <c r="U111" s="5"/>
    </row>
    <row r="112" spans="1:21" ht="31.2" x14ac:dyDescent="0.3">
      <c r="A112" s="3" t="s">
        <v>231</v>
      </c>
      <c r="B112" s="4">
        <v>1</v>
      </c>
      <c r="C112" s="7">
        <v>180</v>
      </c>
      <c r="D112" s="6">
        <f t="shared" ref="D112:D113" si="37">(((C112-F112)*100)/C112)/100</f>
        <v>0.50088888888888894</v>
      </c>
      <c r="E112" s="7">
        <v>0</v>
      </c>
      <c r="F112" s="7">
        <v>89.84</v>
      </c>
      <c r="G112" s="8">
        <f t="shared" ref="G112:G113" si="38">B112*F112</f>
        <v>89.84</v>
      </c>
      <c r="H112" s="7">
        <v>0</v>
      </c>
      <c r="I112" s="7">
        <v>0</v>
      </c>
      <c r="J112" s="20">
        <v>45323</v>
      </c>
      <c r="K112" s="20">
        <v>45338</v>
      </c>
      <c r="L112" s="8"/>
      <c r="M112" s="7">
        <v>17.03</v>
      </c>
      <c r="N112" s="7"/>
      <c r="O112" s="9">
        <f>1.75+5.62</f>
        <v>7.37</v>
      </c>
      <c r="P112" s="4">
        <v>1</v>
      </c>
      <c r="Q112" s="8">
        <f t="shared" ref="Q112:Q113" si="39">F112+(I112/B112)-(O112/B112)</f>
        <v>82.47</v>
      </c>
      <c r="R112" s="10" t="s">
        <v>230</v>
      </c>
      <c r="T112" s="8">
        <f t="shared" si="30"/>
        <v>82.47</v>
      </c>
    </row>
    <row r="113" spans="1:20" ht="31.2" x14ac:dyDescent="0.3">
      <c r="A113" s="3" t="s">
        <v>255</v>
      </c>
      <c r="B113" s="4">
        <v>2</v>
      </c>
      <c r="C113" s="5">
        <v>222.13</v>
      </c>
      <c r="D113" s="6">
        <f t="shared" si="37"/>
        <v>0.76869085670553294</v>
      </c>
      <c r="E113" s="7">
        <v>3.01</v>
      </c>
      <c r="F113" s="7">
        <f>E113*M113</f>
        <v>51.380699999999997</v>
      </c>
      <c r="G113" s="8">
        <f t="shared" si="38"/>
        <v>102.76139999999999</v>
      </c>
      <c r="H113" s="7">
        <v>0</v>
      </c>
      <c r="I113" s="7">
        <v>0</v>
      </c>
      <c r="J113" s="20">
        <v>45323</v>
      </c>
      <c r="K113" s="20">
        <v>45340</v>
      </c>
      <c r="L113" s="5"/>
      <c r="M113" s="26">
        <v>17.07</v>
      </c>
      <c r="N113" s="5">
        <v>0.12</v>
      </c>
      <c r="O113" s="9">
        <f>M113*N113</f>
        <v>2.0484</v>
      </c>
      <c r="P113" s="4">
        <v>1</v>
      </c>
      <c r="Q113" s="8">
        <f t="shared" si="39"/>
        <v>50.356499999999997</v>
      </c>
      <c r="R113" s="10" t="s">
        <v>241</v>
      </c>
      <c r="T113" s="8">
        <f t="shared" si="30"/>
        <v>100.71299999999999</v>
      </c>
    </row>
    <row r="114" spans="1:20" ht="46.8" x14ac:dyDescent="0.3">
      <c r="A114" s="3" t="s">
        <v>243</v>
      </c>
      <c r="B114" s="4">
        <v>1</v>
      </c>
      <c r="C114" s="5">
        <v>123.74</v>
      </c>
      <c r="D114" s="6">
        <f t="shared" ref="D114:D119" si="40">(((C114-F114)*100)/C114)/100</f>
        <v>0.79307418781315664</v>
      </c>
      <c r="E114" s="7">
        <v>1.5</v>
      </c>
      <c r="F114" s="7">
        <f t="shared" ref="F114:F119" si="41">E114*M114</f>
        <v>25.605</v>
      </c>
      <c r="G114" s="8">
        <f t="shared" ref="G114:G119" si="42">B114*F114</f>
        <v>25.605</v>
      </c>
      <c r="H114" s="7">
        <v>0</v>
      </c>
      <c r="I114" s="7">
        <v>0</v>
      </c>
      <c r="J114" s="20">
        <v>45323</v>
      </c>
      <c r="K114" s="20">
        <v>45340</v>
      </c>
      <c r="L114" s="5"/>
      <c r="M114" s="26">
        <v>17.07</v>
      </c>
      <c r="N114" s="5">
        <f>0.06/2</f>
        <v>0.03</v>
      </c>
      <c r="O114" s="9">
        <f t="shared" ref="O114:O119" si="43">M114*N114</f>
        <v>0.5121</v>
      </c>
      <c r="P114" s="4">
        <v>1</v>
      </c>
      <c r="Q114" s="8">
        <f t="shared" ref="Q114:Q119" si="44">F114+(I114/B114)-(O114/B114)</f>
        <v>25.0929</v>
      </c>
      <c r="R114" s="10" t="s">
        <v>242</v>
      </c>
      <c r="T114" s="8">
        <f t="shared" si="30"/>
        <v>25.0929</v>
      </c>
    </row>
    <row r="115" spans="1:20" ht="46.8" x14ac:dyDescent="0.3">
      <c r="A115" s="3" t="s">
        <v>244</v>
      </c>
      <c r="B115" s="4">
        <v>1</v>
      </c>
      <c r="C115" s="5">
        <v>123.74</v>
      </c>
      <c r="D115" s="6">
        <f t="shared" si="40"/>
        <v>0.75996605786326166</v>
      </c>
      <c r="E115" s="7">
        <v>1.74</v>
      </c>
      <c r="F115" s="7">
        <f t="shared" si="41"/>
        <v>29.701799999999999</v>
      </c>
      <c r="G115" s="8">
        <f t="shared" si="42"/>
        <v>29.701799999999999</v>
      </c>
      <c r="H115" s="7">
        <v>0</v>
      </c>
      <c r="I115" s="7">
        <v>0</v>
      </c>
      <c r="J115" s="20">
        <v>45323</v>
      </c>
      <c r="K115" s="20">
        <v>45340</v>
      </c>
      <c r="L115" s="5"/>
      <c r="M115" s="26">
        <v>17.07</v>
      </c>
      <c r="N115" s="5">
        <f>0.06/2</f>
        <v>0.03</v>
      </c>
      <c r="O115" s="9">
        <f t="shared" si="43"/>
        <v>0.5121</v>
      </c>
      <c r="P115" s="4">
        <v>1</v>
      </c>
      <c r="Q115" s="8">
        <f t="shared" si="44"/>
        <v>29.189699999999998</v>
      </c>
      <c r="R115" s="10"/>
      <c r="T115" s="8">
        <f t="shared" si="30"/>
        <v>29.189699999999998</v>
      </c>
    </row>
    <row r="116" spans="1:20" ht="46.8" x14ac:dyDescent="0.3">
      <c r="A116" s="3" t="s">
        <v>246</v>
      </c>
      <c r="B116" s="4">
        <v>2</v>
      </c>
      <c r="C116" s="5">
        <v>172.94</v>
      </c>
      <c r="D116" s="6">
        <f t="shared" si="40"/>
        <v>0.77297906788481552</v>
      </c>
      <c r="E116" s="7">
        <v>2.2999999999999998</v>
      </c>
      <c r="F116" s="7">
        <f t="shared" si="41"/>
        <v>39.260999999999996</v>
      </c>
      <c r="G116" s="8">
        <f t="shared" si="42"/>
        <v>78.521999999999991</v>
      </c>
      <c r="H116" s="7">
        <v>0</v>
      </c>
      <c r="I116" s="7">
        <v>0</v>
      </c>
      <c r="J116" s="20">
        <v>45323</v>
      </c>
      <c r="K116" s="20">
        <v>45340</v>
      </c>
      <c r="L116" s="5"/>
      <c r="M116" s="26">
        <v>17.07</v>
      </c>
      <c r="N116" s="5">
        <v>0.09</v>
      </c>
      <c r="O116" s="9">
        <f t="shared" si="43"/>
        <v>1.5363</v>
      </c>
      <c r="P116" s="4">
        <v>1</v>
      </c>
      <c r="Q116" s="8">
        <f t="shared" si="44"/>
        <v>38.492849999999997</v>
      </c>
      <c r="R116" s="10" t="s">
        <v>245</v>
      </c>
      <c r="T116" s="8">
        <f t="shared" si="30"/>
        <v>76.985699999999994</v>
      </c>
    </row>
    <row r="117" spans="1:20" ht="46.8" x14ac:dyDescent="0.3">
      <c r="A117" s="3" t="s">
        <v>248</v>
      </c>
      <c r="B117" s="4">
        <v>1</v>
      </c>
      <c r="C117" s="5">
        <v>122.39</v>
      </c>
      <c r="D117" s="6">
        <f t="shared" si="40"/>
        <v>0.78800228776860859</v>
      </c>
      <c r="E117" s="7">
        <v>1.52</v>
      </c>
      <c r="F117" s="7">
        <f t="shared" si="41"/>
        <v>25.946400000000001</v>
      </c>
      <c r="G117" s="8">
        <f t="shared" si="42"/>
        <v>25.946400000000001</v>
      </c>
      <c r="H117" s="7">
        <v>0</v>
      </c>
      <c r="I117" s="7">
        <v>0</v>
      </c>
      <c r="J117" s="20">
        <v>45323</v>
      </c>
      <c r="K117" s="20">
        <v>45341</v>
      </c>
      <c r="L117" s="5"/>
      <c r="M117" s="26">
        <v>17.07</v>
      </c>
      <c r="N117" s="5">
        <v>0.03</v>
      </c>
      <c r="O117" s="9">
        <f t="shared" si="43"/>
        <v>0.5121</v>
      </c>
      <c r="P117" s="4">
        <v>1</v>
      </c>
      <c r="Q117" s="8">
        <f t="shared" si="44"/>
        <v>25.4343</v>
      </c>
      <c r="R117" s="10" t="s">
        <v>247</v>
      </c>
      <c r="T117" s="8">
        <f t="shared" si="30"/>
        <v>25.4343</v>
      </c>
    </row>
    <row r="118" spans="1:20" ht="46.8" x14ac:dyDescent="0.3">
      <c r="A118" s="3" t="s">
        <v>250</v>
      </c>
      <c r="B118" s="4">
        <v>2</v>
      </c>
      <c r="C118" s="5">
        <v>385.63</v>
      </c>
      <c r="D118" s="6">
        <f t="shared" si="40"/>
        <v>0.67730648549127404</v>
      </c>
      <c r="E118" s="7">
        <v>7.29</v>
      </c>
      <c r="F118" s="7">
        <f t="shared" si="41"/>
        <v>124.44030000000001</v>
      </c>
      <c r="G118" s="8">
        <f t="shared" si="42"/>
        <v>248.88060000000002</v>
      </c>
      <c r="H118" s="7">
        <v>0</v>
      </c>
      <c r="I118" s="7">
        <v>0</v>
      </c>
      <c r="J118" s="20">
        <v>45323</v>
      </c>
      <c r="K118" s="20">
        <v>45349</v>
      </c>
      <c r="L118" s="5"/>
      <c r="M118" s="26">
        <v>17.07</v>
      </c>
      <c r="N118" s="5"/>
      <c r="O118" s="9">
        <f t="shared" si="43"/>
        <v>0</v>
      </c>
      <c r="P118" s="4">
        <v>1</v>
      </c>
      <c r="Q118" s="8">
        <f t="shared" si="44"/>
        <v>124.44030000000001</v>
      </c>
      <c r="R118" s="10" t="s">
        <v>249</v>
      </c>
      <c r="T118" s="8">
        <f t="shared" si="30"/>
        <v>248.88060000000002</v>
      </c>
    </row>
    <row r="119" spans="1:20" ht="46.8" x14ac:dyDescent="0.3">
      <c r="A119" s="3" t="s">
        <v>251</v>
      </c>
      <c r="B119" s="4">
        <v>1</v>
      </c>
      <c r="C119" s="5">
        <v>144</v>
      </c>
      <c r="D119" s="6">
        <f t="shared" si="40"/>
        <v>0.6941624999999999</v>
      </c>
      <c r="E119" s="7">
        <v>2.58</v>
      </c>
      <c r="F119" s="7">
        <f t="shared" si="41"/>
        <v>44.040600000000005</v>
      </c>
      <c r="G119" s="8">
        <f t="shared" si="42"/>
        <v>44.040600000000005</v>
      </c>
      <c r="H119" s="7">
        <v>0</v>
      </c>
      <c r="I119" s="7">
        <v>0</v>
      </c>
      <c r="J119" s="20">
        <v>45323</v>
      </c>
      <c r="K119" s="20">
        <v>45341</v>
      </c>
      <c r="L119" s="5"/>
      <c r="M119" s="26">
        <v>17.07</v>
      </c>
      <c r="N119" s="5"/>
      <c r="O119" s="9">
        <f t="shared" si="43"/>
        <v>0</v>
      </c>
      <c r="P119" s="4">
        <v>1</v>
      </c>
      <c r="Q119" s="8">
        <f t="shared" si="44"/>
        <v>44.040600000000005</v>
      </c>
      <c r="R119" s="10"/>
      <c r="T119" s="8">
        <f t="shared" si="30"/>
        <v>44.040600000000005</v>
      </c>
    </row>
  </sheetData>
  <hyperlinks>
    <hyperlink ref="R38" r:id="rId1" xr:uid="{00000000-0004-0000-0000-000000000000}"/>
    <hyperlink ref="R42" r:id="rId2" xr:uid="{00000000-0004-0000-0000-000001000000}"/>
    <hyperlink ref="R49" r:id="rId3" xr:uid="{00000000-0004-0000-0000-000002000000}"/>
    <hyperlink ref="R39" r:id="rId4" xr:uid="{00000000-0004-0000-0000-000003000000}"/>
    <hyperlink ref="R40" r:id="rId5" xr:uid="{00000000-0004-0000-0000-000004000000}"/>
    <hyperlink ref="R43" r:id="rId6" xr:uid="{00000000-0004-0000-0000-000005000000}"/>
    <hyperlink ref="R44" r:id="rId7" xr:uid="{00000000-0004-0000-0000-000006000000}"/>
    <hyperlink ref="R46" r:id="rId8" xr:uid="{00000000-0004-0000-0000-000007000000}"/>
    <hyperlink ref="R47" r:id="rId9" xr:uid="{00000000-0004-0000-0000-000008000000}"/>
    <hyperlink ref="R54" r:id="rId10" xr:uid="{00000000-0004-0000-0000-000009000000}"/>
    <hyperlink ref="R55" r:id="rId11" xr:uid="{00000000-0004-0000-0000-00000A000000}"/>
    <hyperlink ref="R57" r:id="rId12" xr:uid="{00000000-0004-0000-0000-00000B000000}"/>
    <hyperlink ref="R58" r:id="rId13" xr:uid="{00000000-0004-0000-0000-00000C000000}"/>
    <hyperlink ref="R60" r:id="rId14" xr:uid="{00000000-0004-0000-0000-00000D000000}"/>
    <hyperlink ref="R61" r:id="rId15" xr:uid="{00000000-0004-0000-0000-00000E000000}"/>
    <hyperlink ref="R62" r:id="rId16" xr:uid="{00000000-0004-0000-0000-00000F000000}"/>
    <hyperlink ref="R64" r:id="rId17" xr:uid="{00000000-0004-0000-0000-000010000000}"/>
    <hyperlink ref="R65" r:id="rId18" xr:uid="{00000000-0004-0000-0000-000011000000}"/>
    <hyperlink ref="R68" r:id="rId19" xr:uid="{00000000-0004-0000-0000-000012000000}"/>
    <hyperlink ref="R71" r:id="rId20" xr:uid="{00000000-0004-0000-0000-000013000000}"/>
    <hyperlink ref="R73" r:id="rId21" xr:uid="{00000000-0004-0000-0000-000014000000}"/>
    <hyperlink ref="R75" r:id="rId22" xr:uid="{00000000-0004-0000-0000-000015000000}"/>
    <hyperlink ref="R76" r:id="rId23" xr:uid="{00000000-0004-0000-0000-000016000000}"/>
    <hyperlink ref="R79" r:id="rId24" xr:uid="{00000000-0004-0000-0000-000017000000}"/>
    <hyperlink ref="R82" r:id="rId25" xr:uid="{00000000-0004-0000-0000-000018000000}"/>
    <hyperlink ref="R84" r:id="rId26" xr:uid="{00000000-0004-0000-0000-000019000000}"/>
    <hyperlink ref="R85" r:id="rId27" xr:uid="{00000000-0004-0000-0000-00001A000000}"/>
    <hyperlink ref="R87" r:id="rId28" xr:uid="{00000000-0004-0000-0000-00001B000000}"/>
    <hyperlink ref="R88" r:id="rId29" xr:uid="{00000000-0004-0000-0000-00001C000000}"/>
    <hyperlink ref="R89" r:id="rId30" xr:uid="{00000000-0004-0000-0000-00001D000000}"/>
    <hyperlink ref="R90" r:id="rId31" xr:uid="{00000000-0004-0000-0000-00001E000000}"/>
    <hyperlink ref="R91" r:id="rId32" xr:uid="{00000000-0004-0000-0000-00001F000000}"/>
    <hyperlink ref="R92" r:id="rId33" xr:uid="{00000000-0004-0000-0000-000020000000}"/>
    <hyperlink ref="R93" r:id="rId34" xr:uid="{00000000-0004-0000-0000-000021000000}"/>
    <hyperlink ref="R94" r:id="rId35" xr:uid="{00000000-0004-0000-0000-000022000000}"/>
    <hyperlink ref="R95" r:id="rId36" xr:uid="{00000000-0004-0000-0000-000023000000}"/>
    <hyperlink ref="R96" r:id="rId37" xr:uid="{00000000-0004-0000-0000-000024000000}"/>
    <hyperlink ref="R97" r:id="rId38" xr:uid="{00000000-0004-0000-0000-000025000000}"/>
    <hyperlink ref="R98" r:id="rId39" xr:uid="{00000000-0004-0000-0000-000026000000}"/>
    <hyperlink ref="R99" r:id="rId40" xr:uid="{00000000-0004-0000-0000-000027000000}"/>
    <hyperlink ref="R100" r:id="rId41" xr:uid="{00000000-0004-0000-0000-000028000000}"/>
    <hyperlink ref="R101" r:id="rId42" xr:uid="{00000000-0004-0000-0000-000029000000}"/>
    <hyperlink ref="R103" r:id="rId43" xr:uid="{00000000-0004-0000-0000-00002A000000}"/>
    <hyperlink ref="R104" r:id="rId44" xr:uid="{00000000-0004-0000-0000-00002B000000}"/>
    <hyperlink ref="R105" r:id="rId45" xr:uid="{00000000-0004-0000-0000-00002C000000}"/>
    <hyperlink ref="R106" r:id="rId46" xr:uid="{00000000-0004-0000-0000-00002D000000}"/>
    <hyperlink ref="R110" r:id="rId47" xr:uid="{00000000-0004-0000-0000-00002E000000}"/>
    <hyperlink ref="R109" r:id="rId48" xr:uid="{00000000-0004-0000-0000-00002F000000}"/>
    <hyperlink ref="R111" r:id="rId49" xr:uid="{00000000-0004-0000-0000-000030000000}"/>
    <hyperlink ref="R36" r:id="rId50" display="https://es.aliexpress.com/item/1005006071860328.html?spm=a2g0o.order_detail.order_detail_item.2.404239d3pXmA9H&amp;gatewayAdapt=glo2esp" xr:uid="{75B2C316-D4C9-43BC-BB4E-E4E1DCF0FF55}"/>
    <hyperlink ref="R37" r:id="rId51" display="https://es.aliexpress.com/item/1005006071860328.html?spm=a2g0o.order_detail.order_detail_item.2.404239d3pXmA9H&amp;gatewayAdapt=glo2esp" xr:uid="{453B9163-2BC6-441B-A6AB-2AC24E9AF969}"/>
    <hyperlink ref="R35" r:id="rId52" display="https://es.aliexpress.com/item/1005006071860328.html?spm=a2g0o.order_detail.order_detail_item.2.404239d3pXmA9H&amp;gatewayAdapt=glo2esp" xr:uid="{F6CC6D15-C35F-40EA-B271-098C856B1048}"/>
    <hyperlink ref="R7" r:id="rId53" xr:uid="{7C87B475-A281-43B0-AC6E-51F7241A6D4B}"/>
    <hyperlink ref="R26" r:id="rId54" xr:uid="{5B12640D-0755-40A7-A9A5-4998E1D4D6E7}"/>
    <hyperlink ref="R27" r:id="rId55" xr:uid="{70258BFE-BAFC-4D99-9386-4E7B4D96BBD0}"/>
    <hyperlink ref="R30" r:id="rId56" xr:uid="{9F1F49C1-8681-4CFE-BC60-A98E5B90C824}"/>
    <hyperlink ref="R31" r:id="rId57" xr:uid="{5C10F00A-6712-43CD-8DFC-A3FC17121FB5}"/>
    <hyperlink ref="R32" r:id="rId58" xr:uid="{B2BC02EE-A7BB-48B6-A332-B3C52E1F1F40}"/>
    <hyperlink ref="R112" r:id="rId59" xr:uid="{B07B162F-D488-46E2-BDD5-94139964200C}"/>
    <hyperlink ref="R10" r:id="rId60" xr:uid="{0A402784-4F01-410D-92F1-ECCC3AF92F09}"/>
    <hyperlink ref="R11" r:id="rId61" xr:uid="{0CA79342-0C06-4326-92DB-2D3AB1858C10}"/>
    <hyperlink ref="R12" r:id="rId62" xr:uid="{319B0A86-FACA-4C33-996B-248A8643224B}"/>
    <hyperlink ref="R13" r:id="rId63" xr:uid="{A6C1EB65-763A-460F-9017-39B669BB88A5}"/>
    <hyperlink ref="R113" r:id="rId64" xr:uid="{BF763A38-6CA5-4956-BCC0-6A83561CCB61}"/>
    <hyperlink ref="R114" r:id="rId65" xr:uid="{648F6E8D-0419-462E-8EB9-375B8BF26E34}"/>
    <hyperlink ref="R116" r:id="rId66" xr:uid="{A50CA924-CE71-4445-AC99-8127F6DF6DDC}"/>
    <hyperlink ref="R117" r:id="rId67" xr:uid="{F6E1E1DD-E241-4CB2-AB2B-2D64F75983F4}"/>
    <hyperlink ref="R118" r:id="rId68" xr:uid="{39007A1B-11AC-4317-8C56-9B530209848E}"/>
  </hyperlinks>
  <pageMargins left="0.7" right="0.7" top="0.75" bottom="0.75" header="0.3" footer="0.3"/>
  <pageSetup paperSize="9" orientation="portrait" r:id="rId69"/>
  <picture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9"/>
  <sheetViews>
    <sheetView zoomScale="120" zoomScaleNormal="120" workbookViewId="0">
      <pane ySplit="1" topLeftCell="A2" activePane="bottomLeft" state="frozen"/>
      <selection pane="bottomLeft" activeCell="B2" sqref="B2"/>
    </sheetView>
  </sheetViews>
  <sheetFormatPr baseColWidth="10" defaultColWidth="10.69921875" defaultRowHeight="15.6" x14ac:dyDescent="0.3"/>
  <cols>
    <col min="1" max="1" width="8.296875" style="19" bestFit="1" customWidth="1"/>
    <col min="2" max="2" width="42.69921875" style="19" customWidth="1"/>
    <col min="3" max="3" width="13" style="19" bestFit="1" customWidth="1"/>
    <col min="4" max="4" width="12.3984375" style="19" bestFit="1" customWidth="1"/>
    <col min="5" max="5" width="12" style="19" bestFit="1" customWidth="1"/>
    <col min="6" max="6" width="14.796875" style="19" bestFit="1" customWidth="1"/>
    <col min="7" max="7" width="8.5" style="19" bestFit="1" customWidth="1"/>
    <col min="8" max="8" width="10.09765625" style="19" bestFit="1" customWidth="1"/>
    <col min="9" max="9" width="7.3984375" style="19" bestFit="1" customWidth="1"/>
    <col min="10" max="10" width="7.3984375" style="19" customWidth="1"/>
    <col min="11" max="11" width="11.3984375" style="19" bestFit="1" customWidth="1"/>
    <col min="12" max="12" width="11.796875" style="19" bestFit="1" customWidth="1"/>
    <col min="13" max="13" width="8" style="19" bestFit="1" customWidth="1"/>
    <col min="14" max="16384" width="10.69921875" style="19"/>
  </cols>
  <sheetData>
    <row r="1" spans="1:13" x14ac:dyDescent="0.3">
      <c r="A1" s="1" t="s">
        <v>131</v>
      </c>
      <c r="B1" s="1" t="s">
        <v>0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</v>
      </c>
      <c r="H1" s="1" t="s">
        <v>5</v>
      </c>
      <c r="I1" s="1" t="s">
        <v>15</v>
      </c>
      <c r="J1" s="1" t="s">
        <v>168</v>
      </c>
      <c r="K1" s="1" t="s">
        <v>136</v>
      </c>
      <c r="L1" s="1" t="s">
        <v>137</v>
      </c>
      <c r="M1" s="1" t="s">
        <v>138</v>
      </c>
    </row>
    <row r="2" spans="1:13" ht="31.2" x14ac:dyDescent="0.3">
      <c r="A2" s="21">
        <v>2</v>
      </c>
      <c r="B2" s="3" t="str">
        <f>Compras!A2</f>
        <v>Funko Pop-figura de acción de Disney Alicia en el país de las Maravillas, con frasco de galletas</v>
      </c>
      <c r="C2" s="3" t="s">
        <v>141</v>
      </c>
      <c r="D2" s="3" t="s">
        <v>152</v>
      </c>
      <c r="E2" s="14">
        <f>Compras!C2</f>
        <v>125</v>
      </c>
      <c r="F2" s="6">
        <f>Compras!D2</f>
        <v>0.48808000000000001</v>
      </c>
      <c r="G2" s="4">
        <f>Compras!B2</f>
        <v>1</v>
      </c>
      <c r="H2" s="14">
        <f>Compras!Q2</f>
        <v>64</v>
      </c>
      <c r="I2" s="4">
        <f>Compras!P2</f>
        <v>1</v>
      </c>
      <c r="J2" s="23" t="s">
        <v>168</v>
      </c>
      <c r="K2" s="15">
        <f t="shared" ref="K2:K33" si="0">M2* (IF(M2-H2&lt;100, IF(M2-H2&gt;80, 1.25, IF(M2-H2&gt;50, 1.5, 1.75)), IF(M2-H2&gt;150, 0.95, IF(M2-H2&gt;170, 0.9, 1))))</f>
        <v>181.5</v>
      </c>
      <c r="L2" s="16">
        <f t="shared" ref="L2:L33" si="1">(K2+M2)/2</f>
        <v>151.25</v>
      </c>
      <c r="M2" s="17">
        <f t="shared" ref="M2:M33" si="2">(H2/I2) * ( IF(E2&gt;H2, IF(E2-H2&gt;100, 1.25, IF(E2-H2&gt;50, 1.5, 1.75)), IF(H2-E2&gt;100, 1.25, IF(H2-E2&gt;50, 1.5, 1.75))) ) + 25</f>
        <v>121</v>
      </c>
    </row>
    <row r="3" spans="1:13" x14ac:dyDescent="0.3">
      <c r="A3" s="21">
        <v>3</v>
      </c>
      <c r="B3" s="3" t="str">
        <f>Compras!A3</f>
        <v>Princesa Disney, juguetes de ojos grandes, Elsa</v>
      </c>
      <c r="C3" s="3" t="s">
        <v>141</v>
      </c>
      <c r="D3" s="3" t="s">
        <v>152</v>
      </c>
      <c r="E3" s="14">
        <f>Compras!C3</f>
        <v>130</v>
      </c>
      <c r="F3" s="6">
        <f>Compras!D3</f>
        <v>0.47684615384615375</v>
      </c>
      <c r="G3" s="4">
        <f>Compras!B3</f>
        <v>2</v>
      </c>
      <c r="H3" s="14">
        <f>Compras!Q3</f>
        <v>68.015000000000001</v>
      </c>
      <c r="I3" s="4">
        <f>Compras!P3</f>
        <v>1</v>
      </c>
      <c r="J3" s="23" t="s">
        <v>168</v>
      </c>
      <c r="K3" s="15">
        <f t="shared" si="0"/>
        <v>190.53375</v>
      </c>
      <c r="L3" s="16">
        <f t="shared" si="1"/>
        <v>158.77812499999999</v>
      </c>
      <c r="M3" s="17">
        <f t="shared" si="2"/>
        <v>127.02250000000001</v>
      </c>
    </row>
    <row r="4" spans="1:13" ht="31.2" x14ac:dyDescent="0.3">
      <c r="A4" s="21">
        <v>4</v>
      </c>
      <c r="B4" s="3" t="str">
        <f>Compras!A4</f>
        <v>Funko Pop-figura de acción de Disney Alicia en el país de las Maravillas, Ariel, sirenita</v>
      </c>
      <c r="C4" s="3" t="s">
        <v>141</v>
      </c>
      <c r="D4" s="3" t="s">
        <v>152</v>
      </c>
      <c r="E4" s="14">
        <f>Compras!C4</f>
        <v>120</v>
      </c>
      <c r="F4" s="6">
        <f>Compras!D4</f>
        <v>0.52283333333333326</v>
      </c>
      <c r="G4" s="4">
        <f>Compras!B4</f>
        <v>1</v>
      </c>
      <c r="H4" s="14">
        <f>Compras!Q4</f>
        <v>57.269999999999996</v>
      </c>
      <c r="I4" s="4">
        <f>Compras!P4</f>
        <v>1</v>
      </c>
      <c r="J4" s="23" t="s">
        <v>168</v>
      </c>
      <c r="K4" s="15">
        <f t="shared" si="0"/>
        <v>166.35750000000002</v>
      </c>
      <c r="L4" s="16">
        <f t="shared" si="1"/>
        <v>138.63125000000002</v>
      </c>
      <c r="M4" s="17">
        <f t="shared" si="2"/>
        <v>110.905</v>
      </c>
    </row>
    <row r="5" spans="1:13" ht="31.2" x14ac:dyDescent="0.3">
      <c r="A5" s="21">
        <v>5</v>
      </c>
      <c r="B5" s="3" t="str">
        <f>Compras!A5</f>
        <v>Funko Pop-figura de acción de Disney Alicia en el país de las Maravillas, Tinker Bell</v>
      </c>
      <c r="C5" s="3" t="s">
        <v>141</v>
      </c>
      <c r="D5" s="3" t="s">
        <v>152</v>
      </c>
      <c r="E5" s="14">
        <f>Compras!C5</f>
        <v>120</v>
      </c>
      <c r="F5" s="6">
        <f>Compras!D5</f>
        <v>0.48616666666666669</v>
      </c>
      <c r="G5" s="4">
        <f>Compras!B5</f>
        <v>1</v>
      </c>
      <c r="H5" s="14">
        <f>Compras!Q5</f>
        <v>61.669999999999995</v>
      </c>
      <c r="I5" s="4">
        <f>Compras!P5</f>
        <v>1</v>
      </c>
      <c r="J5" s="23" t="s">
        <v>168</v>
      </c>
      <c r="K5" s="15">
        <f t="shared" si="0"/>
        <v>176.25749999999999</v>
      </c>
      <c r="L5" s="16">
        <f t="shared" si="1"/>
        <v>146.88124999999999</v>
      </c>
      <c r="M5" s="17">
        <f t="shared" si="2"/>
        <v>117.505</v>
      </c>
    </row>
    <row r="6" spans="1:13" ht="31.2" x14ac:dyDescent="0.3">
      <c r="A6" s="21">
        <v>6</v>
      </c>
      <c r="B6" s="3" t="str">
        <f>Compras!A6</f>
        <v>Figuras de PVC de la princesa Disney, juguetes de ojos grandes,  Ariel, vestido</v>
      </c>
      <c r="C6" s="3" t="s">
        <v>141</v>
      </c>
      <c r="D6" s="3" t="s">
        <v>152</v>
      </c>
      <c r="E6" s="14">
        <f>Compras!C6</f>
        <v>160</v>
      </c>
      <c r="F6" s="6">
        <f>Compras!D6</f>
        <v>0.49556250000000007</v>
      </c>
      <c r="G6" s="4">
        <f>Compras!B6</f>
        <v>1</v>
      </c>
      <c r="H6" s="14">
        <f>Compras!Q6</f>
        <v>80.72</v>
      </c>
      <c r="I6" s="4">
        <f>Compras!P6</f>
        <v>1</v>
      </c>
      <c r="J6" s="22" t="s">
        <v>168</v>
      </c>
      <c r="K6" s="15">
        <f t="shared" si="0"/>
        <v>219.11999999999998</v>
      </c>
      <c r="L6" s="16">
        <f t="shared" si="1"/>
        <v>182.59999999999997</v>
      </c>
      <c r="M6" s="17">
        <f t="shared" si="2"/>
        <v>146.07999999999998</v>
      </c>
    </row>
    <row r="7" spans="1:13" ht="31.2" x14ac:dyDescent="0.3">
      <c r="A7" s="21">
        <v>7</v>
      </c>
      <c r="B7" s="3" t="str">
        <f>Compras!A7</f>
        <v>Q posket - Figuras de acción de maléfica para niños, villanas</v>
      </c>
      <c r="C7" s="3" t="s">
        <v>141</v>
      </c>
      <c r="D7" s="3" t="s">
        <v>197</v>
      </c>
      <c r="E7" s="14">
        <f>Compras!C7</f>
        <v>508.42</v>
      </c>
      <c r="F7" s="6">
        <f>Compras!D7</f>
        <v>0.84223673340938587</v>
      </c>
      <c r="G7" s="4">
        <f>Compras!B7</f>
        <v>2</v>
      </c>
      <c r="H7" s="14">
        <f>Compras!Q7</f>
        <v>80.214999999999989</v>
      </c>
      <c r="I7" s="4">
        <f>Compras!P7</f>
        <v>3</v>
      </c>
      <c r="J7" s="22" t="s">
        <v>168</v>
      </c>
      <c r="K7" s="15">
        <f t="shared" si="0"/>
        <v>102.24010416666667</v>
      </c>
      <c r="L7" s="16">
        <f t="shared" si="1"/>
        <v>80.331510416666674</v>
      </c>
      <c r="M7" s="17">
        <f t="shared" si="2"/>
        <v>58.422916666666666</v>
      </c>
    </row>
    <row r="8" spans="1:13" ht="31.2" x14ac:dyDescent="0.3">
      <c r="A8" s="21">
        <v>8</v>
      </c>
      <c r="B8" s="3" t="str">
        <f>Compras!A8</f>
        <v>Disney - Figuras de acción de la princesa Blancanieves, Ariel, Bella, Rapunzel, sirena</v>
      </c>
      <c r="C8" s="3" t="s">
        <v>141</v>
      </c>
      <c r="D8" s="3" t="s">
        <v>197</v>
      </c>
      <c r="E8" s="14">
        <f>Compras!C8</f>
        <v>270</v>
      </c>
      <c r="F8" s="6">
        <f>Compras!D8</f>
        <v>0.62451851851851847</v>
      </c>
      <c r="G8" s="4">
        <f>Compras!B8</f>
        <v>2</v>
      </c>
      <c r="H8" s="14">
        <f>Compras!Q8</f>
        <v>101.38499999999999</v>
      </c>
      <c r="I8" s="4">
        <f>Compras!P8</f>
        <v>8</v>
      </c>
      <c r="J8" s="23" t="s">
        <v>168</v>
      </c>
      <c r="K8" s="15">
        <f t="shared" si="0"/>
        <v>71.472460937500003</v>
      </c>
      <c r="L8" s="16">
        <f t="shared" si="1"/>
        <v>56.156933593749997</v>
      </c>
      <c r="M8" s="17">
        <f t="shared" si="2"/>
        <v>40.841406249999999</v>
      </c>
    </row>
    <row r="9" spans="1:13" ht="31.2" x14ac:dyDescent="0.3">
      <c r="A9" s="21">
        <v>9</v>
      </c>
      <c r="B9" s="3" t="str">
        <f>Compras!A9</f>
        <v>Disney Princess Series Gem Flower Carriage caja ciega coleccionable - Bella</v>
      </c>
      <c r="C9" s="3" t="s">
        <v>141</v>
      </c>
      <c r="D9" s="3" t="s">
        <v>152</v>
      </c>
      <c r="E9" s="14">
        <f>Compras!C9</f>
        <v>350</v>
      </c>
      <c r="F9" s="6">
        <f>Compras!D9</f>
        <v>0.59882857142857138</v>
      </c>
      <c r="G9" s="4">
        <f>Compras!B9</f>
        <v>1</v>
      </c>
      <c r="H9" s="14">
        <f>Compras!Q9</f>
        <v>140.41999999999999</v>
      </c>
      <c r="I9" s="4">
        <f>Compras!P9</f>
        <v>1</v>
      </c>
      <c r="J9" s="23" t="s">
        <v>168</v>
      </c>
      <c r="K9" s="15">
        <f t="shared" si="0"/>
        <v>300.78749999999997</v>
      </c>
      <c r="L9" s="16">
        <f t="shared" si="1"/>
        <v>250.65624999999997</v>
      </c>
      <c r="M9" s="17">
        <f t="shared" si="2"/>
        <v>200.52499999999998</v>
      </c>
    </row>
    <row r="10" spans="1:13" ht="46.8" x14ac:dyDescent="0.3">
      <c r="A10" s="21">
        <v>10</v>
      </c>
      <c r="B10" s="3" t="str">
        <f>Compras!A10</f>
        <v>Bolsas de felpa Kawaii Sanrio Cinnamoroll Melody Kuromi Hello Kitty,con peluche transparente</v>
      </c>
      <c r="C10" s="3" t="s">
        <v>142</v>
      </c>
      <c r="D10" s="3" t="s">
        <v>161</v>
      </c>
      <c r="E10" s="14">
        <f>Compras!C10</f>
        <v>335.88</v>
      </c>
      <c r="F10" s="6">
        <f>Compras!D10</f>
        <v>0.74886179587948076</v>
      </c>
      <c r="G10" s="4">
        <f>Compras!B10</f>
        <v>1</v>
      </c>
      <c r="H10" s="14">
        <f>Compras!Q10</f>
        <v>83.250149999999991</v>
      </c>
      <c r="I10" s="4">
        <f>Compras!P10</f>
        <v>1</v>
      </c>
      <c r="J10" s="22" t="s">
        <v>168</v>
      </c>
      <c r="K10" s="15">
        <f t="shared" si="0"/>
        <v>225.85970312499995</v>
      </c>
      <c r="L10" s="16">
        <f t="shared" si="1"/>
        <v>177.46119531249997</v>
      </c>
      <c r="M10" s="17">
        <f t="shared" si="2"/>
        <v>129.06268749999998</v>
      </c>
    </row>
    <row r="11" spans="1:13" ht="31.2" x14ac:dyDescent="0.3">
      <c r="A11" s="21">
        <v>11</v>
      </c>
      <c r="B11" s="3" t="str">
        <f>Compras!A11</f>
        <v>Sanrio Kuromi Melody muñeco de peluche lavado de cara maquillaje, diadema Kuromi</v>
      </c>
      <c r="C11" s="3" t="s">
        <v>142</v>
      </c>
      <c r="D11" s="3" t="s">
        <v>160</v>
      </c>
      <c r="E11" s="14">
        <f>Compras!C11</f>
        <v>122.39</v>
      </c>
      <c r="F11" s="6">
        <f>Compras!D11</f>
        <v>0.76513767464662152</v>
      </c>
      <c r="G11" s="4">
        <f>Compras!B11</f>
        <v>1</v>
      </c>
      <c r="H11" s="14">
        <f>Compras!Q11</f>
        <v>27.64265</v>
      </c>
      <c r="I11" s="4">
        <f>Compras!P11</f>
        <v>1</v>
      </c>
      <c r="J11" s="22" t="s">
        <v>168</v>
      </c>
      <c r="K11" s="15">
        <f t="shared" si="0"/>
        <v>116.31195625000001</v>
      </c>
      <c r="L11" s="16">
        <f t="shared" si="1"/>
        <v>91.387965625000007</v>
      </c>
      <c r="M11" s="17">
        <f t="shared" si="2"/>
        <v>66.463975000000005</v>
      </c>
    </row>
    <row r="12" spans="1:13" ht="31.2" x14ac:dyDescent="0.3">
      <c r="A12" s="21">
        <v>12</v>
      </c>
      <c r="B12" s="3" t="str">
        <f>Compras!A12</f>
        <v>Sanrio-máquina de juego de burbujas de empuje rápido para niños, Hello Kitty, Kuromi Pop</v>
      </c>
      <c r="C12" s="3" t="s">
        <v>142</v>
      </c>
      <c r="D12" s="3" t="s">
        <v>187</v>
      </c>
      <c r="E12" s="14">
        <f>Compras!C12</f>
        <v>286.62</v>
      </c>
      <c r="F12" s="6">
        <f>Compras!D12</f>
        <v>0.7086846695973763</v>
      </c>
      <c r="G12" s="4">
        <f>Compras!B12</f>
        <v>2</v>
      </c>
      <c r="H12" s="14">
        <f>Compras!Q12</f>
        <v>81.79079999999999</v>
      </c>
      <c r="I12" s="4">
        <f>Compras!P12</f>
        <v>1</v>
      </c>
      <c r="J12" s="22" t="s">
        <v>168</v>
      </c>
      <c r="K12" s="15">
        <f t="shared" si="0"/>
        <v>222.66737499999999</v>
      </c>
      <c r="L12" s="16">
        <f t="shared" si="1"/>
        <v>174.95293749999999</v>
      </c>
      <c r="M12" s="17">
        <f t="shared" si="2"/>
        <v>127.23849999999999</v>
      </c>
    </row>
    <row r="13" spans="1:13" ht="31.2" x14ac:dyDescent="0.3">
      <c r="A13" s="21">
        <v>13</v>
      </c>
      <c r="B13" s="3" t="str">
        <f>Compras!A13</f>
        <v>Cartera corta multifuncional, billetera pequeña delgada de diseño de marca, One Piece</v>
      </c>
      <c r="C13" s="3" t="s">
        <v>148</v>
      </c>
      <c r="D13" s="3" t="s">
        <v>239</v>
      </c>
      <c r="E13" s="14">
        <f>Compras!C13</f>
        <v>150</v>
      </c>
      <c r="F13" s="6">
        <f>Compras!D13</f>
        <v>0.6395493333333333</v>
      </c>
      <c r="G13" s="4">
        <f>Compras!B13</f>
        <v>2</v>
      </c>
      <c r="H13" s="14">
        <f>Compras!Q13</f>
        <v>53.003225</v>
      </c>
      <c r="I13" s="4">
        <f>Compras!P13</f>
        <v>1</v>
      </c>
      <c r="J13" s="23" t="s">
        <v>168</v>
      </c>
      <c r="K13" s="15">
        <f t="shared" si="0"/>
        <v>156.75725625000001</v>
      </c>
      <c r="L13" s="16">
        <f t="shared" si="1"/>
        <v>130.63104687500001</v>
      </c>
      <c r="M13" s="17">
        <f t="shared" si="2"/>
        <v>104.50483750000001</v>
      </c>
    </row>
    <row r="14" spans="1:13" ht="31.2" x14ac:dyDescent="0.3">
      <c r="A14" s="21">
        <v>14</v>
      </c>
      <c r="B14" s="3" t="str">
        <f>Compras!A14</f>
        <v>Cartera corta multifuncional, billetera pequeña delgada de diseño de marca, One Piece</v>
      </c>
      <c r="C14" s="3" t="s">
        <v>148</v>
      </c>
      <c r="D14" s="3" t="s">
        <v>239</v>
      </c>
      <c r="E14" s="14">
        <f>Compras!C14</f>
        <v>150</v>
      </c>
      <c r="F14" s="6">
        <f>Compras!D14</f>
        <v>0.63726800000000006</v>
      </c>
      <c r="G14" s="4">
        <f>Compras!B14</f>
        <v>2</v>
      </c>
      <c r="H14" s="14">
        <f>Compras!Q14</f>
        <v>53.345425000000006</v>
      </c>
      <c r="I14" s="4">
        <f>Compras!P14</f>
        <v>1</v>
      </c>
      <c r="J14" s="23" t="s">
        <v>168</v>
      </c>
      <c r="K14" s="15">
        <f t="shared" si="0"/>
        <v>157.52720625000001</v>
      </c>
      <c r="L14" s="16">
        <f t="shared" si="1"/>
        <v>131.27267187500001</v>
      </c>
      <c r="M14" s="17">
        <f t="shared" si="2"/>
        <v>105.01813750000001</v>
      </c>
    </row>
    <row r="15" spans="1:13" ht="31.2" x14ac:dyDescent="0.3">
      <c r="A15" s="21">
        <v>15</v>
      </c>
      <c r="B15" s="3" t="str">
        <f>Compras!A15</f>
        <v>Sanrio Sakura Melody Kuromi Cinnamoroll HelloKitty</v>
      </c>
      <c r="C15" s="3" t="s">
        <v>142</v>
      </c>
      <c r="D15" s="12" t="s">
        <v>140</v>
      </c>
      <c r="E15" s="14">
        <f>Compras!C15</f>
        <v>283.95999999999998</v>
      </c>
      <c r="F15" s="6">
        <f>Compras!D15</f>
        <v>0.664318918157487</v>
      </c>
      <c r="G15" s="4">
        <f>Compras!B15</f>
        <v>1</v>
      </c>
      <c r="H15" s="14">
        <f>Compras!Q15</f>
        <v>93.424999999999997</v>
      </c>
      <c r="I15" s="4">
        <f>Compras!P15</f>
        <v>1</v>
      </c>
      <c r="J15" s="22" t="s">
        <v>168</v>
      </c>
      <c r="K15" s="15">
        <f t="shared" si="0"/>
        <v>248.1171875</v>
      </c>
      <c r="L15" s="16">
        <f t="shared" si="1"/>
        <v>194.94921875</v>
      </c>
      <c r="M15" s="17">
        <f t="shared" si="2"/>
        <v>141.78125</v>
      </c>
    </row>
    <row r="16" spans="1:13" ht="31.2" x14ac:dyDescent="0.3">
      <c r="A16" s="21">
        <v>16</v>
      </c>
      <c r="B16" s="3" t="str">
        <f>Compras!A16</f>
        <v>Sanrio Sakura Melody Kuromi Cinnamoroll HelloKitty</v>
      </c>
      <c r="C16" s="3" t="s">
        <v>142</v>
      </c>
      <c r="D16" s="12" t="s">
        <v>140</v>
      </c>
      <c r="E16" s="14">
        <f>Compras!C16</f>
        <v>284.64</v>
      </c>
      <c r="F16" s="6">
        <f>Compras!D16</f>
        <v>0.66396149522203474</v>
      </c>
      <c r="G16" s="4">
        <f>Compras!B16</f>
        <v>1</v>
      </c>
      <c r="H16" s="14">
        <f>Compras!Q16</f>
        <v>93.75500000000001</v>
      </c>
      <c r="I16" s="4">
        <f>Compras!P16</f>
        <v>1</v>
      </c>
      <c r="J16" s="22" t="s">
        <v>168</v>
      </c>
      <c r="K16" s="15">
        <f t="shared" si="0"/>
        <v>248.83906250000004</v>
      </c>
      <c r="L16" s="16">
        <f t="shared" si="1"/>
        <v>195.51640625000005</v>
      </c>
      <c r="M16" s="17">
        <f t="shared" si="2"/>
        <v>142.19375000000002</v>
      </c>
    </row>
    <row r="17" spans="1:13" ht="31.2" x14ac:dyDescent="0.3">
      <c r="A17" s="21">
        <v>17</v>
      </c>
      <c r="B17" s="3" t="str">
        <f>Compras!A17</f>
        <v>Sanrio-juguetes de peluche de Hello Kitty - Corazon rojo</v>
      </c>
      <c r="C17" s="3" t="s">
        <v>142</v>
      </c>
      <c r="D17" s="12" t="s">
        <v>140</v>
      </c>
      <c r="E17" s="14">
        <f>Compras!C17</f>
        <v>293.51</v>
      </c>
      <c r="F17" s="6">
        <f>Compras!D17</f>
        <v>0.66379339715852947</v>
      </c>
      <c r="G17" s="4">
        <f>Compras!B17</f>
        <v>1</v>
      </c>
      <c r="H17" s="14">
        <f>Compras!Q17</f>
        <v>96.093333333333348</v>
      </c>
      <c r="I17" s="4">
        <f>Compras!P17</f>
        <v>1</v>
      </c>
      <c r="J17" s="23" t="s">
        <v>168</v>
      </c>
      <c r="K17" s="15">
        <f t="shared" si="0"/>
        <v>253.95416666666668</v>
      </c>
      <c r="L17" s="16">
        <f t="shared" si="1"/>
        <v>199.53541666666666</v>
      </c>
      <c r="M17" s="17">
        <f t="shared" si="2"/>
        <v>145.11666666666667</v>
      </c>
    </row>
    <row r="18" spans="1:13" ht="31.2" x14ac:dyDescent="0.3">
      <c r="A18" s="21">
        <v>18</v>
      </c>
      <c r="B18" s="3" t="str">
        <f>Compras!A18</f>
        <v>Sanrio-juguetes de peluche de Hello Kitty - Kuromy osito morado</v>
      </c>
      <c r="C18" s="3" t="s">
        <v>142</v>
      </c>
      <c r="D18" s="12" t="s">
        <v>140</v>
      </c>
      <c r="E18" s="14">
        <f>Compras!C18</f>
        <v>453.34</v>
      </c>
      <c r="F18" s="6">
        <f>Compras!D18</f>
        <v>0.65789473684210531</v>
      </c>
      <c r="G18" s="4">
        <f>Compras!B18</f>
        <v>1</v>
      </c>
      <c r="H18" s="14">
        <f>Compras!Q18</f>
        <v>152.50333333333333</v>
      </c>
      <c r="I18" s="4">
        <f>Compras!P18</f>
        <v>1</v>
      </c>
      <c r="J18" s="23" t="s">
        <v>168</v>
      </c>
      <c r="K18" s="15">
        <f t="shared" si="0"/>
        <v>323.44375000000002</v>
      </c>
      <c r="L18" s="16">
        <f t="shared" si="1"/>
        <v>269.53645833333337</v>
      </c>
      <c r="M18" s="17">
        <f t="shared" si="2"/>
        <v>215.62916666666666</v>
      </c>
    </row>
    <row r="19" spans="1:13" ht="31.2" x14ac:dyDescent="0.3">
      <c r="A19" s="21">
        <v>19</v>
      </c>
      <c r="B19" s="3" t="str">
        <f>Compras!A19</f>
        <v>Sanrio Peluche de Hello Kitty Helado, peluche de Bob Esponja</v>
      </c>
      <c r="C19" s="3" t="s">
        <v>142</v>
      </c>
      <c r="D19" s="12" t="s">
        <v>140</v>
      </c>
      <c r="E19" s="14">
        <f>Compras!C19</f>
        <v>396.85</v>
      </c>
      <c r="F19" s="6">
        <f>Compras!D19</f>
        <v>0.65757843013733153</v>
      </c>
      <c r="G19" s="4">
        <f>Compras!B19</f>
        <v>1</v>
      </c>
      <c r="H19" s="14">
        <f>Compras!Q19</f>
        <v>133.30333333333331</v>
      </c>
      <c r="I19" s="4">
        <f>Compras!P19</f>
        <v>1</v>
      </c>
      <c r="J19" s="23" t="s">
        <v>168</v>
      </c>
      <c r="K19" s="15">
        <f t="shared" si="0"/>
        <v>287.44374999999997</v>
      </c>
      <c r="L19" s="16">
        <f t="shared" si="1"/>
        <v>239.53645833333331</v>
      </c>
      <c r="M19" s="17">
        <f t="shared" si="2"/>
        <v>191.62916666666663</v>
      </c>
    </row>
    <row r="20" spans="1:13" ht="31.2" x14ac:dyDescent="0.3">
      <c r="A20" s="21">
        <v>20</v>
      </c>
      <c r="B20" s="3" t="str">
        <f>Compras!A20</f>
        <v>Peluche de 25cm con diseño de perro de Jade Sanrio Kuromi, HK</v>
      </c>
      <c r="C20" s="3" t="s">
        <v>142</v>
      </c>
      <c r="D20" s="12" t="s">
        <v>140</v>
      </c>
      <c r="E20" s="14">
        <f>Compras!C20</f>
        <v>111.43</v>
      </c>
      <c r="F20" s="6">
        <f>Compras!D20</f>
        <v>0.50246791707798621</v>
      </c>
      <c r="G20" s="4">
        <f>Compras!B20</f>
        <v>1</v>
      </c>
      <c r="H20" s="14">
        <f>Compras!Q20</f>
        <v>54.244999999999997</v>
      </c>
      <c r="I20" s="4">
        <f>Compras!P20</f>
        <v>1</v>
      </c>
      <c r="J20" s="22" t="s">
        <v>168</v>
      </c>
      <c r="K20" s="15">
        <f t="shared" si="0"/>
        <v>159.55124999999998</v>
      </c>
      <c r="L20" s="16">
        <f t="shared" si="1"/>
        <v>132.95937499999999</v>
      </c>
      <c r="M20" s="17">
        <f t="shared" si="2"/>
        <v>106.36749999999999</v>
      </c>
    </row>
    <row r="21" spans="1:13" ht="31.2" x14ac:dyDescent="0.3">
      <c r="A21" s="21">
        <v>21</v>
      </c>
      <c r="B21" s="3" t="str">
        <f>Compras!A21</f>
        <v>Peluche de 25cm con diseño de perro de Jade Sanrio Kuromi, Osito</v>
      </c>
      <c r="C21" s="3" t="s">
        <v>142</v>
      </c>
      <c r="D21" s="12" t="s">
        <v>140</v>
      </c>
      <c r="E21" s="14">
        <f>Compras!C21</f>
        <v>126.77</v>
      </c>
      <c r="F21" s="6">
        <f>Compras!D21</f>
        <v>0.49538534353553682</v>
      </c>
      <c r="G21" s="4">
        <f>Compras!B21</f>
        <v>1</v>
      </c>
      <c r="H21" s="14">
        <f>Compras!Q21</f>
        <v>62.774999999999999</v>
      </c>
      <c r="I21" s="4">
        <f>Compras!P21</f>
        <v>1</v>
      </c>
      <c r="J21" s="22" t="s">
        <v>168</v>
      </c>
      <c r="K21" s="15">
        <f t="shared" si="0"/>
        <v>178.74374999999998</v>
      </c>
      <c r="L21" s="16">
        <f t="shared" si="1"/>
        <v>148.953125</v>
      </c>
      <c r="M21" s="17">
        <f t="shared" si="2"/>
        <v>119.16249999999999</v>
      </c>
    </row>
    <row r="22" spans="1:13" ht="31.2" x14ac:dyDescent="0.3">
      <c r="A22" s="21">
        <v>22</v>
      </c>
      <c r="B22" s="3" t="str">
        <f>Compras!A22</f>
        <v>Disney-llavero de peluche de la Universidad de monstruos, Mike</v>
      </c>
      <c r="C22" s="3" t="s">
        <v>141</v>
      </c>
      <c r="D22" s="12" t="s">
        <v>257</v>
      </c>
      <c r="E22" s="14">
        <f>Compras!C22</f>
        <v>78.19</v>
      </c>
      <c r="F22" s="6">
        <f>Compras!D22</f>
        <v>0.47013684614400825</v>
      </c>
      <c r="G22" s="4">
        <f>Compras!B22</f>
        <v>1</v>
      </c>
      <c r="H22" s="14">
        <f>Compras!Q22</f>
        <v>40.575000000000003</v>
      </c>
      <c r="I22" s="4">
        <f>Compras!P22</f>
        <v>1</v>
      </c>
      <c r="J22" s="22" t="s">
        <v>168</v>
      </c>
      <c r="K22" s="15">
        <f t="shared" si="0"/>
        <v>144.00937500000001</v>
      </c>
      <c r="L22" s="16">
        <f t="shared" si="1"/>
        <v>120.0078125</v>
      </c>
      <c r="M22" s="17">
        <f t="shared" si="2"/>
        <v>96.006250000000009</v>
      </c>
    </row>
    <row r="23" spans="1:13" ht="31.2" x14ac:dyDescent="0.3">
      <c r="A23" s="21">
        <v>23</v>
      </c>
      <c r="B23" s="3" t="str">
        <f>Compras!A23</f>
        <v>Disney-llavero de peluche de la Universidad de monstruos, Sullivan</v>
      </c>
      <c r="C23" s="3" t="s">
        <v>141</v>
      </c>
      <c r="D23" s="12" t="s">
        <v>257</v>
      </c>
      <c r="E23" s="14">
        <f>Compras!C23</f>
        <v>83.43</v>
      </c>
      <c r="F23" s="6">
        <f>Compras!D23</f>
        <v>0.46733788804986226</v>
      </c>
      <c r="G23" s="4">
        <f>Compras!B23</f>
        <v>1</v>
      </c>
      <c r="H23" s="14">
        <f>Compras!Q23</f>
        <v>43.585000000000001</v>
      </c>
      <c r="I23" s="4">
        <f>Compras!P23</f>
        <v>1</v>
      </c>
      <c r="J23" s="22" t="s">
        <v>168</v>
      </c>
      <c r="K23" s="15">
        <f t="shared" si="0"/>
        <v>151.91062500000001</v>
      </c>
      <c r="L23" s="16">
        <f t="shared" si="1"/>
        <v>126.59218750000001</v>
      </c>
      <c r="M23" s="17">
        <f t="shared" si="2"/>
        <v>101.27375000000001</v>
      </c>
    </row>
    <row r="24" spans="1:13" ht="31.2" x14ac:dyDescent="0.3">
      <c r="A24" s="21">
        <v>24</v>
      </c>
      <c r="B24" s="3" t="str">
        <f>Compras!A24</f>
        <v>Sanrio Kuromi Melody Love Series - Kuromi corazon morado</v>
      </c>
      <c r="C24" s="3" t="s">
        <v>142</v>
      </c>
      <c r="D24" s="12" t="s">
        <v>140</v>
      </c>
      <c r="E24" s="14">
        <f>Compras!C24</f>
        <v>397.32</v>
      </c>
      <c r="F24" s="6">
        <f>Compras!D24</f>
        <v>0.67826940501359101</v>
      </c>
      <c r="G24" s="4">
        <f>Compras!B24</f>
        <v>1</v>
      </c>
      <c r="H24" s="14">
        <f>Compras!Q24</f>
        <v>125.28</v>
      </c>
      <c r="I24" s="4">
        <f>Compras!P24</f>
        <v>1</v>
      </c>
      <c r="J24" s="22" t="s">
        <v>168</v>
      </c>
      <c r="K24" s="15">
        <f t="shared" si="0"/>
        <v>272.39999999999998</v>
      </c>
      <c r="L24" s="16">
        <f t="shared" si="1"/>
        <v>227</v>
      </c>
      <c r="M24" s="17">
        <f t="shared" si="2"/>
        <v>181.6</v>
      </c>
    </row>
    <row r="25" spans="1:13" ht="31.2" x14ac:dyDescent="0.3">
      <c r="A25" s="21">
        <v>25</v>
      </c>
      <c r="B25" s="3" t="str">
        <f>Compras!A25</f>
        <v>Disney Stitch-muñeco de peluche de Lilo &amp; Stitch Original</v>
      </c>
      <c r="C25" s="3" t="s">
        <v>141</v>
      </c>
      <c r="D25" s="12" t="s">
        <v>140</v>
      </c>
      <c r="E25" s="14">
        <f>Compras!C25</f>
        <v>787.01</v>
      </c>
      <c r="F25" s="6">
        <f>Compras!D25</f>
        <v>0.7475508570412065</v>
      </c>
      <c r="G25" s="4">
        <f>Compras!B25</f>
        <v>1</v>
      </c>
      <c r="H25" s="14">
        <f>Compras!Q25</f>
        <v>198.68</v>
      </c>
      <c r="I25" s="4">
        <f>Compras!P25</f>
        <v>1</v>
      </c>
      <c r="J25" s="22" t="s">
        <v>168</v>
      </c>
      <c r="K25" s="15">
        <f t="shared" si="0"/>
        <v>410.02500000000003</v>
      </c>
      <c r="L25" s="16">
        <f t="shared" si="1"/>
        <v>341.6875</v>
      </c>
      <c r="M25" s="17">
        <f t="shared" si="2"/>
        <v>273.35000000000002</v>
      </c>
    </row>
    <row r="26" spans="1:13" x14ac:dyDescent="0.3">
      <c r="A26" s="21">
        <v>26</v>
      </c>
      <c r="B26" s="3" t="str">
        <f>Compras!A26</f>
        <v>Peluche cerdo globo corazon, 20-30cm</v>
      </c>
      <c r="C26" s="3" t="s">
        <v>139</v>
      </c>
      <c r="D26" s="12" t="s">
        <v>140</v>
      </c>
      <c r="E26" s="14">
        <f>Compras!C26</f>
        <v>183.78</v>
      </c>
      <c r="F26" s="6">
        <f>Compras!D26</f>
        <v>0.5681793448688649</v>
      </c>
      <c r="G26" s="4">
        <f>Compras!B26</f>
        <v>1</v>
      </c>
      <c r="H26" s="14">
        <f>Compras!Q26</f>
        <v>77.789999999999992</v>
      </c>
      <c r="I26" s="4">
        <f>Compras!P26</f>
        <v>1</v>
      </c>
      <c r="J26" s="22" t="s">
        <v>168</v>
      </c>
      <c r="K26" s="15">
        <f t="shared" si="0"/>
        <v>213.91562499999998</v>
      </c>
      <c r="L26" s="16">
        <f t="shared" si="1"/>
        <v>168.07656249999997</v>
      </c>
      <c r="M26" s="17">
        <f t="shared" si="2"/>
        <v>122.23749999999998</v>
      </c>
    </row>
    <row r="27" spans="1:13" ht="31.2" x14ac:dyDescent="0.3">
      <c r="A27" s="21">
        <v>27</v>
      </c>
      <c r="B27" s="3" t="str">
        <f>Compras!A27</f>
        <v>Sanrio - peluche de Hello Kitty, Kawaii Kuromi Melody Cinnamoroll, fresita</v>
      </c>
      <c r="C27" s="3" t="s">
        <v>142</v>
      </c>
      <c r="D27" s="12" t="s">
        <v>140</v>
      </c>
      <c r="E27" s="14">
        <f>Compras!C27</f>
        <v>92.66</v>
      </c>
      <c r="F27" s="6">
        <f>Compras!D27</f>
        <v>0.2428232246924239</v>
      </c>
      <c r="G27" s="4">
        <f>Compras!B27</f>
        <v>1</v>
      </c>
      <c r="H27" s="14">
        <f>Compras!Q27</f>
        <v>68.67</v>
      </c>
      <c r="I27" s="4">
        <f>Compras!P27</f>
        <v>1</v>
      </c>
      <c r="J27" s="22" t="s">
        <v>168</v>
      </c>
      <c r="K27" s="15">
        <f t="shared" si="0"/>
        <v>217.75875000000002</v>
      </c>
      <c r="L27" s="16">
        <f t="shared" si="1"/>
        <v>181.46562500000002</v>
      </c>
      <c r="M27" s="17">
        <f t="shared" si="2"/>
        <v>145.17250000000001</v>
      </c>
    </row>
    <row r="28" spans="1:13" ht="31.2" x14ac:dyDescent="0.3">
      <c r="A28" s="21">
        <v>28</v>
      </c>
      <c r="B28" s="3" t="str">
        <f>Compras!A28</f>
        <v>Sanrio - peluche de Hello Kitty, Kawaii Kuromi Melody, corazon</v>
      </c>
      <c r="C28" s="3" t="s">
        <v>142</v>
      </c>
      <c r="D28" s="12" t="s">
        <v>140</v>
      </c>
      <c r="E28" s="14">
        <f>Compras!C28</f>
        <v>92.05</v>
      </c>
      <c r="F28" s="6">
        <f>Compras!D28</f>
        <v>0.18066268332428023</v>
      </c>
      <c r="G28" s="4">
        <f>Compras!B28</f>
        <v>2</v>
      </c>
      <c r="H28" s="14">
        <f>Compras!Q28</f>
        <v>73.930000000000007</v>
      </c>
      <c r="I28" s="4">
        <f>Compras!P28</f>
        <v>1</v>
      </c>
      <c r="J28" s="22" t="s">
        <v>168</v>
      </c>
      <c r="K28" s="15">
        <f t="shared" si="0"/>
        <v>192.97187500000001</v>
      </c>
      <c r="L28" s="16">
        <f t="shared" si="1"/>
        <v>173.6746875</v>
      </c>
      <c r="M28" s="17">
        <f t="shared" si="2"/>
        <v>154.3775</v>
      </c>
    </row>
    <row r="29" spans="1:13" ht="31.2" x14ac:dyDescent="0.3">
      <c r="A29" s="21">
        <v>29</v>
      </c>
      <c r="B29" s="3" t="str">
        <f>Compras!A29</f>
        <v>Sanrio - peluche de Hello Kitty, Kawaii Kuromi Melody Cinnamoroll corazon</v>
      </c>
      <c r="C29" s="3" t="s">
        <v>142</v>
      </c>
      <c r="D29" s="12" t="s">
        <v>140</v>
      </c>
      <c r="E29" s="14">
        <f>Compras!C29</f>
        <v>94.72</v>
      </c>
      <c r="F29" s="6">
        <f>Compras!D29</f>
        <v>0.20375844594594594</v>
      </c>
      <c r="G29" s="4">
        <f>Compras!B29</f>
        <v>1</v>
      </c>
      <c r="H29" s="14">
        <f>Compras!Q29</f>
        <v>73.930000000000007</v>
      </c>
      <c r="I29" s="4">
        <f>Compras!P29</f>
        <v>1</v>
      </c>
      <c r="J29" s="22" t="s">
        <v>168</v>
      </c>
      <c r="K29" s="15">
        <f t="shared" si="0"/>
        <v>192.97187500000001</v>
      </c>
      <c r="L29" s="16">
        <f t="shared" si="1"/>
        <v>173.6746875</v>
      </c>
      <c r="M29" s="17">
        <f t="shared" si="2"/>
        <v>154.3775</v>
      </c>
    </row>
    <row r="30" spans="1:13" ht="31.2" x14ac:dyDescent="0.3">
      <c r="A30" s="21">
        <v>30</v>
      </c>
      <c r="B30" s="3" t="str">
        <f>Compras!A30</f>
        <v>Peluches de pingüino Kawaii de 25cm, pingüino encantador, flores</v>
      </c>
      <c r="C30" s="3" t="s">
        <v>139</v>
      </c>
      <c r="D30" s="12" t="s">
        <v>140</v>
      </c>
      <c r="E30" s="14">
        <f>Compras!C30</f>
        <v>218.49</v>
      </c>
      <c r="F30" s="6">
        <f>Compras!D30</f>
        <v>0.57458007231452235</v>
      </c>
      <c r="G30" s="4">
        <f>Compras!B30</f>
        <v>1</v>
      </c>
      <c r="H30" s="14">
        <f>Compras!Q30</f>
        <v>91.100000000000009</v>
      </c>
      <c r="I30" s="4">
        <f>Compras!P30</f>
        <v>1</v>
      </c>
      <c r="J30" s="22" t="s">
        <v>168</v>
      </c>
      <c r="K30" s="15">
        <f t="shared" si="0"/>
        <v>243.03125</v>
      </c>
      <c r="L30" s="16">
        <f t="shared" si="1"/>
        <v>190.953125</v>
      </c>
      <c r="M30" s="17">
        <f t="shared" si="2"/>
        <v>138.875</v>
      </c>
    </row>
    <row r="31" spans="1:13" ht="31.2" x14ac:dyDescent="0.3">
      <c r="A31" s="21">
        <v>31</v>
      </c>
      <c r="B31" s="3" t="str">
        <f>Compras!A31</f>
        <v>Sanrio-muñeco de Hello Kitty Plus de 25Cm, abrazando el corazón</v>
      </c>
      <c r="C31" s="3" t="s">
        <v>142</v>
      </c>
      <c r="D31" s="12" t="s">
        <v>140</v>
      </c>
      <c r="E31" s="14">
        <f>Compras!C31</f>
        <v>108.04</v>
      </c>
      <c r="F31" s="6">
        <f>Compras!D31</f>
        <v>0.27591632728619031</v>
      </c>
      <c r="G31" s="4">
        <f>Compras!B31</f>
        <v>1</v>
      </c>
      <c r="H31" s="14">
        <f>Compras!Q31</f>
        <v>78.31</v>
      </c>
      <c r="I31" s="4">
        <f>Compras!P31</f>
        <v>1</v>
      </c>
      <c r="J31" s="22" t="s">
        <v>168</v>
      </c>
      <c r="K31" s="15">
        <f t="shared" si="0"/>
        <v>202.55312500000002</v>
      </c>
      <c r="L31" s="16">
        <f t="shared" si="1"/>
        <v>182.29781250000002</v>
      </c>
      <c r="M31" s="17">
        <f t="shared" si="2"/>
        <v>162.04250000000002</v>
      </c>
    </row>
    <row r="32" spans="1:13" ht="31.2" x14ac:dyDescent="0.3">
      <c r="A32" s="21">
        <v>32</v>
      </c>
      <c r="B32" s="3" t="str">
        <f>Compras!A33</f>
        <v>Sanrio - Sanriod Kawaii Kuromi Mymelody Cinnamorol, muñeco de peluche suave, HK, 25cm</v>
      </c>
      <c r="C32" s="3" t="s">
        <v>142</v>
      </c>
      <c r="D32" s="12" t="s">
        <v>140</v>
      </c>
      <c r="E32" s="14">
        <f>Compras!C33</f>
        <v>137.78</v>
      </c>
      <c r="F32" s="6">
        <f>Compras!D33</f>
        <v>0.61467556974887505</v>
      </c>
      <c r="G32" s="4">
        <f>Compras!B33</f>
        <v>1</v>
      </c>
      <c r="H32" s="14">
        <f>Compras!Q33</f>
        <v>51.935000000000009</v>
      </c>
      <c r="I32" s="4">
        <f>Compras!P33</f>
        <v>1</v>
      </c>
      <c r="J32" s="22" t="s">
        <v>168</v>
      </c>
      <c r="K32" s="15">
        <f t="shared" si="0"/>
        <v>154.35375000000002</v>
      </c>
      <c r="L32" s="16">
        <f t="shared" si="1"/>
        <v>128.62812500000001</v>
      </c>
      <c r="M32" s="17">
        <f t="shared" si="2"/>
        <v>102.90250000000002</v>
      </c>
    </row>
    <row r="33" spans="1:13" ht="31.2" x14ac:dyDescent="0.3">
      <c r="A33" s="21">
        <v>33</v>
      </c>
      <c r="B33" s="3" t="str">
        <f>Compras!A33</f>
        <v>Sanrio - Sanriod Kawaii Kuromi Mymelody Cinnamorol, muñeco de peluche suave, HK, 25cm</v>
      </c>
      <c r="C33" s="3" t="s">
        <v>142</v>
      </c>
      <c r="D33" s="12" t="s">
        <v>140</v>
      </c>
      <c r="E33" s="14">
        <f>Compras!C33</f>
        <v>137.78</v>
      </c>
      <c r="F33" s="6">
        <f>Compras!D33</f>
        <v>0.61467556974887505</v>
      </c>
      <c r="G33" s="4">
        <f>Compras!B33</f>
        <v>1</v>
      </c>
      <c r="H33" s="14">
        <f>Compras!Q33</f>
        <v>51.935000000000009</v>
      </c>
      <c r="I33" s="4">
        <f>Compras!P33</f>
        <v>1</v>
      </c>
      <c r="J33" s="22" t="s">
        <v>168</v>
      </c>
      <c r="K33" s="15">
        <f t="shared" si="0"/>
        <v>154.35375000000002</v>
      </c>
      <c r="L33" s="16">
        <f t="shared" si="1"/>
        <v>128.62812500000001</v>
      </c>
      <c r="M33" s="17">
        <f t="shared" si="2"/>
        <v>102.90250000000002</v>
      </c>
    </row>
    <row r="34" spans="1:13" ht="31.2" x14ac:dyDescent="0.3">
      <c r="A34" s="21">
        <v>34</v>
      </c>
      <c r="B34" s="3" t="str">
        <f>Compras!A34</f>
        <v>Kuromi-juguete de peluche de Lolita para niñas, vestido de princesa Ragdoll</v>
      </c>
      <c r="C34" s="3" t="s">
        <v>142</v>
      </c>
      <c r="D34" s="12" t="s">
        <v>140</v>
      </c>
      <c r="E34" s="14">
        <f>Compras!C34</f>
        <v>72.09</v>
      </c>
      <c r="F34" s="6">
        <f>Compras!D34</f>
        <v>4.6192259675405717E-2</v>
      </c>
      <c r="G34" s="4">
        <f>Compras!B34</f>
        <v>1</v>
      </c>
      <c r="H34" s="14">
        <f>Compras!Q34</f>
        <v>68.78</v>
      </c>
      <c r="I34" s="4">
        <f>Compras!P34</f>
        <v>1</v>
      </c>
      <c r="J34" s="22" t="s">
        <v>168</v>
      </c>
      <c r="K34" s="15">
        <f t="shared" ref="K34:K65" si="3">M34* (IF(M34-H34&lt;100, IF(M34-H34&gt;80, 1.25, IF(M34-H34&gt;50, 1.5, 1.75)), IF(M34-H34&gt;150, 0.95, IF(M34-H34&gt;170, 0.9, 1))))</f>
        <v>218.04750000000001</v>
      </c>
      <c r="L34" s="16">
        <f t="shared" ref="L34:L65" si="4">(K34+M34)/2</f>
        <v>181.70625000000001</v>
      </c>
      <c r="M34" s="17">
        <f t="shared" ref="M34:M65" si="5">(H34/I34) * ( IF(E34&gt;H34, IF(E34-H34&gt;100, 1.25, IF(E34-H34&gt;50, 1.5, 1.75)), IF(H34-E34&gt;100, 1.25, IF(H34-E34&gt;50, 1.5, 1.75))) ) + 25</f>
        <v>145.36500000000001</v>
      </c>
    </row>
    <row r="35" spans="1:13" ht="31.2" x14ac:dyDescent="0.3">
      <c r="A35" s="21">
        <v>35</v>
      </c>
      <c r="B35" s="3" t="str">
        <f>Compras!A35</f>
        <v>Máquina de juego de empuje de velocidad para niños - Oso</v>
      </c>
      <c r="C35" s="3" t="s">
        <v>139</v>
      </c>
      <c r="D35" s="3" t="s">
        <v>187</v>
      </c>
      <c r="E35" s="14">
        <f>Compras!C35</f>
        <v>155</v>
      </c>
      <c r="F35" s="6">
        <f>Compras!D35</f>
        <v>0.33116129032258068</v>
      </c>
      <c r="G35" s="4">
        <f>Compras!B35</f>
        <v>1</v>
      </c>
      <c r="H35" s="14">
        <f>Compras!Q35</f>
        <v>103.5</v>
      </c>
      <c r="I35" s="4">
        <f>Compras!P35</f>
        <v>1</v>
      </c>
      <c r="J35" s="22" t="s">
        <v>168</v>
      </c>
      <c r="K35" s="15">
        <f t="shared" si="3"/>
        <v>270.375</v>
      </c>
      <c r="L35" s="16">
        <f t="shared" si="4"/>
        <v>225.3125</v>
      </c>
      <c r="M35" s="17">
        <f t="shared" si="5"/>
        <v>180.25</v>
      </c>
    </row>
    <row r="36" spans="1:13" ht="31.2" x14ac:dyDescent="0.3">
      <c r="A36" s="21">
        <v>36</v>
      </c>
      <c r="B36" s="3" t="str">
        <f>Compras!A36</f>
        <v>Soporte de exhibición acrílico de 1 pieza para 6 figuras</v>
      </c>
      <c r="C36" s="3" t="s">
        <v>184</v>
      </c>
      <c r="D36" s="3" t="s">
        <v>185</v>
      </c>
      <c r="E36" s="14">
        <f>Compras!C36</f>
        <v>194.01</v>
      </c>
      <c r="F36" s="6">
        <f>Compras!D36</f>
        <v>0.68759342301943194</v>
      </c>
      <c r="G36" s="4">
        <f>Compras!B36</f>
        <v>1</v>
      </c>
      <c r="H36" s="14">
        <f>Compras!Q36</f>
        <v>60.44</v>
      </c>
      <c r="I36" s="4">
        <f>Compras!P36</f>
        <v>1</v>
      </c>
      <c r="J36" s="22" t="s">
        <v>168</v>
      </c>
      <c r="K36" s="15">
        <f t="shared" si="3"/>
        <v>175.96250000000001</v>
      </c>
      <c r="L36" s="16">
        <f t="shared" si="4"/>
        <v>138.25624999999999</v>
      </c>
      <c r="M36" s="17">
        <f t="shared" si="5"/>
        <v>100.55</v>
      </c>
    </row>
    <row r="37" spans="1:13" ht="31.2" x14ac:dyDescent="0.3">
      <c r="A37" s="21">
        <v>37</v>
      </c>
      <c r="B37" s="3" t="str">
        <f>Compras!A37</f>
        <v>Estuche de exhibición de alta gama, tipo vitrina, 3 niveles</v>
      </c>
      <c r="C37" s="3" t="s">
        <v>184</v>
      </c>
      <c r="D37" s="3" t="s">
        <v>186</v>
      </c>
      <c r="E37" s="14">
        <f>Compras!C37</f>
        <v>714.78</v>
      </c>
      <c r="F37" s="6">
        <f>Compras!D37</f>
        <v>0.31808388595092191</v>
      </c>
      <c r="G37" s="4">
        <f>Compras!B37</f>
        <v>1</v>
      </c>
      <c r="H37" s="14">
        <f>Compras!Q37</f>
        <v>487.25</v>
      </c>
      <c r="I37" s="4">
        <f>Compras!P37</f>
        <v>1</v>
      </c>
      <c r="J37" s="22" t="s">
        <v>168</v>
      </c>
      <c r="K37" s="15">
        <f t="shared" si="3"/>
        <v>634.0625</v>
      </c>
      <c r="L37" s="16">
        <f t="shared" si="4"/>
        <v>634.0625</v>
      </c>
      <c r="M37" s="17">
        <f t="shared" si="5"/>
        <v>634.0625</v>
      </c>
    </row>
    <row r="38" spans="1:13" x14ac:dyDescent="0.3">
      <c r="A38" s="21">
        <v>38</v>
      </c>
      <c r="B38" s="3" t="str">
        <f>Compras!A38</f>
        <v>Almohada de muñeca de aguacate Kawaii 30cm</v>
      </c>
      <c r="C38" s="3" t="s">
        <v>139</v>
      </c>
      <c r="D38" s="3" t="s">
        <v>140</v>
      </c>
      <c r="E38" s="14">
        <f>Compras!C38</f>
        <v>194.01</v>
      </c>
      <c r="F38" s="6">
        <f>Compras!D38</f>
        <v>0.68759342301943194</v>
      </c>
      <c r="G38" s="4">
        <f>Compras!B38</f>
        <v>2</v>
      </c>
      <c r="H38" s="14">
        <f>Compras!Q38</f>
        <v>60.524999999999999</v>
      </c>
      <c r="I38" s="4">
        <f>Compras!P38</f>
        <v>1</v>
      </c>
      <c r="J38" s="22" t="s">
        <v>168</v>
      </c>
      <c r="K38" s="15">
        <f t="shared" si="3"/>
        <v>176.1484375</v>
      </c>
      <c r="L38" s="16">
        <f t="shared" si="4"/>
        <v>138.40234375</v>
      </c>
      <c r="M38" s="17">
        <f t="shared" si="5"/>
        <v>100.65625</v>
      </c>
    </row>
    <row r="39" spans="1:13" x14ac:dyDescent="0.3">
      <c r="A39" s="21">
        <v>39</v>
      </c>
      <c r="B39" s="3" t="str">
        <f>Compras!A39</f>
        <v>Peluche de pingüino Kawaii - Flor 25cm</v>
      </c>
      <c r="C39" s="3" t="s">
        <v>139</v>
      </c>
      <c r="D39" s="3" t="s">
        <v>140</v>
      </c>
      <c r="E39" s="14">
        <f>Compras!C39</f>
        <v>174</v>
      </c>
      <c r="F39" s="6">
        <f>Compras!D39</f>
        <v>0.51620689655172414</v>
      </c>
      <c r="G39" s="4">
        <f>Compras!B39</f>
        <v>2</v>
      </c>
      <c r="H39" s="14">
        <f>Compras!Q39</f>
        <v>84.190000000000012</v>
      </c>
      <c r="I39" s="4">
        <f>Compras!P39</f>
        <v>1</v>
      </c>
      <c r="J39" s="22" t="s">
        <v>168</v>
      </c>
      <c r="K39" s="15">
        <f t="shared" si="3"/>
        <v>226.92750000000004</v>
      </c>
      <c r="L39" s="16">
        <f t="shared" si="4"/>
        <v>189.10625000000005</v>
      </c>
      <c r="M39" s="17">
        <f t="shared" si="5"/>
        <v>151.28500000000003</v>
      </c>
    </row>
    <row r="40" spans="1:13" x14ac:dyDescent="0.3">
      <c r="A40" s="21">
        <v>40</v>
      </c>
      <c r="B40" s="3" t="str">
        <f>Compras!A40</f>
        <v>Peluche de Pingüino Kawaii, Dinosaurio 25cm</v>
      </c>
      <c r="C40" s="3" t="s">
        <v>139</v>
      </c>
      <c r="D40" s="3" t="s">
        <v>140</v>
      </c>
      <c r="E40" s="14">
        <f>Compras!C40</f>
        <v>114.23</v>
      </c>
      <c r="F40" s="6">
        <f>Compras!D40</f>
        <v>0.51623916659371449</v>
      </c>
      <c r="G40" s="4">
        <f>Compras!B40</f>
        <v>1</v>
      </c>
      <c r="H40" s="14">
        <f>Compras!Q40</f>
        <v>55.269999999999996</v>
      </c>
      <c r="I40" s="4">
        <f>Compras!P40</f>
        <v>1</v>
      </c>
      <c r="J40" s="22" t="s">
        <v>168</v>
      </c>
      <c r="K40" s="15">
        <f t="shared" si="3"/>
        <v>161.85750000000002</v>
      </c>
      <c r="L40" s="16">
        <f t="shared" si="4"/>
        <v>134.88125000000002</v>
      </c>
      <c r="M40" s="17">
        <f t="shared" si="5"/>
        <v>107.905</v>
      </c>
    </row>
    <row r="41" spans="1:13" x14ac:dyDescent="0.3">
      <c r="A41" s="21">
        <v>41</v>
      </c>
      <c r="B41" s="3" t="str">
        <f>Compras!A41</f>
        <v>Peluche de Pingüino Kawaii, Abeja 25cm</v>
      </c>
      <c r="C41" s="3" t="s">
        <v>139</v>
      </c>
      <c r="D41" s="3" t="s">
        <v>140</v>
      </c>
      <c r="E41" s="14">
        <f>Compras!C41</f>
        <v>111.17</v>
      </c>
      <c r="F41" s="6">
        <f>Compras!D41</f>
        <v>0.51614644238553564</v>
      </c>
      <c r="G41" s="4">
        <f>Compras!B41</f>
        <v>1</v>
      </c>
      <c r="H41" s="14">
        <f>Compras!Q41</f>
        <v>53.8</v>
      </c>
      <c r="I41" s="4">
        <f>Compras!P41</f>
        <v>1</v>
      </c>
      <c r="J41" s="22" t="s">
        <v>168</v>
      </c>
      <c r="K41" s="15">
        <f t="shared" si="3"/>
        <v>158.54999999999998</v>
      </c>
      <c r="L41" s="16">
        <f t="shared" si="4"/>
        <v>132.125</v>
      </c>
      <c r="M41" s="17">
        <f t="shared" si="5"/>
        <v>105.69999999999999</v>
      </c>
    </row>
    <row r="42" spans="1:13" ht="31.2" x14ac:dyDescent="0.3">
      <c r="A42" s="21">
        <v>42</v>
      </c>
      <c r="B42" s="3" t="str">
        <f>Compras!A42</f>
        <v>Disney Stitch - muñeco de peluche de Lilo &amp; Stitch 25cm Rosa</v>
      </c>
      <c r="C42" s="3" t="s">
        <v>141</v>
      </c>
      <c r="D42" s="3" t="s">
        <v>140</v>
      </c>
      <c r="E42" s="14">
        <f>Compras!C42</f>
        <v>340.52</v>
      </c>
      <c r="F42" s="6">
        <f>Compras!D42</f>
        <v>0.697638905203806</v>
      </c>
      <c r="G42" s="4">
        <f>Compras!B42</f>
        <v>1</v>
      </c>
      <c r="H42" s="14">
        <f>Compras!Q42</f>
        <v>100.75</v>
      </c>
      <c r="I42" s="4">
        <f>Compras!P42</f>
        <v>1</v>
      </c>
      <c r="J42" s="22" t="s">
        <v>168</v>
      </c>
      <c r="K42" s="15">
        <f t="shared" si="3"/>
        <v>226.40625</v>
      </c>
      <c r="L42" s="16">
        <f t="shared" si="4"/>
        <v>188.671875</v>
      </c>
      <c r="M42" s="17">
        <f t="shared" si="5"/>
        <v>150.9375</v>
      </c>
    </row>
    <row r="43" spans="1:13" ht="31.2" x14ac:dyDescent="0.3">
      <c r="A43" s="21">
        <v>43</v>
      </c>
      <c r="B43" s="3" t="str">
        <f>Compras!A43</f>
        <v>Disney - muñecos de peluche de Lilo y Stitch 30cm</v>
      </c>
      <c r="C43" s="3" t="s">
        <v>141</v>
      </c>
      <c r="D43" s="3" t="s">
        <v>140</v>
      </c>
      <c r="E43" s="14">
        <f>Compras!C43</f>
        <v>406.84</v>
      </c>
      <c r="F43" s="6">
        <f>Compras!D43</f>
        <v>0.70767377838953893</v>
      </c>
      <c r="G43" s="4">
        <f>Compras!B43</f>
        <v>1</v>
      </c>
      <c r="H43" s="14">
        <f>Compras!Q43</f>
        <v>116.72000000000001</v>
      </c>
      <c r="I43" s="4">
        <f>Compras!P43</f>
        <v>1</v>
      </c>
      <c r="J43" s="22" t="s">
        <v>168</v>
      </c>
      <c r="K43" s="15">
        <f t="shared" si="3"/>
        <v>256.35000000000002</v>
      </c>
      <c r="L43" s="16">
        <f t="shared" si="4"/>
        <v>213.625</v>
      </c>
      <c r="M43" s="17">
        <f t="shared" si="5"/>
        <v>170.9</v>
      </c>
    </row>
    <row r="44" spans="1:13" x14ac:dyDescent="0.3">
      <c r="A44" s="21">
        <v>44</v>
      </c>
      <c r="B44" s="3" t="str">
        <f>Compras!A44</f>
        <v>Peluche INS Angel Little Flying Pig, ojos cerrados</v>
      </c>
      <c r="C44" s="3" t="s">
        <v>167</v>
      </c>
      <c r="D44" s="3" t="s">
        <v>140</v>
      </c>
      <c r="E44" s="14">
        <f>Compras!C44</f>
        <v>108.43</v>
      </c>
      <c r="F44" s="6">
        <f>Compras!D44</f>
        <v>0.51609333210366137</v>
      </c>
      <c r="G44" s="4">
        <f>Compras!B44</f>
        <v>2</v>
      </c>
      <c r="H44" s="14">
        <f>Compras!Q44</f>
        <v>52.47</v>
      </c>
      <c r="I44" s="4">
        <f>Compras!P44</f>
        <v>1</v>
      </c>
      <c r="J44" s="22" t="s">
        <v>168</v>
      </c>
      <c r="K44" s="15">
        <f t="shared" si="3"/>
        <v>155.5575</v>
      </c>
      <c r="L44" s="16">
        <f t="shared" si="4"/>
        <v>129.63124999999999</v>
      </c>
      <c r="M44" s="17">
        <f t="shared" si="5"/>
        <v>103.705</v>
      </c>
    </row>
    <row r="45" spans="1:13" x14ac:dyDescent="0.3">
      <c r="A45" s="21">
        <v>45</v>
      </c>
      <c r="B45" s="3" t="str">
        <f>Compras!A45</f>
        <v>Peluche INS Angel Little Flying Pig, ojos abiertos</v>
      </c>
      <c r="C45" s="3" t="s">
        <v>167</v>
      </c>
      <c r="D45" s="3" t="s">
        <v>140</v>
      </c>
      <c r="E45" s="14">
        <f>Compras!C45</f>
        <v>109.5</v>
      </c>
      <c r="F45" s="6">
        <f>Compras!D45</f>
        <v>0.51607305936073056</v>
      </c>
      <c r="G45" s="4">
        <f>Compras!B45</f>
        <v>2</v>
      </c>
      <c r="H45" s="14">
        <f>Compras!Q45</f>
        <v>52.99</v>
      </c>
      <c r="I45" s="4">
        <f>Compras!P45</f>
        <v>1</v>
      </c>
      <c r="J45" s="22" t="s">
        <v>168</v>
      </c>
      <c r="K45" s="15">
        <f t="shared" si="3"/>
        <v>156.72749999999999</v>
      </c>
      <c r="L45" s="16">
        <f t="shared" si="4"/>
        <v>130.60624999999999</v>
      </c>
      <c r="M45" s="17">
        <f t="shared" si="5"/>
        <v>104.485</v>
      </c>
    </row>
    <row r="46" spans="1:13" ht="31.2" x14ac:dyDescent="0.3">
      <c r="A46" s="21">
        <v>46</v>
      </c>
      <c r="B46" s="3" t="str">
        <f>Compras!A46</f>
        <v>Peluche Kuromi Kawaii Sanrio, muñeco de Hello Kitty, My Melody, Kuromi pijama</v>
      </c>
      <c r="C46" s="3" t="s">
        <v>142</v>
      </c>
      <c r="D46" s="3" t="s">
        <v>140</v>
      </c>
      <c r="E46" s="14">
        <f>Compras!C46</f>
        <v>105.42</v>
      </c>
      <c r="F46" s="6">
        <f>Compras!D46</f>
        <v>0.68763043065831919</v>
      </c>
      <c r="G46" s="4">
        <f>Compras!B46</f>
        <v>1</v>
      </c>
      <c r="H46" s="14">
        <f>Compras!Q46</f>
        <v>32.28</v>
      </c>
      <c r="I46" s="4">
        <f>Compras!P46</f>
        <v>1</v>
      </c>
      <c r="J46" s="22" t="s">
        <v>168</v>
      </c>
      <c r="K46" s="15">
        <f t="shared" si="3"/>
        <v>128.48500000000001</v>
      </c>
      <c r="L46" s="16">
        <f t="shared" si="4"/>
        <v>100.95250000000001</v>
      </c>
      <c r="M46" s="17">
        <f t="shared" si="5"/>
        <v>73.42</v>
      </c>
    </row>
    <row r="47" spans="1:13" ht="31.2" x14ac:dyDescent="0.3">
      <c r="A47" s="21">
        <v>47</v>
      </c>
      <c r="B47" s="3" t="str">
        <f>Compras!A47</f>
        <v>Peluches cerdito conejo rosa, animales de 9.8 pulgadas/25cm</v>
      </c>
      <c r="C47" s="3" t="s">
        <v>167</v>
      </c>
      <c r="D47" s="3" t="s">
        <v>140</v>
      </c>
      <c r="E47" s="14">
        <f>Compras!C47</f>
        <v>147.94</v>
      </c>
      <c r="F47" s="6">
        <f>Compras!D47</f>
        <v>0.51608760308233059</v>
      </c>
      <c r="G47" s="4">
        <f>Compras!B47</f>
        <v>1</v>
      </c>
      <c r="H47" s="14">
        <f>Compras!Q47</f>
        <v>70.180000000000007</v>
      </c>
      <c r="I47" s="4">
        <f>Compras!P47</f>
        <v>1</v>
      </c>
      <c r="J47" s="22" t="s">
        <v>168</v>
      </c>
      <c r="K47" s="15">
        <f t="shared" si="3"/>
        <v>195.40500000000003</v>
      </c>
      <c r="L47" s="16">
        <f t="shared" si="4"/>
        <v>162.83750000000003</v>
      </c>
      <c r="M47" s="17">
        <f t="shared" si="5"/>
        <v>130.27000000000001</v>
      </c>
    </row>
    <row r="48" spans="1:13" ht="31.2" x14ac:dyDescent="0.3">
      <c r="A48" s="21">
        <v>48</v>
      </c>
      <c r="B48" s="3" t="str">
        <f>Compras!A48</f>
        <v>Peluches cerdito ranita, animales de 9.8 pulgadas/25cm</v>
      </c>
      <c r="C48" s="3" t="s">
        <v>167</v>
      </c>
      <c r="D48" s="3" t="s">
        <v>140</v>
      </c>
      <c r="E48" s="14">
        <f>Compras!C48</f>
        <v>145.86000000000001</v>
      </c>
      <c r="F48" s="6">
        <f>Compras!D48</f>
        <v>0.51624845742492798</v>
      </c>
      <c r="G48" s="4">
        <f>Compras!B48</f>
        <v>1</v>
      </c>
      <c r="H48" s="14">
        <f>Compras!Q48</f>
        <v>69.150000000000006</v>
      </c>
      <c r="I48" s="4">
        <f>Compras!P48</f>
        <v>1</v>
      </c>
      <c r="J48" s="22" t="s">
        <v>168</v>
      </c>
      <c r="K48" s="15">
        <f t="shared" si="3"/>
        <v>193.08750000000003</v>
      </c>
      <c r="L48" s="16">
        <f t="shared" si="4"/>
        <v>160.90625000000003</v>
      </c>
      <c r="M48" s="17">
        <f t="shared" si="5"/>
        <v>128.72500000000002</v>
      </c>
    </row>
    <row r="49" spans="1:13" ht="31.2" x14ac:dyDescent="0.3">
      <c r="A49" s="21">
        <v>49</v>
      </c>
      <c r="B49" s="3" t="str">
        <f>Compras!A49</f>
        <v>Muñeco de dinosaurio unicornio blando Kawaii 30cm</v>
      </c>
      <c r="C49" s="3" t="s">
        <v>139</v>
      </c>
      <c r="D49" s="3" t="s">
        <v>140</v>
      </c>
      <c r="E49" s="14">
        <f>Compras!C49</f>
        <v>198.79</v>
      </c>
      <c r="F49" s="6">
        <f>Compras!D49</f>
        <v>0.70763116856984754</v>
      </c>
      <c r="G49" s="4">
        <f>Compras!B49</f>
        <v>1</v>
      </c>
      <c r="H49" s="14">
        <f>Compras!Q49</f>
        <v>56.707999999999998</v>
      </c>
      <c r="I49" s="4">
        <f>Compras!P49</f>
        <v>1</v>
      </c>
      <c r="J49" s="22" t="s">
        <v>168</v>
      </c>
      <c r="K49" s="15">
        <f t="shared" si="3"/>
        <v>167.79874999999998</v>
      </c>
      <c r="L49" s="16">
        <f t="shared" si="4"/>
        <v>131.84187499999999</v>
      </c>
      <c r="M49" s="17">
        <f t="shared" si="5"/>
        <v>95.884999999999991</v>
      </c>
    </row>
    <row r="50" spans="1:13" ht="31.2" x14ac:dyDescent="0.3">
      <c r="A50" s="21">
        <v>50</v>
      </c>
      <c r="B50" s="3" t="str">
        <f>Compras!A50</f>
        <v>Muñeco de dinosaurio morado blando Kawaii 30cm</v>
      </c>
      <c r="C50" s="3" t="s">
        <v>139</v>
      </c>
      <c r="D50" s="3" t="s">
        <v>140</v>
      </c>
      <c r="E50" s="14">
        <f>Compras!C50</f>
        <v>212.09</v>
      </c>
      <c r="F50" s="6">
        <f>Compras!D50</f>
        <v>0.70776557121976524</v>
      </c>
      <c r="G50" s="4">
        <f>Compras!B50</f>
        <v>1</v>
      </c>
      <c r="H50" s="14">
        <f>Compras!Q50</f>
        <v>60.567999999999998</v>
      </c>
      <c r="I50" s="4">
        <f>Compras!P50</f>
        <v>1</v>
      </c>
      <c r="J50" s="22" t="s">
        <v>168</v>
      </c>
      <c r="K50" s="15">
        <f t="shared" si="3"/>
        <v>176.24249999999998</v>
      </c>
      <c r="L50" s="16">
        <f t="shared" si="4"/>
        <v>138.47624999999999</v>
      </c>
      <c r="M50" s="17">
        <f t="shared" si="5"/>
        <v>100.71</v>
      </c>
    </row>
    <row r="51" spans="1:13" x14ac:dyDescent="0.3">
      <c r="A51" s="21">
        <v>51</v>
      </c>
      <c r="B51" s="3" t="str">
        <f>Compras!A51</f>
        <v>Muñeco Piguino Abejita blando Kawaii 30cm</v>
      </c>
      <c r="C51" s="3" t="s">
        <v>139</v>
      </c>
      <c r="D51" s="3" t="s">
        <v>140</v>
      </c>
      <c r="E51" s="14">
        <f>Compras!C51</f>
        <v>198.23</v>
      </c>
      <c r="F51" s="6">
        <f>Compras!D51</f>
        <v>0.70766281592089986</v>
      </c>
      <c r="G51" s="4">
        <f>Compras!B51</f>
        <v>1</v>
      </c>
      <c r="H51" s="14">
        <f>Compras!Q51</f>
        <v>56.538000000000004</v>
      </c>
      <c r="I51" s="4">
        <f>Compras!P51</f>
        <v>1</v>
      </c>
      <c r="J51" s="22" t="s">
        <v>168</v>
      </c>
      <c r="K51" s="15">
        <f t="shared" si="3"/>
        <v>167.426875</v>
      </c>
      <c r="L51" s="16">
        <f t="shared" si="4"/>
        <v>131.5496875</v>
      </c>
      <c r="M51" s="17">
        <f t="shared" si="5"/>
        <v>95.672499999999999</v>
      </c>
    </row>
    <row r="52" spans="1:13" x14ac:dyDescent="0.3">
      <c r="A52" s="21">
        <v>52</v>
      </c>
      <c r="B52" s="3" t="str">
        <f>Compras!A52</f>
        <v>Muñeco Piguino Tiburon blando Kawaii 30cm</v>
      </c>
      <c r="C52" s="3" t="s">
        <v>139</v>
      </c>
      <c r="D52" s="3" t="s">
        <v>140</v>
      </c>
      <c r="E52" s="14">
        <f>Compras!C52</f>
        <v>202.5</v>
      </c>
      <c r="F52" s="6">
        <f>Compras!D52</f>
        <v>0.70770370370370372</v>
      </c>
      <c r="G52" s="4">
        <f>Compras!B52</f>
        <v>1</v>
      </c>
      <c r="H52" s="14">
        <f>Compras!Q52</f>
        <v>57.777999999999999</v>
      </c>
      <c r="I52" s="4">
        <f>Compras!P52</f>
        <v>1</v>
      </c>
      <c r="J52" s="22" t="s">
        <v>168</v>
      </c>
      <c r="K52" s="15">
        <f t="shared" si="3"/>
        <v>170.139375</v>
      </c>
      <c r="L52" s="16">
        <f t="shared" si="4"/>
        <v>133.6809375</v>
      </c>
      <c r="M52" s="17">
        <f t="shared" si="5"/>
        <v>97.222499999999997</v>
      </c>
    </row>
    <row r="53" spans="1:13" x14ac:dyDescent="0.3">
      <c r="A53" s="21">
        <v>53</v>
      </c>
      <c r="B53" s="3" t="str">
        <f>Compras!A53</f>
        <v>Muñeco Piguino Ranita blando Kawaii 30cm</v>
      </c>
      <c r="C53" s="3" t="s">
        <v>139</v>
      </c>
      <c r="D53" s="3" t="s">
        <v>140</v>
      </c>
      <c r="E53" s="14">
        <f>Compras!C53</f>
        <v>200.94</v>
      </c>
      <c r="F53" s="6">
        <f>Compras!D53</f>
        <v>0.70772369861650253</v>
      </c>
      <c r="G53" s="4">
        <f>Compras!B53</f>
        <v>1</v>
      </c>
      <c r="H53" s="14">
        <f>Compras!Q53</f>
        <v>57.317999999999998</v>
      </c>
      <c r="I53" s="4">
        <f>Compras!P53</f>
        <v>1</v>
      </c>
      <c r="J53" s="22" t="s">
        <v>168</v>
      </c>
      <c r="K53" s="15">
        <f t="shared" si="3"/>
        <v>169.13312499999998</v>
      </c>
      <c r="L53" s="16">
        <f t="shared" si="4"/>
        <v>132.89031249999999</v>
      </c>
      <c r="M53" s="17">
        <f t="shared" si="5"/>
        <v>96.647499999999994</v>
      </c>
    </row>
    <row r="54" spans="1:13" x14ac:dyDescent="0.3">
      <c r="A54" s="21">
        <v>54</v>
      </c>
      <c r="B54" s="3" t="str">
        <f>Compras!A54</f>
        <v>Peluche om nom Kawaii 20cm</v>
      </c>
      <c r="C54" s="3" t="s">
        <v>139</v>
      </c>
      <c r="D54" s="3" t="s">
        <v>140</v>
      </c>
      <c r="E54" s="14">
        <f>Compras!C54</f>
        <v>96.69</v>
      </c>
      <c r="F54" s="6">
        <f>Compras!D54</f>
        <v>0.51618574826765962</v>
      </c>
      <c r="G54" s="4">
        <f>Compras!B54</f>
        <v>2</v>
      </c>
      <c r="H54" s="14">
        <f>Compras!Q54</f>
        <v>45.845000000000006</v>
      </c>
      <c r="I54" s="4">
        <f>Compras!P54</f>
        <v>1</v>
      </c>
      <c r="J54" s="22" t="s">
        <v>168</v>
      </c>
      <c r="K54" s="15">
        <f t="shared" si="3"/>
        <v>164.09312500000001</v>
      </c>
      <c r="L54" s="16">
        <f t="shared" si="4"/>
        <v>128.93031250000001</v>
      </c>
      <c r="M54" s="17">
        <f t="shared" si="5"/>
        <v>93.767500000000013</v>
      </c>
    </row>
    <row r="55" spans="1:13" ht="31.2" x14ac:dyDescent="0.3">
      <c r="A55" s="21">
        <v>55</v>
      </c>
      <c r="B55" s="3" t="str">
        <f>Compras!A55</f>
        <v>HK Rosa -Sanrio-juguetes de peluche de Hello Kitty Kuromi Melody Cinnamoroll 20cm</v>
      </c>
      <c r="C55" s="3" t="s">
        <v>143</v>
      </c>
      <c r="D55" s="3" t="s">
        <v>140</v>
      </c>
      <c r="E55" s="14">
        <f>Compras!C55</f>
        <v>317.38</v>
      </c>
      <c r="F55" s="6">
        <f>Compras!D55</f>
        <v>0.70773205621022117</v>
      </c>
      <c r="G55" s="4">
        <f>Compras!B55</f>
        <v>1</v>
      </c>
      <c r="H55" s="14">
        <f>Compras!Q55</f>
        <v>90.905000000000001</v>
      </c>
      <c r="I55" s="4">
        <f>Compras!P55</f>
        <v>1</v>
      </c>
      <c r="J55" s="22" t="s">
        <v>168</v>
      </c>
      <c r="K55" s="15">
        <f t="shared" si="3"/>
        <v>242.60468749999998</v>
      </c>
      <c r="L55" s="16">
        <f t="shared" si="4"/>
        <v>190.61796874999999</v>
      </c>
      <c r="M55" s="17">
        <f t="shared" si="5"/>
        <v>138.63124999999999</v>
      </c>
    </row>
    <row r="56" spans="1:13" ht="31.2" x14ac:dyDescent="0.3">
      <c r="A56" s="21">
        <v>56</v>
      </c>
      <c r="B56" s="3" t="str">
        <f>Compras!A56</f>
        <v>HK Azul -Sanrio-juguetes de peluche de Hello Kitty Kuromi Melody Cinnamoroll 20cm</v>
      </c>
      <c r="C56" s="3" t="s">
        <v>143</v>
      </c>
      <c r="D56" s="3" t="s">
        <v>140</v>
      </c>
      <c r="E56" s="14">
        <f>Compras!C56</f>
        <v>317.89</v>
      </c>
      <c r="F56" s="6">
        <f>Compras!D56</f>
        <v>0.70772908867847373</v>
      </c>
      <c r="G56" s="4">
        <f>Compras!B56</f>
        <v>1</v>
      </c>
      <c r="H56" s="14">
        <f>Compras!Q56</f>
        <v>91.054999999999993</v>
      </c>
      <c r="I56" s="4">
        <f>Compras!P56</f>
        <v>1</v>
      </c>
      <c r="J56" s="22" t="s">
        <v>168</v>
      </c>
      <c r="K56" s="15">
        <f t="shared" si="3"/>
        <v>242.93281249999998</v>
      </c>
      <c r="L56" s="16">
        <f t="shared" si="4"/>
        <v>190.87578124999999</v>
      </c>
      <c r="M56" s="17">
        <f t="shared" si="5"/>
        <v>138.81874999999999</v>
      </c>
    </row>
    <row r="57" spans="1:13" x14ac:dyDescent="0.3">
      <c r="A57" s="21">
        <v>57</v>
      </c>
      <c r="B57" s="3" t="str">
        <f>Compras!A57</f>
        <v>Peluche Panda Rojo, pelo esponjoso 23cm</v>
      </c>
      <c r="C57" s="3" t="s">
        <v>139</v>
      </c>
      <c r="D57" s="3" t="s">
        <v>140</v>
      </c>
      <c r="E57" s="14">
        <f>Compras!C57</f>
        <v>214.43</v>
      </c>
      <c r="F57" s="6">
        <f>Compras!D57</f>
        <v>0.51620575479177366</v>
      </c>
      <c r="G57" s="4">
        <f>Compras!B57</f>
        <v>2</v>
      </c>
      <c r="H57" s="14">
        <f>Compras!Q57</f>
        <v>101.67</v>
      </c>
      <c r="I57" s="4">
        <f>Compras!P57</f>
        <v>1</v>
      </c>
      <c r="J57" s="22" t="s">
        <v>168</v>
      </c>
      <c r="K57" s="15">
        <f t="shared" si="3"/>
        <v>228.13125000000002</v>
      </c>
      <c r="L57" s="16">
        <f t="shared" si="4"/>
        <v>190.109375</v>
      </c>
      <c r="M57" s="17">
        <f t="shared" si="5"/>
        <v>152.08750000000001</v>
      </c>
    </row>
    <row r="58" spans="1:13" ht="31.2" x14ac:dyDescent="0.3">
      <c r="A58" s="21">
        <v>58</v>
      </c>
      <c r="B58" s="3" t="str">
        <f>Compras!A58</f>
        <v>Peluche de Los Vengadores de Marvel - Stich 20 cm</v>
      </c>
      <c r="C58" s="3" t="s">
        <v>141</v>
      </c>
      <c r="D58" s="3" t="s">
        <v>140</v>
      </c>
      <c r="E58" s="14">
        <f>Compras!C58</f>
        <v>116.53</v>
      </c>
      <c r="F58" s="6">
        <f>Compras!D58</f>
        <v>0.4960096112589033</v>
      </c>
      <c r="G58" s="4">
        <f>Compras!B58</f>
        <v>2</v>
      </c>
      <c r="H58" s="14">
        <f>Compras!Q58</f>
        <v>57.561249999999994</v>
      </c>
      <c r="I58" s="4">
        <f>Compras!P58</f>
        <v>1</v>
      </c>
      <c r="J58" s="22" t="s">
        <v>168</v>
      </c>
      <c r="K58" s="15">
        <f t="shared" si="3"/>
        <v>167.0128125</v>
      </c>
      <c r="L58" s="16">
        <f t="shared" si="4"/>
        <v>139.17734374999998</v>
      </c>
      <c r="M58" s="17">
        <f t="shared" si="5"/>
        <v>111.34187499999999</v>
      </c>
    </row>
    <row r="59" spans="1:13" ht="31.2" x14ac:dyDescent="0.3">
      <c r="A59" s="21">
        <v>59</v>
      </c>
      <c r="B59" s="3" t="str">
        <f>Compras!A59</f>
        <v>Peluche de Los Vengadores de Marvel - Stich Rosa 20 cm</v>
      </c>
      <c r="C59" s="3" t="s">
        <v>141</v>
      </c>
      <c r="D59" s="3" t="s">
        <v>140</v>
      </c>
      <c r="E59" s="14">
        <f>Compras!C59</f>
        <v>115.88</v>
      </c>
      <c r="F59" s="6">
        <f>Compras!D59</f>
        <v>0.4961166724197445</v>
      </c>
      <c r="G59" s="4">
        <f>Compras!B59</f>
        <v>2</v>
      </c>
      <c r="H59" s="14">
        <f>Compras!Q59</f>
        <v>57.221249999999998</v>
      </c>
      <c r="I59" s="4">
        <f>Compras!P59</f>
        <v>1</v>
      </c>
      <c r="J59" s="22" t="s">
        <v>168</v>
      </c>
      <c r="K59" s="15">
        <f t="shared" si="3"/>
        <v>166.24781250000001</v>
      </c>
      <c r="L59" s="16">
        <f t="shared" si="4"/>
        <v>138.53984374999999</v>
      </c>
      <c r="M59" s="17">
        <f t="shared" si="5"/>
        <v>110.831875</v>
      </c>
    </row>
    <row r="60" spans="1:13" ht="31.2" x14ac:dyDescent="0.3">
      <c r="A60" s="21">
        <v>60</v>
      </c>
      <c r="B60" s="3" t="str">
        <f>Compras!A60</f>
        <v>Peluche Spiderman - TY Beanie Iron Miles Spider, 15cm</v>
      </c>
      <c r="C60" s="3" t="s">
        <v>144</v>
      </c>
      <c r="D60" s="3" t="s">
        <v>140</v>
      </c>
      <c r="E60" s="14">
        <f>Compras!C60</f>
        <v>90</v>
      </c>
      <c r="F60" s="6">
        <f>Compras!D60</f>
        <v>1.7777777777777399E-3</v>
      </c>
      <c r="G60" s="4">
        <f>Compras!B60</f>
        <v>1</v>
      </c>
      <c r="H60" s="14">
        <f>Compras!Q60</f>
        <v>89.84</v>
      </c>
      <c r="I60" s="4">
        <f>Compras!P60</f>
        <v>1</v>
      </c>
      <c r="J60" s="22" t="s">
        <v>168</v>
      </c>
      <c r="K60" s="15">
        <f t="shared" si="3"/>
        <v>227.77500000000001</v>
      </c>
      <c r="L60" s="16">
        <f t="shared" si="4"/>
        <v>204.9975</v>
      </c>
      <c r="M60" s="17">
        <f t="shared" si="5"/>
        <v>182.22</v>
      </c>
    </row>
    <row r="61" spans="1:13" ht="31.2" x14ac:dyDescent="0.3">
      <c r="A61" s="21">
        <v>61</v>
      </c>
      <c r="B61" s="3" t="str">
        <f>Compras!A61</f>
        <v>Peluche de Dinosaurio y Leon suave, 23cm, hipopótamo...</v>
      </c>
      <c r="C61" s="3" t="s">
        <v>139</v>
      </c>
      <c r="D61" s="3" t="s">
        <v>140</v>
      </c>
      <c r="E61" s="14">
        <f>Compras!C61</f>
        <v>104.78</v>
      </c>
      <c r="F61" s="6">
        <f>Compras!D61</f>
        <v>0.14258446268371824</v>
      </c>
      <c r="G61" s="4">
        <f>Compras!B61</f>
        <v>2</v>
      </c>
      <c r="H61" s="14">
        <f>Compras!Q61</f>
        <v>89.84</v>
      </c>
      <c r="I61" s="4">
        <f>Compras!P61</f>
        <v>1</v>
      </c>
      <c r="J61" s="22" t="s">
        <v>168</v>
      </c>
      <c r="K61" s="15">
        <f t="shared" si="3"/>
        <v>227.77500000000001</v>
      </c>
      <c r="L61" s="16">
        <f t="shared" si="4"/>
        <v>204.9975</v>
      </c>
      <c r="M61" s="17">
        <f t="shared" si="5"/>
        <v>182.22</v>
      </c>
    </row>
    <row r="62" spans="1:13" ht="31.2" x14ac:dyDescent="0.3">
      <c r="A62" s="21">
        <v>62</v>
      </c>
      <c r="B62" s="3" t="str">
        <f>Compras!A62</f>
        <v>Peluche de Los Vengadores de Marvels, Baby Yoda 20cm</v>
      </c>
      <c r="C62" s="3" t="s">
        <v>145</v>
      </c>
      <c r="D62" s="3" t="s">
        <v>140</v>
      </c>
      <c r="E62" s="14">
        <f>Compras!C62</f>
        <v>156.53</v>
      </c>
      <c r="F62" s="6">
        <f>Compras!D62</f>
        <v>0.68619433974318023</v>
      </c>
      <c r="G62" s="4">
        <f>Compras!B62</f>
        <v>1</v>
      </c>
      <c r="H62" s="14">
        <f>Compras!Q62</f>
        <v>49.12</v>
      </c>
      <c r="I62" s="4">
        <f>Compras!P62</f>
        <v>1</v>
      </c>
      <c r="J62" s="22" t="s">
        <v>168</v>
      </c>
      <c r="K62" s="15">
        <f t="shared" si="3"/>
        <v>151.20000000000002</v>
      </c>
      <c r="L62" s="16">
        <f t="shared" si="4"/>
        <v>118.80000000000001</v>
      </c>
      <c r="M62" s="17">
        <f t="shared" si="5"/>
        <v>86.4</v>
      </c>
    </row>
    <row r="63" spans="1:13" ht="31.2" x14ac:dyDescent="0.3">
      <c r="A63" s="21">
        <v>63</v>
      </c>
      <c r="B63" s="3" t="str">
        <f>Compras!A63</f>
        <v>Peluche de Los Vengadores de Marvels, Spider Negro 32cm</v>
      </c>
      <c r="C63" s="3" t="s">
        <v>144</v>
      </c>
      <c r="D63" s="3" t="s">
        <v>140</v>
      </c>
      <c r="E63" s="14">
        <f>Compras!C63</f>
        <v>188.48</v>
      </c>
      <c r="F63" s="6">
        <f>Compras!D63</f>
        <v>0.59237054329371819</v>
      </c>
      <c r="G63" s="4">
        <f>Compras!B63</f>
        <v>1</v>
      </c>
      <c r="H63" s="14">
        <f>Compras!Q63</f>
        <v>76.83</v>
      </c>
      <c r="I63" s="4">
        <f>Compras!P63</f>
        <v>1</v>
      </c>
      <c r="J63" s="22" t="s">
        <v>168</v>
      </c>
      <c r="K63" s="15">
        <f t="shared" si="3"/>
        <v>211.81562499999998</v>
      </c>
      <c r="L63" s="16">
        <f t="shared" si="4"/>
        <v>166.42656249999999</v>
      </c>
      <c r="M63" s="17">
        <f t="shared" si="5"/>
        <v>121.03749999999999</v>
      </c>
    </row>
    <row r="64" spans="1:13" ht="31.2" x14ac:dyDescent="0.3">
      <c r="A64" s="21">
        <v>64</v>
      </c>
      <c r="B64" s="3" t="str">
        <f>Compras!A64</f>
        <v>Disney-muñecos de peluche de Lilo y Stitch, azul, rosa, 12cm</v>
      </c>
      <c r="C64" s="3" t="s">
        <v>141</v>
      </c>
      <c r="D64" s="12" t="s">
        <v>257</v>
      </c>
      <c r="E64" s="14">
        <f>Compras!C64</f>
        <v>49.65</v>
      </c>
      <c r="F64" s="6">
        <f>Compras!D64</f>
        <v>-8.0563947633433761E-3</v>
      </c>
      <c r="G64" s="4">
        <f>Compras!B64</f>
        <v>2</v>
      </c>
      <c r="H64" s="14">
        <f>Compras!Q64</f>
        <v>50.05</v>
      </c>
      <c r="I64" s="4">
        <f>Compras!P64</f>
        <v>1</v>
      </c>
      <c r="J64" s="22" t="s">
        <v>168</v>
      </c>
      <c r="K64" s="15">
        <f t="shared" si="3"/>
        <v>168.88124999999999</v>
      </c>
      <c r="L64" s="16">
        <f t="shared" si="4"/>
        <v>140.734375</v>
      </c>
      <c r="M64" s="17">
        <f t="shared" si="5"/>
        <v>112.58749999999999</v>
      </c>
    </row>
    <row r="65" spans="1:13" ht="31.2" x14ac:dyDescent="0.3">
      <c r="A65" s="21">
        <v>65</v>
      </c>
      <c r="B65" s="3" t="str">
        <f>Compras!A65</f>
        <v>Llavero de Demon Slayer Kimetsu No Yaiba Blade of Ghost - Nezuko</v>
      </c>
      <c r="C65" s="3" t="s">
        <v>146</v>
      </c>
      <c r="D65" s="3" t="s">
        <v>158</v>
      </c>
      <c r="E65" s="14">
        <f>Compras!C65</f>
        <v>94.07</v>
      </c>
      <c r="F65" s="6">
        <f>Compras!D65</f>
        <v>0.68757308387371097</v>
      </c>
      <c r="G65" s="4">
        <f>Compras!B65</f>
        <v>1</v>
      </c>
      <c r="H65" s="14">
        <f>Compras!Q65</f>
        <v>29.391000000000002</v>
      </c>
      <c r="I65" s="4">
        <f>Compras!P65</f>
        <v>1</v>
      </c>
      <c r="J65" s="22" t="s">
        <v>168</v>
      </c>
      <c r="K65" s="15">
        <f t="shared" si="3"/>
        <v>120.901375</v>
      </c>
      <c r="L65" s="16">
        <f t="shared" si="4"/>
        <v>94.993937500000001</v>
      </c>
      <c r="M65" s="17">
        <f t="shared" si="5"/>
        <v>69.086500000000001</v>
      </c>
    </row>
    <row r="66" spans="1:13" ht="31.2" x14ac:dyDescent="0.3">
      <c r="A66" s="21">
        <v>66</v>
      </c>
      <c r="B66" s="3" t="str">
        <f>Compras!A66</f>
        <v>Llavero de Demon Slayer Kimetsu No Yaiba Blade of Ghost - Tanjiro</v>
      </c>
      <c r="C66" s="3" t="s">
        <v>146</v>
      </c>
      <c r="D66" s="3" t="s">
        <v>158</v>
      </c>
      <c r="E66" s="14">
        <f>Compras!C66</f>
        <v>85.51</v>
      </c>
      <c r="F66" s="6">
        <f>Compras!D66</f>
        <v>0.68740498187346499</v>
      </c>
      <c r="G66" s="4">
        <f>Compras!B66</f>
        <v>2</v>
      </c>
      <c r="H66" s="14">
        <f>Compras!Q66</f>
        <v>26.730499999999999</v>
      </c>
      <c r="I66" s="4">
        <f>Compras!P66</f>
        <v>1</v>
      </c>
      <c r="J66" s="22" t="s">
        <v>168</v>
      </c>
      <c r="K66" s="15">
        <f t="shared" ref="K66:K97" si="6">M66* (IF(M66-H66&lt;100, IF(M66-H66&gt;80, 1.25, IF(M66-H66&gt;50, 1.5, 1.75)), IF(M66-H66&gt;150, 0.95, IF(M66-H66&gt;170, 0.9, 1))))</f>
        <v>113.91756249999999</v>
      </c>
      <c r="L66" s="16">
        <f t="shared" ref="L66:L97" si="7">(K66+M66)/2</f>
        <v>89.506656249999992</v>
      </c>
      <c r="M66" s="17">
        <f t="shared" ref="M66:M97" si="8">(H66/I66) * ( IF(E66&gt;H66, IF(E66-H66&gt;100, 1.25, IF(E66-H66&gt;50, 1.5, 1.75)), IF(H66-E66&gt;100, 1.25, IF(H66-E66&gt;50, 1.5, 1.75))) ) + 25</f>
        <v>65.095749999999995</v>
      </c>
    </row>
    <row r="67" spans="1:13" ht="31.2" x14ac:dyDescent="0.3">
      <c r="A67" s="21">
        <v>67</v>
      </c>
      <c r="B67" s="3" t="str">
        <f>Compras!A67</f>
        <v>Llavero de Demon Slayer Kimetsu No Yaiba Blade of Ghost - Cochino</v>
      </c>
      <c r="C67" s="3" t="s">
        <v>146</v>
      </c>
      <c r="D67" s="3" t="s">
        <v>158</v>
      </c>
      <c r="E67" s="14">
        <f>Compras!C67</f>
        <v>88.73</v>
      </c>
      <c r="F67" s="6">
        <f>Compras!D67</f>
        <v>0.68747886847740336</v>
      </c>
      <c r="G67" s="4">
        <f>Compras!B67</f>
        <v>2</v>
      </c>
      <c r="H67" s="14">
        <f>Compras!Q67</f>
        <v>27.730499999999999</v>
      </c>
      <c r="I67" s="4">
        <f>Compras!P67</f>
        <v>1</v>
      </c>
      <c r="J67" s="22" t="s">
        <v>168</v>
      </c>
      <c r="K67" s="15">
        <f t="shared" si="6"/>
        <v>116.54256249999999</v>
      </c>
      <c r="L67" s="16">
        <f t="shared" si="7"/>
        <v>91.569156249999992</v>
      </c>
      <c r="M67" s="17">
        <f t="shared" si="8"/>
        <v>66.595749999999995</v>
      </c>
    </row>
    <row r="68" spans="1:13" x14ac:dyDescent="0.3">
      <c r="A68" s="21">
        <v>68</v>
      </c>
      <c r="B68" s="3" t="str">
        <f>Compras!A68</f>
        <v>Llaveros Anime Naruto, Kakashi</v>
      </c>
      <c r="C68" s="3" t="s">
        <v>147</v>
      </c>
      <c r="D68" s="3" t="s">
        <v>158</v>
      </c>
      <c r="E68" s="14">
        <f>Compras!C68</f>
        <v>79.900000000000006</v>
      </c>
      <c r="F68" s="6">
        <f>Compras!D68</f>
        <v>0.68748435544430553</v>
      </c>
      <c r="G68" s="4">
        <f>Compras!B68</f>
        <v>2</v>
      </c>
      <c r="H68" s="14">
        <f>Compras!Q68</f>
        <v>24.970499999999998</v>
      </c>
      <c r="I68" s="4">
        <f>Compras!P68</f>
        <v>1</v>
      </c>
      <c r="J68" s="22" t="s">
        <v>168</v>
      </c>
      <c r="K68" s="15">
        <f t="shared" si="6"/>
        <v>109.2975625</v>
      </c>
      <c r="L68" s="16">
        <f t="shared" si="7"/>
        <v>85.876656249999996</v>
      </c>
      <c r="M68" s="17">
        <f t="shared" si="8"/>
        <v>62.455749999999995</v>
      </c>
    </row>
    <row r="69" spans="1:13" x14ac:dyDescent="0.3">
      <c r="A69" s="21">
        <v>69</v>
      </c>
      <c r="B69" s="3" t="str">
        <f>Compras!A69</f>
        <v>Llaveros Anime Naruto, Naruto</v>
      </c>
      <c r="C69" s="3" t="s">
        <v>147</v>
      </c>
      <c r="D69" s="3" t="s">
        <v>158</v>
      </c>
      <c r="E69" s="14">
        <f>Compras!C69</f>
        <v>82.55</v>
      </c>
      <c r="F69" s="6">
        <f>Compras!D69</f>
        <v>0.68758328285887349</v>
      </c>
      <c r="G69" s="4">
        <f>Compras!B69</f>
        <v>2</v>
      </c>
      <c r="H69" s="14">
        <f>Compras!Q69</f>
        <v>25.790499999999998</v>
      </c>
      <c r="I69" s="4">
        <f>Compras!P69</f>
        <v>1</v>
      </c>
      <c r="J69" s="22" t="s">
        <v>168</v>
      </c>
      <c r="K69" s="15">
        <f t="shared" si="6"/>
        <v>111.4500625</v>
      </c>
      <c r="L69" s="16">
        <f t="shared" si="7"/>
        <v>87.567906249999993</v>
      </c>
      <c r="M69" s="17">
        <f t="shared" si="8"/>
        <v>63.685749999999999</v>
      </c>
    </row>
    <row r="70" spans="1:13" x14ac:dyDescent="0.3">
      <c r="A70" s="21">
        <v>70</v>
      </c>
      <c r="B70" s="3" t="str">
        <f>Compras!A70</f>
        <v>Llaveros Anime Naruto, Naruto Sabio</v>
      </c>
      <c r="C70" s="3" t="s">
        <v>147</v>
      </c>
      <c r="D70" s="3" t="s">
        <v>158</v>
      </c>
      <c r="E70" s="14">
        <f>Compras!C70</f>
        <v>89.36</v>
      </c>
      <c r="F70" s="6">
        <f>Compras!D70</f>
        <v>0.68755595344673237</v>
      </c>
      <c r="G70" s="4">
        <f>Compras!B70</f>
        <v>1</v>
      </c>
      <c r="H70" s="14">
        <f>Compras!Q70</f>
        <v>27.921000000000003</v>
      </c>
      <c r="I70" s="4">
        <f>Compras!P70</f>
        <v>1</v>
      </c>
      <c r="J70" s="22" t="s">
        <v>168</v>
      </c>
      <c r="K70" s="15">
        <f t="shared" si="6"/>
        <v>117.042625</v>
      </c>
      <c r="L70" s="16">
        <f t="shared" si="7"/>
        <v>91.962062500000002</v>
      </c>
      <c r="M70" s="17">
        <f t="shared" si="8"/>
        <v>66.881500000000003</v>
      </c>
    </row>
    <row r="71" spans="1:13" x14ac:dyDescent="0.3">
      <c r="A71" s="21">
        <v>71</v>
      </c>
      <c r="B71" s="3" t="str">
        <f>Compras!A71</f>
        <v>Baby Yoda-muñeco de peluche de 18cm</v>
      </c>
      <c r="C71" s="3" t="s">
        <v>145</v>
      </c>
      <c r="D71" s="3" t="s">
        <v>140</v>
      </c>
      <c r="E71" s="14">
        <f>Compras!C71</f>
        <v>208.97</v>
      </c>
      <c r="F71" s="6">
        <f>Compras!D71</f>
        <v>0.68746710054074756</v>
      </c>
      <c r="G71" s="4">
        <f>Compras!B71</f>
        <v>1</v>
      </c>
      <c r="H71" s="14">
        <f>Compras!Q71</f>
        <v>65.320000000000007</v>
      </c>
      <c r="I71" s="4">
        <f>Compras!P71</f>
        <v>1</v>
      </c>
      <c r="J71" s="22" t="s">
        <v>168</v>
      </c>
      <c r="K71" s="15">
        <f t="shared" si="6"/>
        <v>186.63750000000002</v>
      </c>
      <c r="L71" s="16">
        <f t="shared" si="7"/>
        <v>146.64375000000001</v>
      </c>
      <c r="M71" s="17">
        <f t="shared" si="8"/>
        <v>106.65</v>
      </c>
    </row>
    <row r="72" spans="1:13" x14ac:dyDescent="0.3">
      <c r="A72" s="21">
        <v>72</v>
      </c>
      <c r="B72" s="3" t="str">
        <f>Compras!A72</f>
        <v>Baby Yoda-muñeco de peluche de 28cm</v>
      </c>
      <c r="C72" s="3" t="s">
        <v>145</v>
      </c>
      <c r="D72" s="3" t="s">
        <v>140</v>
      </c>
      <c r="E72" s="14">
        <f>Compras!C72</f>
        <v>342.96</v>
      </c>
      <c r="F72" s="6">
        <f>Compras!D72</f>
        <v>0.68754373687893633</v>
      </c>
      <c r="G72" s="4">
        <f>Compras!B72</f>
        <v>1</v>
      </c>
      <c r="H72" s="14">
        <f>Compras!Q72</f>
        <v>107.17</v>
      </c>
      <c r="I72" s="4">
        <f>Compras!P72</f>
        <v>1</v>
      </c>
      <c r="J72" s="22" t="s">
        <v>168</v>
      </c>
      <c r="K72" s="15">
        <f t="shared" si="6"/>
        <v>238.44375000000002</v>
      </c>
      <c r="L72" s="16">
        <f t="shared" si="7"/>
        <v>198.703125</v>
      </c>
      <c r="M72" s="17">
        <f t="shared" si="8"/>
        <v>158.96250000000001</v>
      </c>
    </row>
    <row r="73" spans="1:13" x14ac:dyDescent="0.3">
      <c r="A73" s="21">
        <v>73</v>
      </c>
      <c r="B73" s="3" t="str">
        <f>Compras!A73</f>
        <v>Peluches originales de One Piece - Chopper 25cm</v>
      </c>
      <c r="C73" s="3" t="s">
        <v>148</v>
      </c>
      <c r="D73" s="3" t="s">
        <v>140</v>
      </c>
      <c r="E73" s="14">
        <f>Compras!C73</f>
        <v>287.58999999999997</v>
      </c>
      <c r="F73" s="6">
        <f>Compras!D73</f>
        <v>0.68757606314545006</v>
      </c>
      <c r="G73" s="4">
        <f>Compras!B73</f>
        <v>1</v>
      </c>
      <c r="H73" s="14">
        <f>Compras!Q73</f>
        <v>89.856666666666655</v>
      </c>
      <c r="I73" s="4">
        <f>Compras!P73</f>
        <v>1</v>
      </c>
      <c r="J73" s="22" t="s">
        <v>168</v>
      </c>
      <c r="K73" s="15">
        <f t="shared" si="6"/>
        <v>240.31145833333332</v>
      </c>
      <c r="L73" s="16">
        <f t="shared" si="7"/>
        <v>188.81614583333334</v>
      </c>
      <c r="M73" s="17">
        <f t="shared" si="8"/>
        <v>137.32083333333333</v>
      </c>
    </row>
    <row r="74" spans="1:13" x14ac:dyDescent="0.3">
      <c r="A74" s="21">
        <v>74</v>
      </c>
      <c r="B74" s="3" t="str">
        <f>Compras!A74</f>
        <v>Peluches originales de One Piece - Zoro 25cm</v>
      </c>
      <c r="C74" s="3" t="s">
        <v>148</v>
      </c>
      <c r="D74" s="3" t="s">
        <v>140</v>
      </c>
      <c r="E74" s="14">
        <f>Compras!C74</f>
        <v>314.83</v>
      </c>
      <c r="F74" s="6">
        <f>Compras!D74</f>
        <v>0.6875456595623034</v>
      </c>
      <c r="G74" s="4">
        <f>Compras!B74</f>
        <v>2</v>
      </c>
      <c r="H74" s="14">
        <f>Compras!Q74</f>
        <v>98.373333333333335</v>
      </c>
      <c r="I74" s="4">
        <f>Compras!P74</f>
        <v>1</v>
      </c>
      <c r="J74" s="22" t="s">
        <v>168</v>
      </c>
      <c r="K74" s="15">
        <f t="shared" si="6"/>
        <v>258.94166666666666</v>
      </c>
      <c r="L74" s="16">
        <f t="shared" si="7"/>
        <v>203.45416666666665</v>
      </c>
      <c r="M74" s="17">
        <f t="shared" si="8"/>
        <v>147.96666666666667</v>
      </c>
    </row>
    <row r="75" spans="1:13" x14ac:dyDescent="0.3">
      <c r="A75" s="21">
        <v>75</v>
      </c>
      <c r="B75" s="3" t="str">
        <f>Compras!A75</f>
        <v>Peluche de Naruto, 20CM, Itachi</v>
      </c>
      <c r="C75" s="3" t="s">
        <v>147</v>
      </c>
      <c r="D75" s="3" t="s">
        <v>140</v>
      </c>
      <c r="E75" s="14">
        <f>Compras!C75</f>
        <v>72</v>
      </c>
      <c r="F75" s="6">
        <f>Compras!D75</f>
        <v>7.7777777777778088E-3</v>
      </c>
      <c r="G75" s="4">
        <f>Compras!B75</f>
        <v>1</v>
      </c>
      <c r="H75" s="14">
        <f>Compras!Q75</f>
        <v>71.44</v>
      </c>
      <c r="I75" s="4">
        <f>Compras!P75</f>
        <v>1</v>
      </c>
      <c r="J75" s="22" t="s">
        <v>168</v>
      </c>
      <c r="K75" s="15">
        <f t="shared" si="6"/>
        <v>225.02999999999997</v>
      </c>
      <c r="L75" s="16">
        <f t="shared" si="7"/>
        <v>187.52499999999998</v>
      </c>
      <c r="M75" s="17">
        <f t="shared" si="8"/>
        <v>150.01999999999998</v>
      </c>
    </row>
    <row r="76" spans="1:13" ht="31.2" x14ac:dyDescent="0.3">
      <c r="A76" s="21">
        <v>76</v>
      </c>
      <c r="B76" s="3" t="str">
        <f>Compras!A76</f>
        <v>Llavero de Disney, Mickey Mouse, Lilo &amp; Stitch, Rosa y Lila</v>
      </c>
      <c r="C76" s="3" t="s">
        <v>141</v>
      </c>
      <c r="D76" s="12" t="s">
        <v>158</v>
      </c>
      <c r="E76" s="14">
        <f>Compras!C76</f>
        <v>86.23</v>
      </c>
      <c r="F76" s="6">
        <f>Compras!D76</f>
        <v>0.68757972863272654</v>
      </c>
      <c r="G76" s="4">
        <f>Compras!B76</f>
        <v>2</v>
      </c>
      <c r="H76" s="14">
        <f>Compras!Q76</f>
        <v>26.945</v>
      </c>
      <c r="I76" s="4">
        <f>Compras!P76</f>
        <v>1</v>
      </c>
      <c r="J76" s="22" t="s">
        <v>168</v>
      </c>
      <c r="K76" s="15">
        <f t="shared" si="6"/>
        <v>114.480625</v>
      </c>
      <c r="L76" s="16">
        <f t="shared" si="7"/>
        <v>89.949062499999997</v>
      </c>
      <c r="M76" s="17">
        <f t="shared" si="8"/>
        <v>65.417500000000004</v>
      </c>
    </row>
    <row r="77" spans="1:13" ht="31.2" x14ac:dyDescent="0.3">
      <c r="A77" s="21">
        <v>77</v>
      </c>
      <c r="B77" s="3" t="str">
        <f>Compras!A77</f>
        <v>Llavero de Disney, Mickey Mouse, Lilo &amp; Stitch, Guitarra</v>
      </c>
      <c r="C77" s="3" t="s">
        <v>141</v>
      </c>
      <c r="D77" s="12" t="s">
        <v>158</v>
      </c>
      <c r="E77" s="14">
        <f>Compras!C77</f>
        <v>91.42</v>
      </c>
      <c r="F77" s="6">
        <f>Compras!D77</f>
        <v>0.68759571209800929</v>
      </c>
      <c r="G77" s="4">
        <f>Compras!B77</f>
        <v>1</v>
      </c>
      <c r="H77" s="14">
        <f>Compras!Q77</f>
        <v>28.564999999999998</v>
      </c>
      <c r="I77" s="4">
        <f>Compras!P77</f>
        <v>1</v>
      </c>
      <c r="J77" s="22" t="s">
        <v>168</v>
      </c>
      <c r="K77" s="15">
        <f t="shared" si="6"/>
        <v>118.733125</v>
      </c>
      <c r="L77" s="16">
        <f t="shared" si="7"/>
        <v>93.290312499999999</v>
      </c>
      <c r="M77" s="17">
        <f t="shared" si="8"/>
        <v>67.847499999999997</v>
      </c>
    </row>
    <row r="78" spans="1:13" ht="31.2" x14ac:dyDescent="0.3">
      <c r="A78" s="21">
        <v>78</v>
      </c>
      <c r="B78" s="3" t="str">
        <f>Compras!A78</f>
        <v>Llavero de Disney, Mickey Mouse, Lilo &amp; Stitch, Corazon</v>
      </c>
      <c r="C78" s="3" t="s">
        <v>141</v>
      </c>
      <c r="D78" s="12" t="s">
        <v>158</v>
      </c>
      <c r="E78" s="14">
        <f>Compras!C78</f>
        <v>93.15</v>
      </c>
      <c r="F78" s="6">
        <f>Compras!D78</f>
        <v>0.68760064412238331</v>
      </c>
      <c r="G78" s="4">
        <f>Compras!B78</f>
        <v>1</v>
      </c>
      <c r="H78" s="14">
        <f>Compras!Q78</f>
        <v>29.105</v>
      </c>
      <c r="I78" s="4">
        <f>Compras!P78</f>
        <v>1</v>
      </c>
      <c r="J78" s="22" t="s">
        <v>168</v>
      </c>
      <c r="K78" s="15">
        <f t="shared" si="6"/>
        <v>120.15062499999999</v>
      </c>
      <c r="L78" s="16">
        <f t="shared" si="7"/>
        <v>94.404062499999995</v>
      </c>
      <c r="M78" s="17">
        <f t="shared" si="8"/>
        <v>68.657499999999999</v>
      </c>
    </row>
    <row r="79" spans="1:13" ht="31.2" x14ac:dyDescent="0.3">
      <c r="A79" s="21">
        <v>79</v>
      </c>
      <c r="B79" s="3" t="str">
        <f>Compras!A79</f>
        <v>Disney Marvel-muñeco de peluche de Spiderman, Mini 27cm</v>
      </c>
      <c r="C79" s="3" t="s">
        <v>144</v>
      </c>
      <c r="D79" s="3" t="s">
        <v>140</v>
      </c>
      <c r="E79" s="14">
        <f>Compras!C79</f>
        <v>107</v>
      </c>
      <c r="F79" s="6">
        <f>Compras!D79</f>
        <v>0.49616822429906543</v>
      </c>
      <c r="G79" s="4">
        <f>Compras!B79</f>
        <v>1</v>
      </c>
      <c r="H79" s="14">
        <f>Compras!Q79</f>
        <v>53.915999999999997</v>
      </c>
      <c r="I79" s="4">
        <f>Compras!P79</f>
        <v>1</v>
      </c>
      <c r="J79" s="22" t="s">
        <v>168</v>
      </c>
      <c r="K79" s="15">
        <f t="shared" si="6"/>
        <v>158.81099999999998</v>
      </c>
      <c r="L79" s="16">
        <f t="shared" si="7"/>
        <v>132.34249999999997</v>
      </c>
      <c r="M79" s="17">
        <f t="shared" si="8"/>
        <v>105.874</v>
      </c>
    </row>
    <row r="80" spans="1:13" ht="31.2" x14ac:dyDescent="0.3">
      <c r="A80" s="21">
        <v>80</v>
      </c>
      <c r="B80" s="3" t="str">
        <f>Compras!A80</f>
        <v>Disney Marvel-muñeco de peluche de Spiderman, Negro 32cm</v>
      </c>
      <c r="C80" s="3" t="s">
        <v>144</v>
      </c>
      <c r="D80" s="3" t="s">
        <v>140</v>
      </c>
      <c r="E80" s="14">
        <f>Compras!C80</f>
        <v>118.23</v>
      </c>
      <c r="F80" s="6">
        <f>Compras!D80</f>
        <v>0.49598240717246045</v>
      </c>
      <c r="G80" s="4">
        <f>Compras!B80</f>
        <v>1</v>
      </c>
      <c r="H80" s="14">
        <f>Compras!Q80</f>
        <v>59.596000000000004</v>
      </c>
      <c r="I80" s="4">
        <f>Compras!P80</f>
        <v>1</v>
      </c>
      <c r="J80" s="22" t="s">
        <v>168</v>
      </c>
      <c r="K80" s="15">
        <f t="shared" si="6"/>
        <v>171.59100000000001</v>
      </c>
      <c r="L80" s="16">
        <f t="shared" si="7"/>
        <v>142.99250000000001</v>
      </c>
      <c r="M80" s="17">
        <f t="shared" si="8"/>
        <v>114.39400000000001</v>
      </c>
    </row>
    <row r="81" spans="1:13" ht="31.2" x14ac:dyDescent="0.3">
      <c r="A81" s="21">
        <v>81</v>
      </c>
      <c r="B81" s="3" t="str">
        <f>Compras!A81</f>
        <v>Disney Marvel-muñeco de peluche de Spiderman, Sgirl 32cm</v>
      </c>
      <c r="C81" s="3" t="s">
        <v>144</v>
      </c>
      <c r="D81" s="3" t="s">
        <v>140</v>
      </c>
      <c r="E81" s="14">
        <f>Compras!C81</f>
        <v>126.18</v>
      </c>
      <c r="F81" s="6">
        <f>Compras!D81</f>
        <v>0.49595815501664292</v>
      </c>
      <c r="G81" s="4">
        <f>Compras!B81</f>
        <v>1</v>
      </c>
      <c r="H81" s="14">
        <f>Compras!Q81</f>
        <v>63.606000000000002</v>
      </c>
      <c r="I81" s="4">
        <f>Compras!P81</f>
        <v>1</v>
      </c>
      <c r="J81" s="22" t="s">
        <v>168</v>
      </c>
      <c r="K81" s="15">
        <f t="shared" si="6"/>
        <v>180.61350000000002</v>
      </c>
      <c r="L81" s="16">
        <f t="shared" si="7"/>
        <v>150.51125000000002</v>
      </c>
      <c r="M81" s="17">
        <f t="shared" si="8"/>
        <v>120.40900000000001</v>
      </c>
    </row>
    <row r="82" spans="1:13" ht="31.2" x14ac:dyDescent="0.3">
      <c r="A82" s="21">
        <v>82</v>
      </c>
      <c r="B82" s="3" t="str">
        <f>Compras!A82</f>
        <v>Peluche de Los Vengadores de Marvel, Spiderman 27cm</v>
      </c>
      <c r="C82" s="3" t="s">
        <v>144</v>
      </c>
      <c r="D82" s="3" t="s">
        <v>140</v>
      </c>
      <c r="E82" s="14">
        <f>Compras!C82</f>
        <v>118.23</v>
      </c>
      <c r="F82" s="6">
        <f>Compras!D82</f>
        <v>0.49598240717246045</v>
      </c>
      <c r="G82" s="4">
        <f>Compras!B82</f>
        <v>1</v>
      </c>
      <c r="H82" s="14">
        <f>Compras!Q82</f>
        <v>59.596000000000004</v>
      </c>
      <c r="I82" s="4">
        <f>Compras!P82</f>
        <v>1</v>
      </c>
      <c r="J82" s="22" t="s">
        <v>168</v>
      </c>
      <c r="K82" s="15">
        <f t="shared" si="6"/>
        <v>171.59100000000001</v>
      </c>
      <c r="L82" s="16">
        <f t="shared" si="7"/>
        <v>142.99250000000001</v>
      </c>
      <c r="M82" s="17">
        <f t="shared" si="8"/>
        <v>114.39400000000001</v>
      </c>
    </row>
    <row r="83" spans="1:13" ht="31.2" x14ac:dyDescent="0.3">
      <c r="A83" s="21">
        <v>83</v>
      </c>
      <c r="B83" s="3" t="str">
        <f>Compras!A83</f>
        <v>Peluche de Los Vengadores de Marvel, Baby Yoda 20cm</v>
      </c>
      <c r="C83" s="3" t="s">
        <v>145</v>
      </c>
      <c r="D83" s="3" t="s">
        <v>140</v>
      </c>
      <c r="E83" s="14">
        <f>Compras!C83</f>
        <v>107.58</v>
      </c>
      <c r="F83" s="6">
        <f>Compras!D83</f>
        <v>0.49609592861126606</v>
      </c>
      <c r="G83" s="4">
        <f>Compras!B83</f>
        <v>1</v>
      </c>
      <c r="H83" s="14">
        <f>Compras!Q83</f>
        <v>54.216000000000001</v>
      </c>
      <c r="I83" s="4">
        <f>Compras!P83</f>
        <v>1</v>
      </c>
      <c r="J83" s="22" t="s">
        <v>168</v>
      </c>
      <c r="K83" s="15">
        <f t="shared" si="6"/>
        <v>159.48599999999999</v>
      </c>
      <c r="L83" s="16">
        <f t="shared" si="7"/>
        <v>132.905</v>
      </c>
      <c r="M83" s="17">
        <f t="shared" si="8"/>
        <v>106.324</v>
      </c>
    </row>
    <row r="84" spans="1:13" x14ac:dyDescent="0.3">
      <c r="A84" s="21">
        <v>84</v>
      </c>
      <c r="B84" s="3" t="str">
        <f>Compras!A84</f>
        <v>Peluche de circo Digita, Niña Joker 30cm</v>
      </c>
      <c r="C84" s="3" t="s">
        <v>149</v>
      </c>
      <c r="D84" s="3" t="s">
        <v>140</v>
      </c>
      <c r="E84" s="14">
        <f>Compras!C84</f>
        <v>61</v>
      </c>
      <c r="F84" s="6">
        <f>Compras!D84</f>
        <v>1.6229508196721344E-2</v>
      </c>
      <c r="G84" s="4">
        <f>Compras!B84</f>
        <v>1</v>
      </c>
      <c r="H84" s="14">
        <f>Compras!Q84</f>
        <v>56.24</v>
      </c>
      <c r="I84" s="4">
        <f>Compras!P84</f>
        <v>1</v>
      </c>
      <c r="J84" s="22" t="s">
        <v>168</v>
      </c>
      <c r="K84" s="15">
        <f t="shared" si="6"/>
        <v>185.13</v>
      </c>
      <c r="L84" s="16">
        <f t="shared" si="7"/>
        <v>154.27500000000001</v>
      </c>
      <c r="M84" s="17">
        <f t="shared" si="8"/>
        <v>123.42</v>
      </c>
    </row>
    <row r="85" spans="1:13" x14ac:dyDescent="0.3">
      <c r="A85" s="21">
        <v>85</v>
      </c>
      <c r="B85" s="3" t="str">
        <f>Compras!A85</f>
        <v>Peluche Circo Digita, Niña Joker 30cm</v>
      </c>
      <c r="C85" s="3" t="s">
        <v>149</v>
      </c>
      <c r="D85" s="3" t="s">
        <v>140</v>
      </c>
      <c r="E85" s="14">
        <f>Compras!C85</f>
        <v>59</v>
      </c>
      <c r="F85" s="6">
        <f>Compras!D85</f>
        <v>2.0338983050847024E-3</v>
      </c>
      <c r="G85" s="4">
        <f>Compras!B85</f>
        <v>1</v>
      </c>
      <c r="H85" s="14">
        <f>Compras!Q85</f>
        <v>53.935000000000002</v>
      </c>
      <c r="I85" s="4">
        <f>Compras!P85</f>
        <v>1</v>
      </c>
      <c r="J85" s="22" t="s">
        <v>168</v>
      </c>
      <c r="K85" s="15">
        <f t="shared" si="6"/>
        <v>179.079375</v>
      </c>
      <c r="L85" s="16">
        <f t="shared" si="7"/>
        <v>149.23281249999999</v>
      </c>
      <c r="M85" s="17">
        <f t="shared" si="8"/>
        <v>119.38625</v>
      </c>
    </row>
    <row r="86" spans="1:13" x14ac:dyDescent="0.3">
      <c r="A86" s="21">
        <v>86</v>
      </c>
      <c r="B86" s="3" t="str">
        <f>Compras!A86</f>
        <v>Peluche Circo Digita, Muñeca fea 30cm</v>
      </c>
      <c r="C86" s="3" t="s">
        <v>149</v>
      </c>
      <c r="D86" s="3" t="s">
        <v>140</v>
      </c>
      <c r="E86" s="14">
        <f>Compras!C86</f>
        <v>62</v>
      </c>
      <c r="F86" s="6">
        <f>Compras!D86</f>
        <v>1.1774193548387046E-2</v>
      </c>
      <c r="G86" s="4">
        <f>Compras!B86</f>
        <v>1</v>
      </c>
      <c r="H86" s="14">
        <f>Compras!Q86</f>
        <v>56.325000000000003</v>
      </c>
      <c r="I86" s="4">
        <f>Compras!P86</f>
        <v>1</v>
      </c>
      <c r="J86" s="22" t="s">
        <v>168</v>
      </c>
      <c r="K86" s="15">
        <f t="shared" si="6"/>
        <v>185.35312500000001</v>
      </c>
      <c r="L86" s="16">
        <f t="shared" si="7"/>
        <v>154.4609375</v>
      </c>
      <c r="M86" s="17">
        <f t="shared" si="8"/>
        <v>123.56875000000001</v>
      </c>
    </row>
    <row r="87" spans="1:13" ht="31.2" x14ac:dyDescent="0.3">
      <c r="A87" s="21">
        <v>87</v>
      </c>
      <c r="B87" s="3" t="str">
        <f>Compras!A87</f>
        <v>Peluche Spiderman - TY Beanie Iron Miles Spider Guaidians of thr Galaxy Movie 6 ", 15cm</v>
      </c>
      <c r="C87" s="3" t="s">
        <v>144</v>
      </c>
      <c r="D87" s="3" t="s">
        <v>140</v>
      </c>
      <c r="E87" s="14">
        <f>Compras!C87</f>
        <v>90</v>
      </c>
      <c r="F87" s="6">
        <f>Compras!D87</f>
        <v>1.7777777777777399E-3</v>
      </c>
      <c r="G87" s="4">
        <f>Compras!B87</f>
        <v>1</v>
      </c>
      <c r="H87" s="14">
        <f>Compras!Q87</f>
        <v>82.47</v>
      </c>
      <c r="I87" s="4">
        <f>Compras!P87</f>
        <v>1</v>
      </c>
      <c r="J87" s="22" t="s">
        <v>168</v>
      </c>
      <c r="K87" s="15">
        <f t="shared" si="6"/>
        <v>211.65312499999999</v>
      </c>
      <c r="L87" s="16">
        <f t="shared" si="7"/>
        <v>190.48781249999999</v>
      </c>
      <c r="M87" s="17">
        <f t="shared" si="8"/>
        <v>169.32249999999999</v>
      </c>
    </row>
    <row r="88" spans="1:13" ht="31.2" x14ac:dyDescent="0.3">
      <c r="A88" s="21">
        <v>88</v>
      </c>
      <c r="B88" s="3" t="str">
        <f>Compras!A88</f>
        <v>Accesorios de pista de plástico, Thomas, Cruz, Curvas</v>
      </c>
      <c r="C88" s="3" t="s">
        <v>150</v>
      </c>
      <c r="D88" s="3" t="s">
        <v>151</v>
      </c>
      <c r="E88" s="14">
        <f>Compras!C88</f>
        <v>46.3</v>
      </c>
      <c r="F88" s="6">
        <f>Compras!D88</f>
        <v>0.19287257019438445</v>
      </c>
      <c r="G88" s="4">
        <f>Compras!B88</f>
        <v>2</v>
      </c>
      <c r="H88" s="14">
        <f>Compras!Q88</f>
        <v>60.519999999999996</v>
      </c>
      <c r="I88" s="4">
        <f>Compras!P88</f>
        <v>1</v>
      </c>
      <c r="J88" s="22" t="s">
        <v>168</v>
      </c>
      <c r="K88" s="15">
        <f t="shared" si="6"/>
        <v>196.36500000000001</v>
      </c>
      <c r="L88" s="16">
        <f t="shared" si="7"/>
        <v>163.63749999999999</v>
      </c>
      <c r="M88" s="17">
        <f t="shared" si="8"/>
        <v>130.91</v>
      </c>
    </row>
    <row r="89" spans="1:13" x14ac:dyDescent="0.3">
      <c r="A89" s="21">
        <v>89</v>
      </c>
      <c r="B89" s="3" t="str">
        <f>Compras!A89</f>
        <v xml:space="preserve">Figura de acción de PVC de Ken Master Hoshi Ryu </v>
      </c>
      <c r="C89" s="3" t="s">
        <v>166</v>
      </c>
      <c r="D89" s="3" t="s">
        <v>152</v>
      </c>
      <c r="E89" s="14">
        <f>Compras!C89</f>
        <v>43</v>
      </c>
      <c r="F89" s="6">
        <f>Compras!D89</f>
        <v>2.3255813953483747E-4</v>
      </c>
      <c r="G89" s="4">
        <f>Compras!B89</f>
        <v>2</v>
      </c>
      <c r="H89" s="14">
        <f>Compras!Q89</f>
        <v>39.46</v>
      </c>
      <c r="I89" s="4">
        <f>Compras!P89</f>
        <v>1</v>
      </c>
      <c r="J89" s="22" t="s">
        <v>168</v>
      </c>
      <c r="K89" s="15">
        <f t="shared" si="6"/>
        <v>141.08250000000001</v>
      </c>
      <c r="L89" s="16">
        <f t="shared" si="7"/>
        <v>117.56875000000001</v>
      </c>
      <c r="M89" s="17">
        <f t="shared" si="8"/>
        <v>94.055000000000007</v>
      </c>
    </row>
    <row r="90" spans="1:13" ht="31.2" x14ac:dyDescent="0.3">
      <c r="A90" s="21">
        <v>90</v>
      </c>
      <c r="B90" s="3" t="str">
        <f>Compras!A90</f>
        <v>Figuras de acción de Disney, Mickey Minne, boda, 2 unidades por Set</v>
      </c>
      <c r="C90" s="3" t="s">
        <v>141</v>
      </c>
      <c r="D90" s="3" t="s">
        <v>152</v>
      </c>
      <c r="E90" s="14">
        <f>Compras!C90</f>
        <v>67.17</v>
      </c>
      <c r="F90" s="6">
        <f>Compras!D90</f>
        <v>9.2898615453327407E-2</v>
      </c>
      <c r="G90" s="4">
        <f>Compras!B90</f>
        <v>1</v>
      </c>
      <c r="H90" s="14">
        <f>Compras!Q90</f>
        <v>154.55000000000001</v>
      </c>
      <c r="I90" s="4">
        <f>Compras!P90</f>
        <v>1</v>
      </c>
      <c r="J90" s="22" t="s">
        <v>168</v>
      </c>
      <c r="K90" s="15">
        <f t="shared" si="6"/>
        <v>256.82500000000005</v>
      </c>
      <c r="L90" s="16">
        <f t="shared" si="7"/>
        <v>256.82500000000005</v>
      </c>
      <c r="M90" s="17">
        <f t="shared" si="8"/>
        <v>256.82500000000005</v>
      </c>
    </row>
    <row r="91" spans="1:13" x14ac:dyDescent="0.3">
      <c r="A91" s="21">
        <v>91</v>
      </c>
      <c r="B91" s="3" t="str">
        <f>Compras!A91</f>
        <v xml:space="preserve">Peluche Super Bros boda, Mario </v>
      </c>
      <c r="C91" s="3" t="s">
        <v>153</v>
      </c>
      <c r="D91" s="3" t="s">
        <v>140</v>
      </c>
      <c r="E91" s="14">
        <f>Compras!C91</f>
        <v>323.22000000000003</v>
      </c>
      <c r="F91" s="6">
        <f>Compras!D91</f>
        <v>0.39527256976672243</v>
      </c>
      <c r="G91" s="4">
        <f>Compras!B91</f>
        <v>1</v>
      </c>
      <c r="H91" s="14">
        <f>Compras!Q91</f>
        <v>182.26500000000001</v>
      </c>
      <c r="I91" s="4">
        <f>Compras!P91</f>
        <v>1</v>
      </c>
      <c r="J91" s="22" t="s">
        <v>168</v>
      </c>
      <c r="K91" s="15">
        <f t="shared" si="6"/>
        <v>379.24687500000005</v>
      </c>
      <c r="L91" s="16">
        <f t="shared" si="7"/>
        <v>316.0390625</v>
      </c>
      <c r="M91" s="17">
        <f t="shared" si="8"/>
        <v>252.83125000000001</v>
      </c>
    </row>
    <row r="92" spans="1:13" ht="31.2" x14ac:dyDescent="0.3">
      <c r="A92" s="21">
        <v>92</v>
      </c>
      <c r="B92" s="3" t="str">
        <f>Compras!A92</f>
        <v>Figuras de acción de Mario Bros para niños, 35 estilos, Mario boda</v>
      </c>
      <c r="C92" s="3" t="s">
        <v>153</v>
      </c>
      <c r="D92" s="3" t="s">
        <v>152</v>
      </c>
      <c r="E92" s="14">
        <f>Compras!C92</f>
        <v>77.28</v>
      </c>
      <c r="F92" s="6">
        <f>Compras!D92</f>
        <v>0.10326086956521746</v>
      </c>
      <c r="G92" s="4">
        <f>Compras!B92</f>
        <v>1</v>
      </c>
      <c r="H92" s="14">
        <f>Compras!Q92</f>
        <v>56.10499999999999</v>
      </c>
      <c r="I92" s="4">
        <f>Compras!P92</f>
        <v>1</v>
      </c>
      <c r="J92" s="22" t="s">
        <v>168</v>
      </c>
      <c r="K92" s="15">
        <f t="shared" si="6"/>
        <v>184.77562499999996</v>
      </c>
      <c r="L92" s="16">
        <f t="shared" si="7"/>
        <v>153.97968749999995</v>
      </c>
      <c r="M92" s="17">
        <f t="shared" si="8"/>
        <v>123.18374999999997</v>
      </c>
    </row>
    <row r="93" spans="1:13" x14ac:dyDescent="0.3">
      <c r="A93" s="21">
        <v>93</v>
      </c>
      <c r="B93" s="3" t="str">
        <f>Compras!A93</f>
        <v>Peluche de Digital Circus - Muñeca Fea</v>
      </c>
      <c r="C93" s="3" t="s">
        <v>149</v>
      </c>
      <c r="D93" s="3" t="s">
        <v>140</v>
      </c>
      <c r="E93" s="14">
        <f>Compras!C93</f>
        <v>182.1</v>
      </c>
      <c r="F93" s="6">
        <f>Compras!D93</f>
        <v>0.6875343218012081</v>
      </c>
      <c r="G93" s="4">
        <f>Compras!B93</f>
        <v>1</v>
      </c>
      <c r="H93" s="14">
        <f>Compras!Q93</f>
        <v>52.22</v>
      </c>
      <c r="I93" s="4">
        <f>Compras!P93</f>
        <v>1</v>
      </c>
      <c r="J93" s="22" t="s">
        <v>168</v>
      </c>
      <c r="K93" s="15">
        <f t="shared" si="6"/>
        <v>157.98125000000002</v>
      </c>
      <c r="L93" s="16">
        <f t="shared" si="7"/>
        <v>124.12812500000001</v>
      </c>
      <c r="M93" s="17">
        <f t="shared" si="8"/>
        <v>90.275000000000006</v>
      </c>
    </row>
    <row r="94" spans="1:13" ht="31.2" x14ac:dyDescent="0.3">
      <c r="A94" s="21">
        <v>94</v>
      </c>
      <c r="B94" s="3" t="str">
        <f>Compras!A94</f>
        <v>Kirby as Cupid vinilo figura de acción juguetes, 12cm</v>
      </c>
      <c r="C94" s="3" t="s">
        <v>154</v>
      </c>
      <c r="D94" s="3" t="s">
        <v>152</v>
      </c>
      <c r="E94" s="14">
        <f>Compras!C94</f>
        <v>190.95</v>
      </c>
      <c r="F94" s="6">
        <f>Compras!D94</f>
        <v>0.68756218905472632</v>
      </c>
      <c r="G94" s="4">
        <f>Compras!B94</f>
        <v>1</v>
      </c>
      <c r="H94" s="14">
        <f>Compras!Q94</f>
        <v>54.75</v>
      </c>
      <c r="I94" s="4">
        <f>Compras!P94</f>
        <v>1</v>
      </c>
      <c r="J94" s="22" t="s">
        <v>168</v>
      </c>
      <c r="K94" s="15">
        <f t="shared" si="6"/>
        <v>163.515625</v>
      </c>
      <c r="L94" s="16">
        <f t="shared" si="7"/>
        <v>128.4765625</v>
      </c>
      <c r="M94" s="17">
        <f t="shared" si="8"/>
        <v>93.4375</v>
      </c>
    </row>
    <row r="95" spans="1:13" x14ac:dyDescent="0.3">
      <c r="A95" s="21">
        <v>95</v>
      </c>
      <c r="B95" s="3" t="str">
        <f>Compras!A95</f>
        <v>Figuras de acción de Kirby, Set 8 fig</v>
      </c>
      <c r="C95" s="3" t="s">
        <v>154</v>
      </c>
      <c r="D95" s="3" t="s">
        <v>152</v>
      </c>
      <c r="E95" s="14">
        <f>Compras!C95</f>
        <v>404.66</v>
      </c>
      <c r="F95" s="6">
        <f>Compras!D95</f>
        <v>0.68756486927296989</v>
      </c>
      <c r="G95" s="4">
        <f>Compras!B95</f>
        <v>1</v>
      </c>
      <c r="H95" s="14">
        <f>Compras!Q95</f>
        <v>116.03</v>
      </c>
      <c r="I95" s="4">
        <f>Compras!P95</f>
        <v>8</v>
      </c>
      <c r="J95" s="22" t="s">
        <v>168</v>
      </c>
      <c r="K95" s="15">
        <f t="shared" si="6"/>
        <v>75.476953125000009</v>
      </c>
      <c r="L95" s="16">
        <f t="shared" si="7"/>
        <v>59.303320312500006</v>
      </c>
      <c r="M95" s="17">
        <f t="shared" si="8"/>
        <v>43.129687500000003</v>
      </c>
    </row>
    <row r="96" spans="1:13" ht="31.2" x14ac:dyDescent="0.3">
      <c r="A96" s="21">
        <v>96</v>
      </c>
      <c r="B96" s="3" t="str">
        <f>Compras!A96</f>
        <v>Lámpara LED de escritorio, luces de lectura, 3 colores, regulable, Rosa</v>
      </c>
      <c r="C96" s="3" t="s">
        <v>155</v>
      </c>
      <c r="D96" s="3" t="s">
        <v>156</v>
      </c>
      <c r="E96" s="14">
        <f>Compras!C96</f>
        <v>265.32</v>
      </c>
      <c r="F96" s="6">
        <f>Compras!D96</f>
        <v>0.70771144278606968</v>
      </c>
      <c r="G96" s="4">
        <f>Compras!B96</f>
        <v>2</v>
      </c>
      <c r="H96" s="14">
        <f>Compras!Q96</f>
        <v>71.16</v>
      </c>
      <c r="I96" s="4">
        <f>Compras!P96</f>
        <v>1</v>
      </c>
      <c r="J96" s="22" t="s">
        <v>168</v>
      </c>
      <c r="K96" s="15">
        <f t="shared" si="6"/>
        <v>199.41249999999997</v>
      </c>
      <c r="L96" s="16">
        <f t="shared" si="7"/>
        <v>156.68124999999998</v>
      </c>
      <c r="M96" s="17">
        <f t="shared" si="8"/>
        <v>113.94999999999999</v>
      </c>
    </row>
    <row r="97" spans="1:13" ht="31.2" x14ac:dyDescent="0.3">
      <c r="A97" s="21">
        <v>97</v>
      </c>
      <c r="B97" s="3" t="str">
        <f>Compras!A97</f>
        <v>Lote de 2 figuras de acción de Disney, Mickey Mouse, Boda</v>
      </c>
      <c r="C97" s="3" t="s">
        <v>141</v>
      </c>
      <c r="D97" s="3" t="s">
        <v>152</v>
      </c>
      <c r="E97" s="14">
        <f>Compras!C97</f>
        <v>80.41</v>
      </c>
      <c r="F97" s="6">
        <f>Compras!D97</f>
        <v>0.24499440368113415</v>
      </c>
      <c r="G97" s="4">
        <f>Compras!B97</f>
        <v>1</v>
      </c>
      <c r="H97" s="14">
        <f>Compras!Q97</f>
        <v>85.09</v>
      </c>
      <c r="I97" s="4">
        <f>Compras!P97</f>
        <v>1</v>
      </c>
      <c r="J97" s="22" t="s">
        <v>168</v>
      </c>
      <c r="K97" s="15">
        <f t="shared" si="6"/>
        <v>217.38437500000001</v>
      </c>
      <c r="L97" s="16">
        <f t="shared" si="7"/>
        <v>195.6459375</v>
      </c>
      <c r="M97" s="17">
        <f t="shared" si="8"/>
        <v>173.9075</v>
      </c>
    </row>
    <row r="98" spans="1:13" ht="31.2" x14ac:dyDescent="0.3">
      <c r="A98" s="21">
        <v>98</v>
      </c>
      <c r="B98" s="3" t="str">
        <f>Compras!A98</f>
        <v>Demon Slayer sentado muñeca fantasma Tanjiro Nidouzi Inosuke Zenizu, Pilares</v>
      </c>
      <c r="C98" s="3" t="s">
        <v>146</v>
      </c>
      <c r="D98" s="3" t="s">
        <v>152</v>
      </c>
      <c r="E98" s="14">
        <f>Compras!C98</f>
        <v>183.7</v>
      </c>
      <c r="F98" s="6">
        <f>Compras!D98</f>
        <v>0.68747958628198147</v>
      </c>
      <c r="G98" s="4">
        <f>Compras!B98</f>
        <v>1</v>
      </c>
      <c r="H98" s="14">
        <f>Compras!Q98</f>
        <v>52.679999999999993</v>
      </c>
      <c r="I98" s="4">
        <f>Compras!P98</f>
        <v>5</v>
      </c>
      <c r="J98" s="22" t="s">
        <v>168</v>
      </c>
      <c r="K98" s="15">
        <f t="shared" ref="K98:K119" si="9">M98* (IF(M98-H98&lt;100, IF(M98-H98&gt;80, 1.25, IF(M98-H98&gt;50, 1.5, 1.75)), IF(M98-H98&gt;150, 0.95, IF(M98-H98&gt;170, 0.9, 1))))</f>
        <v>66.797499999999999</v>
      </c>
      <c r="L98" s="16">
        <f t="shared" ref="L98:L129" si="10">(K98+M98)/2</f>
        <v>52.483750000000001</v>
      </c>
      <c r="M98" s="17">
        <f t="shared" ref="M98:M119" si="11">(H98/I98) * ( IF(E98&gt;H98, IF(E98-H98&gt;100, 1.25, IF(E98-H98&gt;50, 1.5, 1.75)), IF(H98-E98&gt;100, 1.25, IF(H98-E98&gt;50, 1.5, 1.75))) ) + 25</f>
        <v>38.17</v>
      </c>
    </row>
    <row r="99" spans="1:13" x14ac:dyDescent="0.3">
      <c r="A99" s="21">
        <v>99</v>
      </c>
      <c r="B99" s="3" t="str">
        <f>Compras!A99</f>
        <v>Figura de Anime de Harry Potter, 3 pcs</v>
      </c>
      <c r="C99" s="3" t="s">
        <v>157</v>
      </c>
      <c r="D99" s="3" t="s">
        <v>152</v>
      </c>
      <c r="E99" s="14">
        <f>Compras!C99</f>
        <v>175.28</v>
      </c>
      <c r="F99" s="6">
        <f>Compras!D99</f>
        <v>0.54632587859424919</v>
      </c>
      <c r="G99" s="4">
        <f>Compras!B99</f>
        <v>2</v>
      </c>
      <c r="H99" s="14">
        <f>Compras!Q99</f>
        <v>74.465000000000003</v>
      </c>
      <c r="I99" s="4">
        <f>Compras!P99</f>
        <v>1</v>
      </c>
      <c r="J99" s="22" t="s">
        <v>168</v>
      </c>
      <c r="K99" s="15">
        <f t="shared" si="9"/>
        <v>206.64218750000003</v>
      </c>
      <c r="L99" s="16">
        <f t="shared" si="10"/>
        <v>162.36171875000002</v>
      </c>
      <c r="M99" s="17">
        <f t="shared" si="11"/>
        <v>118.08125000000001</v>
      </c>
    </row>
    <row r="100" spans="1:13" x14ac:dyDescent="0.3">
      <c r="A100" s="21">
        <v>100</v>
      </c>
      <c r="B100" s="3" t="str">
        <f>Compras!A100</f>
        <v>Llavero colgante de Stitch, Azul y Lila</v>
      </c>
      <c r="C100" s="3" t="s">
        <v>141</v>
      </c>
      <c r="D100" s="3" t="s">
        <v>158</v>
      </c>
      <c r="E100" s="14">
        <f>Compras!C100</f>
        <v>67.36</v>
      </c>
      <c r="F100" s="6">
        <f>Compras!D100</f>
        <v>0.46600356294536815</v>
      </c>
      <c r="G100" s="4">
        <f>Compras!B100</f>
        <v>2</v>
      </c>
      <c r="H100" s="14">
        <f>Compras!Q100</f>
        <v>33.674999999999997</v>
      </c>
      <c r="I100" s="4">
        <f>Compras!P100</f>
        <v>1</v>
      </c>
      <c r="J100" s="22" t="s">
        <v>168</v>
      </c>
      <c r="K100" s="15">
        <f t="shared" si="9"/>
        <v>125.89687499999999</v>
      </c>
      <c r="L100" s="16">
        <f t="shared" si="10"/>
        <v>104.9140625</v>
      </c>
      <c r="M100" s="17">
        <f t="shared" si="11"/>
        <v>83.931249999999991</v>
      </c>
    </row>
    <row r="101" spans="1:13" ht="31.2" x14ac:dyDescent="0.3">
      <c r="A101" s="21">
        <v>101</v>
      </c>
      <c r="B101" s="3" t="str">
        <f>Compras!A101</f>
        <v>Sanrio Kuromi-muñeco de peluche Melody, banda para el pelo</v>
      </c>
      <c r="C101" s="3" t="s">
        <v>142</v>
      </c>
      <c r="D101" s="3" t="s">
        <v>159</v>
      </c>
      <c r="E101" s="14">
        <f>Compras!C101</f>
        <v>106.39</v>
      </c>
      <c r="F101" s="6">
        <f>Compras!D101</f>
        <v>0.68747062693862204</v>
      </c>
      <c r="G101" s="4">
        <f>Compras!B101</f>
        <v>2</v>
      </c>
      <c r="H101" s="14">
        <f>Compras!Q101</f>
        <v>31.283333333333331</v>
      </c>
      <c r="I101" s="4">
        <f>Compras!P101</f>
        <v>1</v>
      </c>
      <c r="J101" s="22" t="s">
        <v>168</v>
      </c>
      <c r="K101" s="15">
        <f t="shared" si="9"/>
        <v>125.86874999999999</v>
      </c>
      <c r="L101" s="16">
        <f t="shared" si="10"/>
        <v>98.896874999999994</v>
      </c>
      <c r="M101" s="17">
        <f t="shared" si="11"/>
        <v>71.924999999999997</v>
      </c>
    </row>
    <row r="102" spans="1:13" ht="31.2" x14ac:dyDescent="0.3">
      <c r="A102" s="21">
        <v>102</v>
      </c>
      <c r="B102" s="3" t="str">
        <f>Compras!A102</f>
        <v>Sanrio Kuromi-muñeco de peluche Melody, banda para el pelo, Diadema</v>
      </c>
      <c r="C102" s="3" t="s">
        <v>142</v>
      </c>
      <c r="D102" s="3" t="s">
        <v>160</v>
      </c>
      <c r="E102" s="14">
        <f>Compras!C102</f>
        <v>84.88</v>
      </c>
      <c r="F102" s="6">
        <f>Compras!D102</f>
        <v>0.6874410933081998</v>
      </c>
      <c r="G102" s="4">
        <f>Compras!B102</f>
        <v>1</v>
      </c>
      <c r="H102" s="14">
        <f>Compras!Q102</f>
        <v>24.563333333333336</v>
      </c>
      <c r="I102" s="4">
        <f>Compras!P102</f>
        <v>1</v>
      </c>
      <c r="J102" s="22" t="s">
        <v>168</v>
      </c>
      <c r="K102" s="15">
        <f t="shared" si="9"/>
        <v>108.22875000000001</v>
      </c>
      <c r="L102" s="16">
        <f t="shared" si="10"/>
        <v>85.036875000000009</v>
      </c>
      <c r="M102" s="17">
        <f t="shared" si="11"/>
        <v>61.845000000000006</v>
      </c>
    </row>
    <row r="103" spans="1:13" x14ac:dyDescent="0.3">
      <c r="A103" s="21">
        <v>103</v>
      </c>
      <c r="B103" s="3" t="str">
        <f>Compras!A103</f>
        <v>Bolsa de cosméticos de felpa Kirby de estrella</v>
      </c>
      <c r="C103" s="3" t="s">
        <v>154</v>
      </c>
      <c r="D103" s="3" t="s">
        <v>161</v>
      </c>
      <c r="E103" s="14">
        <f>Compras!C103</f>
        <v>135.18</v>
      </c>
      <c r="F103" s="6">
        <f>Compras!D103</f>
        <v>0.68745376534990388</v>
      </c>
      <c r="G103" s="4">
        <f>Compras!B103</f>
        <v>1</v>
      </c>
      <c r="H103" s="14">
        <f>Compras!Q103</f>
        <v>39.56</v>
      </c>
      <c r="I103" s="4">
        <f>Compras!P103</f>
        <v>1</v>
      </c>
      <c r="J103" s="22" t="s">
        <v>168</v>
      </c>
      <c r="K103" s="15">
        <f t="shared" si="9"/>
        <v>147.595</v>
      </c>
      <c r="L103" s="16">
        <f t="shared" si="10"/>
        <v>115.9675</v>
      </c>
      <c r="M103" s="17">
        <f t="shared" si="11"/>
        <v>84.34</v>
      </c>
    </row>
    <row r="104" spans="1:13" ht="46.8" x14ac:dyDescent="0.3">
      <c r="A104" s="21">
        <v>104</v>
      </c>
      <c r="B104" s="3" t="str">
        <f>Compras!A104</f>
        <v>Sailor Moon, Tsukino Usagi, Sailor Venus, Mercury Mars, Júpiter, figuras de PVC, juguetes, Set 6 unids</v>
      </c>
      <c r="C104" s="3" t="s">
        <v>162</v>
      </c>
      <c r="D104" s="3" t="s">
        <v>152</v>
      </c>
      <c r="E104" s="14">
        <f>Compras!C104</f>
        <v>228.02</v>
      </c>
      <c r="F104" s="6">
        <f>Compras!D104</f>
        <v>0.18358038768529084</v>
      </c>
      <c r="G104" s="4">
        <f>Compras!B104</f>
        <v>1</v>
      </c>
      <c r="H104" s="14">
        <f>Compras!Q104</f>
        <v>174.29</v>
      </c>
      <c r="I104" s="4">
        <f>Compras!P104</f>
        <v>1</v>
      </c>
      <c r="J104" s="22" t="s">
        <v>168</v>
      </c>
      <c r="K104" s="15">
        <f t="shared" si="9"/>
        <v>286.435</v>
      </c>
      <c r="L104" s="16">
        <f t="shared" si="10"/>
        <v>286.435</v>
      </c>
      <c r="M104" s="17">
        <f t="shared" si="11"/>
        <v>286.435</v>
      </c>
    </row>
    <row r="105" spans="1:13" ht="31.2" x14ac:dyDescent="0.3">
      <c r="A105" s="21">
        <v>105</v>
      </c>
      <c r="B105" s="3" t="str">
        <f>Compras!A105</f>
        <v>Tarjetero de Mickey de Disney para mujer, Ariel Sirenita</v>
      </c>
      <c r="C105" s="3" t="s">
        <v>141</v>
      </c>
      <c r="D105" s="3" t="s">
        <v>152</v>
      </c>
      <c r="E105" s="14">
        <f>Compras!C105</f>
        <v>104.96</v>
      </c>
      <c r="F105" s="6">
        <f>Compras!D105</f>
        <v>0.44502667682926822</v>
      </c>
      <c r="G105" s="4">
        <f>Compras!B105</f>
        <v>3</v>
      </c>
      <c r="H105" s="14">
        <f>Compras!Q105</f>
        <v>51.803333333333335</v>
      </c>
      <c r="I105" s="4">
        <f>Compras!P105</f>
        <v>1</v>
      </c>
      <c r="J105" s="22" t="s">
        <v>168</v>
      </c>
      <c r="K105" s="15">
        <f t="shared" si="9"/>
        <v>154.0575</v>
      </c>
      <c r="L105" s="16">
        <f t="shared" si="10"/>
        <v>128.38124999999999</v>
      </c>
      <c r="M105" s="17">
        <f t="shared" si="11"/>
        <v>102.705</v>
      </c>
    </row>
    <row r="106" spans="1:13" ht="31.2" x14ac:dyDescent="0.3">
      <c r="A106" s="21">
        <v>106</v>
      </c>
      <c r="B106" s="3" t="str">
        <f>Compras!A106</f>
        <v>Figura de Anime One Piece Zoro Luffy Sanji, 13 estilos, Luffy</v>
      </c>
      <c r="C106" s="3" t="s">
        <v>148</v>
      </c>
      <c r="D106" s="3" t="s">
        <v>152</v>
      </c>
      <c r="E106" s="14">
        <f>Compras!C106</f>
        <v>142.68</v>
      </c>
      <c r="F106" s="6">
        <f>Compras!D106</f>
        <v>0.68762265208858997</v>
      </c>
      <c r="G106" s="4">
        <f>Compras!B106</f>
        <v>1</v>
      </c>
      <c r="H106" s="14">
        <f>Compras!Q106</f>
        <v>40.706666666666663</v>
      </c>
      <c r="I106" s="4">
        <f>Compras!P106</f>
        <v>1</v>
      </c>
      <c r="J106" s="22" t="s">
        <v>168</v>
      </c>
      <c r="K106" s="15">
        <f t="shared" si="9"/>
        <v>132.79583333333332</v>
      </c>
      <c r="L106" s="16">
        <f t="shared" si="10"/>
        <v>104.33958333333332</v>
      </c>
      <c r="M106" s="17">
        <f t="shared" si="11"/>
        <v>75.883333333333326</v>
      </c>
    </row>
    <row r="107" spans="1:13" ht="31.2" x14ac:dyDescent="0.3">
      <c r="A107" s="21">
        <v>107</v>
      </c>
      <c r="B107" s="3" t="str">
        <f>Compras!A107</f>
        <v>Figura de Anime One Piece Zoro Luffy Sanji, 13 estilos, Sanji</v>
      </c>
      <c r="C107" s="3" t="s">
        <v>148</v>
      </c>
      <c r="D107" s="3" t="s">
        <v>152</v>
      </c>
      <c r="E107" s="14">
        <f>Compras!C107</f>
        <v>149.97999999999999</v>
      </c>
      <c r="F107" s="6">
        <f>Compras!D107</f>
        <v>0.68749166555540731</v>
      </c>
      <c r="G107" s="4">
        <f>Compras!B107</f>
        <v>1</v>
      </c>
      <c r="H107" s="14">
        <f>Compras!Q107</f>
        <v>43.006666666666661</v>
      </c>
      <c r="I107" s="4">
        <f>Compras!P107</f>
        <v>1</v>
      </c>
      <c r="J107" s="22" t="s">
        <v>168</v>
      </c>
      <c r="K107" s="15">
        <f t="shared" si="9"/>
        <v>137.82708333333332</v>
      </c>
      <c r="L107" s="16">
        <f t="shared" si="10"/>
        <v>108.29270833333332</v>
      </c>
      <c r="M107" s="17">
        <f t="shared" si="11"/>
        <v>78.758333333333326</v>
      </c>
    </row>
    <row r="108" spans="1:13" ht="31.2" x14ac:dyDescent="0.3">
      <c r="A108" s="21">
        <v>108</v>
      </c>
      <c r="B108" s="3" t="str">
        <f>Compras!A108</f>
        <v>Figura de Anime One Piece Zoro Luffy Sanji, 13 estilos, Zoro</v>
      </c>
      <c r="C108" s="3" t="s">
        <v>148</v>
      </c>
      <c r="D108" s="3" t="s">
        <v>152</v>
      </c>
      <c r="E108" s="14">
        <f>Compras!C108</f>
        <v>156.72</v>
      </c>
      <c r="F108" s="6">
        <f>Compras!D108</f>
        <v>0.68753190403266973</v>
      </c>
      <c r="G108" s="4">
        <f>Compras!B108</f>
        <v>1</v>
      </c>
      <c r="H108" s="14">
        <f>Compras!Q108</f>
        <v>45.106666666666669</v>
      </c>
      <c r="I108" s="4">
        <f>Compras!P108</f>
        <v>1</v>
      </c>
      <c r="J108" s="22" t="s">
        <v>168</v>
      </c>
      <c r="K108" s="15">
        <f t="shared" si="9"/>
        <v>142.42083333333335</v>
      </c>
      <c r="L108" s="16">
        <f t="shared" si="10"/>
        <v>111.90208333333334</v>
      </c>
      <c r="M108" s="17">
        <f t="shared" si="11"/>
        <v>81.38333333333334</v>
      </c>
    </row>
    <row r="109" spans="1:13" x14ac:dyDescent="0.3">
      <c r="A109" s="21">
        <v>109</v>
      </c>
      <c r="B109" s="3" t="str">
        <f>Compras!A109</f>
        <v>Bluey juguete de peluche Bingoed, Bluey y Bingo</v>
      </c>
      <c r="C109" s="3" t="s">
        <v>163</v>
      </c>
      <c r="D109" s="3" t="s">
        <v>140</v>
      </c>
      <c r="E109" s="14">
        <f>Compras!C109</f>
        <v>148.47</v>
      </c>
      <c r="F109" s="6">
        <f>Compras!D109</f>
        <v>0.39489459149996636</v>
      </c>
      <c r="G109" s="4">
        <f>Compras!B109</f>
        <v>2</v>
      </c>
      <c r="H109" s="14">
        <f>Compras!Q109</f>
        <v>84.11</v>
      </c>
      <c r="I109" s="4">
        <f>Compras!P109</f>
        <v>1</v>
      </c>
      <c r="J109" s="22" t="s">
        <v>168</v>
      </c>
      <c r="K109" s="15">
        <f t="shared" si="9"/>
        <v>226.7475</v>
      </c>
      <c r="L109" s="16">
        <f t="shared" si="10"/>
        <v>188.95625000000001</v>
      </c>
      <c r="M109" s="17">
        <f t="shared" si="11"/>
        <v>151.16499999999999</v>
      </c>
    </row>
    <row r="110" spans="1:13" x14ac:dyDescent="0.3">
      <c r="A110" s="21">
        <v>110</v>
      </c>
      <c r="B110" s="3" t="str">
        <f>Compras!A110</f>
        <v>Princesa Disney, figuras, Jasmine, Mulan - Ariel</v>
      </c>
      <c r="C110" s="3" t="s">
        <v>141</v>
      </c>
      <c r="D110" s="3" t="s">
        <v>152</v>
      </c>
      <c r="E110" s="14">
        <f>Compras!C110</f>
        <v>233.13</v>
      </c>
      <c r="F110" s="6">
        <f>Compras!D110</f>
        <v>0.68755629906061</v>
      </c>
      <c r="G110" s="4">
        <f>Compras!B110</f>
        <v>1</v>
      </c>
      <c r="H110" s="14">
        <f>Compras!Q110</f>
        <v>68.210000000000008</v>
      </c>
      <c r="I110" s="4">
        <f>Compras!P110</f>
        <v>1</v>
      </c>
      <c r="J110" s="22" t="s">
        <v>168</v>
      </c>
      <c r="K110" s="15">
        <f t="shared" si="9"/>
        <v>192.95937500000002</v>
      </c>
      <c r="L110" s="16">
        <f t="shared" si="10"/>
        <v>151.61093750000003</v>
      </c>
      <c r="M110" s="17">
        <f t="shared" si="11"/>
        <v>110.26250000000002</v>
      </c>
    </row>
    <row r="111" spans="1:13" ht="31.2" x14ac:dyDescent="0.3">
      <c r="A111" s="21">
        <v>111</v>
      </c>
      <c r="B111" s="3" t="str">
        <f>Compras!A111</f>
        <v>Lámpara LED de escritorio, luces de lectura, 3 colores - Rosa</v>
      </c>
      <c r="C111" s="3" t="s">
        <v>139</v>
      </c>
      <c r="D111" s="3" t="s">
        <v>156</v>
      </c>
      <c r="E111" s="14">
        <f>Compras!C111</f>
        <v>236.72</v>
      </c>
      <c r="F111" s="6">
        <f>Compras!D111</f>
        <v>0.67239776951672869</v>
      </c>
      <c r="G111" s="4">
        <f>Compras!B111</f>
        <v>1</v>
      </c>
      <c r="H111" s="14">
        <f>Compras!Q111</f>
        <v>64.77</v>
      </c>
      <c r="I111" s="4">
        <f>Compras!P111</f>
        <v>1</v>
      </c>
      <c r="J111" s="22" t="s">
        <v>168</v>
      </c>
      <c r="K111" s="15">
        <f t="shared" si="9"/>
        <v>185.43437499999999</v>
      </c>
      <c r="L111" s="16">
        <f t="shared" si="10"/>
        <v>145.69843749999998</v>
      </c>
      <c r="M111" s="17">
        <f t="shared" si="11"/>
        <v>105.96249999999999</v>
      </c>
    </row>
    <row r="112" spans="1:13" ht="31.2" x14ac:dyDescent="0.3">
      <c r="A112" s="21">
        <v>112</v>
      </c>
      <c r="B112" s="3" t="str">
        <f>Compras!A112</f>
        <v>TY Beanie Iron Miles Spider Guaidians of thr Galaxy Movie, Spiderman 15cm</v>
      </c>
      <c r="C112" s="3" t="s">
        <v>144</v>
      </c>
      <c r="D112" s="3" t="s">
        <v>140</v>
      </c>
      <c r="E112" s="14">
        <f>Compras!C112</f>
        <v>180</v>
      </c>
      <c r="F112" s="6">
        <f>Compras!D112</f>
        <v>0.50088888888888894</v>
      </c>
      <c r="G112" s="4">
        <f>Compras!B112</f>
        <v>1</v>
      </c>
      <c r="H112" s="14">
        <f>Compras!Q112</f>
        <v>82.47</v>
      </c>
      <c r="I112" s="4">
        <f>Compras!P112</f>
        <v>1</v>
      </c>
      <c r="J112" s="22" t="s">
        <v>168</v>
      </c>
      <c r="K112" s="15">
        <f t="shared" si="9"/>
        <v>223.05749999999998</v>
      </c>
      <c r="L112" s="16">
        <f t="shared" si="10"/>
        <v>185.88124999999997</v>
      </c>
      <c r="M112" s="17">
        <f t="shared" si="11"/>
        <v>148.70499999999998</v>
      </c>
    </row>
    <row r="113" spans="1:13" ht="31.2" x14ac:dyDescent="0.3">
      <c r="A113" s="21">
        <v>113</v>
      </c>
      <c r="B113" s="3" t="str">
        <f>Compras!A113</f>
        <v>Sombrero de pescador con estampado de Pikachu</v>
      </c>
      <c r="C113" s="3" t="s">
        <v>252</v>
      </c>
      <c r="D113" s="3" t="s">
        <v>253</v>
      </c>
      <c r="E113" s="14">
        <f>Compras!C113</f>
        <v>222.13</v>
      </c>
      <c r="F113" s="6">
        <f>Compras!D113</f>
        <v>0.76869085670553294</v>
      </c>
      <c r="G113" s="4">
        <f>Compras!B113</f>
        <v>2</v>
      </c>
      <c r="H113" s="14">
        <f>Compras!Q113</f>
        <v>50.356499999999997</v>
      </c>
      <c r="I113" s="4">
        <f>Compras!P113</f>
        <v>1</v>
      </c>
      <c r="J113" s="22" t="s">
        <v>168</v>
      </c>
      <c r="K113" s="15">
        <f t="shared" si="9"/>
        <v>153.90484375</v>
      </c>
      <c r="L113" s="16">
        <f t="shared" si="10"/>
        <v>120.925234375</v>
      </c>
      <c r="M113" s="17">
        <f t="shared" si="11"/>
        <v>87.945624999999993</v>
      </c>
    </row>
    <row r="114" spans="1:13" ht="31.2" x14ac:dyDescent="0.3">
      <c r="A114" s="21">
        <v>114</v>
      </c>
      <c r="B114" s="3" t="str">
        <f>Compras!A114</f>
        <v>LLavero de Anime Sailor Moon para hombres y mujeres, colgante de bolsa de muñeca, SM azul</v>
      </c>
      <c r="C114" s="3" t="s">
        <v>162</v>
      </c>
      <c r="D114" s="3" t="s">
        <v>158</v>
      </c>
      <c r="E114" s="14">
        <f>Compras!C114</f>
        <v>123.74</v>
      </c>
      <c r="F114" s="6">
        <f>Compras!D114</f>
        <v>0.79307418781315664</v>
      </c>
      <c r="G114" s="4">
        <f>Compras!B114</f>
        <v>1</v>
      </c>
      <c r="H114" s="14">
        <f>Compras!Q114</f>
        <v>25.0929</v>
      </c>
      <c r="I114" s="4">
        <f>Compras!P114</f>
        <v>1</v>
      </c>
      <c r="J114" s="22" t="s">
        <v>168</v>
      </c>
      <c r="K114" s="15">
        <f t="shared" si="9"/>
        <v>109.61886250000001</v>
      </c>
      <c r="L114" s="16">
        <f t="shared" si="10"/>
        <v>86.129106250000007</v>
      </c>
      <c r="M114" s="17">
        <f t="shared" si="11"/>
        <v>62.63935</v>
      </c>
    </row>
    <row r="115" spans="1:13" ht="46.8" x14ac:dyDescent="0.3">
      <c r="A115" s="21">
        <v>115</v>
      </c>
      <c r="B115" s="3" t="str">
        <f>Compras!A115</f>
        <v>LLavero de Anime Sailor Moon para hombres y mujeres, colgante de bolsa de muñeca, SM princesa</v>
      </c>
      <c r="C115" s="3" t="s">
        <v>162</v>
      </c>
      <c r="D115" s="3" t="s">
        <v>158</v>
      </c>
      <c r="E115" s="14">
        <f>Compras!C115</f>
        <v>123.74</v>
      </c>
      <c r="F115" s="6">
        <f>Compras!D115</f>
        <v>0.75996605786326166</v>
      </c>
      <c r="G115" s="4">
        <f>Compras!B115</f>
        <v>1</v>
      </c>
      <c r="H115" s="14">
        <f>Compras!Q115</f>
        <v>29.189699999999998</v>
      </c>
      <c r="I115" s="4">
        <f>Compras!P115</f>
        <v>1</v>
      </c>
      <c r="J115" s="22" t="s">
        <v>168</v>
      </c>
      <c r="K115" s="15">
        <f t="shared" si="9"/>
        <v>120.3729625</v>
      </c>
      <c r="L115" s="16">
        <f t="shared" si="10"/>
        <v>94.578756249999998</v>
      </c>
      <c r="M115" s="17">
        <f t="shared" si="11"/>
        <v>68.784549999999996</v>
      </c>
    </row>
    <row r="116" spans="1:13" ht="46.8" x14ac:dyDescent="0.3">
      <c r="A116" s="21">
        <v>116</v>
      </c>
      <c r="B116" s="3" t="str">
        <f>Compras!A116</f>
        <v>Diadema divertida Sanrio Kuromi My Melody Cinnamoroll, lindo Anime, accesorios para el cabello</v>
      </c>
      <c r="C116" s="3" t="s">
        <v>142</v>
      </c>
      <c r="D116" s="3" t="s">
        <v>160</v>
      </c>
      <c r="E116" s="14">
        <f>Compras!C116</f>
        <v>172.94</v>
      </c>
      <c r="F116" s="6">
        <f>Compras!D116</f>
        <v>0.77297906788481552</v>
      </c>
      <c r="G116" s="4">
        <f>Compras!B116</f>
        <v>2</v>
      </c>
      <c r="H116" s="14">
        <f>Compras!Q116</f>
        <v>38.492849999999997</v>
      </c>
      <c r="I116" s="4">
        <f>Compras!P116</f>
        <v>1</v>
      </c>
      <c r="J116" s="22" t="s">
        <v>168</v>
      </c>
      <c r="K116" s="15">
        <f t="shared" si="9"/>
        <v>127.953109375</v>
      </c>
      <c r="L116" s="16">
        <f t="shared" si="10"/>
        <v>100.5345859375</v>
      </c>
      <c r="M116" s="17">
        <f t="shared" si="11"/>
        <v>73.116062499999998</v>
      </c>
    </row>
    <row r="117" spans="1:13" ht="31.2" x14ac:dyDescent="0.3">
      <c r="A117" s="21">
        <v>117</v>
      </c>
      <c r="B117" s="3" t="str">
        <f>Compras!A117</f>
        <v>Sanrio Kuromi Melody muñeco de peluche lavado de cara maquillaje diadema Kuromi</v>
      </c>
      <c r="C117" s="3" t="s">
        <v>142</v>
      </c>
      <c r="D117" s="3" t="s">
        <v>160</v>
      </c>
      <c r="E117" s="14">
        <f>Compras!C117</f>
        <v>122.39</v>
      </c>
      <c r="F117" s="6">
        <f>Compras!D117</f>
        <v>0.78800228776860859</v>
      </c>
      <c r="G117" s="4">
        <f>Compras!B117</f>
        <v>1</v>
      </c>
      <c r="H117" s="14">
        <f>Compras!Q117</f>
        <v>25.4343</v>
      </c>
      <c r="I117" s="4">
        <f>Compras!P117</f>
        <v>1</v>
      </c>
      <c r="J117" s="22" t="s">
        <v>168</v>
      </c>
      <c r="K117" s="15">
        <f t="shared" si="9"/>
        <v>110.51503749999999</v>
      </c>
      <c r="L117" s="16">
        <f t="shared" si="10"/>
        <v>86.833243749999994</v>
      </c>
      <c r="M117" s="17">
        <f t="shared" si="11"/>
        <v>63.151449999999997</v>
      </c>
    </row>
    <row r="118" spans="1:13" ht="31.2" x14ac:dyDescent="0.3">
      <c r="A118" s="21">
        <v>118</v>
      </c>
      <c r="B118" s="3" t="str">
        <f>Compras!A118</f>
        <v>Paraguas de doble uso con dibujos animados para niños, sombrilla pequeña, SM</v>
      </c>
      <c r="C118" s="3" t="s">
        <v>162</v>
      </c>
      <c r="D118" s="3" t="s">
        <v>254</v>
      </c>
      <c r="E118" s="14">
        <f>Compras!C118</f>
        <v>385.63</v>
      </c>
      <c r="F118" s="6">
        <f>Compras!D118</f>
        <v>0.67730648549127404</v>
      </c>
      <c r="G118" s="4">
        <f>Compras!B118</f>
        <v>2</v>
      </c>
      <c r="H118" s="14">
        <f>Compras!Q118</f>
        <v>124.44030000000001</v>
      </c>
      <c r="I118" s="4">
        <f>Compras!P118</f>
        <v>1</v>
      </c>
      <c r="J118" s="22" t="s">
        <v>168</v>
      </c>
      <c r="K118" s="15">
        <f t="shared" si="9"/>
        <v>270.82556249999999</v>
      </c>
      <c r="L118" s="16">
        <f t="shared" si="10"/>
        <v>225.68796874999998</v>
      </c>
      <c r="M118" s="17">
        <f t="shared" si="11"/>
        <v>180.550375</v>
      </c>
    </row>
    <row r="119" spans="1:13" ht="31.2" x14ac:dyDescent="0.3">
      <c r="A119" s="21">
        <v>119</v>
      </c>
      <c r="B119" s="3" t="str">
        <f>Compras!A119</f>
        <v>Sombrero de pescador de Anime con bordado de dibujos animados, gorro de Naroto, Akatsuki</v>
      </c>
      <c r="C119" s="3" t="s">
        <v>147</v>
      </c>
      <c r="D119" s="3" t="s">
        <v>253</v>
      </c>
      <c r="E119" s="14">
        <f>Compras!C119</f>
        <v>144</v>
      </c>
      <c r="F119" s="6">
        <f>Compras!D119</f>
        <v>0.6941624999999999</v>
      </c>
      <c r="G119" s="4">
        <f>Compras!B119</f>
        <v>1</v>
      </c>
      <c r="H119" s="14">
        <f>Compras!Q119</f>
        <v>44.040600000000005</v>
      </c>
      <c r="I119" s="4">
        <f>Compras!P119</f>
        <v>1</v>
      </c>
      <c r="J119" s="23" t="s">
        <v>168</v>
      </c>
      <c r="K119" s="15">
        <f t="shared" si="9"/>
        <v>159.35657500000002</v>
      </c>
      <c r="L119" s="16">
        <f t="shared" si="10"/>
        <v>125.20873750000001</v>
      </c>
      <c r="M119" s="17">
        <f t="shared" si="11"/>
        <v>91.060900000000004</v>
      </c>
    </row>
  </sheetData>
  <autoFilter ref="A1:M111" xr:uid="{00000000-0009-0000-0000-000001000000}">
    <sortState xmlns:xlrd2="http://schemas.microsoft.com/office/spreadsheetml/2017/richdata2" ref="A2:M119">
      <sortCondition ref="A1:A111"/>
    </sortState>
  </autoFilter>
  <hyperlinks>
    <hyperlink ref="J38" r:id="rId1" xr:uid="{A5CF1717-1F0B-419B-A346-AEA121371B6D}"/>
    <hyperlink ref="J39" r:id="rId2" xr:uid="{B01C2CB1-B97A-465C-9E4E-DFAF77D566EA}"/>
    <hyperlink ref="J40" r:id="rId3" xr:uid="{2DDC5614-607A-4867-8D4B-8D39BBD6140F}"/>
    <hyperlink ref="J41" r:id="rId4" xr:uid="{F04D78FC-A37B-487B-9B6A-0C54A0AF2973}"/>
    <hyperlink ref="J42" r:id="rId5" xr:uid="{54F97783-A873-43F7-ACC4-D3032D39768B}"/>
    <hyperlink ref="J43" r:id="rId6" xr:uid="{BB7CB356-6AF1-4453-98C0-186D25B43E70}"/>
    <hyperlink ref="J44" r:id="rId7" xr:uid="{617E5FA5-C6BE-4C7C-8337-A225D8803242}"/>
    <hyperlink ref="J45" r:id="rId8" xr:uid="{9855479C-B84E-496A-9306-0345973E0DBD}"/>
    <hyperlink ref="J46" r:id="rId9" xr:uid="{7FC1861F-90D9-4F70-AD24-A7F78FF5703C}"/>
    <hyperlink ref="J47" r:id="rId10" xr:uid="{C1F39A0C-C6B2-4EC6-8D71-D974CF80E969}"/>
    <hyperlink ref="J48" r:id="rId11" xr:uid="{A64178AA-302E-4DDD-84BA-4A195A74EA22}"/>
    <hyperlink ref="J49" r:id="rId12" xr:uid="{8F53A67B-E549-47DA-B9B5-8629E2B5E043}"/>
    <hyperlink ref="J50" r:id="rId13" xr:uid="{C2FD3665-79EC-4DB2-8C72-D829FC637361}"/>
    <hyperlink ref="J51" r:id="rId14" xr:uid="{C93CE965-26CB-45CD-9E19-EE120AACC3AC}"/>
    <hyperlink ref="J52" r:id="rId15" xr:uid="{1C1BC244-626D-46B9-AD8E-21CE6EB3A5F4}"/>
    <hyperlink ref="J53" r:id="rId16" xr:uid="{627F6A7E-8131-47C2-BCD8-3005A0CA8A66}"/>
    <hyperlink ref="J54" r:id="rId17" xr:uid="{DDA4A87D-CAB7-4C6E-87BE-836CB2400981}"/>
    <hyperlink ref="J55" r:id="rId18" xr:uid="{8B97D28B-02B5-4B2A-BB5D-634BA27503BA}"/>
    <hyperlink ref="J56" r:id="rId19" xr:uid="{55BDEE68-BC78-4132-8512-08818A20525E}"/>
    <hyperlink ref="J57" r:id="rId20" xr:uid="{7CE28191-0E29-445B-A827-729715A830FD}"/>
    <hyperlink ref="J58" r:id="rId21" xr:uid="{C76A4691-CC09-46FA-959B-CF395D92F0F0}"/>
    <hyperlink ref="J59" r:id="rId22" xr:uid="{4831EFE1-F64C-408B-BF26-FC3519BCE08D}"/>
    <hyperlink ref="J60" r:id="rId23" xr:uid="{BE9F5D21-ADC5-4989-9765-D2CB75FA2E63}"/>
    <hyperlink ref="J61" r:id="rId24" xr:uid="{CE339D6F-31F4-4BB5-8634-E6EF4EE51842}"/>
    <hyperlink ref="J62" r:id="rId25" xr:uid="{6ABFAD50-8168-4570-82D6-A8F469C0372D}"/>
    <hyperlink ref="J63" r:id="rId26" xr:uid="{0A7EC4A0-AA87-478D-BCE7-26AB0234CDF8}"/>
    <hyperlink ref="J64" r:id="rId27" xr:uid="{6B4A014E-0F8D-4DBF-A830-2ED2FBD5B340}"/>
    <hyperlink ref="J65" r:id="rId28" xr:uid="{69401412-BFE0-4AD3-846A-D6F3A017A5DA}"/>
    <hyperlink ref="J66" r:id="rId29" xr:uid="{C17A01A0-E532-4180-B47C-E891D00C8A8F}"/>
    <hyperlink ref="J67" r:id="rId30" xr:uid="{D2B36EE0-408A-45E0-A608-11F8200E2DB4}"/>
    <hyperlink ref="J68" r:id="rId31" xr:uid="{6B497428-6EF9-4587-8D41-9D20C8C8442E}"/>
    <hyperlink ref="J69" r:id="rId32" xr:uid="{59DF5725-1131-4F47-8D92-B26424790DB2}"/>
    <hyperlink ref="J70" r:id="rId33" xr:uid="{392C467B-CCE9-4EDC-BAF2-32F7358DD371}"/>
    <hyperlink ref="J71" r:id="rId34" xr:uid="{7EEE45F0-5E49-4C36-8D66-65FB357429EE}"/>
    <hyperlink ref="J72" r:id="rId35" xr:uid="{D994FBDC-F801-4627-AB0F-3931E9F94D6C}"/>
    <hyperlink ref="J73" r:id="rId36" xr:uid="{7508A50D-4E30-429A-95BB-5EFF16377196}"/>
    <hyperlink ref="J74" r:id="rId37" xr:uid="{4AA5F175-2266-457F-BEFB-C8E297C65BE1}"/>
    <hyperlink ref="J75" r:id="rId38" xr:uid="{C76BA449-CC64-4DC6-B184-F3E9E9AB03CA}"/>
    <hyperlink ref="J76" r:id="rId39" xr:uid="{310D958E-1827-4649-8BC0-FF52D9EAF573}"/>
    <hyperlink ref="J77" r:id="rId40" xr:uid="{E998543A-80C1-46AF-A01E-6EE8B42E64DD}"/>
    <hyperlink ref="J78" r:id="rId41" xr:uid="{41ACBA41-D6D3-4B81-A0B9-EDCD2088B01F}"/>
    <hyperlink ref="J79" r:id="rId42" xr:uid="{5ACDAB3A-6B82-4D0C-81AE-68985F556420}"/>
    <hyperlink ref="J80" r:id="rId43" xr:uid="{665CD0D4-943D-4F18-86B0-2388CE5593A6}"/>
    <hyperlink ref="J81" r:id="rId44" xr:uid="{C41ACD1E-6A58-4CE1-9CD9-4C849F900FE5}"/>
    <hyperlink ref="J83" r:id="rId45" xr:uid="{C66CF1D5-B3F2-4702-9732-C49FBE737EFF}"/>
    <hyperlink ref="J82" r:id="rId46" xr:uid="{00D416B6-73C6-4873-BC31-03184C6BDB39}"/>
    <hyperlink ref="J84" r:id="rId47" xr:uid="{3AAE3951-B778-4C80-8C52-38C2668BE837}"/>
    <hyperlink ref="J85" r:id="rId48" xr:uid="{36579E10-C821-4C30-BA73-38B51089689A}"/>
    <hyperlink ref="J86" r:id="rId49" xr:uid="{212C5C2B-EC6F-4391-B4FF-89D0C22F9E8B}"/>
    <hyperlink ref="J87" r:id="rId50" xr:uid="{750F620A-80EC-49FB-8DFB-E71EE8A655A2}"/>
    <hyperlink ref="J88" r:id="rId51" xr:uid="{41AFADB3-3E1C-4F15-A518-7010B49F0601}"/>
    <hyperlink ref="J89" r:id="rId52" xr:uid="{8AD1C31F-3541-4E02-A034-3D0D06D5F039}"/>
    <hyperlink ref="J90" r:id="rId53" xr:uid="{A2B98D2B-E1F8-4FD3-AFC8-E39101B42F58}"/>
    <hyperlink ref="J91" r:id="rId54" xr:uid="{2178396B-4CCE-4B64-A11F-FA2621A8559D}"/>
    <hyperlink ref="J92" r:id="rId55" xr:uid="{5C976AB1-94B9-4DA1-8CF3-C9C42B9AC17B}"/>
    <hyperlink ref="J93" r:id="rId56" xr:uid="{FB0ACA56-6BAD-458D-B53E-722937195C42}"/>
    <hyperlink ref="J94" r:id="rId57" xr:uid="{DECE3E3F-BF09-48AF-8176-F8C03959EF7D}"/>
    <hyperlink ref="J95" r:id="rId58" xr:uid="{B86A543F-D04B-4B7F-83BA-7AD737F6D569}"/>
    <hyperlink ref="J96" r:id="rId59" xr:uid="{2F4BBC5E-8871-4819-B7F2-052545CFCE0E}"/>
    <hyperlink ref="J97" r:id="rId60" xr:uid="{54469662-7D88-448E-831D-3AB1339B97DA}"/>
    <hyperlink ref="J98" r:id="rId61" xr:uid="{1C891CB5-2CD9-4406-AF18-E471D600FDA7}"/>
    <hyperlink ref="J99" r:id="rId62" xr:uid="{F297CC05-76E9-4551-BAB7-D6FD7A6DB1D0}"/>
    <hyperlink ref="J100" r:id="rId63" xr:uid="{A6F14897-5CC3-475C-BDE6-55B53A51060B}"/>
    <hyperlink ref="J101" r:id="rId64" xr:uid="{733BE2BB-EC1F-4D6C-ACC8-F2FC29A26E07}"/>
    <hyperlink ref="J102" r:id="rId65" xr:uid="{D6544A22-D5D2-431F-910F-0F0BCFCFA154}"/>
    <hyperlink ref="J103" r:id="rId66" xr:uid="{3FF13EE3-5654-426E-8198-4050FF6DD048}"/>
    <hyperlink ref="J104" r:id="rId67" xr:uid="{5359FFC6-3DAC-4610-844F-C6E9760998CE}"/>
    <hyperlink ref="J105" r:id="rId68" xr:uid="{8D4D166E-A2E7-45E7-90A0-2581802E3328}"/>
    <hyperlink ref="J106" r:id="rId69" xr:uid="{DFF43D70-BDFC-4C33-BD6A-5D6D87EDEF23}"/>
    <hyperlink ref="J107" r:id="rId70" xr:uid="{012918E0-C654-4B0D-A77D-81D9D3C4E9F9}"/>
    <hyperlink ref="J108" r:id="rId71" xr:uid="{E2FB36EB-48DD-4006-9027-DD751C782C18}"/>
    <hyperlink ref="J111" r:id="rId72" xr:uid="{F2F58255-2ABB-44D8-9EF5-0F10E473D6C0}"/>
    <hyperlink ref="J110" r:id="rId73" xr:uid="{B88A3C01-277B-4231-8C51-9D30E050B368}"/>
    <hyperlink ref="J109" r:id="rId74" xr:uid="{6B1BFFD8-6EA2-4BC4-8732-97F78BD6196D}"/>
    <hyperlink ref="J36" r:id="rId75" xr:uid="{9BA961F3-F114-4087-AC33-1D41DB9A1261}"/>
    <hyperlink ref="J37" r:id="rId76" xr:uid="{83A5AB52-67DD-4CAB-AE78-3637929DFCF9}"/>
    <hyperlink ref="J35" r:id="rId77" xr:uid="{33300E90-723D-4EBC-A9F4-00D816DD9840}"/>
    <hyperlink ref="J7" r:id="rId78" xr:uid="{FAEEA4FA-FD9C-4798-A35A-9AD4EBB583DC}"/>
    <hyperlink ref="J6" r:id="rId79" xr:uid="{369B052A-58A0-4F5E-8D1F-059905AA5719}"/>
    <hyperlink ref="J25" r:id="rId80" xr:uid="{BBD05EF4-E357-40C7-9484-67C7787DF16F}"/>
    <hyperlink ref="J22" r:id="rId81" xr:uid="{369B77B2-973B-4084-BEDE-31ADEFF169BA}"/>
    <hyperlink ref="J23" r:id="rId82" xr:uid="{7525F18A-B04B-49C2-9570-1967A2B1FAA6}"/>
    <hyperlink ref="J21" r:id="rId83" xr:uid="{C02A2AB1-C843-4F34-888A-4F95D7903CF4}"/>
    <hyperlink ref="J20" r:id="rId84" xr:uid="{D1A57C5E-4125-43F9-AA8C-C2F80D560004}"/>
    <hyperlink ref="J16" r:id="rId85" xr:uid="{350F1410-5060-410E-A152-903A8915306F}"/>
    <hyperlink ref="J15" r:id="rId86" xr:uid="{6B34BA2E-1291-49A5-9363-4473A32DCFB6}"/>
    <hyperlink ref="J34" r:id="rId87" xr:uid="{37A38A90-6438-4E37-B296-B6F3461D987E}"/>
    <hyperlink ref="J24" r:id="rId88" xr:uid="{C31978BE-CC9E-49FD-AAC3-DC0A0A4719B0}"/>
    <hyperlink ref="J26" r:id="rId89" xr:uid="{0085246E-FFF0-463A-ACE5-9BCACD44DC6D}"/>
    <hyperlink ref="J27" r:id="rId90" xr:uid="{33D28E74-6BDE-4A46-B218-7A677EB20522}"/>
    <hyperlink ref="J28" r:id="rId91" xr:uid="{F45D3799-3CCF-44B2-9F12-172BAD4EEC00}"/>
    <hyperlink ref="J29" r:id="rId92" xr:uid="{D7E5A702-1D62-432F-915F-ACBE3E820716}"/>
    <hyperlink ref="J30" r:id="rId93" xr:uid="{E46150E6-DCE2-43D1-B607-F4E3554A2223}"/>
    <hyperlink ref="J31" r:id="rId94" xr:uid="{C233CE80-6BF0-4B7E-8DC6-395F7C24B11C}"/>
    <hyperlink ref="J32" r:id="rId95" xr:uid="{A5D1D1C0-7604-4379-A5E2-35454E890BEB}"/>
    <hyperlink ref="J33" r:id="rId96" xr:uid="{BA1B4549-B3BF-4103-8B65-1D7C1D616923}"/>
    <hyperlink ref="J112" r:id="rId97" xr:uid="{8D11B2D9-A3B7-4402-AC8F-E6A7A64328BD}"/>
    <hyperlink ref="A1" r:id="rId98" display="Preview" xr:uid="{C0606FB7-4325-4E97-A4D6-B29FABCB6D1A}"/>
    <hyperlink ref="J12" r:id="rId99" xr:uid="{1B435823-88AC-4D74-8211-3C77EC7F4785}"/>
    <hyperlink ref="J10" r:id="rId100" xr:uid="{3D56CC2F-67B9-4E4D-8051-149410913ACC}"/>
    <hyperlink ref="J11" r:id="rId101" xr:uid="{9336020D-7A14-4402-A9FB-3C56764E13DB}"/>
    <hyperlink ref="J116" r:id="rId102" xr:uid="{3F6632BA-F4F2-447F-8175-9C42C2286C79}"/>
    <hyperlink ref="J113" r:id="rId103" xr:uid="{522D5702-2BF7-4A4C-9C1F-B73DB1CF983C}"/>
    <hyperlink ref="J118" r:id="rId104" xr:uid="{9AE9B612-114A-481C-B252-0D76DD5011C3}"/>
    <hyperlink ref="J114" r:id="rId105" xr:uid="{9C46EEC5-79E6-4E2C-8DA4-A7816B9D7AFE}"/>
    <hyperlink ref="J115" r:id="rId106" xr:uid="{3B3642F8-E9F4-4910-9276-BEBCE33195C7}"/>
    <hyperlink ref="J117" r:id="rId107" xr:uid="{A322559F-EE0E-4635-87D3-EEC360C22FF1}"/>
  </hyperlinks>
  <pageMargins left="0.7" right="0.7" top="0.75" bottom="0.75" header="0.3" footer="0.3"/>
  <picture r:id="rId1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Compras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Tlachino</dc:creator>
  <cp:lastModifiedBy>Marco Tlachino Macuitl</cp:lastModifiedBy>
  <dcterms:created xsi:type="dcterms:W3CDTF">2024-02-04T04:41:10Z</dcterms:created>
  <dcterms:modified xsi:type="dcterms:W3CDTF">2025-02-23T05:39:50Z</dcterms:modified>
</cp:coreProperties>
</file>